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autoCompressPictures="0" defaultThemeVersion="124226"/>
  <bookViews>
    <workbookView xWindow="0" yWindow="0" windowWidth="28800" windowHeight="12300" firstSheet="4" activeTab="4"/>
  </bookViews>
  <sheets>
    <sheet name="часть 1" sheetId="1" state="hidden" r:id="rId1"/>
    <sheet name="часть 2" sheetId="2" state="hidden" r:id="rId2"/>
    <sheet name="часть 3" sheetId="3" state="hidden" r:id="rId3"/>
    <sheet name="№ п-п" sheetId="4" state="hidden" r:id="rId4"/>
    <sheet name="2-60" sheetId="5" r:id="rId5"/>
    <sheet name="61-106" sheetId="6" r:id="rId6"/>
    <sheet name="107-117" sheetId="7" r:id="rId7"/>
  </sheets>
  <externalReferences>
    <externalReference r:id="rId8"/>
    <externalReference r:id="rId9"/>
  </externalReferences>
  <definedNames>
    <definedName name="_xlnm._FilterDatabase" localSheetId="6" hidden="1">'107-117'!$A$5:$F$295</definedName>
    <definedName name="_xlnm._FilterDatabase" localSheetId="4" hidden="1">'2-60'!$A$12:$T$1635</definedName>
    <definedName name="_xlnm._FilterDatabase" localSheetId="5" hidden="1">'61-106'!$A$7:$Y$1607</definedName>
    <definedName name="_xlnm._FilterDatabase" localSheetId="0" hidden="1">'часть 1'!$A$14:$BJ$580</definedName>
    <definedName name="_xlnm._FilterDatabase" localSheetId="1" hidden="1">'часть 2'!$A$6:$BA$560</definedName>
    <definedName name="_xlnm._FilterDatabase" localSheetId="2" hidden="1">'часть 3'!$A$5:$P$104</definedName>
    <definedName name="Z_05E5B781_F71B_4B1D_8903_6B19B14E5AF9_.wvu.FilterData" localSheetId="5" hidden="1">'61-106'!$A$7:$Y$1190</definedName>
    <definedName name="Z_0FC031E8_1679_436D_B7BC_C7548B561FDB_.wvu.FilterData" localSheetId="5" hidden="1">'61-106'!$A$7:$Y$1240</definedName>
    <definedName name="Z_12421221_D7D1_498B_BCF5_8FFA481C8CE8_.wvu.FilterData" localSheetId="5" hidden="1">'61-106'!$A$7:$Y$1190</definedName>
    <definedName name="Z_136D24AF_77E8_4B69_91ED_7B8ADE43DD87_.wvu.FilterData" localSheetId="5" hidden="1">'61-106'!$A$7:$Y$1190</definedName>
    <definedName name="Z_144E5A37_1CF2_41F0_BEF8_CB5D4D392E2A_.wvu.Cols" localSheetId="5" hidden="1">'61-106'!#REF!</definedName>
    <definedName name="Z_144E5A37_1CF2_41F0_BEF8_CB5D4D392E2A_.wvu.Cols" localSheetId="1" hidden="1">'часть 2'!$V:$V</definedName>
    <definedName name="Z_144E5A37_1CF2_41F0_BEF8_CB5D4D392E2A_.wvu.FilterData" localSheetId="6" hidden="1">'107-117'!$A$5:$F$221</definedName>
    <definedName name="Z_144E5A37_1CF2_41F0_BEF8_CB5D4D392E2A_.wvu.FilterData" localSheetId="4" hidden="1">'2-60'!$A$12:$T$1034</definedName>
    <definedName name="Z_144E5A37_1CF2_41F0_BEF8_CB5D4D392E2A_.wvu.FilterData" localSheetId="5" hidden="1">'61-106'!$A$7:$Y$1190</definedName>
    <definedName name="Z_144E5A37_1CF2_41F0_BEF8_CB5D4D392E2A_.wvu.FilterData" localSheetId="0" hidden="1">'часть 1'!$A$14:$BJ$580</definedName>
    <definedName name="Z_144E5A37_1CF2_41F0_BEF8_CB5D4D392E2A_.wvu.FilterData" localSheetId="1" hidden="1">'часть 2'!$A$6:$BA$560</definedName>
    <definedName name="Z_144E5A37_1CF2_41F0_BEF8_CB5D4D392E2A_.wvu.FilterData" localSheetId="2" hidden="1">'часть 3'!$A$5:$P$104</definedName>
    <definedName name="Z_144E5A37_1CF2_41F0_BEF8_CB5D4D392E2A_.wvu.PrintArea" localSheetId="6" hidden="1">'107-117'!$A$1:$F$221</definedName>
    <definedName name="Z_144E5A37_1CF2_41F0_BEF8_CB5D4D392E2A_.wvu.PrintArea" localSheetId="4" hidden="1">'2-60'!$A$1:$T$1034</definedName>
    <definedName name="Z_144E5A37_1CF2_41F0_BEF8_CB5D4D392E2A_.wvu.PrintArea" localSheetId="5" hidden="1">'61-106'!$A$1:$Y$1611</definedName>
    <definedName name="Z_144E5A37_1CF2_41F0_BEF8_CB5D4D392E2A_.wvu.PrintTitles" localSheetId="6" hidden="1">'107-117'!$5:$5</definedName>
    <definedName name="Z_144E5A37_1CF2_41F0_BEF8_CB5D4D392E2A_.wvu.PrintTitles" localSheetId="4" hidden="1">'2-60'!$12:$12</definedName>
    <definedName name="Z_144E5A37_1CF2_41F0_BEF8_CB5D4D392E2A_.wvu.PrintTitles" localSheetId="5" hidden="1">'61-106'!$7:$7</definedName>
    <definedName name="Z_144E5A37_1CF2_41F0_BEF8_CB5D4D392E2A_.wvu.PrintTitles" localSheetId="0" hidden="1">'часть 1'!$15:$15</definedName>
    <definedName name="Z_144E5A37_1CF2_41F0_BEF8_CB5D4D392E2A_.wvu.PrintTitles" localSheetId="1" hidden="1">'часть 2'!$6:$6</definedName>
    <definedName name="Z_144E5A37_1CF2_41F0_BEF8_CB5D4D392E2A_.wvu.PrintTitles" localSheetId="2" hidden="1">'часть 3'!$5:$5</definedName>
    <definedName name="Z_144E5A37_1CF2_41F0_BEF8_CB5D4D392E2A_.wvu.Rows" localSheetId="3" hidden="1">'№ п-п'!$14:$15,'№ п-п'!$18:$19</definedName>
    <definedName name="Z_152DE27B_16E0_4C3F_B8C9_77C51C4FE919_.wvu.FilterData" localSheetId="5" hidden="1">'61-106'!$A$7:$Y$1190</definedName>
    <definedName name="Z_29A3D4D6_A1CD_4D52_8401_A6487748845B_.wvu.FilterData" localSheetId="5" hidden="1">'61-106'!$A$7:$Y$1190</definedName>
    <definedName name="Z_3BFD9ADE_D6DD_43B4_9811_8F791DD4CCB0_.wvu.FilterData" localSheetId="5" hidden="1">'61-106'!$A$7:$Y$1190</definedName>
    <definedName name="Z_3F6E8ED0_3B45_404D_802F_187FEB96400E_.wvu.FilterData" localSheetId="5" hidden="1">'61-106'!$A$7:$Y$1190</definedName>
    <definedName name="Z_40F34145_9305_4878_B22D_6D9AD8EA3B52_.wvu.FilterData" localSheetId="5" hidden="1">'61-106'!$A$7:$Y$1190</definedName>
    <definedName name="Z_41475477_4189_43D3_81B6_CE8A040E00A7_.wvu.FilterData" localSheetId="5" hidden="1">'61-106'!$A$7:$Y$1190</definedName>
    <definedName name="Z_41536B0E_9695_4461_B8DF_5941B174BA4D_.wvu.FilterData" localSheetId="5" hidden="1">'61-106'!$A$7:$Y$1190</definedName>
    <definedName name="Z_474A6E90_1050_4B84_8489_0B2670AB677B_.wvu.FilterData" localSheetId="5" hidden="1">'61-106'!$A$7:$Y$1190</definedName>
    <definedName name="Z_4C44C113_DA02_468D_99C5_83FA6693F42F_.wvu.Cols" localSheetId="1" hidden="1">'часть 2'!$V:$V</definedName>
    <definedName name="Z_4C44C113_DA02_468D_99C5_83FA6693F42F_.wvu.FilterData" localSheetId="6" hidden="1">'107-117'!$A$5:$F$221</definedName>
    <definedName name="Z_4C44C113_DA02_468D_99C5_83FA6693F42F_.wvu.FilterData" localSheetId="4" hidden="1">'2-60'!$A$12:$T$1034</definedName>
    <definedName name="Z_4C44C113_DA02_468D_99C5_83FA6693F42F_.wvu.FilterData" localSheetId="5" hidden="1">'61-106'!$A$7:$Y$1190</definedName>
    <definedName name="Z_4C44C113_DA02_468D_99C5_83FA6693F42F_.wvu.FilterData" localSheetId="0" hidden="1">'часть 1'!$A$14:$BJ$580</definedName>
    <definedName name="Z_4C44C113_DA02_468D_99C5_83FA6693F42F_.wvu.FilterData" localSheetId="1" hidden="1">'часть 2'!$A$6:$BA$560</definedName>
    <definedName name="Z_4C44C113_DA02_468D_99C5_83FA6693F42F_.wvu.FilterData" localSheetId="2" hidden="1">'часть 3'!$A$5:$P$104</definedName>
    <definedName name="Z_4C44C113_DA02_468D_99C5_83FA6693F42F_.wvu.PrintArea" localSheetId="6" hidden="1">'107-117'!$A$1:$F$221</definedName>
    <definedName name="Z_4C44C113_DA02_468D_99C5_83FA6693F42F_.wvu.PrintArea" localSheetId="4" hidden="1">'2-60'!$A$1:$T$1034</definedName>
    <definedName name="Z_4C44C113_DA02_468D_99C5_83FA6693F42F_.wvu.PrintArea" localSheetId="5" hidden="1">'61-106'!$A$1:$Y$1608</definedName>
    <definedName name="Z_4C44C113_DA02_468D_99C5_83FA6693F42F_.wvu.PrintTitles" localSheetId="6" hidden="1">'107-117'!$5:$5</definedName>
    <definedName name="Z_4C44C113_DA02_468D_99C5_83FA6693F42F_.wvu.PrintTitles" localSheetId="4" hidden="1">'2-60'!$12:$12</definedName>
    <definedName name="Z_4C44C113_DA02_468D_99C5_83FA6693F42F_.wvu.PrintTitles" localSheetId="5" hidden="1">'61-106'!$7:$7</definedName>
    <definedName name="Z_4C44C113_DA02_468D_99C5_83FA6693F42F_.wvu.PrintTitles" localSheetId="0" hidden="1">'часть 1'!$15:$15</definedName>
    <definedName name="Z_4C44C113_DA02_468D_99C5_83FA6693F42F_.wvu.PrintTitles" localSheetId="1" hidden="1">'часть 2'!$6:$6</definedName>
    <definedName name="Z_4C44C113_DA02_468D_99C5_83FA6693F42F_.wvu.PrintTitles" localSheetId="2" hidden="1">'часть 3'!$5:$5</definedName>
    <definedName name="Z_4C44C113_DA02_468D_99C5_83FA6693F42F_.wvu.Rows" localSheetId="3" hidden="1">'№ п-п'!$14:$15,'№ п-п'!$18:$19</definedName>
    <definedName name="Z_4E314135_0949_4D37_900C_1E7395131096_.wvu.FilterData" localSheetId="5" hidden="1">'61-106'!$A$7:$Y$1190</definedName>
    <definedName name="Z_4F82539F_839D_4A54_B506_2AAEC10295D9_.wvu.FilterData" localSheetId="5" hidden="1">'61-106'!$A$7:$Y$1190</definedName>
    <definedName name="Z_5003B0C5_6416_446E_8CFF_5AFE12963873_.wvu.FilterData" localSheetId="5" hidden="1">'61-106'!$A$7:$Y$1190</definedName>
    <definedName name="Z_570403C4_1D93_4175_B4D8_BD47D46CE99C_.wvu.Cols" localSheetId="5" hidden="1">'61-106'!#REF!</definedName>
    <definedName name="Z_570403C4_1D93_4175_B4D8_BD47D46CE99C_.wvu.Cols" localSheetId="1" hidden="1">'часть 2'!$V:$V</definedName>
    <definedName name="Z_570403C4_1D93_4175_B4D8_BD47D46CE99C_.wvu.FilterData" localSheetId="6" hidden="1">'107-117'!$A$5:$F$221</definedName>
    <definedName name="Z_570403C4_1D93_4175_B4D8_BD47D46CE99C_.wvu.FilterData" localSheetId="4" hidden="1">'2-60'!$A$12:$T$1034</definedName>
    <definedName name="Z_570403C4_1D93_4175_B4D8_BD47D46CE99C_.wvu.FilterData" localSheetId="5" hidden="1">'61-106'!$A$7:$Y$1190</definedName>
    <definedName name="Z_570403C4_1D93_4175_B4D8_BD47D46CE99C_.wvu.FilterData" localSheetId="0" hidden="1">'часть 1'!$A$14:$BJ$580</definedName>
    <definedName name="Z_570403C4_1D93_4175_B4D8_BD47D46CE99C_.wvu.FilterData" localSheetId="1" hidden="1">'часть 2'!$A$6:$BA$560</definedName>
    <definedName name="Z_570403C4_1D93_4175_B4D8_BD47D46CE99C_.wvu.FilterData" localSheetId="2" hidden="1">'часть 3'!$A$5:$P$104</definedName>
    <definedName name="Z_570403C4_1D93_4175_B4D8_BD47D46CE99C_.wvu.PrintArea" localSheetId="6" hidden="1">'107-117'!$A$1:$F$221</definedName>
    <definedName name="Z_570403C4_1D93_4175_B4D8_BD47D46CE99C_.wvu.PrintArea" localSheetId="4" hidden="1">'2-60'!$A$1:$T$1034</definedName>
    <definedName name="Z_570403C4_1D93_4175_B4D8_BD47D46CE99C_.wvu.PrintArea" localSheetId="5" hidden="1">'61-106'!$A$1:$Y$1611</definedName>
    <definedName name="Z_570403C4_1D93_4175_B4D8_BD47D46CE99C_.wvu.PrintTitles" localSheetId="6" hidden="1">'107-117'!$5:$5</definedName>
    <definedName name="Z_570403C4_1D93_4175_B4D8_BD47D46CE99C_.wvu.PrintTitles" localSheetId="4" hidden="1">'2-60'!$12:$12</definedName>
    <definedName name="Z_570403C4_1D93_4175_B4D8_BD47D46CE99C_.wvu.PrintTitles" localSheetId="5" hidden="1">'61-106'!$7:$7</definedName>
    <definedName name="Z_570403C4_1D93_4175_B4D8_BD47D46CE99C_.wvu.PrintTitles" localSheetId="0" hidden="1">'часть 1'!$15:$15</definedName>
    <definedName name="Z_570403C4_1D93_4175_B4D8_BD47D46CE99C_.wvu.PrintTitles" localSheetId="1" hidden="1">'часть 2'!$6:$6</definedName>
    <definedName name="Z_570403C4_1D93_4175_B4D8_BD47D46CE99C_.wvu.PrintTitles" localSheetId="2" hidden="1">'часть 3'!$5:$5</definedName>
    <definedName name="Z_570403C4_1D93_4175_B4D8_BD47D46CE99C_.wvu.Rows" localSheetId="3" hidden="1">'№ п-п'!$14:$15,'№ п-п'!$18:$19</definedName>
    <definedName name="Z_57E5498B_E080_45F5_8B33_8D7188EC9C36_.wvu.FilterData" localSheetId="5" hidden="1">'61-106'!$A$7:$Y$1190</definedName>
    <definedName name="Z_57F71C00_2F54_4A01_858D_34743D2725A9_.wvu.FilterData" localSheetId="5" hidden="1">'61-106'!$A$7:$Y$1190</definedName>
    <definedName name="Z_5847BC76_9FD4_4C7D_BA05_675BE6D87382_.wvu.FilterData" localSheetId="5" hidden="1">'61-106'!$A$7:$Y$1190</definedName>
    <definedName name="Z_5B35D3E7_D7A9_42F2_9D25_9CB666EA5110_.wvu.FilterData" localSheetId="5" hidden="1">'61-106'!$A$7:$Y$1190</definedName>
    <definedName name="Z_5C3921B2_19C7_44DE_BD2B_2B0DD7BBFD35_.wvu.FilterData" localSheetId="5" hidden="1">'61-106'!$A$7:$Y$1190</definedName>
    <definedName name="Z_5E9903E7_AB69_4D86_B57D_DF5ACEB8B791_.wvu.FilterData" localSheetId="5" hidden="1">'61-106'!$A$7:$Y$1190</definedName>
    <definedName name="Z_60B34441_F0B1_49F8_8EDF_70278298107D_.wvu.FilterData" localSheetId="5" hidden="1">'61-106'!$A$7:$Y$1190</definedName>
    <definedName name="Z_66F56527_BC57_49BC_8DAF_8747E0C93E75_.wvu.FilterData" localSheetId="5" hidden="1">'61-106'!$A$7:$Y$1190</definedName>
    <definedName name="Z_6A833A2A_4156_48C4_9847_29978B4540DB_.wvu.FilterData" localSheetId="5" hidden="1">'61-106'!$A$7:$Y$1190</definedName>
    <definedName name="Z_6BE86631_6F83_428E_A6F1_69EDF5D6BF4E_.wvu.FilterData" localSheetId="5" hidden="1">'61-106'!$A$7:$Y$1190</definedName>
    <definedName name="Z_6EFFC362_96FF_4993_8ED7_69B790607D5D_.wvu.FilterData" localSheetId="5" hidden="1">'61-106'!$A$7:$Y$1190</definedName>
    <definedName name="Z_705C1A0A_F1DB_4399_B406_DF1688937ED4_.wvu.FilterData" localSheetId="5" hidden="1">'61-106'!$A$7:$Y$1190</definedName>
    <definedName name="Z_7096DD8D_E6EF_458D_9D55_386757A5C7CA_.wvu.FilterData" localSheetId="5" hidden="1">'61-106'!$A$7:$Y$1190</definedName>
    <definedName name="Z_717C4A49_7194_40C2_88DE_D85370C22ADE_.wvu.FilterData" localSheetId="5" hidden="1">'61-106'!$A$7:$Y$1190</definedName>
    <definedName name="Z_725685D9_D1CC_423B_8423_BB84CCB20813_.wvu.FilterData" localSheetId="5" hidden="1">'61-106'!$A$7:$Y$1190</definedName>
    <definedName name="Z_747A43E6_2B52_44FC_9C52_FA1A962072AC_.wvu.FilterData" localSheetId="5" hidden="1">'61-106'!$A$7:$Y$1190</definedName>
    <definedName name="Z_767D42A1_BC47_4717_AEA3_8B4CF63CB35B_.wvu.FilterData" localSheetId="5" hidden="1">'61-106'!$A$7:$Y$1190</definedName>
    <definedName name="Z_7A5DD78D_CBB3_4B9E_BE2C_65A8DA97DE43_.wvu.FilterData" localSheetId="5" hidden="1">'61-106'!$A$7:$Y$1190</definedName>
    <definedName name="Z_7A75CCE7_0E84_47E6_A162_5AC0354F2967_.wvu.Cols" localSheetId="5" hidden="1">'61-106'!#REF!</definedName>
    <definedName name="Z_7A75CCE7_0E84_47E6_A162_5AC0354F2967_.wvu.Cols" localSheetId="1" hidden="1">'часть 2'!$V:$V</definedName>
    <definedName name="Z_7A75CCE7_0E84_47E6_A162_5AC0354F2967_.wvu.FilterData" localSheetId="6" hidden="1">'107-117'!$A$5:$F$221</definedName>
    <definedName name="Z_7A75CCE7_0E84_47E6_A162_5AC0354F2967_.wvu.FilterData" localSheetId="4" hidden="1">'2-60'!$A$12:$T$1034</definedName>
    <definedName name="Z_7A75CCE7_0E84_47E6_A162_5AC0354F2967_.wvu.FilterData" localSheetId="5" hidden="1">'61-106'!$A$7:$Y$1190</definedName>
    <definedName name="Z_7A75CCE7_0E84_47E6_A162_5AC0354F2967_.wvu.FilterData" localSheetId="0" hidden="1">'часть 1'!$A$14:$BJ$580</definedName>
    <definedName name="Z_7A75CCE7_0E84_47E6_A162_5AC0354F2967_.wvu.FilterData" localSheetId="1" hidden="1">'часть 2'!$A$6:$BA$560</definedName>
    <definedName name="Z_7A75CCE7_0E84_47E6_A162_5AC0354F2967_.wvu.FilterData" localSheetId="2" hidden="1">'часть 3'!$A$5:$P$104</definedName>
    <definedName name="Z_7A75CCE7_0E84_47E6_A162_5AC0354F2967_.wvu.PrintArea" localSheetId="6" hidden="1">'107-117'!$A$1:$F$221</definedName>
    <definedName name="Z_7A75CCE7_0E84_47E6_A162_5AC0354F2967_.wvu.PrintArea" localSheetId="4" hidden="1">'2-60'!$A$1:$T$1034</definedName>
    <definedName name="Z_7A75CCE7_0E84_47E6_A162_5AC0354F2967_.wvu.PrintArea" localSheetId="5" hidden="1">'61-106'!$A$1:$Y$1611</definedName>
    <definedName name="Z_7A75CCE7_0E84_47E6_A162_5AC0354F2967_.wvu.PrintTitles" localSheetId="6" hidden="1">'107-117'!$5:$5</definedName>
    <definedName name="Z_7A75CCE7_0E84_47E6_A162_5AC0354F2967_.wvu.PrintTitles" localSheetId="4" hidden="1">'2-60'!$12:$12</definedName>
    <definedName name="Z_7A75CCE7_0E84_47E6_A162_5AC0354F2967_.wvu.PrintTitles" localSheetId="5" hidden="1">'61-106'!$7:$7</definedName>
    <definedName name="Z_7A75CCE7_0E84_47E6_A162_5AC0354F2967_.wvu.PrintTitles" localSheetId="0" hidden="1">'часть 1'!$15:$15</definedName>
    <definedName name="Z_7A75CCE7_0E84_47E6_A162_5AC0354F2967_.wvu.PrintTitles" localSheetId="1" hidden="1">'часть 2'!$6:$6</definedName>
    <definedName name="Z_7A75CCE7_0E84_47E6_A162_5AC0354F2967_.wvu.PrintTitles" localSheetId="2" hidden="1">'часть 3'!$5:$5</definedName>
    <definedName name="Z_7A75CCE7_0E84_47E6_A162_5AC0354F2967_.wvu.Rows" localSheetId="3" hidden="1">'№ п-п'!$14:$15,'№ п-п'!$18:$19</definedName>
    <definedName name="Z_7DB3C1B3_F279_4BAA_A54C_7231163D6141_.wvu.FilterData" localSheetId="5" hidden="1">'61-106'!$A$7:$Y$1190</definedName>
    <definedName name="Z_7F800B45_1B12_4FD8_BF8D_2D665F317240_.wvu.FilterData" localSheetId="5" hidden="1">'61-106'!$A$7:$Y$1190</definedName>
    <definedName name="Z_8003C97D_E897_4AB5_8D11_A4AEEE9ACC85_.wvu.FilterData" localSheetId="5" hidden="1">'61-106'!$A$7:$Y$1190</definedName>
    <definedName name="Z_8725054F_4167_4A91_9037_6D07CCC5DB03_.wvu.FilterData" localSheetId="5" hidden="1">'61-106'!$A$7:$Y$1190</definedName>
    <definedName name="Z_880B7681_C748_4196_8E88_8ACA1B88DBF9_.wvu.FilterData" localSheetId="5" hidden="1">'61-106'!$A$7:$Y$1190</definedName>
    <definedName name="Z_88902188_D5DE_44B0_AD71_31B250B07E2B_.wvu.FilterData" localSheetId="5" hidden="1">'61-106'!$A$7:$Y$1190</definedName>
    <definedName name="Z_8F571991_ED81_4C65_B263_7535CEC7008C_.wvu.FilterData" localSheetId="5" hidden="1">'61-106'!$A$7:$Y$1190</definedName>
    <definedName name="Z_971AA6D5_B469_4A54_816C_1252CCB6D265_.wvu.Cols" localSheetId="1" hidden="1">'часть 2'!$V:$V</definedName>
    <definedName name="Z_971AA6D5_B469_4A54_816C_1252CCB6D265_.wvu.FilterData" localSheetId="6" hidden="1">'107-117'!$A$5:$F$221</definedName>
    <definedName name="Z_971AA6D5_B469_4A54_816C_1252CCB6D265_.wvu.FilterData" localSheetId="4" hidden="1">'2-60'!$A$12:$T$1628</definedName>
    <definedName name="Z_971AA6D5_B469_4A54_816C_1252CCB6D265_.wvu.FilterData" localSheetId="5" hidden="1">'61-106'!$A$7:$Y$1190</definedName>
    <definedName name="Z_971AA6D5_B469_4A54_816C_1252CCB6D265_.wvu.FilterData" localSheetId="0" hidden="1">'часть 1'!$A$14:$BJ$580</definedName>
    <definedName name="Z_971AA6D5_B469_4A54_816C_1252CCB6D265_.wvu.FilterData" localSheetId="1" hidden="1">'часть 2'!$A$6:$BA$560</definedName>
    <definedName name="Z_971AA6D5_B469_4A54_816C_1252CCB6D265_.wvu.FilterData" localSheetId="2" hidden="1">'часть 3'!$A$5:$P$104</definedName>
    <definedName name="Z_971AA6D5_B469_4A54_816C_1252CCB6D265_.wvu.PrintArea" localSheetId="6" hidden="1">'107-117'!$A$1:$F$295</definedName>
    <definedName name="Z_971AA6D5_B469_4A54_816C_1252CCB6D265_.wvu.PrintArea" localSheetId="4" hidden="1">'2-60'!$A$1:$T$1628</definedName>
    <definedName name="Z_971AA6D5_B469_4A54_816C_1252CCB6D265_.wvu.PrintArea" localSheetId="5" hidden="1">'61-106'!$A$1:$Y$1611</definedName>
    <definedName name="Z_971AA6D5_B469_4A54_816C_1252CCB6D265_.wvu.PrintTitles" localSheetId="6" hidden="1">'107-117'!$5:$5</definedName>
    <definedName name="Z_971AA6D5_B469_4A54_816C_1252CCB6D265_.wvu.PrintTitles" localSheetId="4" hidden="1">'2-60'!$12:$12</definedName>
    <definedName name="Z_971AA6D5_B469_4A54_816C_1252CCB6D265_.wvu.PrintTitles" localSheetId="5" hidden="1">'61-106'!$7:$7</definedName>
    <definedName name="Z_971AA6D5_B469_4A54_816C_1252CCB6D265_.wvu.PrintTitles" localSheetId="0" hidden="1">'часть 1'!$15:$15</definedName>
    <definedName name="Z_971AA6D5_B469_4A54_816C_1252CCB6D265_.wvu.PrintTitles" localSheetId="1" hidden="1">'часть 2'!$6:$6</definedName>
    <definedName name="Z_971AA6D5_B469_4A54_816C_1252CCB6D265_.wvu.PrintTitles" localSheetId="2" hidden="1">'часть 3'!$5:$5</definedName>
    <definedName name="Z_971AA6D5_B469_4A54_816C_1252CCB6D265_.wvu.Rows" localSheetId="3" hidden="1">'№ п-п'!$14:$15,'№ п-п'!$18:$19</definedName>
    <definedName name="Z_98E5B6B6_C64F_4325_ABDA_82FFCFC21AC2_.wvu.FilterData" localSheetId="5" hidden="1">'61-106'!$A$7:$Y$1190</definedName>
    <definedName name="Z_A28C0ADC_4E0C_4A0A_ACB1_DA409183476D_.wvu.Cols" localSheetId="5" hidden="1">'61-106'!#REF!</definedName>
    <definedName name="Z_A28C0ADC_4E0C_4A0A_ACB1_DA409183476D_.wvu.Cols" localSheetId="1" hidden="1">'часть 2'!$V:$V</definedName>
    <definedName name="Z_A28C0ADC_4E0C_4A0A_ACB1_DA409183476D_.wvu.FilterData" localSheetId="6" hidden="1">'107-117'!$A$5:$F$221</definedName>
    <definedName name="Z_A28C0ADC_4E0C_4A0A_ACB1_DA409183476D_.wvu.FilterData" localSheetId="4" hidden="1">'2-60'!$A$12:$T$1034</definedName>
    <definedName name="Z_A28C0ADC_4E0C_4A0A_ACB1_DA409183476D_.wvu.FilterData" localSheetId="5" hidden="1">'61-106'!$A$7:$Y$1190</definedName>
    <definedName name="Z_A28C0ADC_4E0C_4A0A_ACB1_DA409183476D_.wvu.FilterData" localSheetId="0" hidden="1">'часть 1'!$A$14:$BJ$580</definedName>
    <definedName name="Z_A28C0ADC_4E0C_4A0A_ACB1_DA409183476D_.wvu.FilterData" localSheetId="1" hidden="1">'часть 2'!$A$6:$BA$560</definedName>
    <definedName name="Z_A28C0ADC_4E0C_4A0A_ACB1_DA409183476D_.wvu.FilterData" localSheetId="2" hidden="1">'часть 3'!$A$5:$P$104</definedName>
    <definedName name="Z_A28C0ADC_4E0C_4A0A_ACB1_DA409183476D_.wvu.PrintArea" localSheetId="6" hidden="1">'107-117'!$A$1:$F$221</definedName>
    <definedName name="Z_A28C0ADC_4E0C_4A0A_ACB1_DA409183476D_.wvu.PrintArea" localSheetId="4" hidden="1">'2-60'!$A$1:$T$1034</definedName>
    <definedName name="Z_A28C0ADC_4E0C_4A0A_ACB1_DA409183476D_.wvu.PrintArea" localSheetId="5" hidden="1">'61-106'!$A$1:$Y$1611</definedName>
    <definedName name="Z_A28C0ADC_4E0C_4A0A_ACB1_DA409183476D_.wvu.PrintTitles" localSheetId="6" hidden="1">'107-117'!$5:$5</definedName>
    <definedName name="Z_A28C0ADC_4E0C_4A0A_ACB1_DA409183476D_.wvu.PrintTitles" localSheetId="4" hidden="1">'2-60'!$12:$12</definedName>
    <definedName name="Z_A28C0ADC_4E0C_4A0A_ACB1_DA409183476D_.wvu.PrintTitles" localSheetId="5" hidden="1">'61-106'!$7:$7</definedName>
    <definedName name="Z_A28C0ADC_4E0C_4A0A_ACB1_DA409183476D_.wvu.PrintTitles" localSheetId="0" hidden="1">'часть 1'!$15:$15</definedName>
    <definedName name="Z_A28C0ADC_4E0C_4A0A_ACB1_DA409183476D_.wvu.PrintTitles" localSheetId="1" hidden="1">'часть 2'!$6:$6</definedName>
    <definedName name="Z_A28C0ADC_4E0C_4A0A_ACB1_DA409183476D_.wvu.PrintTitles" localSheetId="2" hidden="1">'часть 3'!$5:$5</definedName>
    <definedName name="Z_A28C0ADC_4E0C_4A0A_ACB1_DA409183476D_.wvu.Rows" localSheetId="3" hidden="1">'№ п-п'!$14:$15,'№ п-п'!$18:$19</definedName>
    <definedName name="Z_A321FB79_B059_4A00_B85D_60ECC401FE5D_.wvu.FilterData" localSheetId="5" hidden="1">'61-106'!$A$7:$Y$1190</definedName>
    <definedName name="Z_A5A38057_2A4E_4929_BCC1_C6D8896DA4F6_.wvu.FilterData" localSheetId="5" hidden="1">'61-106'!$A$7:$Y$1190</definedName>
    <definedName name="Z_A6187BD3_0BA4_497C_8924_4FA3D77530F0_.wvu.Cols" localSheetId="5" hidden="1">'61-106'!#REF!</definedName>
    <definedName name="Z_A6187BD3_0BA4_497C_8924_4FA3D77530F0_.wvu.Cols" localSheetId="1" hidden="1">'часть 2'!$V:$V</definedName>
    <definedName name="Z_A6187BD3_0BA4_497C_8924_4FA3D77530F0_.wvu.FilterData" localSheetId="6" hidden="1">'107-117'!$A$5:$F$221</definedName>
    <definedName name="Z_A6187BD3_0BA4_497C_8924_4FA3D77530F0_.wvu.FilterData" localSheetId="4" hidden="1">'2-60'!$A$12:$T$1034</definedName>
    <definedName name="Z_A6187BD3_0BA4_497C_8924_4FA3D77530F0_.wvu.FilterData" localSheetId="5" hidden="1">'61-106'!$A$7:$Y$1190</definedName>
    <definedName name="Z_A6187BD3_0BA4_497C_8924_4FA3D77530F0_.wvu.FilterData" localSheetId="0" hidden="1">'часть 1'!$A$14:$BJ$580</definedName>
    <definedName name="Z_A6187BD3_0BA4_497C_8924_4FA3D77530F0_.wvu.FilterData" localSheetId="1" hidden="1">'часть 2'!$A$6:$BA$560</definedName>
    <definedName name="Z_A6187BD3_0BA4_497C_8924_4FA3D77530F0_.wvu.FilterData" localSheetId="2" hidden="1">'часть 3'!$A$5:$P$104</definedName>
    <definedName name="Z_A6187BD3_0BA4_497C_8924_4FA3D77530F0_.wvu.PrintArea" localSheetId="6" hidden="1">'107-117'!$A$1:$F$221</definedName>
    <definedName name="Z_A6187BD3_0BA4_497C_8924_4FA3D77530F0_.wvu.PrintArea" localSheetId="4" hidden="1">'2-60'!$A$1:$T$1034</definedName>
    <definedName name="Z_A6187BD3_0BA4_497C_8924_4FA3D77530F0_.wvu.PrintArea" localSheetId="5" hidden="1">'61-106'!$A$1:$Y$1611</definedName>
    <definedName name="Z_A6187BD3_0BA4_497C_8924_4FA3D77530F0_.wvu.PrintTitles" localSheetId="6" hidden="1">'107-117'!$5:$5</definedName>
    <definedName name="Z_A6187BD3_0BA4_497C_8924_4FA3D77530F0_.wvu.PrintTitles" localSheetId="4" hidden="1">'2-60'!$12:$12</definedName>
    <definedName name="Z_A6187BD3_0BA4_497C_8924_4FA3D77530F0_.wvu.PrintTitles" localSheetId="5" hidden="1">'61-106'!$7:$7</definedName>
    <definedName name="Z_A6187BD3_0BA4_497C_8924_4FA3D77530F0_.wvu.PrintTitles" localSheetId="0" hidden="1">'часть 1'!$15:$15</definedName>
    <definedName name="Z_A6187BD3_0BA4_497C_8924_4FA3D77530F0_.wvu.PrintTitles" localSheetId="1" hidden="1">'часть 2'!$6:$6</definedName>
    <definedName name="Z_A6187BD3_0BA4_497C_8924_4FA3D77530F0_.wvu.PrintTitles" localSheetId="2" hidden="1">'часть 3'!$5:$5</definedName>
    <definedName name="Z_A6187BD3_0BA4_497C_8924_4FA3D77530F0_.wvu.Rows" localSheetId="3" hidden="1">'№ п-п'!$14:$15,'№ п-п'!$18:$19</definedName>
    <definedName name="Z_A83D7B2F_20B3_494F_BA63_C650B73EF160_.wvu.FilterData" localSheetId="5" hidden="1">'61-106'!$A$7:$Y$1190</definedName>
    <definedName name="Z_AEB6E9DA_56F5_4213_892E_4F0DA44787BD_.wvu.FilterData" localSheetId="5" hidden="1">'61-106'!$A$7:$Y$1190</definedName>
    <definedName name="Z_B1841E62_04AF_4786_8B2B_B1F42C88E6D1_.wvu.Cols" localSheetId="5" hidden="1">'61-106'!#REF!</definedName>
    <definedName name="Z_B1841E62_04AF_4786_8B2B_B1F42C88E6D1_.wvu.Cols" localSheetId="1" hidden="1">'часть 2'!$V:$V</definedName>
    <definedName name="Z_B1841E62_04AF_4786_8B2B_B1F42C88E6D1_.wvu.FilterData" localSheetId="6" hidden="1">'107-117'!$A$5:$F$221</definedName>
    <definedName name="Z_B1841E62_04AF_4786_8B2B_B1F42C88E6D1_.wvu.FilterData" localSheetId="4" hidden="1">'2-60'!$A$12:$T$1034</definedName>
    <definedName name="Z_B1841E62_04AF_4786_8B2B_B1F42C88E6D1_.wvu.FilterData" localSheetId="5" hidden="1">'61-106'!$A$7:$Y$1240</definedName>
    <definedName name="Z_B1841E62_04AF_4786_8B2B_B1F42C88E6D1_.wvu.FilterData" localSheetId="0" hidden="1">'часть 1'!$A$14:$BJ$580</definedName>
    <definedName name="Z_B1841E62_04AF_4786_8B2B_B1F42C88E6D1_.wvu.FilterData" localSheetId="1" hidden="1">'часть 2'!$A$6:$BA$560</definedName>
    <definedName name="Z_B1841E62_04AF_4786_8B2B_B1F42C88E6D1_.wvu.FilterData" localSheetId="2" hidden="1">'часть 3'!$A$5:$P$104</definedName>
    <definedName name="Z_B1841E62_04AF_4786_8B2B_B1F42C88E6D1_.wvu.PrintArea" localSheetId="6" hidden="1">'107-117'!$A$1:$F$221</definedName>
    <definedName name="Z_B1841E62_04AF_4786_8B2B_B1F42C88E6D1_.wvu.PrintArea" localSheetId="4" hidden="1">'2-60'!$A$1:$T$1034</definedName>
    <definedName name="Z_B1841E62_04AF_4786_8B2B_B1F42C88E6D1_.wvu.PrintArea" localSheetId="5" hidden="1">'61-106'!$A$1:$Y$1611</definedName>
    <definedName name="Z_B1841E62_04AF_4786_8B2B_B1F42C88E6D1_.wvu.PrintTitles" localSheetId="6" hidden="1">'107-117'!$5:$5</definedName>
    <definedName name="Z_B1841E62_04AF_4786_8B2B_B1F42C88E6D1_.wvu.PrintTitles" localSheetId="4" hidden="1">'2-60'!$12:$12</definedName>
    <definedName name="Z_B1841E62_04AF_4786_8B2B_B1F42C88E6D1_.wvu.PrintTitles" localSheetId="5" hidden="1">'61-106'!$7:$7</definedName>
    <definedName name="Z_B1841E62_04AF_4786_8B2B_B1F42C88E6D1_.wvu.PrintTitles" localSheetId="0" hidden="1">'часть 1'!$15:$15</definedName>
    <definedName name="Z_B1841E62_04AF_4786_8B2B_B1F42C88E6D1_.wvu.PrintTitles" localSheetId="1" hidden="1">'часть 2'!$6:$6</definedName>
    <definedName name="Z_B1841E62_04AF_4786_8B2B_B1F42C88E6D1_.wvu.PrintTitles" localSheetId="2" hidden="1">'часть 3'!$5:$5</definedName>
    <definedName name="Z_B1841E62_04AF_4786_8B2B_B1F42C88E6D1_.wvu.Rows" localSheetId="3" hidden="1">'№ п-п'!$14:$15,'№ п-п'!$18:$19</definedName>
    <definedName name="Z_B2668406_A9E2_483C_9038_D3C53C3852B3_.wvu.FilterData" localSheetId="5" hidden="1">'61-106'!$A$7:$Y$1190</definedName>
    <definedName name="Z_B9D0663C_63A0_401E_8ED1_60ADAC53D63A_.wvu.FilterData" localSheetId="5" hidden="1">'61-106'!$A$7:$Y$1190</definedName>
    <definedName name="Z_BE54D047_288E_45CA_A3E2_8781AC521EB8_.wvu.FilterData" localSheetId="5" hidden="1">'61-106'!$A$7:$Y$1190</definedName>
    <definedName name="Z_C72DCB43_63A7_46C9_B5CB_74FA2E0CD927_.wvu.FilterData" localSheetId="5" hidden="1">'61-106'!$A$7:$Y$1190</definedName>
    <definedName name="Z_C9E4AE6E_4CA1_437A_9BAB_2F53034C90C5_.wvu.FilterData" localSheetId="5" hidden="1">'61-106'!$A$7:$Y$1190</definedName>
    <definedName name="Z_CA3D85C3_A842_43A2_B866_F2F869FB930B_.wvu.FilterData" localSheetId="5" hidden="1">'61-106'!$A$7:$Y$1190</definedName>
    <definedName name="Z_CBDE6D18_7D23_43BD_BD9C_663C0222EB8D_.wvu.FilterData" localSheetId="5" hidden="1">'61-106'!$A$7:$Y$1190</definedName>
    <definedName name="Z_CC8F1533_D9B3_46FE_AB28_4986DEF39657_.wvu.FilterData" localSheetId="5" hidden="1">'61-106'!$A$7:$Y$1190</definedName>
    <definedName name="Z_D19BCD5F_28F7_42BE_B4AA_59F65CE5711C_.wvu.FilterData" localSheetId="5" hidden="1">'61-106'!$A$7:$Y$1190</definedName>
    <definedName name="Z_D9C6FA05_E1FF_462A_9752_4AAF3C578DD9_.wvu.FilterData" localSheetId="5" hidden="1">'61-106'!$A$7:$Y$1190</definedName>
    <definedName name="Z_DC88C499_913F_4D15_846E_E5B9D5E047D7_.wvu.Cols" localSheetId="1" hidden="1">'часть 2'!$V:$V</definedName>
    <definedName name="Z_DC88C499_913F_4D15_846E_E5B9D5E047D7_.wvu.FilterData" localSheetId="6" hidden="1">'107-117'!$A$5:$F$221</definedName>
    <definedName name="Z_DC88C499_913F_4D15_846E_E5B9D5E047D7_.wvu.FilterData" localSheetId="4" hidden="1">'2-60'!$A$12:$T$1034</definedName>
    <definedName name="Z_DC88C499_913F_4D15_846E_E5B9D5E047D7_.wvu.FilterData" localSheetId="5" hidden="1">'61-106'!$A$7:$Y$1190</definedName>
    <definedName name="Z_DC88C499_913F_4D15_846E_E5B9D5E047D7_.wvu.FilterData" localSheetId="0" hidden="1">'часть 1'!$A$14:$BJ$580</definedName>
    <definedName name="Z_DC88C499_913F_4D15_846E_E5B9D5E047D7_.wvu.FilterData" localSheetId="1" hidden="1">'часть 2'!$A$6:$BA$560</definedName>
    <definedName name="Z_DC88C499_913F_4D15_846E_E5B9D5E047D7_.wvu.FilterData" localSheetId="2" hidden="1">'часть 3'!$A$5:$P$104</definedName>
    <definedName name="Z_DC88C499_913F_4D15_846E_E5B9D5E047D7_.wvu.PrintArea" localSheetId="6" hidden="1">'107-117'!$A$1:$F$221</definedName>
    <definedName name="Z_DC88C499_913F_4D15_846E_E5B9D5E047D7_.wvu.PrintArea" localSheetId="4" hidden="1">'2-60'!$A$1:$T$1034</definedName>
    <definedName name="Z_DC88C499_913F_4D15_846E_E5B9D5E047D7_.wvu.PrintArea" localSheetId="5" hidden="1">'61-106'!$A$1:$Y$1611</definedName>
    <definedName name="Z_DC88C499_913F_4D15_846E_E5B9D5E047D7_.wvu.PrintTitles" localSheetId="6" hidden="1">'107-117'!$5:$5</definedName>
    <definedName name="Z_DC88C499_913F_4D15_846E_E5B9D5E047D7_.wvu.PrintTitles" localSheetId="4" hidden="1">'2-60'!$12:$12</definedName>
    <definedName name="Z_DC88C499_913F_4D15_846E_E5B9D5E047D7_.wvu.PrintTitles" localSheetId="5" hidden="1">'61-106'!$7:$7</definedName>
    <definedName name="Z_DC88C499_913F_4D15_846E_E5B9D5E047D7_.wvu.PrintTitles" localSheetId="0" hidden="1">'часть 1'!$15:$15</definedName>
    <definedName name="Z_DC88C499_913F_4D15_846E_E5B9D5E047D7_.wvu.PrintTitles" localSheetId="1" hidden="1">'часть 2'!$6:$6</definedName>
    <definedName name="Z_DC88C499_913F_4D15_846E_E5B9D5E047D7_.wvu.PrintTitles" localSheetId="2" hidden="1">'часть 3'!$5:$5</definedName>
    <definedName name="Z_DC88C499_913F_4D15_846E_E5B9D5E047D7_.wvu.Rows" localSheetId="3" hidden="1">'№ п-п'!$14:$15,'№ п-п'!$18:$19</definedName>
    <definedName name="Z_DFE5B545_478C_4B86_847C_1FEE882C6F69_.wvu.Cols" localSheetId="1" hidden="1">'часть 2'!$V:$V</definedName>
    <definedName name="Z_DFE5B545_478C_4B86_847C_1FEE882C6F69_.wvu.FilterData" localSheetId="6" hidden="1">'107-117'!$A$5:$F$221</definedName>
    <definedName name="Z_DFE5B545_478C_4B86_847C_1FEE882C6F69_.wvu.FilterData" localSheetId="4" hidden="1">'2-60'!$A$12:$T$1034</definedName>
    <definedName name="Z_DFE5B545_478C_4B86_847C_1FEE882C6F69_.wvu.FilterData" localSheetId="5" hidden="1">'61-106'!$A$7:$Y$1190</definedName>
    <definedName name="Z_DFE5B545_478C_4B86_847C_1FEE882C6F69_.wvu.FilterData" localSheetId="0" hidden="1">'часть 1'!$A$14:$BJ$580</definedName>
    <definedName name="Z_DFE5B545_478C_4B86_847C_1FEE882C6F69_.wvu.FilterData" localSheetId="1" hidden="1">'часть 2'!$A$6:$BA$560</definedName>
    <definedName name="Z_DFE5B545_478C_4B86_847C_1FEE882C6F69_.wvu.FilterData" localSheetId="2" hidden="1">'часть 3'!$A$5:$P$104</definedName>
    <definedName name="Z_DFE5B545_478C_4B86_847C_1FEE882C6F69_.wvu.PrintArea" localSheetId="6" hidden="1">'107-117'!$A$1:$F$221</definedName>
    <definedName name="Z_DFE5B545_478C_4B86_847C_1FEE882C6F69_.wvu.PrintArea" localSheetId="4" hidden="1">'2-60'!$A$1:$T$1034</definedName>
    <definedName name="Z_DFE5B545_478C_4B86_847C_1FEE882C6F69_.wvu.PrintArea" localSheetId="5" hidden="1">'61-106'!$A$1:$Y$1610</definedName>
    <definedName name="Z_DFE5B545_478C_4B86_847C_1FEE882C6F69_.wvu.PrintTitles" localSheetId="6" hidden="1">'107-117'!$5:$5</definedName>
    <definedName name="Z_DFE5B545_478C_4B86_847C_1FEE882C6F69_.wvu.PrintTitles" localSheetId="4" hidden="1">'2-60'!$12:$12</definedName>
    <definedName name="Z_DFE5B545_478C_4B86_847C_1FEE882C6F69_.wvu.PrintTitles" localSheetId="5" hidden="1">'61-106'!$7:$7</definedName>
    <definedName name="Z_DFE5B545_478C_4B86_847C_1FEE882C6F69_.wvu.PrintTitles" localSheetId="0" hidden="1">'часть 1'!$15:$15</definedName>
    <definedName name="Z_DFE5B545_478C_4B86_847C_1FEE882C6F69_.wvu.PrintTitles" localSheetId="1" hidden="1">'часть 2'!$6:$6</definedName>
    <definedName name="Z_DFE5B545_478C_4B86_847C_1FEE882C6F69_.wvu.PrintTitles" localSheetId="2" hidden="1">'часть 3'!$5:$5</definedName>
    <definedName name="Z_DFE5B545_478C_4B86_847C_1FEE882C6F69_.wvu.Rows" localSheetId="3" hidden="1">'№ п-п'!$14:$15,'№ п-п'!$18:$19</definedName>
    <definedName name="Z_E2335EEE_90CD_44B5_B44F_67D0A5B89BF0_.wvu.FilterData" localSheetId="5" hidden="1">'61-106'!$A$7:$Y$1190</definedName>
    <definedName name="Z_EA8946CA_5107_46AB_B930_29C3BB414A14_.wvu.FilterData" localSheetId="5" hidden="1">'61-106'!$A$7:$Y$1190</definedName>
    <definedName name="Z_EF79F93F_B59D_4442_BDF7_22471F71A66E_.wvu.FilterData" localSheetId="5" hidden="1">'61-106'!$A$7:$Y$1190</definedName>
    <definedName name="Z_F61B5223_12DC_4DBE_9593_ED93F1AA70BA_.wvu.FilterData" localSheetId="5" hidden="1">'61-106'!$A$7:$Y$1190</definedName>
    <definedName name="Z_F6AA583A_65C3_409D_9CF2_7CB42EE241BE_.wvu.FilterData" localSheetId="5" hidden="1">'61-106'!$A$7:$Y$1190</definedName>
    <definedName name="Z_F77DA852_6232_407C_9ABA_011B3432E9E3_.wvu.FilterData" localSheetId="5" hidden="1">'61-106'!$A$7:$Y$1190</definedName>
    <definedName name="Z_FCB9068D_0529_4C17_8705_03722B6A9E17_.wvu.FilterData" localSheetId="5" hidden="1">'61-106'!$A$7:$Y$1190</definedName>
    <definedName name="Z_FCF4D91B_0F54_4F15_9842_76F9B75A11F5_.wvu.FilterData" localSheetId="5" hidden="1">'61-106'!$A$7:$Y$1190</definedName>
    <definedName name="Z_FEE20D38_B3DC_4C0F_81BA_40B7A314A69A_.wvu.FilterData" localSheetId="5" hidden="1">'61-106'!$A$7:$Y$1190</definedName>
    <definedName name="_xlnm.Print_Titles" localSheetId="6">'107-117'!$2:$5</definedName>
    <definedName name="_xlnm.Print_Titles" localSheetId="4">'2-60'!$12:$12</definedName>
    <definedName name="_xlnm.Print_Titles" localSheetId="5">'61-106'!$7:$7</definedName>
    <definedName name="_xlnm.Print_Titles" localSheetId="0">'часть 1'!$15:$15</definedName>
    <definedName name="_xlnm.Print_Titles" localSheetId="1">'часть 2'!$6:$6</definedName>
    <definedName name="_xlnm.Print_Titles" localSheetId="2">'часть 3'!$5:$5</definedName>
    <definedName name="_xlnm.Print_Area" localSheetId="6">'107-117'!$A$1:$F$296</definedName>
    <definedName name="_xlnm.Print_Area" localSheetId="4">'2-60'!$A$1:$T$1635</definedName>
    <definedName name="_xlnm.Print_Area" localSheetId="5">'61-106'!$A$1:$Y$1608</definedName>
    <definedName name="Перечень" localSheetId="0">#REF!</definedName>
    <definedName name="Перечень">#REF!</definedName>
    <definedName name="Перечень2" localSheetId="0">#REF!</definedName>
    <definedName name="Перечень2">#REF!</definedName>
    <definedName name="Перечень3" localSheetId="0">#REF!</definedName>
    <definedName name="Перечень3">#REF!</definedName>
    <definedName name="Перечень4">#REF!</definedName>
  </definedNames>
  <calcPr calcId="125725"/>
  <customWorkbookViews>
    <customWorkbookView name="Попов - Личное представление" guid="{971AA6D5-B469-4A54-816C-1252CCB6D265}" mergeInterval="0" personalView="1" maximized="1" xWindow="1" yWindow="1" windowWidth="1916" windowHeight="755" activeSheetId="5"/>
    <customWorkbookView name="Ольга Костоусова - Личное представление" guid="{DFE5B545-478C-4B86-847C-1FEE882C6F69}" mergeInterval="0" personalView="1" maximized="1" xWindow="-8" yWindow="-8" windowWidth="1616" windowHeight="876" activeSheetId="6"/>
    <customWorkbookView name="Михаил Сакулин - Личное представление" guid="{4C44C113-DA02-468D-99C5-83FA6693F42F}" mergeInterval="0" personalView="1" maximized="1" xWindow="-8" yWindow="-8" windowWidth="1616" windowHeight="886" activeSheetId="6"/>
    <customWorkbookView name="Анастасия Андреева - Личное представление" guid="{570403C4-1D93-4175-B4D8-BD47D46CE99C}" mergeInterval="0" personalView="1" maximized="1" xWindow="-8" yWindow="-8" windowWidth="1936" windowHeight="1056" activeSheetId="6"/>
    <customWorkbookView name="Максим Егоров - Личное представление" guid="{B1841E62-04AF-4786-8B2B-B1F42C88E6D1}" mergeInterval="0" personalView="1" maximized="1" xWindow="-8" yWindow="-8" windowWidth="1936" windowHeight="1056" activeSheetId="6"/>
    <customWorkbookView name="Галина Липашева - Личное представление" guid="{A28C0ADC-4E0C-4A0A-ACB1-DA409183476D}" mergeInterval="0" personalView="1" maximized="1" xWindow="-8" yWindow="-8" windowWidth="1936" windowHeight="1056" activeSheetId="6"/>
    <customWorkbookView name="Евгений Григорьев - Личное представление" guid="{144E5A37-1CF2-41F0-BEF8-CB5D4D392E2A}" mergeInterval="0" personalView="1" maximized="1" xWindow="-8" yWindow="-8" windowWidth="1616" windowHeight="876" activeSheetId="6"/>
    <customWorkbookView name="Михаил Шувалов - Личное представление" guid="{7A75CCE7-0E84-47E6-A162-5AC0354F2967}" mergeInterval="0" personalView="1" maximized="1" xWindow="-8" yWindow="-8" windowWidth="1616" windowHeight="886" activeSheetId="6"/>
    <customWorkbookView name="User18 - Личное представление" guid="{A6187BD3-0BA4-497C-8924-4FA3D77530F0}" mergeInterval="0" personalView="1" maximized="1" xWindow="-8" yWindow="-8" windowWidth="1616" windowHeight="876" activeSheetId="6"/>
    <customWorkbookView name="Юлия Гуцева - Личное представление" guid="{DC88C499-913F-4D15-846E-E5B9D5E047D7}" mergeInterval="0" personalView="1" maximized="1" xWindow="-8" yWindow="-8" windowWidth="1616" windowHeight="876" activeSheetId="6"/>
  </customWorkbookViews>
</workbook>
</file>

<file path=xl/calcChain.xml><?xml version="1.0" encoding="utf-8"?>
<calcChain xmlns="http://schemas.openxmlformats.org/spreadsheetml/2006/main">
  <c r="E251" i="7"/>
  <c r="E117"/>
  <c r="E68"/>
  <c r="E38"/>
  <c r="W1450" i="6"/>
  <c r="D1454"/>
  <c r="C1454" s="1"/>
  <c r="D1453"/>
  <c r="C1453" s="1"/>
  <c r="D1452"/>
  <c r="C1452" s="1"/>
  <c r="Y1451"/>
  <c r="X1451"/>
  <c r="V1451"/>
  <c r="U1451"/>
  <c r="T1451"/>
  <c r="S1451"/>
  <c r="R1451"/>
  <c r="Q1451"/>
  <c r="P1451"/>
  <c r="O1451"/>
  <c r="N1451"/>
  <c r="M1451"/>
  <c r="L1451"/>
  <c r="K1451"/>
  <c r="J1451"/>
  <c r="I1451"/>
  <c r="H1451"/>
  <c r="G1451"/>
  <c r="F1451"/>
  <c r="E1451"/>
  <c r="W623"/>
  <c r="D625"/>
  <c r="C625" s="1"/>
  <c r="C624" s="1"/>
  <c r="Y624"/>
  <c r="X624"/>
  <c r="V624"/>
  <c r="U624"/>
  <c r="T624"/>
  <c r="S624"/>
  <c r="R624"/>
  <c r="Q624"/>
  <c r="P624"/>
  <c r="O624"/>
  <c r="N624"/>
  <c r="M624"/>
  <c r="L624"/>
  <c r="K624"/>
  <c r="J624"/>
  <c r="I624"/>
  <c r="H624"/>
  <c r="G624"/>
  <c r="F624"/>
  <c r="E624"/>
  <c r="D624"/>
  <c r="W361"/>
  <c r="W239"/>
  <c r="C1451" l="1"/>
  <c r="D1451"/>
  <c r="E1367"/>
  <c r="F1367"/>
  <c r="G1367"/>
  <c r="H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E837"/>
  <c r="F837"/>
  <c r="G837"/>
  <c r="H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E575"/>
  <c r="F575"/>
  <c r="G575"/>
  <c r="H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I1395" i="5"/>
  <c r="J1395"/>
  <c r="K1395"/>
  <c r="D233" i="7" s="1"/>
  <c r="L1395" i="5"/>
  <c r="F233" i="7" s="1"/>
  <c r="M1395" i="5"/>
  <c r="N1395"/>
  <c r="O1395"/>
  <c r="Q1395"/>
  <c r="H1395"/>
  <c r="C233" i="7" s="1"/>
  <c r="I859" i="5"/>
  <c r="J859"/>
  <c r="K859"/>
  <c r="D165" i="7" s="1"/>
  <c r="L859" i="5"/>
  <c r="F165" i="7" s="1"/>
  <c r="M859" i="5"/>
  <c r="N859"/>
  <c r="P859"/>
  <c r="Q859"/>
  <c r="H859"/>
  <c r="C165" i="7" s="1"/>
  <c r="I579" i="5"/>
  <c r="J579"/>
  <c r="K579"/>
  <c r="D99" i="7" s="1"/>
  <c r="L579" i="5"/>
  <c r="F99" i="7" s="1"/>
  <c r="M579" i="5"/>
  <c r="N579"/>
  <c r="O579"/>
  <c r="P579"/>
  <c r="Q579"/>
  <c r="H579"/>
  <c r="C99" i="7" s="1"/>
  <c r="I169" i="5"/>
  <c r="J169"/>
  <c r="K169"/>
  <c r="D17" i="7" s="1"/>
  <c r="L169" i="5"/>
  <c r="F17" i="7" s="1"/>
  <c r="M169" i="5"/>
  <c r="N169"/>
  <c r="O169"/>
  <c r="P169"/>
  <c r="Q169"/>
  <c r="H169"/>
  <c r="C17" i="7" s="1"/>
  <c r="E1414" i="6"/>
  <c r="F1414"/>
  <c r="G1414"/>
  <c r="H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E861"/>
  <c r="F861"/>
  <c r="G861"/>
  <c r="H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E594"/>
  <c r="F594"/>
  <c r="G594"/>
  <c r="H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I1442" i="5"/>
  <c r="J1442"/>
  <c r="K1442"/>
  <c r="D241" i="7" s="1"/>
  <c r="L1442" i="5"/>
  <c r="F241" i="7" s="1"/>
  <c r="M1442" i="5"/>
  <c r="N1442"/>
  <c r="O1442"/>
  <c r="P1442"/>
  <c r="Q1442"/>
  <c r="H1442"/>
  <c r="C241" i="7" s="1"/>
  <c r="I883" i="5"/>
  <c r="J883"/>
  <c r="K883"/>
  <c r="D172" i="7" s="1"/>
  <c r="L883" i="5"/>
  <c r="F172" i="7" s="1"/>
  <c r="M883" i="5"/>
  <c r="N883"/>
  <c r="O883"/>
  <c r="P883"/>
  <c r="Q883"/>
  <c r="H883"/>
  <c r="C172" i="7" s="1"/>
  <c r="I595" i="5"/>
  <c r="J595"/>
  <c r="K595"/>
  <c r="D106" i="7" s="1"/>
  <c r="L595" i="5"/>
  <c r="F106" i="7" s="1"/>
  <c r="M595" i="5"/>
  <c r="N595"/>
  <c r="O595"/>
  <c r="P595"/>
  <c r="Q595"/>
  <c r="H595"/>
  <c r="C106" i="7" s="1"/>
  <c r="E1540" i="6"/>
  <c r="F1540"/>
  <c r="G1540"/>
  <c r="H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D940"/>
  <c r="E940"/>
  <c r="F940"/>
  <c r="G940"/>
  <c r="H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E668"/>
  <c r="F668"/>
  <c r="G668"/>
  <c r="H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E315"/>
  <c r="F315"/>
  <c r="G315"/>
  <c r="H315"/>
  <c r="I315"/>
  <c r="J315"/>
  <c r="K315"/>
  <c r="L315"/>
  <c r="M315"/>
  <c r="N315"/>
  <c r="O315"/>
  <c r="P315"/>
  <c r="Q315"/>
  <c r="R315"/>
  <c r="S315"/>
  <c r="T315"/>
  <c r="U315"/>
  <c r="V315"/>
  <c r="W315"/>
  <c r="Y315"/>
  <c r="I1568" i="5"/>
  <c r="J1568"/>
  <c r="K1568"/>
  <c r="D272" i="7" s="1"/>
  <c r="L1568" i="5"/>
  <c r="F272" i="7" s="1"/>
  <c r="M1568" i="5"/>
  <c r="N1568"/>
  <c r="Q1568"/>
  <c r="H1568"/>
  <c r="C272" i="7" s="1"/>
  <c r="I962" i="5"/>
  <c r="J962"/>
  <c r="K962"/>
  <c r="D200" i="7" s="1"/>
  <c r="L962" i="5"/>
  <c r="F200" i="7" s="1"/>
  <c r="M962" i="5"/>
  <c r="N962"/>
  <c r="P962"/>
  <c r="Q962"/>
  <c r="H962"/>
  <c r="C200" i="7" s="1"/>
  <c r="I670" i="5"/>
  <c r="J670"/>
  <c r="K670"/>
  <c r="D134" i="7" s="1"/>
  <c r="M670" i="5"/>
  <c r="N670"/>
  <c r="O670"/>
  <c r="P670"/>
  <c r="Q670"/>
  <c r="H670"/>
  <c r="C134" i="7" s="1"/>
  <c r="I311" i="5"/>
  <c r="J311"/>
  <c r="K311"/>
  <c r="D59" i="7" s="1"/>
  <c r="M311" i="5"/>
  <c r="N311"/>
  <c r="O311"/>
  <c r="P311"/>
  <c r="Q311"/>
  <c r="H311"/>
  <c r="C59" i="7" s="1"/>
  <c r="E1574" i="6"/>
  <c r="F1574"/>
  <c r="G1574"/>
  <c r="H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D984"/>
  <c r="E984"/>
  <c r="F984"/>
  <c r="G984"/>
  <c r="H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E406"/>
  <c r="F406"/>
  <c r="G406"/>
  <c r="H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I1602" i="5"/>
  <c r="J1602"/>
  <c r="K1602"/>
  <c r="D281" i="7" s="1"/>
  <c r="L1602" i="5"/>
  <c r="F281" i="7" s="1"/>
  <c r="M1602" i="5"/>
  <c r="N1602"/>
  <c r="O1602"/>
  <c r="Q1602"/>
  <c r="H1602"/>
  <c r="C281" i="7" s="1"/>
  <c r="I992" i="5"/>
  <c r="J992"/>
  <c r="K992"/>
  <c r="D209" i="7" s="1"/>
  <c r="L992" i="5"/>
  <c r="F209" i="7" s="1"/>
  <c r="M992" i="5"/>
  <c r="N992"/>
  <c r="O992"/>
  <c r="P992"/>
  <c r="Q992"/>
  <c r="H992"/>
  <c r="C209" i="7" s="1"/>
  <c r="I373" i="5"/>
  <c r="J373"/>
  <c r="K373"/>
  <c r="D74" i="7" s="1"/>
  <c r="L373" i="5"/>
  <c r="F74" i="7" s="1"/>
  <c r="M373" i="5"/>
  <c r="N373"/>
  <c r="O373"/>
  <c r="P373"/>
  <c r="Q373"/>
  <c r="H373"/>
  <c r="C74" i="7" s="1"/>
  <c r="E900" i="6"/>
  <c r="F900"/>
  <c r="G900"/>
  <c r="H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D909"/>
  <c r="C909" s="1"/>
  <c r="I922" i="5"/>
  <c r="K922"/>
  <c r="L922"/>
  <c r="M922"/>
  <c r="N922"/>
  <c r="P922"/>
  <c r="Q922"/>
  <c r="H922"/>
  <c r="R931"/>
  <c r="O931"/>
  <c r="Y794" i="6" l="1"/>
  <c r="E794"/>
  <c r="F794"/>
  <c r="G794"/>
  <c r="H794"/>
  <c r="I794"/>
  <c r="J794"/>
  <c r="K794"/>
  <c r="L794"/>
  <c r="M794"/>
  <c r="N794"/>
  <c r="O794"/>
  <c r="P794"/>
  <c r="Q794"/>
  <c r="R794"/>
  <c r="S794"/>
  <c r="T794"/>
  <c r="U794"/>
  <c r="V794"/>
  <c r="W794"/>
  <c r="X794"/>
  <c r="D797"/>
  <c r="C797" s="1"/>
  <c r="D798"/>
  <c r="C798" s="1"/>
  <c r="D799"/>
  <c r="C799" s="1"/>
  <c r="D796"/>
  <c r="C796" s="1"/>
  <c r="D795"/>
  <c r="C795" s="1"/>
  <c r="E800"/>
  <c r="F800"/>
  <c r="G800"/>
  <c r="H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D801"/>
  <c r="D802"/>
  <c r="C802" s="1"/>
  <c r="D803"/>
  <c r="C803" s="1"/>
  <c r="L1303" i="5"/>
  <c r="O1303" s="1"/>
  <c r="I816"/>
  <c r="J816"/>
  <c r="K816"/>
  <c r="L816"/>
  <c r="M816"/>
  <c r="N816"/>
  <c r="O816"/>
  <c r="P816"/>
  <c r="Q816"/>
  <c r="H816"/>
  <c r="R821"/>
  <c r="R820"/>
  <c r="R819"/>
  <c r="R818"/>
  <c r="R817"/>
  <c r="F157" i="7" l="1"/>
  <c r="D157"/>
  <c r="C157"/>
  <c r="C801" i="6"/>
  <c r="D794"/>
  <c r="C794"/>
  <c r="E1433" l="1"/>
  <c r="F1433"/>
  <c r="G1433"/>
  <c r="H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E1334"/>
  <c r="F1334"/>
  <c r="G1334"/>
  <c r="H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E1344"/>
  <c r="F1344"/>
  <c r="G1344"/>
  <c r="H1344"/>
  <c r="I1344"/>
  <c r="J1344"/>
  <c r="K1344"/>
  <c r="L1344"/>
  <c r="M1344"/>
  <c r="N1344"/>
  <c r="O1344"/>
  <c r="P1344"/>
  <c r="Q1344"/>
  <c r="R1344"/>
  <c r="S1344"/>
  <c r="T1344"/>
  <c r="U1344"/>
  <c r="V1344"/>
  <c r="X1344"/>
  <c r="Y1344"/>
  <c r="I1483" i="5" l="1"/>
  <c r="J1483"/>
  <c r="K1483"/>
  <c r="D253" i="7" s="1"/>
  <c r="L1483" i="5"/>
  <c r="F253" i="7" s="1"/>
  <c r="M1483" i="5"/>
  <c r="N1483"/>
  <c r="O1483"/>
  <c r="P1483"/>
  <c r="Q1483"/>
  <c r="H1483"/>
  <c r="C253" i="7" s="1"/>
  <c r="I1461" i="5"/>
  <c r="J1461"/>
  <c r="K1461"/>
  <c r="L1461"/>
  <c r="M1461"/>
  <c r="N1461"/>
  <c r="O1461"/>
  <c r="P1461"/>
  <c r="Q1461"/>
  <c r="H1461"/>
  <c r="I1362"/>
  <c r="J1362"/>
  <c r="K1362"/>
  <c r="L1362"/>
  <c r="M1362"/>
  <c r="N1362"/>
  <c r="P1362"/>
  <c r="Q1362"/>
  <c r="H1362"/>
  <c r="R1363"/>
  <c r="I822" l="1"/>
  <c r="J822"/>
  <c r="K822"/>
  <c r="L822"/>
  <c r="M822"/>
  <c r="N822"/>
  <c r="P822"/>
  <c r="Q822"/>
  <c r="H822"/>
  <c r="D813" i="6"/>
  <c r="C813" s="1"/>
  <c r="R835" i="5"/>
  <c r="F1053" i="6" l="1"/>
  <c r="O1220" i="5"/>
  <c r="O1161"/>
  <c r="O1154"/>
  <c r="O1137"/>
  <c r="O1109"/>
  <c r="O1110"/>
  <c r="E744" i="6"/>
  <c r="F744"/>
  <c r="G744"/>
  <c r="H744"/>
  <c r="I744"/>
  <c r="J744"/>
  <c r="K744"/>
  <c r="M744"/>
  <c r="N744"/>
  <c r="O744"/>
  <c r="P744"/>
  <c r="Q744"/>
  <c r="R744"/>
  <c r="S744"/>
  <c r="T744"/>
  <c r="U744"/>
  <c r="V744"/>
  <c r="W744"/>
  <c r="X744"/>
  <c r="Y744"/>
  <c r="L770"/>
  <c r="L768"/>
  <c r="D766"/>
  <c r="C766" s="1"/>
  <c r="D767"/>
  <c r="C767" s="1"/>
  <c r="D768"/>
  <c r="D769"/>
  <c r="C769" s="1"/>
  <c r="D770"/>
  <c r="C770" s="1"/>
  <c r="D771"/>
  <c r="C771" s="1"/>
  <c r="D772"/>
  <c r="C772" s="1"/>
  <c r="D773"/>
  <c r="C773" s="1"/>
  <c r="D774"/>
  <c r="C774" s="1"/>
  <c r="D778"/>
  <c r="C778" s="1"/>
  <c r="D777"/>
  <c r="C777" s="1"/>
  <c r="D776"/>
  <c r="C776" s="1"/>
  <c r="Y775"/>
  <c r="X775"/>
  <c r="W775"/>
  <c r="V775"/>
  <c r="U775"/>
  <c r="T775"/>
  <c r="S775"/>
  <c r="R775"/>
  <c r="Q775"/>
  <c r="P775"/>
  <c r="O775"/>
  <c r="N775"/>
  <c r="M775"/>
  <c r="L775"/>
  <c r="K775"/>
  <c r="J775"/>
  <c r="I775"/>
  <c r="H775"/>
  <c r="G775"/>
  <c r="F775"/>
  <c r="E775"/>
  <c r="I766" i="5"/>
  <c r="K766"/>
  <c r="L766"/>
  <c r="M766"/>
  <c r="N766"/>
  <c r="P766"/>
  <c r="Q766"/>
  <c r="H766"/>
  <c r="R788"/>
  <c r="R789"/>
  <c r="R790"/>
  <c r="R791"/>
  <c r="R792"/>
  <c r="R793"/>
  <c r="R794"/>
  <c r="R795"/>
  <c r="R796"/>
  <c r="O796"/>
  <c r="O795"/>
  <c r="O794"/>
  <c r="O793"/>
  <c r="O792"/>
  <c r="O791"/>
  <c r="O790"/>
  <c r="O789"/>
  <c r="O788"/>
  <c r="L756" i="6"/>
  <c r="L744" s="1"/>
  <c r="E438"/>
  <c r="F438"/>
  <c r="G438"/>
  <c r="H438"/>
  <c r="I438"/>
  <c r="J438"/>
  <c r="K438"/>
  <c r="L438"/>
  <c r="M438"/>
  <c r="O438"/>
  <c r="P438"/>
  <c r="Q438"/>
  <c r="R438"/>
  <c r="S438"/>
  <c r="T438"/>
  <c r="U438"/>
  <c r="V438"/>
  <c r="W438"/>
  <c r="X438"/>
  <c r="Y438"/>
  <c r="D509"/>
  <c r="C509" s="1"/>
  <c r="D510"/>
  <c r="C510" s="1"/>
  <c r="D511"/>
  <c r="C511" s="1"/>
  <c r="D512"/>
  <c r="C512" s="1"/>
  <c r="D513"/>
  <c r="C513" s="1"/>
  <c r="I729" i="5"/>
  <c r="K729"/>
  <c r="L729"/>
  <c r="M729"/>
  <c r="N729"/>
  <c r="P729"/>
  <c r="Q729"/>
  <c r="H729"/>
  <c r="R735"/>
  <c r="R736"/>
  <c r="R737"/>
  <c r="R738"/>
  <c r="I725"/>
  <c r="I724" s="1"/>
  <c r="J725"/>
  <c r="J724" s="1"/>
  <c r="K725"/>
  <c r="K724" s="1"/>
  <c r="L725"/>
  <c r="L724" s="1"/>
  <c r="M725"/>
  <c r="M724" s="1"/>
  <c r="N725"/>
  <c r="N724" s="1"/>
  <c r="O725"/>
  <c r="O724" s="1"/>
  <c r="P725"/>
  <c r="P724" s="1"/>
  <c r="Q725"/>
  <c r="Q724" s="1"/>
  <c r="H725"/>
  <c r="H724" s="1"/>
  <c r="R726"/>
  <c r="R1446"/>
  <c r="D862" i="6"/>
  <c r="R884" i="5"/>
  <c r="E173" i="7"/>
  <c r="D874" i="6"/>
  <c r="C874" s="1"/>
  <c r="C873" s="1"/>
  <c r="Y873"/>
  <c r="X873"/>
  <c r="W873"/>
  <c r="V873"/>
  <c r="U873"/>
  <c r="T873"/>
  <c r="S873"/>
  <c r="R873"/>
  <c r="Q873"/>
  <c r="P873"/>
  <c r="O873"/>
  <c r="N873"/>
  <c r="M873"/>
  <c r="L873"/>
  <c r="K873"/>
  <c r="J873"/>
  <c r="I873"/>
  <c r="H873"/>
  <c r="G873"/>
  <c r="F873"/>
  <c r="E873"/>
  <c r="D873"/>
  <c r="R896" i="5"/>
  <c r="Q895"/>
  <c r="P895"/>
  <c r="O895"/>
  <c r="N895"/>
  <c r="M895"/>
  <c r="L895"/>
  <c r="F177" i="7" s="1"/>
  <c r="K895" i="5"/>
  <c r="D177" i="7" s="1"/>
  <c r="J895" i="5"/>
  <c r="I895"/>
  <c r="H895"/>
  <c r="C177" i="7" s="1"/>
  <c r="O1235" i="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34"/>
  <c r="E945" i="6"/>
  <c r="F945"/>
  <c r="G945"/>
  <c r="H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D688"/>
  <c r="C688" s="1"/>
  <c r="I1035" i="5"/>
  <c r="J1035"/>
  <c r="K1035"/>
  <c r="M1035"/>
  <c r="N1035"/>
  <c r="O1035"/>
  <c r="P1035"/>
  <c r="Q1035"/>
  <c r="H1035"/>
  <c r="L1036"/>
  <c r="L1035" s="1"/>
  <c r="R1048"/>
  <c r="R1047"/>
  <c r="R1046"/>
  <c r="R1045"/>
  <c r="R1044"/>
  <c r="R1043"/>
  <c r="R1042"/>
  <c r="R1041"/>
  <c r="R1040"/>
  <c r="R1039"/>
  <c r="R1038"/>
  <c r="R1037"/>
  <c r="C768" i="6" l="1"/>
  <c r="O766" i="5"/>
  <c r="C862" i="6"/>
  <c r="C861" s="1"/>
  <c r="D861"/>
  <c r="L754" i="5"/>
  <c r="R754" s="1"/>
  <c r="L744"/>
  <c r="L745"/>
  <c r="L746"/>
  <c r="L747"/>
  <c r="L748"/>
  <c r="L749"/>
  <c r="L750"/>
  <c r="L751"/>
  <c r="L752"/>
  <c r="L753"/>
  <c r="L755"/>
  <c r="L756"/>
  <c r="L757"/>
  <c r="L758"/>
  <c r="L759"/>
  <c r="L760"/>
  <c r="L761"/>
  <c r="L762"/>
  <c r="L743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798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19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97"/>
  <c r="O1004"/>
  <c r="E162" i="7"/>
  <c r="E835" i="6"/>
  <c r="F835"/>
  <c r="G835"/>
  <c r="H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D836"/>
  <c r="C836" s="1"/>
  <c r="C835" s="1"/>
  <c r="I857" i="5"/>
  <c r="J857"/>
  <c r="K857"/>
  <c r="D164" i="7" s="1"/>
  <c r="L857" i="5"/>
  <c r="F164" i="7" s="1"/>
  <c r="M857" i="5"/>
  <c r="N857"/>
  <c r="O857"/>
  <c r="P857"/>
  <c r="Q857"/>
  <c r="H857"/>
  <c r="C164" i="7" s="1"/>
  <c r="R858" i="5"/>
  <c r="E818" i="6"/>
  <c r="F818"/>
  <c r="G818"/>
  <c r="H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D819"/>
  <c r="C819" s="1"/>
  <c r="C818" s="1"/>
  <c r="I840" i="5"/>
  <c r="J840"/>
  <c r="K840"/>
  <c r="D160" i="7" s="1"/>
  <c r="L840" i="5"/>
  <c r="F160" i="7" s="1"/>
  <c r="M840" i="5"/>
  <c r="N840"/>
  <c r="O840"/>
  <c r="P840"/>
  <c r="Q840"/>
  <c r="H840"/>
  <c r="C160" i="7" s="1"/>
  <c r="R841" i="5"/>
  <c r="D818" i="6" l="1"/>
  <c r="D835"/>
  <c r="E1008"/>
  <c r="F1008"/>
  <c r="G1008"/>
  <c r="H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D1013"/>
  <c r="C1013" s="1"/>
  <c r="D1014"/>
  <c r="C1014" s="1"/>
  <c r="D1015"/>
  <c r="C1015" s="1"/>
  <c r="D1016"/>
  <c r="C1016" s="1"/>
  <c r="D1017"/>
  <c r="C1017" s="1"/>
  <c r="D1018"/>
  <c r="C1018" s="1"/>
  <c r="I1016" i="5"/>
  <c r="J1016"/>
  <c r="K1016"/>
  <c r="L1016"/>
  <c r="M1016"/>
  <c r="N1016"/>
  <c r="P1016"/>
  <c r="Q1016"/>
  <c r="H1016"/>
  <c r="O1026"/>
  <c r="O1025"/>
  <c r="O1024"/>
  <c r="O1023"/>
  <c r="O1022"/>
  <c r="R1022"/>
  <c r="R1023"/>
  <c r="R1024"/>
  <c r="R1025"/>
  <c r="R1026"/>
  <c r="O1021"/>
  <c r="R1021"/>
  <c r="D990" i="6"/>
  <c r="C990" s="1"/>
  <c r="D991"/>
  <c r="C991" s="1"/>
  <c r="I996" i="5"/>
  <c r="J996"/>
  <c r="K996"/>
  <c r="L996"/>
  <c r="M996"/>
  <c r="N996"/>
  <c r="O996"/>
  <c r="P996"/>
  <c r="Q996"/>
  <c r="H996"/>
  <c r="R998"/>
  <c r="R999"/>
  <c r="D866" i="6"/>
  <c r="E866"/>
  <c r="F866"/>
  <c r="G866"/>
  <c r="H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C868"/>
  <c r="I888" i="5"/>
  <c r="J888"/>
  <c r="K888"/>
  <c r="L888"/>
  <c r="M888"/>
  <c r="N888"/>
  <c r="O888"/>
  <c r="P888"/>
  <c r="Q888"/>
  <c r="H888"/>
  <c r="R890"/>
  <c r="O882"/>
  <c r="O881"/>
  <c r="R256" l="1"/>
  <c r="J256"/>
  <c r="F176" i="7"/>
  <c r="D176"/>
  <c r="C176"/>
  <c r="D1531" i="6"/>
  <c r="C1531" s="1"/>
  <c r="D1530"/>
  <c r="C1530" s="1"/>
  <c r="D1529"/>
  <c r="C1529" s="1"/>
  <c r="D1528"/>
  <c r="C1528" s="1"/>
  <c r="D1527"/>
  <c r="C1527" s="1"/>
  <c r="D1526"/>
  <c r="C1526" s="1"/>
  <c r="D1525"/>
  <c r="C1525" s="1"/>
  <c r="D1524"/>
  <c r="C1524" s="1"/>
  <c r="D1523"/>
  <c r="C1523" s="1"/>
  <c r="D1522"/>
  <c r="C1522" s="1"/>
  <c r="D1521"/>
  <c r="C1521" s="1"/>
  <c r="D1435"/>
  <c r="C1435" s="1"/>
  <c r="D1434"/>
  <c r="D1339"/>
  <c r="C1339" s="1"/>
  <c r="D1338"/>
  <c r="C1338" s="1"/>
  <c r="D1337"/>
  <c r="C1337" s="1"/>
  <c r="D1336"/>
  <c r="C1336" s="1"/>
  <c r="D1335"/>
  <c r="C986"/>
  <c r="D931"/>
  <c r="C931" s="1"/>
  <c r="D905"/>
  <c r="C905" s="1"/>
  <c r="D904"/>
  <c r="C904" s="1"/>
  <c r="D903"/>
  <c r="C903" s="1"/>
  <c r="D902"/>
  <c r="C902" s="1"/>
  <c r="D901"/>
  <c r="D908"/>
  <c r="C908" s="1"/>
  <c r="D907"/>
  <c r="C907" s="1"/>
  <c r="D906"/>
  <c r="C906" s="1"/>
  <c r="C887"/>
  <c r="C886"/>
  <c r="C885"/>
  <c r="D872"/>
  <c r="C872" s="1"/>
  <c r="D871"/>
  <c r="C871" s="1"/>
  <c r="D870"/>
  <c r="C870" s="1"/>
  <c r="Y869"/>
  <c r="X869"/>
  <c r="W869"/>
  <c r="V869"/>
  <c r="U869"/>
  <c r="T869"/>
  <c r="S869"/>
  <c r="R869"/>
  <c r="Q869"/>
  <c r="P869"/>
  <c r="O869"/>
  <c r="N869"/>
  <c r="M869"/>
  <c r="L869"/>
  <c r="K869"/>
  <c r="J869"/>
  <c r="I869"/>
  <c r="H869"/>
  <c r="G869"/>
  <c r="F869"/>
  <c r="E869"/>
  <c r="C865"/>
  <c r="E824"/>
  <c r="E823" s="1"/>
  <c r="F824"/>
  <c r="F823" s="1"/>
  <c r="G824"/>
  <c r="G823" s="1"/>
  <c r="H824"/>
  <c r="H823" s="1"/>
  <c r="I824"/>
  <c r="I823" s="1"/>
  <c r="J824"/>
  <c r="J823" s="1"/>
  <c r="K824"/>
  <c r="K823" s="1"/>
  <c r="L824"/>
  <c r="L823" s="1"/>
  <c r="M824"/>
  <c r="M823" s="1"/>
  <c r="N824"/>
  <c r="N823" s="1"/>
  <c r="O824"/>
  <c r="O823" s="1"/>
  <c r="P824"/>
  <c r="P823" s="1"/>
  <c r="Q824"/>
  <c r="Q823" s="1"/>
  <c r="R824"/>
  <c r="R823" s="1"/>
  <c r="S824"/>
  <c r="S823" s="1"/>
  <c r="T824"/>
  <c r="T823" s="1"/>
  <c r="U824"/>
  <c r="U823" s="1"/>
  <c r="V824"/>
  <c r="V823" s="1"/>
  <c r="W824"/>
  <c r="W823" s="1"/>
  <c r="X824"/>
  <c r="X823" s="1"/>
  <c r="Y824"/>
  <c r="Y823" s="1"/>
  <c r="D834"/>
  <c r="C834" s="1"/>
  <c r="D833"/>
  <c r="C833" s="1"/>
  <c r="D832"/>
  <c r="C832" s="1"/>
  <c r="D831"/>
  <c r="C831" s="1"/>
  <c r="D830"/>
  <c r="C830" s="1"/>
  <c r="D829"/>
  <c r="C829" s="1"/>
  <c r="D828"/>
  <c r="C828" s="1"/>
  <c r="D827"/>
  <c r="C827" s="1"/>
  <c r="D826"/>
  <c r="C826" s="1"/>
  <c r="D825"/>
  <c r="C825" s="1"/>
  <c r="L814"/>
  <c r="K814"/>
  <c r="D817"/>
  <c r="C817" s="1"/>
  <c r="D816"/>
  <c r="C816" s="1"/>
  <c r="D815"/>
  <c r="C815" s="1"/>
  <c r="D663"/>
  <c r="C663" s="1"/>
  <c r="D662"/>
  <c r="C662" s="1"/>
  <c r="D627"/>
  <c r="C627" s="1"/>
  <c r="D563"/>
  <c r="C563" s="1"/>
  <c r="D562"/>
  <c r="C562" s="1"/>
  <c r="D561"/>
  <c r="C561" s="1"/>
  <c r="D560"/>
  <c r="C560" s="1"/>
  <c r="D559"/>
  <c r="C559" s="1"/>
  <c r="D435"/>
  <c r="C435" s="1"/>
  <c r="D434"/>
  <c r="C434" s="1"/>
  <c r="D305"/>
  <c r="C305" s="1"/>
  <c r="D304"/>
  <c r="C304" s="1"/>
  <c r="D303"/>
  <c r="C303" s="1"/>
  <c r="D302"/>
  <c r="C302" s="1"/>
  <c r="D301"/>
  <c r="C301" s="1"/>
  <c r="D300"/>
  <c r="C300" s="1"/>
  <c r="D299"/>
  <c r="C299" s="1"/>
  <c r="D298"/>
  <c r="C298" s="1"/>
  <c r="D297"/>
  <c r="C297" s="1"/>
  <c r="D296"/>
  <c r="C296" s="1"/>
  <c r="D295"/>
  <c r="C295" s="1"/>
  <c r="D294"/>
  <c r="C294" s="1"/>
  <c r="D293"/>
  <c r="C293" s="1"/>
  <c r="D256"/>
  <c r="D249"/>
  <c r="C249" s="1"/>
  <c r="D248"/>
  <c r="C248" s="1"/>
  <c r="D247"/>
  <c r="C247" s="1"/>
  <c r="D203"/>
  <c r="C203" s="1"/>
  <c r="D145"/>
  <c r="C145" s="1"/>
  <c r="D144"/>
  <c r="C144" s="1"/>
  <c r="D143"/>
  <c r="C143" s="1"/>
  <c r="R1559" i="5"/>
  <c r="R1558"/>
  <c r="R1557"/>
  <c r="R1556"/>
  <c r="R1555"/>
  <c r="R1554"/>
  <c r="R1553"/>
  <c r="P1552"/>
  <c r="L1552"/>
  <c r="R1552" s="1"/>
  <c r="R1551"/>
  <c r="P1551"/>
  <c r="R1550"/>
  <c r="P1550"/>
  <c r="R1549"/>
  <c r="R1463"/>
  <c r="R1462"/>
  <c r="R1367"/>
  <c r="O1367"/>
  <c r="R1366"/>
  <c r="O1366"/>
  <c r="R1365"/>
  <c r="O1365"/>
  <c r="R1364"/>
  <c r="O1364"/>
  <c r="O1362" s="1"/>
  <c r="R994"/>
  <c r="R953"/>
  <c r="R927"/>
  <c r="O927"/>
  <c r="R926"/>
  <c r="O926"/>
  <c r="R925"/>
  <c r="O925"/>
  <c r="R924"/>
  <c r="O924"/>
  <c r="R923"/>
  <c r="O923"/>
  <c r="R930"/>
  <c r="O930"/>
  <c r="R929"/>
  <c r="O929"/>
  <c r="R928"/>
  <c r="O928"/>
  <c r="R909"/>
  <c r="R908"/>
  <c r="R907"/>
  <c r="R894"/>
  <c r="R893"/>
  <c r="R892"/>
  <c r="Q891"/>
  <c r="P891"/>
  <c r="O891"/>
  <c r="N891"/>
  <c r="M891"/>
  <c r="L891"/>
  <c r="K891"/>
  <c r="J891"/>
  <c r="I891"/>
  <c r="H891"/>
  <c r="R887"/>
  <c r="O887"/>
  <c r="I846"/>
  <c r="I845" s="1"/>
  <c r="J846"/>
  <c r="J845" s="1"/>
  <c r="K846"/>
  <c r="K845" s="1"/>
  <c r="M846"/>
  <c r="M845" s="1"/>
  <c r="N846"/>
  <c r="N845" s="1"/>
  <c r="O846"/>
  <c r="O845" s="1"/>
  <c r="P846"/>
  <c r="P845" s="1"/>
  <c r="Q846"/>
  <c r="Q845" s="1"/>
  <c r="H846"/>
  <c r="H845" s="1"/>
  <c r="R856"/>
  <c r="L855"/>
  <c r="R855" s="1"/>
  <c r="L854"/>
  <c r="R854" s="1"/>
  <c r="L853"/>
  <c r="R853" s="1"/>
  <c r="L852"/>
  <c r="R852" s="1"/>
  <c r="L851"/>
  <c r="R851" s="1"/>
  <c r="L850"/>
  <c r="R850" s="1"/>
  <c r="L849"/>
  <c r="R849" s="1"/>
  <c r="L848"/>
  <c r="R848" s="1"/>
  <c r="L847"/>
  <c r="R847" s="1"/>
  <c r="R839"/>
  <c r="R838"/>
  <c r="R837"/>
  <c r="R665"/>
  <c r="R664"/>
  <c r="R631"/>
  <c r="R567"/>
  <c r="O567"/>
  <c r="R566"/>
  <c r="O566"/>
  <c r="R565"/>
  <c r="O565"/>
  <c r="R564"/>
  <c r="O564"/>
  <c r="R563"/>
  <c r="O563"/>
  <c r="R414"/>
  <c r="R413"/>
  <c r="R301"/>
  <c r="O301"/>
  <c r="R300"/>
  <c r="O300"/>
  <c r="R299"/>
  <c r="O299"/>
  <c r="R298"/>
  <c r="O298"/>
  <c r="R297"/>
  <c r="O297"/>
  <c r="R296"/>
  <c r="O296"/>
  <c r="R295"/>
  <c r="O295"/>
  <c r="R294"/>
  <c r="O294"/>
  <c r="R293"/>
  <c r="O293"/>
  <c r="R292"/>
  <c r="O292"/>
  <c r="R291"/>
  <c r="O291"/>
  <c r="R290"/>
  <c r="O290"/>
  <c r="R289"/>
  <c r="O289"/>
  <c r="R249"/>
  <c r="R248"/>
  <c r="R247"/>
  <c r="C901" i="6" l="1"/>
  <c r="C900" s="1"/>
  <c r="D900"/>
  <c r="O922" i="5"/>
  <c r="C1335" i="6"/>
  <c r="C1334" s="1"/>
  <c r="D1334"/>
  <c r="C1434"/>
  <c r="C1433" s="1"/>
  <c r="D1433"/>
  <c r="C824"/>
  <c r="C823" s="1"/>
  <c r="D869"/>
  <c r="C869"/>
  <c r="D824"/>
  <c r="D823" s="1"/>
  <c r="L846" i="5"/>
  <c r="L845" s="1"/>
  <c r="E880" i="6" l="1"/>
  <c r="F880"/>
  <c r="G880"/>
  <c r="H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D882"/>
  <c r="C882" s="1"/>
  <c r="D881"/>
  <c r="C881" s="1"/>
  <c r="E107" i="7"/>
  <c r="I902" i="5"/>
  <c r="J902"/>
  <c r="K902"/>
  <c r="D180" i="7" s="1"/>
  <c r="L902" i="5"/>
  <c r="F180" i="7" s="1"/>
  <c r="M902" i="5"/>
  <c r="N902"/>
  <c r="O902"/>
  <c r="P902"/>
  <c r="Q902"/>
  <c r="H902"/>
  <c r="C180" i="7" s="1"/>
  <c r="R904" i="5"/>
  <c r="E204" i="6"/>
  <c r="F204"/>
  <c r="G204"/>
  <c r="H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I204" i="5"/>
  <c r="J204"/>
  <c r="K204"/>
  <c r="L204"/>
  <c r="M204"/>
  <c r="N204"/>
  <c r="O204"/>
  <c r="P204"/>
  <c r="Q204"/>
  <c r="H204"/>
  <c r="E877" i="6"/>
  <c r="F877"/>
  <c r="G877"/>
  <c r="H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D879"/>
  <c r="D878"/>
  <c r="C878" s="1"/>
  <c r="C879"/>
  <c r="I899" i="5"/>
  <c r="J899"/>
  <c r="K899"/>
  <c r="D179" i="7" s="1"/>
  <c r="L899" i="5"/>
  <c r="F179" i="7" s="1"/>
  <c r="M899" i="5"/>
  <c r="N899"/>
  <c r="O899"/>
  <c r="P899"/>
  <c r="Q899"/>
  <c r="H899"/>
  <c r="C179" i="7" s="1"/>
  <c r="R901" i="5"/>
  <c r="R900"/>
  <c r="R1147"/>
  <c r="E568" i="6"/>
  <c r="F568"/>
  <c r="G568"/>
  <c r="H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I572" i="5"/>
  <c r="J572"/>
  <c r="K572"/>
  <c r="L572"/>
  <c r="M572"/>
  <c r="N572"/>
  <c r="O572"/>
  <c r="P572"/>
  <c r="Q572"/>
  <c r="H572"/>
  <c r="X1275" i="6"/>
  <c r="O1267" i="5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266"/>
  <c r="R1313"/>
  <c r="R1309"/>
  <c r="E242" i="7"/>
  <c r="W1420" i="6"/>
  <c r="E841"/>
  <c r="F841"/>
  <c r="G841"/>
  <c r="H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D851"/>
  <c r="C851" s="1"/>
  <c r="I863" i="5"/>
  <c r="J863"/>
  <c r="K863"/>
  <c r="L863"/>
  <c r="M863"/>
  <c r="N863"/>
  <c r="P863"/>
  <c r="Q863"/>
  <c r="H863"/>
  <c r="O873"/>
  <c r="R873"/>
  <c r="O1381"/>
  <c r="E959" i="6"/>
  <c r="F959"/>
  <c r="G959"/>
  <c r="H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D971"/>
  <c r="C971" s="1"/>
  <c r="D972"/>
  <c r="C972" s="1"/>
  <c r="D973"/>
  <c r="C973" s="1"/>
  <c r="I967" i="5"/>
  <c r="J967"/>
  <c r="K967"/>
  <c r="L967"/>
  <c r="M967"/>
  <c r="N967"/>
  <c r="P967"/>
  <c r="Q967"/>
  <c r="H967"/>
  <c r="R979"/>
  <c r="R980"/>
  <c r="R981"/>
  <c r="O979"/>
  <c r="O980"/>
  <c r="O981"/>
  <c r="O969"/>
  <c r="O970"/>
  <c r="O971"/>
  <c r="O972"/>
  <c r="O973"/>
  <c r="O974"/>
  <c r="O975"/>
  <c r="O976"/>
  <c r="O977"/>
  <c r="O978"/>
  <c r="O968"/>
  <c r="E629" i="6"/>
  <c r="F629"/>
  <c r="G629"/>
  <c r="H629"/>
  <c r="I629"/>
  <c r="J629"/>
  <c r="K629"/>
  <c r="L629"/>
  <c r="M629"/>
  <c r="N629"/>
  <c r="O629"/>
  <c r="Q629"/>
  <c r="R629"/>
  <c r="S629"/>
  <c r="T629"/>
  <c r="U629"/>
  <c r="V629"/>
  <c r="W629"/>
  <c r="Y629"/>
  <c r="D637"/>
  <c r="C637" s="1"/>
  <c r="D638"/>
  <c r="C638" s="1"/>
  <c r="E255"/>
  <c r="F255"/>
  <c r="G255"/>
  <c r="H255"/>
  <c r="I255"/>
  <c r="J255"/>
  <c r="K255"/>
  <c r="L255"/>
  <c r="M255"/>
  <c r="N255"/>
  <c r="O255"/>
  <c r="P255"/>
  <c r="Q255"/>
  <c r="R255"/>
  <c r="S255"/>
  <c r="T255"/>
  <c r="W255"/>
  <c r="D262"/>
  <c r="C262" s="1"/>
  <c r="D263"/>
  <c r="C263" s="1"/>
  <c r="D264"/>
  <c r="C264" s="1"/>
  <c r="D265"/>
  <c r="C265" s="1"/>
  <c r="I739" i="5"/>
  <c r="J739"/>
  <c r="K739"/>
  <c r="L739"/>
  <c r="M739"/>
  <c r="N739"/>
  <c r="O739"/>
  <c r="P739"/>
  <c r="Q739"/>
  <c r="H739"/>
  <c r="R741"/>
  <c r="R740"/>
  <c r="I444"/>
  <c r="J444"/>
  <c r="K444"/>
  <c r="L444"/>
  <c r="M444"/>
  <c r="N444"/>
  <c r="O444"/>
  <c r="P444"/>
  <c r="Q444"/>
  <c r="H444"/>
  <c r="R446"/>
  <c r="R447"/>
  <c r="R448"/>
  <c r="R445"/>
  <c r="C877" i="6" l="1"/>
  <c r="D880"/>
  <c r="C880"/>
  <c r="D877"/>
  <c r="O967" i="5"/>
  <c r="E1559" i="6"/>
  <c r="F1559"/>
  <c r="G1559"/>
  <c r="H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D1560"/>
  <c r="C1560" s="1"/>
  <c r="C1559" s="1"/>
  <c r="I1587" i="5"/>
  <c r="J1587"/>
  <c r="K1587"/>
  <c r="L1587"/>
  <c r="M1587"/>
  <c r="N1587"/>
  <c r="O1587"/>
  <c r="P1587"/>
  <c r="Q1587"/>
  <c r="H1587"/>
  <c r="E993" i="6"/>
  <c r="F993"/>
  <c r="G993"/>
  <c r="H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D997"/>
  <c r="C997" s="1"/>
  <c r="I1001" i="5"/>
  <c r="J1001"/>
  <c r="K1001"/>
  <c r="L1001"/>
  <c r="M1001"/>
  <c r="N1001"/>
  <c r="P1001"/>
  <c r="Q1001"/>
  <c r="H1001"/>
  <c r="R1005"/>
  <c r="N503" i="6"/>
  <c r="N502"/>
  <c r="N501"/>
  <c r="N500"/>
  <c r="N499"/>
  <c r="N498"/>
  <c r="N497"/>
  <c r="N496"/>
  <c r="N495"/>
  <c r="N494"/>
  <c r="N493"/>
  <c r="D504"/>
  <c r="C504" s="1"/>
  <c r="D505"/>
  <c r="C505" s="1"/>
  <c r="D506"/>
  <c r="C506" s="1"/>
  <c r="D507"/>
  <c r="C507" s="1"/>
  <c r="D508"/>
  <c r="C508" s="1"/>
  <c r="E514"/>
  <c r="F514"/>
  <c r="G514"/>
  <c r="H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D515"/>
  <c r="D516"/>
  <c r="C516" s="1"/>
  <c r="D517"/>
  <c r="C517" s="1"/>
  <c r="D518"/>
  <c r="C518" s="1"/>
  <c r="D493"/>
  <c r="D494"/>
  <c r="D495"/>
  <c r="D496"/>
  <c r="D497"/>
  <c r="D498"/>
  <c r="D499"/>
  <c r="D500"/>
  <c r="D501"/>
  <c r="D502"/>
  <c r="D503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D95"/>
  <c r="C95" s="1"/>
  <c r="R734" i="5"/>
  <c r="O734"/>
  <c r="R733"/>
  <c r="O733"/>
  <c r="J733"/>
  <c r="J729" s="1"/>
  <c r="R732"/>
  <c r="O732"/>
  <c r="R731"/>
  <c r="O731"/>
  <c r="R730"/>
  <c r="I452"/>
  <c r="K452"/>
  <c r="L452"/>
  <c r="M452"/>
  <c r="N452"/>
  <c r="P452"/>
  <c r="Q452"/>
  <c r="H452"/>
  <c r="R517"/>
  <c r="O517"/>
  <c r="R516"/>
  <c r="O516"/>
  <c r="R515"/>
  <c r="O515"/>
  <c r="R514"/>
  <c r="O514"/>
  <c r="R513"/>
  <c r="O513"/>
  <c r="R512"/>
  <c r="O512"/>
  <c r="R511"/>
  <c r="O511"/>
  <c r="R510"/>
  <c r="O510"/>
  <c r="R509"/>
  <c r="O509"/>
  <c r="J509"/>
  <c r="R508"/>
  <c r="O508"/>
  <c r="R507"/>
  <c r="O507"/>
  <c r="J507"/>
  <c r="I436"/>
  <c r="J436"/>
  <c r="K436"/>
  <c r="L436"/>
  <c r="M436"/>
  <c r="N436"/>
  <c r="P436"/>
  <c r="Q436"/>
  <c r="H436"/>
  <c r="R443"/>
  <c r="E888" i="6"/>
  <c r="F888"/>
  <c r="G888"/>
  <c r="H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E616"/>
  <c r="F616"/>
  <c r="G616"/>
  <c r="H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D898"/>
  <c r="C898" s="1"/>
  <c r="D897"/>
  <c r="C897" s="1"/>
  <c r="D896"/>
  <c r="C896" s="1"/>
  <c r="D895"/>
  <c r="C895" s="1"/>
  <c r="I620" i="5"/>
  <c r="J620"/>
  <c r="K620"/>
  <c r="L620"/>
  <c r="M620"/>
  <c r="N620"/>
  <c r="O620"/>
  <c r="P620"/>
  <c r="Q620"/>
  <c r="H620"/>
  <c r="I910"/>
  <c r="J910"/>
  <c r="K910"/>
  <c r="L910"/>
  <c r="M910"/>
  <c r="N910"/>
  <c r="O910"/>
  <c r="P910"/>
  <c r="Q910"/>
  <c r="H910"/>
  <c r="R920"/>
  <c r="R919"/>
  <c r="R918"/>
  <c r="R917"/>
  <c r="I1013"/>
  <c r="J1013"/>
  <c r="K1013"/>
  <c r="L1013"/>
  <c r="M1013"/>
  <c r="N1013"/>
  <c r="O1013"/>
  <c r="P1013"/>
  <c r="Q1013"/>
  <c r="H1013"/>
  <c r="R1015"/>
  <c r="D1005" i="6"/>
  <c r="E1005"/>
  <c r="F1005"/>
  <c r="G1005"/>
  <c r="H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C1007"/>
  <c r="D1568"/>
  <c r="E935"/>
  <c r="F935"/>
  <c r="G935"/>
  <c r="H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D937"/>
  <c r="C937" s="1"/>
  <c r="I957" i="5"/>
  <c r="J957"/>
  <c r="K957"/>
  <c r="L957"/>
  <c r="M957"/>
  <c r="N957"/>
  <c r="O957"/>
  <c r="P957"/>
  <c r="Q957"/>
  <c r="H957"/>
  <c r="R959"/>
  <c r="E1555" i="6"/>
  <c r="F1555"/>
  <c r="G1555"/>
  <c r="H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I1583" i="5"/>
  <c r="J1583"/>
  <c r="K1583"/>
  <c r="L1583"/>
  <c r="M1583"/>
  <c r="N1583"/>
  <c r="O1583"/>
  <c r="P1583"/>
  <c r="Q1583"/>
  <c r="H1583"/>
  <c r="D1020" i="6"/>
  <c r="E1020"/>
  <c r="F1020"/>
  <c r="G1020"/>
  <c r="H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C1022"/>
  <c r="E740"/>
  <c r="F740"/>
  <c r="G740"/>
  <c r="H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I721" i="5"/>
  <c r="J721"/>
  <c r="K721"/>
  <c r="L721"/>
  <c r="M721"/>
  <c r="N721"/>
  <c r="O721"/>
  <c r="P721"/>
  <c r="Q721"/>
  <c r="H721"/>
  <c r="I1028"/>
  <c r="J1028"/>
  <c r="K1028"/>
  <c r="L1028"/>
  <c r="M1028"/>
  <c r="N1028"/>
  <c r="O1028"/>
  <c r="P1028"/>
  <c r="Q1028"/>
  <c r="H1028"/>
  <c r="R1030"/>
  <c r="E215" i="7"/>
  <c r="E1001" i="6"/>
  <c r="E1000" s="1"/>
  <c r="F1001"/>
  <c r="F1000" s="1"/>
  <c r="G1001"/>
  <c r="G1000" s="1"/>
  <c r="H1001"/>
  <c r="H1000" s="1"/>
  <c r="I1001"/>
  <c r="I1000" s="1"/>
  <c r="J1001"/>
  <c r="J1000" s="1"/>
  <c r="K1001"/>
  <c r="K1000" s="1"/>
  <c r="L1001"/>
  <c r="L1000" s="1"/>
  <c r="M1001"/>
  <c r="M1000" s="1"/>
  <c r="N1001"/>
  <c r="N1000" s="1"/>
  <c r="O1001"/>
  <c r="O1000" s="1"/>
  <c r="P1001"/>
  <c r="P1000" s="1"/>
  <c r="Q1001"/>
  <c r="Q1000" s="1"/>
  <c r="R1001"/>
  <c r="R1000" s="1"/>
  <c r="S1001"/>
  <c r="S1000" s="1"/>
  <c r="T1001"/>
  <c r="T1000" s="1"/>
  <c r="U1001"/>
  <c r="U1000" s="1"/>
  <c r="V1001"/>
  <c r="V1000" s="1"/>
  <c r="W1001"/>
  <c r="W1000" s="1"/>
  <c r="X1001"/>
  <c r="X1000" s="1"/>
  <c r="Y1001"/>
  <c r="Y1000" s="1"/>
  <c r="D1002"/>
  <c r="D1003"/>
  <c r="C1003" s="1"/>
  <c r="I1009" i="5"/>
  <c r="I1008" s="1"/>
  <c r="J1009"/>
  <c r="J1008" s="1"/>
  <c r="K1009"/>
  <c r="K1008" s="1"/>
  <c r="L1009"/>
  <c r="F216" i="7" s="1"/>
  <c r="F215" s="1"/>
  <c r="M1009" i="5"/>
  <c r="M1008" s="1"/>
  <c r="N1009"/>
  <c r="N1008" s="1"/>
  <c r="O1009"/>
  <c r="O1008" s="1"/>
  <c r="P1009"/>
  <c r="P1008" s="1"/>
  <c r="Q1009"/>
  <c r="Q1008" s="1"/>
  <c r="H1009"/>
  <c r="C216" i="7" s="1"/>
  <c r="C215" s="1"/>
  <c r="R1011" i="5"/>
  <c r="R1010"/>
  <c r="O729" l="1"/>
  <c r="N438" i="6"/>
  <c r="O452" i="5"/>
  <c r="D1559" i="6"/>
  <c r="C502"/>
  <c r="C500"/>
  <c r="C498"/>
  <c r="C496"/>
  <c r="C494"/>
  <c r="C515"/>
  <c r="C503"/>
  <c r="C501"/>
  <c r="C499"/>
  <c r="C497"/>
  <c r="C495"/>
  <c r="C493"/>
  <c r="H1008" i="5"/>
  <c r="L1008"/>
  <c r="D216" i="7"/>
  <c r="D215" s="1"/>
  <c r="D1001" i="6"/>
  <c r="D1000" s="1"/>
  <c r="C1002"/>
  <c r="C1001" s="1"/>
  <c r="C1000" s="1"/>
  <c r="E639"/>
  <c r="F639"/>
  <c r="G639"/>
  <c r="H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D640"/>
  <c r="D639" s="1"/>
  <c r="E641"/>
  <c r="F641"/>
  <c r="G641"/>
  <c r="H641"/>
  <c r="I641"/>
  <c r="J641"/>
  <c r="K641"/>
  <c r="L641"/>
  <c r="M641"/>
  <c r="N641"/>
  <c r="O641"/>
  <c r="P641"/>
  <c r="Q641"/>
  <c r="R641"/>
  <c r="S641"/>
  <c r="T641"/>
  <c r="U641"/>
  <c r="V641"/>
  <c r="X641"/>
  <c r="Y641"/>
  <c r="E1500"/>
  <c r="F1500"/>
  <c r="G1500"/>
  <c r="H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D1504"/>
  <c r="C1504" s="1"/>
  <c r="I1528" i="5"/>
  <c r="J1528"/>
  <c r="K1528"/>
  <c r="L1528"/>
  <c r="M1528"/>
  <c r="N1528"/>
  <c r="O1528"/>
  <c r="P1528"/>
  <c r="Q1528"/>
  <c r="H1528"/>
  <c r="E184" i="7"/>
  <c r="E910" i="6"/>
  <c r="F910"/>
  <c r="G910"/>
  <c r="H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D911"/>
  <c r="C911" s="1"/>
  <c r="C910" s="1"/>
  <c r="I932" i="5"/>
  <c r="J932"/>
  <c r="K932"/>
  <c r="D186" i="7" s="1"/>
  <c r="L932" i="5"/>
  <c r="F186" i="7" s="1"/>
  <c r="M932" i="5"/>
  <c r="N932"/>
  <c r="O932"/>
  <c r="P932"/>
  <c r="Q932"/>
  <c r="H932"/>
  <c r="C186" i="7" s="1"/>
  <c r="R933" i="5"/>
  <c r="E120" i="7"/>
  <c r="E644" i="6"/>
  <c r="F644"/>
  <c r="G644"/>
  <c r="H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D645"/>
  <c r="D646"/>
  <c r="C646" s="1"/>
  <c r="I646" i="5"/>
  <c r="J646"/>
  <c r="K646"/>
  <c r="D124" i="7" s="1"/>
  <c r="L646" i="5"/>
  <c r="F124" i="7" s="1"/>
  <c r="M646" i="5"/>
  <c r="N646"/>
  <c r="O646"/>
  <c r="P646"/>
  <c r="Q646"/>
  <c r="H646"/>
  <c r="C124" i="7" s="1"/>
  <c r="R648" i="5"/>
  <c r="R647"/>
  <c r="E1358" i="6"/>
  <c r="F1358"/>
  <c r="G1358"/>
  <c r="H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E1205"/>
  <c r="F1205"/>
  <c r="G1205"/>
  <c r="H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W9" s="1"/>
  <c r="X96"/>
  <c r="Y96"/>
  <c r="I518" i="5"/>
  <c r="J518"/>
  <c r="K518"/>
  <c r="L518"/>
  <c r="M518"/>
  <c r="N518"/>
  <c r="O518"/>
  <c r="P518"/>
  <c r="Q518"/>
  <c r="H518"/>
  <c r="I1386"/>
  <c r="K1386"/>
  <c r="L1386"/>
  <c r="M1386"/>
  <c r="N1386"/>
  <c r="O1386"/>
  <c r="P1386"/>
  <c r="Q1386"/>
  <c r="H1386"/>
  <c r="I1233"/>
  <c r="J1233"/>
  <c r="K1233"/>
  <c r="L1233"/>
  <c r="M1233"/>
  <c r="N1233"/>
  <c r="O1233"/>
  <c r="P1233"/>
  <c r="Q1233"/>
  <c r="H1233"/>
  <c r="I150"/>
  <c r="K150"/>
  <c r="L150"/>
  <c r="M150"/>
  <c r="N150"/>
  <c r="O150"/>
  <c r="P150"/>
  <c r="Q150"/>
  <c r="H150"/>
  <c r="I96"/>
  <c r="J96"/>
  <c r="K96"/>
  <c r="L96"/>
  <c r="M96"/>
  <c r="N96"/>
  <c r="O96"/>
  <c r="Q96"/>
  <c r="H96"/>
  <c r="D1552" i="6"/>
  <c r="C1552" s="1"/>
  <c r="D1553"/>
  <c r="C1553" s="1"/>
  <c r="D1554"/>
  <c r="C1554" s="1"/>
  <c r="D1551"/>
  <c r="C1551" s="1"/>
  <c r="E212" i="7"/>
  <c r="E998" i="6"/>
  <c r="F998"/>
  <c r="G998"/>
  <c r="H998"/>
  <c r="I998"/>
  <c r="J998"/>
  <c r="K998"/>
  <c r="L998"/>
  <c r="M998"/>
  <c r="N998"/>
  <c r="O998"/>
  <c r="P998"/>
  <c r="Q998"/>
  <c r="R998"/>
  <c r="S998"/>
  <c r="T998"/>
  <c r="U998"/>
  <c r="V998"/>
  <c r="W998"/>
  <c r="W992" s="1"/>
  <c r="X998"/>
  <c r="Y998"/>
  <c r="D999"/>
  <c r="C999" s="1"/>
  <c r="C998" s="1"/>
  <c r="I1006" i="5"/>
  <c r="J1006"/>
  <c r="K1006"/>
  <c r="D214" i="7" s="1"/>
  <c r="L1006" i="5"/>
  <c r="F214" i="7" s="1"/>
  <c r="M1006" i="5"/>
  <c r="N1006"/>
  <c r="O1006"/>
  <c r="P1006"/>
  <c r="Q1006"/>
  <c r="H1006"/>
  <c r="C214" i="7" s="1"/>
  <c r="R1007" i="5"/>
  <c r="D533" i="6"/>
  <c r="C533" s="1"/>
  <c r="D534"/>
  <c r="C534" s="1"/>
  <c r="I797" i="5"/>
  <c r="J797"/>
  <c r="K797"/>
  <c r="L797"/>
  <c r="M797"/>
  <c r="N797"/>
  <c r="O797"/>
  <c r="P797"/>
  <c r="Q797"/>
  <c r="H797"/>
  <c r="R538"/>
  <c r="R537"/>
  <c r="I964"/>
  <c r="J964"/>
  <c r="K964"/>
  <c r="L964"/>
  <c r="M964"/>
  <c r="N964"/>
  <c r="O964"/>
  <c r="P964"/>
  <c r="Q964"/>
  <c r="H964"/>
  <c r="E942" i="6"/>
  <c r="F942"/>
  <c r="G942"/>
  <c r="H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D89"/>
  <c r="C89" s="1"/>
  <c r="D90"/>
  <c r="C90" s="1"/>
  <c r="D91"/>
  <c r="C91" s="1"/>
  <c r="D92"/>
  <c r="C92" s="1"/>
  <c r="D93"/>
  <c r="C93" s="1"/>
  <c r="D94"/>
  <c r="C94" s="1"/>
  <c r="D97"/>
  <c r="D98"/>
  <c r="C98" s="1"/>
  <c r="D99"/>
  <c r="C99" s="1"/>
  <c r="D100"/>
  <c r="C100" s="1"/>
  <c r="R442" i="5"/>
  <c r="O442"/>
  <c r="R441"/>
  <c r="R440"/>
  <c r="O440"/>
  <c r="R439"/>
  <c r="R438"/>
  <c r="R437"/>
  <c r="E1591" i="6"/>
  <c r="F1591"/>
  <c r="G1591"/>
  <c r="H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I1619" i="5"/>
  <c r="J1619"/>
  <c r="K1619"/>
  <c r="L1619"/>
  <c r="M1619"/>
  <c r="N1619"/>
  <c r="O1619"/>
  <c r="P1619"/>
  <c r="Q1619"/>
  <c r="H1619"/>
  <c r="E1589" i="6"/>
  <c r="F1589"/>
  <c r="G1589"/>
  <c r="H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I1617" i="5"/>
  <c r="J1617"/>
  <c r="K1617"/>
  <c r="L1617"/>
  <c r="M1617"/>
  <c r="N1617"/>
  <c r="O1617"/>
  <c r="P1617"/>
  <c r="Q1617"/>
  <c r="H1617"/>
  <c r="I641"/>
  <c r="J641"/>
  <c r="K641"/>
  <c r="L641"/>
  <c r="M641"/>
  <c r="N641"/>
  <c r="O641"/>
  <c r="P641"/>
  <c r="Q641"/>
  <c r="H641"/>
  <c r="R642"/>
  <c r="D532" i="6"/>
  <c r="C532" s="1"/>
  <c r="R536" i="5"/>
  <c r="R903"/>
  <c r="E1437" i="6"/>
  <c r="F1437"/>
  <c r="G1437"/>
  <c r="H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I1465" i="5"/>
  <c r="J1465"/>
  <c r="K1465"/>
  <c r="L1465"/>
  <c r="M1465"/>
  <c r="N1465"/>
  <c r="O1465"/>
  <c r="P1465"/>
  <c r="Q1465"/>
  <c r="H1465"/>
  <c r="D894" i="6"/>
  <c r="C894" s="1"/>
  <c r="R916" i="5"/>
  <c r="E875" i="6"/>
  <c r="F875"/>
  <c r="G875"/>
  <c r="H875"/>
  <c r="I875"/>
  <c r="J875"/>
  <c r="K875"/>
  <c r="K863" s="1"/>
  <c r="L875"/>
  <c r="L863" s="1"/>
  <c r="M875"/>
  <c r="M863" s="1"/>
  <c r="N875"/>
  <c r="O875"/>
  <c r="P875"/>
  <c r="Q875"/>
  <c r="R875"/>
  <c r="S875"/>
  <c r="T875"/>
  <c r="U875"/>
  <c r="V875"/>
  <c r="W875"/>
  <c r="W863" s="1"/>
  <c r="X875"/>
  <c r="Y875"/>
  <c r="D876"/>
  <c r="C876" s="1"/>
  <c r="C875" s="1"/>
  <c r="I897" i="5"/>
  <c r="J897"/>
  <c r="K897"/>
  <c r="D178" i="7" s="1"/>
  <c r="L897" i="5"/>
  <c r="F178" i="7" s="1"/>
  <c r="M897" i="5"/>
  <c r="N897"/>
  <c r="O897"/>
  <c r="P897"/>
  <c r="P885" s="1"/>
  <c r="Q897"/>
  <c r="H897"/>
  <c r="C178" i="7" s="1"/>
  <c r="D595" i="6"/>
  <c r="R596" i="5"/>
  <c r="C191" i="7"/>
  <c r="E920" i="6"/>
  <c r="F920"/>
  <c r="G920"/>
  <c r="H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D921"/>
  <c r="C921" s="1"/>
  <c r="C920" s="1"/>
  <c r="I942" i="5"/>
  <c r="J942"/>
  <c r="K942"/>
  <c r="D191" i="7" s="1"/>
  <c r="L942" i="5"/>
  <c r="F191" i="7" s="1"/>
  <c r="M942" i="5"/>
  <c r="N942"/>
  <c r="O942"/>
  <c r="P942"/>
  <c r="Q942"/>
  <c r="H942"/>
  <c r="R943"/>
  <c r="I1034"/>
  <c r="J1034"/>
  <c r="K1034"/>
  <c r="F202" i="7"/>
  <c r="M1034" i="5"/>
  <c r="N1034"/>
  <c r="O1034"/>
  <c r="P1034"/>
  <c r="Q1034"/>
  <c r="C202" i="7"/>
  <c r="R1036" i="5"/>
  <c r="D946" i="6"/>
  <c r="D945" s="1"/>
  <c r="E677"/>
  <c r="F677"/>
  <c r="G677"/>
  <c r="H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D679"/>
  <c r="C679" s="1"/>
  <c r="D680"/>
  <c r="C680" s="1"/>
  <c r="D681"/>
  <c r="C681" s="1"/>
  <c r="D682"/>
  <c r="C682" s="1"/>
  <c r="D683"/>
  <c r="C683" s="1"/>
  <c r="D684"/>
  <c r="C684" s="1"/>
  <c r="D685"/>
  <c r="C685" s="1"/>
  <c r="D686"/>
  <c r="C686" s="1"/>
  <c r="D687"/>
  <c r="C687" s="1"/>
  <c r="D689"/>
  <c r="C689" s="1"/>
  <c r="D690"/>
  <c r="C690" s="1"/>
  <c r="D691"/>
  <c r="C691" s="1"/>
  <c r="D692"/>
  <c r="C692" s="1"/>
  <c r="D693"/>
  <c r="C693" s="1"/>
  <c r="D694"/>
  <c r="C694" s="1"/>
  <c r="D695"/>
  <c r="C695" s="1"/>
  <c r="D696"/>
  <c r="C696" s="1"/>
  <c r="D697"/>
  <c r="C697" s="1"/>
  <c r="D678"/>
  <c r="C678" s="1"/>
  <c r="I742" i="5"/>
  <c r="I728" s="1"/>
  <c r="J742"/>
  <c r="J728" s="1"/>
  <c r="K742"/>
  <c r="K728" s="1"/>
  <c r="L742"/>
  <c r="L728" s="1"/>
  <c r="M742"/>
  <c r="M728" s="1"/>
  <c r="N742"/>
  <c r="N728" s="1"/>
  <c r="O742"/>
  <c r="O728" s="1"/>
  <c r="H742"/>
  <c r="H728" s="1"/>
  <c r="R762"/>
  <c r="R761"/>
  <c r="R760"/>
  <c r="R759"/>
  <c r="R758"/>
  <c r="R757"/>
  <c r="R756"/>
  <c r="R755"/>
  <c r="R753"/>
  <c r="R752"/>
  <c r="R751"/>
  <c r="R750"/>
  <c r="R749"/>
  <c r="R748"/>
  <c r="R747"/>
  <c r="R746"/>
  <c r="R745"/>
  <c r="R744"/>
  <c r="R743"/>
  <c r="I419"/>
  <c r="I418" s="1"/>
  <c r="J419"/>
  <c r="J418" s="1"/>
  <c r="K419"/>
  <c r="K418" s="1"/>
  <c r="L419"/>
  <c r="L418" s="1"/>
  <c r="M419"/>
  <c r="M418" s="1"/>
  <c r="N419"/>
  <c r="N418" s="1"/>
  <c r="O419"/>
  <c r="P419"/>
  <c r="P418" s="1"/>
  <c r="Q419"/>
  <c r="Q418" s="1"/>
  <c r="H419"/>
  <c r="H418" s="1"/>
  <c r="W1024" i="6" l="1"/>
  <c r="W899"/>
  <c r="W743" s="1"/>
  <c r="C595"/>
  <c r="C594" s="1"/>
  <c r="D594"/>
  <c r="O436" i="5"/>
  <c r="O418" s="1"/>
  <c r="W628" i="6"/>
  <c r="D644"/>
  <c r="C640"/>
  <c r="C639" s="1"/>
  <c r="D910"/>
  <c r="C645"/>
  <c r="C644" s="1"/>
  <c r="D998"/>
  <c r="C97"/>
  <c r="D875"/>
  <c r="C136" i="7"/>
  <c r="D202"/>
  <c r="F136"/>
  <c r="H1034" i="5"/>
  <c r="L1034"/>
  <c r="D136" i="7"/>
  <c r="D920" i="6"/>
  <c r="C946"/>
  <c r="C945" s="1"/>
  <c r="C677"/>
  <c r="D677"/>
  <c r="E603"/>
  <c r="F603"/>
  <c r="G603"/>
  <c r="H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D605"/>
  <c r="C605" s="1"/>
  <c r="D604"/>
  <c r="C604" s="1"/>
  <c r="I607" i="5"/>
  <c r="J607"/>
  <c r="K607"/>
  <c r="L607"/>
  <c r="M607"/>
  <c r="N607"/>
  <c r="O607"/>
  <c r="P607"/>
  <c r="Q607"/>
  <c r="H607"/>
  <c r="R609"/>
  <c r="R608"/>
  <c r="E601" i="6"/>
  <c r="F601"/>
  <c r="G601"/>
  <c r="H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D602"/>
  <c r="C602" s="1"/>
  <c r="C601" s="1"/>
  <c r="I605" i="5"/>
  <c r="J605"/>
  <c r="K605"/>
  <c r="D110" i="7" s="1"/>
  <c r="L605" i="5"/>
  <c r="F110" i="7" s="1"/>
  <c r="M605" i="5"/>
  <c r="N605"/>
  <c r="O605"/>
  <c r="P605"/>
  <c r="Q605"/>
  <c r="H605"/>
  <c r="C110" i="7" s="1"/>
  <c r="R606" i="5"/>
  <c r="D1479" i="6"/>
  <c r="E1479"/>
  <c r="F1479"/>
  <c r="G1479"/>
  <c r="H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C1480"/>
  <c r="C1479" s="1"/>
  <c r="W596" l="1"/>
  <c r="W437" s="1"/>
  <c r="D111" i="7"/>
  <c r="C111"/>
  <c r="F111"/>
  <c r="D601" i="6"/>
  <c r="C603"/>
  <c r="D603"/>
  <c r="V273"/>
  <c r="E18" i="7" l="1"/>
  <c r="E183" i="6"/>
  <c r="F183"/>
  <c r="G183"/>
  <c r="H183"/>
  <c r="I183"/>
  <c r="J183"/>
  <c r="K183"/>
  <c r="L183"/>
  <c r="M183"/>
  <c r="N183"/>
  <c r="O183"/>
  <c r="P183"/>
  <c r="Q183"/>
  <c r="R183"/>
  <c r="S183"/>
  <c r="T183"/>
  <c r="U183"/>
  <c r="V183"/>
  <c r="X183"/>
  <c r="Y183"/>
  <c r="D184"/>
  <c r="C184" s="1"/>
  <c r="C183" s="1"/>
  <c r="I183" i="5"/>
  <c r="J183"/>
  <c r="K183"/>
  <c r="D20" i="7" s="1"/>
  <c r="L183" i="5"/>
  <c r="F20" i="7" s="1"/>
  <c r="M183" i="5"/>
  <c r="N183"/>
  <c r="O183"/>
  <c r="P183"/>
  <c r="Q183"/>
  <c r="H183"/>
  <c r="C20" i="7" s="1"/>
  <c r="R184" i="5"/>
  <c r="D1236" i="6"/>
  <c r="C1236" s="1"/>
  <c r="R1264" i="5"/>
  <c r="E329" i="6"/>
  <c r="F329"/>
  <c r="G329"/>
  <c r="H329"/>
  <c r="I329"/>
  <c r="J329"/>
  <c r="K329"/>
  <c r="L329"/>
  <c r="M329"/>
  <c r="N329"/>
  <c r="O329"/>
  <c r="P329"/>
  <c r="Q329"/>
  <c r="R329"/>
  <c r="S329"/>
  <c r="T329"/>
  <c r="U329"/>
  <c r="V329"/>
  <c r="X329"/>
  <c r="Y329"/>
  <c r="E288"/>
  <c r="F288"/>
  <c r="G288"/>
  <c r="H288"/>
  <c r="I288"/>
  <c r="J288"/>
  <c r="K288"/>
  <c r="L288"/>
  <c r="M288"/>
  <c r="N288"/>
  <c r="O288"/>
  <c r="P288"/>
  <c r="Q288"/>
  <c r="R288"/>
  <c r="S288"/>
  <c r="T288"/>
  <c r="U288"/>
  <c r="V288"/>
  <c r="X288"/>
  <c r="Y288"/>
  <c r="D63" i="7"/>
  <c r="F63"/>
  <c r="C63"/>
  <c r="I284" i="5"/>
  <c r="J284"/>
  <c r="K284"/>
  <c r="D53" i="7" s="1"/>
  <c r="M284" i="5"/>
  <c r="N284"/>
  <c r="O284"/>
  <c r="P284"/>
  <c r="Q284"/>
  <c r="H284"/>
  <c r="C53" i="7" s="1"/>
  <c r="E608" i="6"/>
  <c r="F608"/>
  <c r="G608"/>
  <c r="H608"/>
  <c r="I608"/>
  <c r="J608"/>
  <c r="K608"/>
  <c r="L608"/>
  <c r="M608"/>
  <c r="N608"/>
  <c r="O608"/>
  <c r="P608"/>
  <c r="Q608"/>
  <c r="R608"/>
  <c r="S608"/>
  <c r="T608"/>
  <c r="U608"/>
  <c r="V608"/>
  <c r="X608"/>
  <c r="Y608"/>
  <c r="E215"/>
  <c r="F215"/>
  <c r="G215"/>
  <c r="H215"/>
  <c r="I215"/>
  <c r="J215"/>
  <c r="K215"/>
  <c r="L215"/>
  <c r="M215"/>
  <c r="N215"/>
  <c r="O215"/>
  <c r="P215"/>
  <c r="Q215"/>
  <c r="R215"/>
  <c r="S215"/>
  <c r="T215"/>
  <c r="U215"/>
  <c r="V215"/>
  <c r="X215"/>
  <c r="Y215"/>
  <c r="D609"/>
  <c r="C609" s="1"/>
  <c r="C608" s="1"/>
  <c r="I612" i="5"/>
  <c r="J612"/>
  <c r="K612"/>
  <c r="L612"/>
  <c r="M612"/>
  <c r="N612"/>
  <c r="O612"/>
  <c r="P612"/>
  <c r="Q612"/>
  <c r="H612"/>
  <c r="I215"/>
  <c r="J215"/>
  <c r="K215"/>
  <c r="L215"/>
  <c r="M215"/>
  <c r="N215"/>
  <c r="O215"/>
  <c r="P215"/>
  <c r="Q215"/>
  <c r="H215"/>
  <c r="R613"/>
  <c r="E543" i="6"/>
  <c r="F543"/>
  <c r="G543"/>
  <c r="H543"/>
  <c r="I543"/>
  <c r="J543"/>
  <c r="K543"/>
  <c r="L543"/>
  <c r="M543"/>
  <c r="N543"/>
  <c r="O543"/>
  <c r="P543"/>
  <c r="Q543"/>
  <c r="R543"/>
  <c r="S543"/>
  <c r="T543"/>
  <c r="U543"/>
  <c r="V543"/>
  <c r="X543"/>
  <c r="Y543"/>
  <c r="E814"/>
  <c r="F814"/>
  <c r="G814"/>
  <c r="H814"/>
  <c r="I814"/>
  <c r="J814"/>
  <c r="N814"/>
  <c r="O814"/>
  <c r="P814"/>
  <c r="Q814"/>
  <c r="R814"/>
  <c r="S814"/>
  <c r="T814"/>
  <c r="U814"/>
  <c r="V814"/>
  <c r="Y814"/>
  <c r="I547" i="5"/>
  <c r="J547"/>
  <c r="K547"/>
  <c r="L547"/>
  <c r="P547"/>
  <c r="Q547"/>
  <c r="H547"/>
  <c r="D183" i="6" l="1"/>
  <c r="D608"/>
  <c r="D216"/>
  <c r="R216" i="5"/>
  <c r="F113" i="7"/>
  <c r="D113"/>
  <c r="C113"/>
  <c r="E191" i="6"/>
  <c r="F191"/>
  <c r="G191"/>
  <c r="H191"/>
  <c r="I191"/>
  <c r="J191"/>
  <c r="K191"/>
  <c r="L191"/>
  <c r="M191"/>
  <c r="N191"/>
  <c r="O191"/>
  <c r="P191"/>
  <c r="Q191"/>
  <c r="R191"/>
  <c r="S191"/>
  <c r="T191"/>
  <c r="U191"/>
  <c r="V191"/>
  <c r="X191"/>
  <c r="Y191"/>
  <c r="E858"/>
  <c r="F858"/>
  <c r="G858"/>
  <c r="H858"/>
  <c r="I858"/>
  <c r="J858"/>
  <c r="K858"/>
  <c r="L858"/>
  <c r="M858"/>
  <c r="N858"/>
  <c r="O858"/>
  <c r="P858"/>
  <c r="Q858"/>
  <c r="R858"/>
  <c r="S858"/>
  <c r="T858"/>
  <c r="U858"/>
  <c r="V858"/>
  <c r="X858"/>
  <c r="Y858"/>
  <c r="I191" i="5"/>
  <c r="J191"/>
  <c r="K191"/>
  <c r="D24" i="7" s="1"/>
  <c r="L191" i="5"/>
  <c r="F24" i="7" s="1"/>
  <c r="M191" i="5"/>
  <c r="N191"/>
  <c r="O191"/>
  <c r="P191"/>
  <c r="Q191"/>
  <c r="H191"/>
  <c r="C24" i="7" s="1"/>
  <c r="I880" i="5"/>
  <c r="J880"/>
  <c r="K880"/>
  <c r="L880"/>
  <c r="M880"/>
  <c r="N880"/>
  <c r="O880"/>
  <c r="P880"/>
  <c r="Q880"/>
  <c r="H880"/>
  <c r="C171" i="7" s="1"/>
  <c r="E77"/>
  <c r="E145"/>
  <c r="D811" i="6"/>
  <c r="C811" s="1"/>
  <c r="D810"/>
  <c r="C810" s="1"/>
  <c r="D809"/>
  <c r="C809" s="1"/>
  <c r="D808"/>
  <c r="C808" s="1"/>
  <c r="D556"/>
  <c r="C556" s="1"/>
  <c r="D555"/>
  <c r="C555" s="1"/>
  <c r="D554"/>
  <c r="C554" s="1"/>
  <c r="D553"/>
  <c r="C553" s="1"/>
  <c r="R833" i="5"/>
  <c r="O833"/>
  <c r="R832"/>
  <c r="O832"/>
  <c r="R831"/>
  <c r="O831"/>
  <c r="R830"/>
  <c r="O830"/>
  <c r="R560"/>
  <c r="O560"/>
  <c r="R559"/>
  <c r="O559"/>
  <c r="R558"/>
  <c r="O558"/>
  <c r="R557"/>
  <c r="O557"/>
  <c r="D380" i="6"/>
  <c r="C380" s="1"/>
  <c r="D381"/>
  <c r="C381" s="1"/>
  <c r="P357" i="5"/>
  <c r="P358"/>
  <c r="P359"/>
  <c r="P360"/>
  <c r="P361"/>
  <c r="R358"/>
  <c r="R359"/>
  <c r="R360"/>
  <c r="R361"/>
  <c r="R357"/>
  <c r="E1566" i="6"/>
  <c r="F1566"/>
  <c r="G1566"/>
  <c r="H1566"/>
  <c r="I1566"/>
  <c r="J1566"/>
  <c r="K1566"/>
  <c r="L1566"/>
  <c r="M1566"/>
  <c r="N1566"/>
  <c r="O1566"/>
  <c r="P1566"/>
  <c r="Q1566"/>
  <c r="R1566"/>
  <c r="S1566"/>
  <c r="T1566"/>
  <c r="U1566"/>
  <c r="V1566"/>
  <c r="X1566"/>
  <c r="Y1566"/>
  <c r="E1563"/>
  <c r="F1563"/>
  <c r="G1563"/>
  <c r="H1563"/>
  <c r="I1563"/>
  <c r="J1563"/>
  <c r="K1563"/>
  <c r="L1563"/>
  <c r="M1563"/>
  <c r="N1563"/>
  <c r="O1563"/>
  <c r="P1563"/>
  <c r="Q1563"/>
  <c r="R1563"/>
  <c r="S1563"/>
  <c r="T1563"/>
  <c r="U1563"/>
  <c r="V1563"/>
  <c r="X1563"/>
  <c r="Y1563"/>
  <c r="E1509"/>
  <c r="F1509"/>
  <c r="G1509"/>
  <c r="H1509"/>
  <c r="I1509"/>
  <c r="J1509"/>
  <c r="K1509"/>
  <c r="L1509"/>
  <c r="M1509"/>
  <c r="N1509"/>
  <c r="O1509"/>
  <c r="P1509"/>
  <c r="Q1509"/>
  <c r="R1509"/>
  <c r="S1509"/>
  <c r="T1509"/>
  <c r="U1509"/>
  <c r="V1509"/>
  <c r="X1509"/>
  <c r="Y1509"/>
  <c r="E1404"/>
  <c r="F1404"/>
  <c r="G1404"/>
  <c r="H1404"/>
  <c r="I1404"/>
  <c r="J1404"/>
  <c r="K1404"/>
  <c r="L1404"/>
  <c r="M1404"/>
  <c r="N1404"/>
  <c r="O1404"/>
  <c r="P1404"/>
  <c r="Q1404"/>
  <c r="R1404"/>
  <c r="S1404"/>
  <c r="T1404"/>
  <c r="U1404"/>
  <c r="V1404"/>
  <c r="X1404"/>
  <c r="Y1404"/>
  <c r="O981"/>
  <c r="P981"/>
  <c r="X981"/>
  <c r="Y981"/>
  <c r="D979"/>
  <c r="E979"/>
  <c r="F979"/>
  <c r="G979"/>
  <c r="H979"/>
  <c r="I979"/>
  <c r="J979"/>
  <c r="K979"/>
  <c r="L979"/>
  <c r="M979"/>
  <c r="N979"/>
  <c r="O979"/>
  <c r="P979"/>
  <c r="Q979"/>
  <c r="R979"/>
  <c r="S979"/>
  <c r="T979"/>
  <c r="U979"/>
  <c r="V979"/>
  <c r="X979"/>
  <c r="Y979"/>
  <c r="E974"/>
  <c r="F974"/>
  <c r="G974"/>
  <c r="H974"/>
  <c r="I974"/>
  <c r="J974"/>
  <c r="K974"/>
  <c r="L974"/>
  <c r="M974"/>
  <c r="N974"/>
  <c r="O974"/>
  <c r="P974"/>
  <c r="Q974"/>
  <c r="R974"/>
  <c r="S974"/>
  <c r="T974"/>
  <c r="U974"/>
  <c r="V974"/>
  <c r="X974"/>
  <c r="Y974"/>
  <c r="E927"/>
  <c r="F927"/>
  <c r="G927"/>
  <c r="H927"/>
  <c r="I927"/>
  <c r="J927"/>
  <c r="K927"/>
  <c r="L927"/>
  <c r="M927"/>
  <c r="N927"/>
  <c r="O927"/>
  <c r="P927"/>
  <c r="Q927"/>
  <c r="R927"/>
  <c r="S927"/>
  <c r="T927"/>
  <c r="U927"/>
  <c r="V927"/>
  <c r="X927"/>
  <c r="Y927"/>
  <c r="E654"/>
  <c r="F654"/>
  <c r="G654"/>
  <c r="H654"/>
  <c r="I654"/>
  <c r="J654"/>
  <c r="K654"/>
  <c r="L654"/>
  <c r="M654"/>
  <c r="N654"/>
  <c r="O654"/>
  <c r="P654"/>
  <c r="Q654"/>
  <c r="R654"/>
  <c r="S654"/>
  <c r="T654"/>
  <c r="U654"/>
  <c r="V654"/>
  <c r="X654"/>
  <c r="Y654"/>
  <c r="D715"/>
  <c r="E715"/>
  <c r="F715"/>
  <c r="G715"/>
  <c r="H715"/>
  <c r="I715"/>
  <c r="J715"/>
  <c r="K715"/>
  <c r="L715"/>
  <c r="M715"/>
  <c r="N715"/>
  <c r="O715"/>
  <c r="P715"/>
  <c r="Q715"/>
  <c r="R715"/>
  <c r="S715"/>
  <c r="T715"/>
  <c r="U715"/>
  <c r="V715"/>
  <c r="X715"/>
  <c r="Y715"/>
  <c r="E712"/>
  <c r="F712"/>
  <c r="G712"/>
  <c r="H712"/>
  <c r="I712"/>
  <c r="J712"/>
  <c r="K712"/>
  <c r="L712"/>
  <c r="M712"/>
  <c r="N712"/>
  <c r="O712"/>
  <c r="P712"/>
  <c r="Q712"/>
  <c r="R712"/>
  <c r="S712"/>
  <c r="T712"/>
  <c r="U712"/>
  <c r="V712"/>
  <c r="X712"/>
  <c r="Y712"/>
  <c r="E707"/>
  <c r="F707"/>
  <c r="G707"/>
  <c r="H707"/>
  <c r="I707"/>
  <c r="J707"/>
  <c r="K707"/>
  <c r="L707"/>
  <c r="M707"/>
  <c r="N707"/>
  <c r="O707"/>
  <c r="P707"/>
  <c r="Q707"/>
  <c r="R707"/>
  <c r="S707"/>
  <c r="T707"/>
  <c r="U707"/>
  <c r="V707"/>
  <c r="X707"/>
  <c r="Y707"/>
  <c r="E591"/>
  <c r="F591"/>
  <c r="G591"/>
  <c r="H591"/>
  <c r="I591"/>
  <c r="J591"/>
  <c r="K591"/>
  <c r="L591"/>
  <c r="M591"/>
  <c r="N591"/>
  <c r="O591"/>
  <c r="P591"/>
  <c r="Q591"/>
  <c r="R591"/>
  <c r="S591"/>
  <c r="T591"/>
  <c r="U591"/>
  <c r="V591"/>
  <c r="X591"/>
  <c r="Y591"/>
  <c r="E391"/>
  <c r="F391"/>
  <c r="G391"/>
  <c r="H391"/>
  <c r="I391"/>
  <c r="J391"/>
  <c r="K391"/>
  <c r="L391"/>
  <c r="M391"/>
  <c r="N391"/>
  <c r="O391"/>
  <c r="P391"/>
  <c r="Q391"/>
  <c r="R391"/>
  <c r="S391"/>
  <c r="T391"/>
  <c r="U391"/>
  <c r="V391"/>
  <c r="X391"/>
  <c r="Y391"/>
  <c r="E281"/>
  <c r="F281"/>
  <c r="G281"/>
  <c r="H281"/>
  <c r="I281"/>
  <c r="J281"/>
  <c r="K281"/>
  <c r="L281"/>
  <c r="M281"/>
  <c r="N281"/>
  <c r="O281"/>
  <c r="P281"/>
  <c r="Q281"/>
  <c r="R281"/>
  <c r="S281"/>
  <c r="T281"/>
  <c r="U281"/>
  <c r="V281"/>
  <c r="X281"/>
  <c r="Y281"/>
  <c r="E389"/>
  <c r="F389"/>
  <c r="G389"/>
  <c r="H389"/>
  <c r="I389"/>
  <c r="J389"/>
  <c r="K389"/>
  <c r="L389"/>
  <c r="M389"/>
  <c r="N389"/>
  <c r="O389"/>
  <c r="P389"/>
  <c r="Q389"/>
  <c r="R389"/>
  <c r="S389"/>
  <c r="T389"/>
  <c r="U389"/>
  <c r="V389"/>
  <c r="X389"/>
  <c r="Y389"/>
  <c r="E355"/>
  <c r="F355"/>
  <c r="G355"/>
  <c r="H355"/>
  <c r="I355"/>
  <c r="J355"/>
  <c r="K355"/>
  <c r="L355"/>
  <c r="M355"/>
  <c r="N355"/>
  <c r="O355"/>
  <c r="P355"/>
  <c r="Q355"/>
  <c r="R355"/>
  <c r="S355"/>
  <c r="T355"/>
  <c r="U355"/>
  <c r="V355"/>
  <c r="X355"/>
  <c r="Y355"/>
  <c r="I1594" i="5"/>
  <c r="J1594"/>
  <c r="K1594"/>
  <c r="D280" i="7" s="1"/>
  <c r="M1594" i="5"/>
  <c r="N1594"/>
  <c r="Q1594"/>
  <c r="H1594"/>
  <c r="C280" i="7" s="1"/>
  <c r="I1537" i="5"/>
  <c r="J1537"/>
  <c r="K1537"/>
  <c r="D265" i="7" s="1"/>
  <c r="L1537" i="5"/>
  <c r="F265" i="7" s="1"/>
  <c r="M1537" i="5"/>
  <c r="N1537"/>
  <c r="O1537"/>
  <c r="Q1537"/>
  <c r="H1537"/>
  <c r="C265" i="7" s="1"/>
  <c r="I1591" i="5"/>
  <c r="J1591"/>
  <c r="K1591"/>
  <c r="D279" i="7" s="1"/>
  <c r="L1591" i="5"/>
  <c r="F279" i="7" s="1"/>
  <c r="M1591" i="5"/>
  <c r="N1591"/>
  <c r="P1591"/>
  <c r="Q1591"/>
  <c r="H1591"/>
  <c r="C279" i="7" s="1"/>
  <c r="D275"/>
  <c r="F275"/>
  <c r="C275"/>
  <c r="I1432" i="5"/>
  <c r="J1432"/>
  <c r="K1432"/>
  <c r="D240" i="7" s="1"/>
  <c r="L1432" i="5"/>
  <c r="F240" i="7" s="1"/>
  <c r="M1432" i="5"/>
  <c r="N1432"/>
  <c r="P1432"/>
  <c r="Q1432"/>
  <c r="H1432"/>
  <c r="C240" i="7" s="1"/>
  <c r="I989" i="5"/>
  <c r="J989"/>
  <c r="K989"/>
  <c r="D208" i="7" s="1"/>
  <c r="L989" i="5"/>
  <c r="F208" i="7" s="1"/>
  <c r="M989" i="5"/>
  <c r="N989"/>
  <c r="O989"/>
  <c r="P989"/>
  <c r="Q989"/>
  <c r="H989"/>
  <c r="C208" i="7" s="1"/>
  <c r="I944" i="5"/>
  <c r="J944"/>
  <c r="K944"/>
  <c r="D192" i="7" s="1"/>
  <c r="L944" i="5"/>
  <c r="F192" i="7" s="1"/>
  <c r="M944" i="5"/>
  <c r="N944"/>
  <c r="O944"/>
  <c r="P944"/>
  <c r="Q944"/>
  <c r="H944"/>
  <c r="C192" i="7" s="1"/>
  <c r="I987" i="5"/>
  <c r="J987"/>
  <c r="K987"/>
  <c r="D207" i="7" s="1"/>
  <c r="L987" i="5"/>
  <c r="F207" i="7" s="1"/>
  <c r="M987" i="5"/>
  <c r="N987"/>
  <c r="P987"/>
  <c r="Q987"/>
  <c r="H987"/>
  <c r="C207" i="7" s="1"/>
  <c r="I982" i="5"/>
  <c r="J982"/>
  <c r="K982"/>
  <c r="D204" i="7" s="1"/>
  <c r="L982" i="5"/>
  <c r="F204" i="7" s="1"/>
  <c r="M982" i="5"/>
  <c r="N982"/>
  <c r="O982"/>
  <c r="P982"/>
  <c r="Q982"/>
  <c r="H982"/>
  <c r="C204" i="7" s="1"/>
  <c r="D171"/>
  <c r="F171"/>
  <c r="I696" i="5"/>
  <c r="J696"/>
  <c r="K696"/>
  <c r="D142" i="7" s="1"/>
  <c r="L696" i="5"/>
  <c r="F142" i="7" s="1"/>
  <c r="M696" i="5"/>
  <c r="N696"/>
  <c r="O696"/>
  <c r="P696"/>
  <c r="Q696"/>
  <c r="H696"/>
  <c r="C142" i="7" s="1"/>
  <c r="I656" i="5"/>
  <c r="J656"/>
  <c r="K656"/>
  <c r="D127" i="7" s="1"/>
  <c r="L656" i="5"/>
  <c r="F127" i="7" s="1"/>
  <c r="M656" i="5"/>
  <c r="N656"/>
  <c r="O656"/>
  <c r="P656"/>
  <c r="Q656"/>
  <c r="H656"/>
  <c r="C127" i="7" s="1"/>
  <c r="I693" i="5"/>
  <c r="J693"/>
  <c r="K693"/>
  <c r="D141" i="7" s="1"/>
  <c r="L693" i="5"/>
  <c r="F141" i="7" s="1"/>
  <c r="M693" i="5"/>
  <c r="N693"/>
  <c r="O693"/>
  <c r="P693"/>
  <c r="Q693"/>
  <c r="H693"/>
  <c r="C141" i="7" s="1"/>
  <c r="I688" i="5"/>
  <c r="J688"/>
  <c r="K688"/>
  <c r="D138" i="7" s="1"/>
  <c r="L688" i="5"/>
  <c r="F138" i="7" s="1"/>
  <c r="M688" i="5"/>
  <c r="N688"/>
  <c r="O688"/>
  <c r="P688"/>
  <c r="Q688"/>
  <c r="H688"/>
  <c r="C138" i="7" s="1"/>
  <c r="I597" i="5"/>
  <c r="J597"/>
  <c r="K597"/>
  <c r="D105" i="7" s="1"/>
  <c r="L597" i="5"/>
  <c r="F105" i="7" s="1"/>
  <c r="M597" i="5"/>
  <c r="N597"/>
  <c r="O597"/>
  <c r="P597"/>
  <c r="Q597"/>
  <c r="H597"/>
  <c r="C105" i="7" s="1"/>
  <c r="I370" i="5"/>
  <c r="J370"/>
  <c r="K370"/>
  <c r="D73" i="7" s="1"/>
  <c r="L370" i="5"/>
  <c r="F73" i="7" s="1"/>
  <c r="M370" i="5"/>
  <c r="N370"/>
  <c r="O370"/>
  <c r="P370"/>
  <c r="Q370"/>
  <c r="H370"/>
  <c r="C73" i="7" s="1"/>
  <c r="I277" i="5"/>
  <c r="J277"/>
  <c r="K277"/>
  <c r="D50" i="7" s="1"/>
  <c r="L277" i="5"/>
  <c r="F50" i="7" s="1"/>
  <c r="M277" i="5"/>
  <c r="N277"/>
  <c r="O277"/>
  <c r="P277"/>
  <c r="Q277"/>
  <c r="H277"/>
  <c r="C50" i="7" s="1"/>
  <c r="I368" i="5"/>
  <c r="J368"/>
  <c r="K368"/>
  <c r="D72" i="7" s="1"/>
  <c r="L368" i="5"/>
  <c r="F72" i="7" s="1"/>
  <c r="M368" i="5"/>
  <c r="N368"/>
  <c r="O368"/>
  <c r="P368"/>
  <c r="Q368"/>
  <c r="H368"/>
  <c r="C72" i="7" s="1"/>
  <c r="I334" i="5"/>
  <c r="J334"/>
  <c r="K334"/>
  <c r="D65" i="7" s="1"/>
  <c r="L334" i="5"/>
  <c r="F65" i="7" s="1"/>
  <c r="M334" i="5"/>
  <c r="N334"/>
  <c r="O334"/>
  <c r="P334"/>
  <c r="Q334"/>
  <c r="H334"/>
  <c r="C65" i="7" s="1"/>
  <c r="E916" i="6"/>
  <c r="F916"/>
  <c r="G916"/>
  <c r="H916"/>
  <c r="I916"/>
  <c r="J916"/>
  <c r="K916"/>
  <c r="L916"/>
  <c r="M916"/>
  <c r="N916"/>
  <c r="O916"/>
  <c r="P916"/>
  <c r="Q916"/>
  <c r="R916"/>
  <c r="S916"/>
  <c r="T916"/>
  <c r="U916"/>
  <c r="V916"/>
  <c r="X916"/>
  <c r="Y916"/>
  <c r="D917"/>
  <c r="C917" s="1"/>
  <c r="C916" s="1"/>
  <c r="I938" i="5"/>
  <c r="J938"/>
  <c r="K938"/>
  <c r="D189" i="7" s="1"/>
  <c r="L938" i="5"/>
  <c r="F189" i="7" s="1"/>
  <c r="M938" i="5"/>
  <c r="N938"/>
  <c r="O938"/>
  <c r="P938"/>
  <c r="Q938"/>
  <c r="H938"/>
  <c r="C189" i="7" s="1"/>
  <c r="R939" i="5"/>
  <c r="D1311" i="6"/>
  <c r="C1311" s="1"/>
  <c r="D1312"/>
  <c r="C1312" s="1"/>
  <c r="D1313"/>
  <c r="C1313" s="1"/>
  <c r="D1314"/>
  <c r="C1314" s="1"/>
  <c r="D1315"/>
  <c r="C1315" s="1"/>
  <c r="D1316"/>
  <c r="C1316" s="1"/>
  <c r="D1317"/>
  <c r="C1317" s="1"/>
  <c r="D1318"/>
  <c r="C1318" s="1"/>
  <c r="D1319"/>
  <c r="C1319" s="1"/>
  <c r="D1320"/>
  <c r="C1320" s="1"/>
  <c r="D1321"/>
  <c r="C1321" s="1"/>
  <c r="D1322"/>
  <c r="C1322" s="1"/>
  <c r="D1323"/>
  <c r="C1323" s="1"/>
  <c r="D1324"/>
  <c r="C1324" s="1"/>
  <c r="D1325"/>
  <c r="C1325" s="1"/>
  <c r="D1326"/>
  <c r="C1326" s="1"/>
  <c r="D1327"/>
  <c r="C1327" s="1"/>
  <c r="D1328"/>
  <c r="C1328" s="1"/>
  <c r="D1329"/>
  <c r="C1329" s="1"/>
  <c r="D1330"/>
  <c r="C1330" s="1"/>
  <c r="D1331"/>
  <c r="C1331" s="1"/>
  <c r="D1332"/>
  <c r="C1332" s="1"/>
  <c r="D1333"/>
  <c r="C1333" s="1"/>
  <c r="D1310"/>
  <c r="C1310" s="1"/>
  <c r="C216" l="1"/>
  <c r="C215" s="1"/>
  <c r="D215"/>
  <c r="D916"/>
  <c r="E1347"/>
  <c r="F1347"/>
  <c r="G1347"/>
  <c r="H1347"/>
  <c r="I1347"/>
  <c r="J1347"/>
  <c r="K1347"/>
  <c r="L1347"/>
  <c r="M1347"/>
  <c r="N1347"/>
  <c r="O1347"/>
  <c r="P1347"/>
  <c r="Q1347"/>
  <c r="R1347"/>
  <c r="S1347"/>
  <c r="T1347"/>
  <c r="U1347"/>
  <c r="V1347"/>
  <c r="X1347"/>
  <c r="Y1347"/>
  <c r="E820"/>
  <c r="F820"/>
  <c r="G820"/>
  <c r="H820"/>
  <c r="I820"/>
  <c r="J820"/>
  <c r="K820"/>
  <c r="L820"/>
  <c r="M820"/>
  <c r="N820"/>
  <c r="O820"/>
  <c r="P820"/>
  <c r="Q820"/>
  <c r="R820"/>
  <c r="S820"/>
  <c r="T820"/>
  <c r="U820"/>
  <c r="V820"/>
  <c r="X820"/>
  <c r="Y820"/>
  <c r="E564"/>
  <c r="F564"/>
  <c r="G564"/>
  <c r="H564"/>
  <c r="I564"/>
  <c r="J564"/>
  <c r="K564"/>
  <c r="L564"/>
  <c r="M564"/>
  <c r="N564"/>
  <c r="O564"/>
  <c r="P564"/>
  <c r="Q564"/>
  <c r="R564"/>
  <c r="S564"/>
  <c r="T564"/>
  <c r="U564"/>
  <c r="V564"/>
  <c r="X564"/>
  <c r="Y564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X146"/>
  <c r="Y146"/>
  <c r="I1375" i="5"/>
  <c r="J1375"/>
  <c r="K1375"/>
  <c r="D230" i="7" s="1"/>
  <c r="L1375" i="5"/>
  <c r="F230" i="7" s="1"/>
  <c r="M1375" i="5"/>
  <c r="N1375"/>
  <c r="Q1375"/>
  <c r="H1375"/>
  <c r="C230" i="7" s="1"/>
  <c r="I842" i="5"/>
  <c r="J842"/>
  <c r="K842"/>
  <c r="D161" i="7" s="1"/>
  <c r="L842" i="5"/>
  <c r="F161" i="7" s="1"/>
  <c r="M842" i="5"/>
  <c r="N842"/>
  <c r="P842"/>
  <c r="Q842"/>
  <c r="H842"/>
  <c r="C161" i="7" s="1"/>
  <c r="I568" i="5"/>
  <c r="J568"/>
  <c r="K568"/>
  <c r="D96" i="7" s="1"/>
  <c r="L568" i="5"/>
  <c r="F96" i="7" s="1"/>
  <c r="M568" i="5"/>
  <c r="N568"/>
  <c r="O568"/>
  <c r="P568"/>
  <c r="Q568"/>
  <c r="H568"/>
  <c r="C96" i="7" s="1"/>
  <c r="I146" i="5"/>
  <c r="J146"/>
  <c r="K146"/>
  <c r="D14" i="7" s="1"/>
  <c r="L146" i="5"/>
  <c r="F14" i="7" s="1"/>
  <c r="M146" i="5"/>
  <c r="N146"/>
  <c r="O146"/>
  <c r="P146"/>
  <c r="Q146"/>
  <c r="H146"/>
  <c r="C14" i="7" s="1"/>
  <c r="D670" i="6"/>
  <c r="C670" s="1"/>
  <c r="D671"/>
  <c r="C671" s="1"/>
  <c r="D672"/>
  <c r="C672" s="1"/>
  <c r="D318"/>
  <c r="C318" s="1"/>
  <c r="D316"/>
  <c r="R674" i="5"/>
  <c r="R672"/>
  <c r="L673"/>
  <c r="R673" s="1"/>
  <c r="R314"/>
  <c r="R312"/>
  <c r="C316" i="6" l="1"/>
  <c r="E1520"/>
  <c r="F1520"/>
  <c r="G1520"/>
  <c r="H1520"/>
  <c r="I1520"/>
  <c r="J1520"/>
  <c r="K1520"/>
  <c r="L1520"/>
  <c r="M1520"/>
  <c r="N1520"/>
  <c r="O1520"/>
  <c r="P1520"/>
  <c r="Q1520"/>
  <c r="R1520"/>
  <c r="S1520"/>
  <c r="T1520"/>
  <c r="U1520"/>
  <c r="V1520"/>
  <c r="X1520"/>
  <c r="Y1520"/>
  <c r="I1548" i="5"/>
  <c r="J1548"/>
  <c r="K1548"/>
  <c r="M1548"/>
  <c r="N1548"/>
  <c r="O1548"/>
  <c r="Q1548"/>
  <c r="H1548"/>
  <c r="D1546" i="6"/>
  <c r="C1546" s="1"/>
  <c r="I1571" i="5"/>
  <c r="J1571"/>
  <c r="K1571"/>
  <c r="M1571"/>
  <c r="N1571"/>
  <c r="O1571"/>
  <c r="P1571"/>
  <c r="Q1571"/>
  <c r="H1571"/>
  <c r="R1574"/>
  <c r="E912" i="6"/>
  <c r="F912"/>
  <c r="G912"/>
  <c r="H912"/>
  <c r="I912"/>
  <c r="J912"/>
  <c r="K912"/>
  <c r="L912"/>
  <c r="M912"/>
  <c r="N912"/>
  <c r="O912"/>
  <c r="P912"/>
  <c r="Q912"/>
  <c r="R912"/>
  <c r="S912"/>
  <c r="T912"/>
  <c r="U912"/>
  <c r="V912"/>
  <c r="X912"/>
  <c r="Y912"/>
  <c r="I934" i="5"/>
  <c r="J934"/>
  <c r="K934"/>
  <c r="L934"/>
  <c r="M934"/>
  <c r="N934"/>
  <c r="P934"/>
  <c r="Q934"/>
  <c r="H934"/>
  <c r="R1348" l="1"/>
  <c r="O1348"/>
  <c r="L671"/>
  <c r="L670" s="1"/>
  <c r="F134" i="7" s="1"/>
  <c r="L313" i="5"/>
  <c r="L311" s="1"/>
  <c r="F59" i="7" s="1"/>
  <c r="E1463" i="6"/>
  <c r="E1450" s="1"/>
  <c r="F1463"/>
  <c r="F1450" s="1"/>
  <c r="G1463"/>
  <c r="G1450" s="1"/>
  <c r="H1463"/>
  <c r="H1450" s="1"/>
  <c r="I1463"/>
  <c r="I1450" s="1"/>
  <c r="J1463"/>
  <c r="J1450" s="1"/>
  <c r="K1463"/>
  <c r="K1450" s="1"/>
  <c r="L1463"/>
  <c r="L1450" s="1"/>
  <c r="M1463"/>
  <c r="M1450" s="1"/>
  <c r="N1463"/>
  <c r="N1450" s="1"/>
  <c r="O1463"/>
  <c r="O1450" s="1"/>
  <c r="P1463"/>
  <c r="P1450" s="1"/>
  <c r="Q1463"/>
  <c r="Q1450" s="1"/>
  <c r="R1463"/>
  <c r="R1450" s="1"/>
  <c r="S1463"/>
  <c r="S1450" s="1"/>
  <c r="T1463"/>
  <c r="T1450" s="1"/>
  <c r="U1463"/>
  <c r="U1450" s="1"/>
  <c r="V1463"/>
  <c r="V1450" s="1"/>
  <c r="X1463"/>
  <c r="X1450" s="1"/>
  <c r="Y1463"/>
  <c r="Y1450" s="1"/>
  <c r="I1491" i="5"/>
  <c r="J1491"/>
  <c r="K1491"/>
  <c r="L1491"/>
  <c r="M1491"/>
  <c r="N1491"/>
  <c r="O1491"/>
  <c r="P1491"/>
  <c r="Q1491"/>
  <c r="H1491"/>
  <c r="C1489" i="6"/>
  <c r="C1488"/>
  <c r="L1517" i="5"/>
  <c r="D339" i="6" l="1"/>
  <c r="C339" s="1"/>
  <c r="D340"/>
  <c r="C340" s="1"/>
  <c r="D341"/>
  <c r="C341" s="1"/>
  <c r="D342"/>
  <c r="C342" s="1"/>
  <c r="D343"/>
  <c r="C343" s="1"/>
  <c r="D344"/>
  <c r="C344" s="1"/>
  <c r="D345"/>
  <c r="C345" s="1"/>
  <c r="D338"/>
  <c r="C338" s="1"/>
  <c r="D331"/>
  <c r="C331" s="1"/>
  <c r="D332"/>
  <c r="C332" s="1"/>
  <c r="D333"/>
  <c r="C333" s="1"/>
  <c r="D334"/>
  <c r="C334" s="1"/>
  <c r="D335"/>
  <c r="C335" s="1"/>
  <c r="D336"/>
  <c r="C336" s="1"/>
  <c r="D337"/>
  <c r="C337" s="1"/>
  <c r="D330"/>
  <c r="C330" l="1"/>
  <c r="C329" s="1"/>
  <c r="D329"/>
  <c r="D1030"/>
  <c r="C1030" s="1"/>
  <c r="D1031"/>
  <c r="D1032"/>
  <c r="C1032" s="1"/>
  <c r="D1033"/>
  <c r="C1033" s="1"/>
  <c r="D1034"/>
  <c r="C1034" s="1"/>
  <c r="D1035"/>
  <c r="C1035" s="1"/>
  <c r="D1036"/>
  <c r="C1036" s="1"/>
  <c r="D1037"/>
  <c r="C1037" s="1"/>
  <c r="D1038"/>
  <c r="C1038" s="1"/>
  <c r="D1039"/>
  <c r="C1039" s="1"/>
  <c r="D1040"/>
  <c r="C1040" s="1"/>
  <c r="D1041"/>
  <c r="C1041" s="1"/>
  <c r="D1042"/>
  <c r="C1042" s="1"/>
  <c r="D1043"/>
  <c r="C1043" s="1"/>
  <c r="D1044"/>
  <c r="C1044" s="1"/>
  <c r="D1045"/>
  <c r="C1045" s="1"/>
  <c r="D1046"/>
  <c r="C1046" s="1"/>
  <c r="D1047"/>
  <c r="C1047" s="1"/>
  <c r="D1048"/>
  <c r="C1048" s="1"/>
  <c r="D1049"/>
  <c r="C1049" s="1"/>
  <c r="D1050"/>
  <c r="C1050" s="1"/>
  <c r="D1051"/>
  <c r="C1051" s="1"/>
  <c r="D1052"/>
  <c r="C1052" s="1"/>
  <c r="D1053"/>
  <c r="D1054"/>
  <c r="C1054" s="1"/>
  <c r="D1055"/>
  <c r="C1055" s="1"/>
  <c r="D1056"/>
  <c r="D1057"/>
  <c r="C1057" s="1"/>
  <c r="D1058"/>
  <c r="C1058" s="1"/>
  <c r="D1059"/>
  <c r="C1059" s="1"/>
  <c r="D1060"/>
  <c r="C1060" s="1"/>
  <c r="D1061"/>
  <c r="C1061" s="1"/>
  <c r="D1062"/>
  <c r="C1062" s="1"/>
  <c r="D1063"/>
  <c r="C1063" s="1"/>
  <c r="D1064"/>
  <c r="C1064" s="1"/>
  <c r="D1065"/>
  <c r="C1065" s="1"/>
  <c r="D1066"/>
  <c r="C1066" s="1"/>
  <c r="D1067"/>
  <c r="C1067" s="1"/>
  <c r="D1068"/>
  <c r="C1068" s="1"/>
  <c r="D1069"/>
  <c r="C1069" s="1"/>
  <c r="D1070"/>
  <c r="C1070" s="1"/>
  <c r="D1071"/>
  <c r="C1071" s="1"/>
  <c r="D1072"/>
  <c r="C1072" s="1"/>
  <c r="D1073"/>
  <c r="D1074"/>
  <c r="C1074" s="1"/>
  <c r="D1075"/>
  <c r="C1075" s="1"/>
  <c r="D1076"/>
  <c r="C1076" s="1"/>
  <c r="D1077"/>
  <c r="C1077" s="1"/>
  <c r="D1078"/>
  <c r="C1078" s="1"/>
  <c r="D1079"/>
  <c r="C1079" s="1"/>
  <c r="D1080"/>
  <c r="C1080" s="1"/>
  <c r="D1081"/>
  <c r="C1081" s="1"/>
  <c r="D1082"/>
  <c r="C1082" s="1"/>
  <c r="D1083"/>
  <c r="C1083" s="1"/>
  <c r="D1084"/>
  <c r="C1084" s="1"/>
  <c r="D1085"/>
  <c r="C1085" s="1"/>
  <c r="D1086"/>
  <c r="C1086" s="1"/>
  <c r="D1087"/>
  <c r="C1087" s="1"/>
  <c r="D1088"/>
  <c r="C1088" s="1"/>
  <c r="D1089"/>
  <c r="C1089" s="1"/>
  <c r="D1090"/>
  <c r="C1090" s="1"/>
  <c r="D1091"/>
  <c r="C1091" s="1"/>
  <c r="D1092"/>
  <c r="C1092" s="1"/>
  <c r="D1093"/>
  <c r="C1093" s="1"/>
  <c r="D1094"/>
  <c r="C1094" s="1"/>
  <c r="D1095"/>
  <c r="C1095" s="1"/>
  <c r="D1096"/>
  <c r="C1096" s="1"/>
  <c r="D1097"/>
  <c r="C1097" s="1"/>
  <c r="D1098"/>
  <c r="C1098" s="1"/>
  <c r="D1099"/>
  <c r="C1099" s="1"/>
  <c r="D1100"/>
  <c r="C1100" s="1"/>
  <c r="D1101"/>
  <c r="C1101" s="1"/>
  <c r="D1102"/>
  <c r="C1102" s="1"/>
  <c r="D1103"/>
  <c r="C1103" s="1"/>
  <c r="D1104"/>
  <c r="C1104" s="1"/>
  <c r="D1105"/>
  <c r="C1105" s="1"/>
  <c r="D1106"/>
  <c r="C1106" s="1"/>
  <c r="D1107"/>
  <c r="C1107" s="1"/>
  <c r="D1108"/>
  <c r="C1108" s="1"/>
  <c r="D1109"/>
  <c r="C1109" s="1"/>
  <c r="D1110"/>
  <c r="C1110" s="1"/>
  <c r="D1111"/>
  <c r="C1111" s="1"/>
  <c r="D1112"/>
  <c r="C1112" s="1"/>
  <c r="D1113"/>
  <c r="C1113" s="1"/>
  <c r="D1114"/>
  <c r="C1114" s="1"/>
  <c r="D1115"/>
  <c r="C1115" s="1"/>
  <c r="D1116"/>
  <c r="C1116" s="1"/>
  <c r="D1117"/>
  <c r="C1117" s="1"/>
  <c r="D1118"/>
  <c r="C1118" s="1"/>
  <c r="D1119"/>
  <c r="C1119" s="1"/>
  <c r="D1120"/>
  <c r="C1120" s="1"/>
  <c r="D1121"/>
  <c r="C1121" s="1"/>
  <c r="D1122"/>
  <c r="C1122" s="1"/>
  <c r="D1123"/>
  <c r="C1123" s="1"/>
  <c r="D1124"/>
  <c r="C1124" s="1"/>
  <c r="D1125"/>
  <c r="C1125" s="1"/>
  <c r="D1126"/>
  <c r="C1126" s="1"/>
  <c r="D1127"/>
  <c r="C1127" s="1"/>
  <c r="D1128"/>
  <c r="C1128" s="1"/>
  <c r="D1129"/>
  <c r="C1129" s="1"/>
  <c r="D1130"/>
  <c r="C1130" s="1"/>
  <c r="D1131"/>
  <c r="C1131" s="1"/>
  <c r="D1132"/>
  <c r="C1132" s="1"/>
  <c r="D1133"/>
  <c r="C1133" s="1"/>
  <c r="D1134"/>
  <c r="C1134" s="1"/>
  <c r="D1135"/>
  <c r="C1135" s="1"/>
  <c r="D1136"/>
  <c r="C1136" s="1"/>
  <c r="D1137"/>
  <c r="C1137" s="1"/>
  <c r="D1138"/>
  <c r="C1138" s="1"/>
  <c r="D1139"/>
  <c r="C1139" s="1"/>
  <c r="D1140"/>
  <c r="C1140" s="1"/>
  <c r="D1141"/>
  <c r="C1141" s="1"/>
  <c r="D1142"/>
  <c r="C1142" s="1"/>
  <c r="D1143"/>
  <c r="C1143" s="1"/>
  <c r="D1144"/>
  <c r="C1144" s="1"/>
  <c r="D1145"/>
  <c r="C1145" s="1"/>
  <c r="D1146"/>
  <c r="C1146" s="1"/>
  <c r="D1147"/>
  <c r="C1147" s="1"/>
  <c r="D1148"/>
  <c r="C1148" s="1"/>
  <c r="D1149"/>
  <c r="C1149" s="1"/>
  <c r="D1150"/>
  <c r="C1150" s="1"/>
  <c r="D1151"/>
  <c r="C1151" s="1"/>
  <c r="D1152"/>
  <c r="C1152" s="1"/>
  <c r="D1153"/>
  <c r="C1153" s="1"/>
  <c r="D1154"/>
  <c r="C1154" s="1"/>
  <c r="D1155"/>
  <c r="C1155" s="1"/>
  <c r="D1156"/>
  <c r="C1156" s="1"/>
  <c r="D1157"/>
  <c r="C1157" s="1"/>
  <c r="D1158"/>
  <c r="C1158" s="1"/>
  <c r="D1159"/>
  <c r="C1159" s="1"/>
  <c r="D1160"/>
  <c r="C1160" s="1"/>
  <c r="D1161"/>
  <c r="C1161" s="1"/>
  <c r="D1162"/>
  <c r="C1162" s="1"/>
  <c r="D1163"/>
  <c r="C1163" s="1"/>
  <c r="D1164"/>
  <c r="C1164" s="1"/>
  <c r="D1165"/>
  <c r="C1165" s="1"/>
  <c r="D1166"/>
  <c r="C1166" s="1"/>
  <c r="D1167"/>
  <c r="C1167" s="1"/>
  <c r="D1168"/>
  <c r="C1168" s="1"/>
  <c r="D1169"/>
  <c r="C1169" s="1"/>
  <c r="D1170"/>
  <c r="C1170" s="1"/>
  <c r="D1171"/>
  <c r="C1171" s="1"/>
  <c r="D1172"/>
  <c r="C1172" s="1"/>
  <c r="D1173"/>
  <c r="C1173" s="1"/>
  <c r="D1174"/>
  <c r="C1174" s="1"/>
  <c r="D1175"/>
  <c r="C1175" s="1"/>
  <c r="D1176"/>
  <c r="C1176" s="1"/>
  <c r="D1177"/>
  <c r="C1177" s="1"/>
  <c r="D1178"/>
  <c r="C1178" s="1"/>
  <c r="D1179"/>
  <c r="C1179" s="1"/>
  <c r="D1180"/>
  <c r="C1180" s="1"/>
  <c r="D1181"/>
  <c r="C1181" s="1"/>
  <c r="D1182"/>
  <c r="C1182" s="1"/>
  <c r="D1183"/>
  <c r="C1183" s="1"/>
  <c r="D1184"/>
  <c r="C1184" s="1"/>
  <c r="D1185"/>
  <c r="C1185" s="1"/>
  <c r="D1186"/>
  <c r="C1186" s="1"/>
  <c r="D1187"/>
  <c r="C1187" s="1"/>
  <c r="D1188"/>
  <c r="C1188" s="1"/>
  <c r="D1189"/>
  <c r="C1189" s="1"/>
  <c r="D1190"/>
  <c r="C1190" s="1"/>
  <c r="D1191"/>
  <c r="C1191" s="1"/>
  <c r="D1192"/>
  <c r="C1192" s="1"/>
  <c r="D1193"/>
  <c r="C1193" s="1"/>
  <c r="D1194"/>
  <c r="C1194" s="1"/>
  <c r="D1195"/>
  <c r="C1195" s="1"/>
  <c r="D1196"/>
  <c r="C1196" s="1"/>
  <c r="D1197"/>
  <c r="C1197" s="1"/>
  <c r="D1198"/>
  <c r="C1198" s="1"/>
  <c r="D1199"/>
  <c r="C1199" s="1"/>
  <c r="D1200"/>
  <c r="C1200" s="1"/>
  <c r="D1201"/>
  <c r="C1201" s="1"/>
  <c r="D1202"/>
  <c r="C1202" s="1"/>
  <c r="D1203"/>
  <c r="C1203" s="1"/>
  <c r="D1204"/>
  <c r="C1204" s="1"/>
  <c r="D1027"/>
  <c r="C1027" s="1"/>
  <c r="D1028"/>
  <c r="C1028" s="1"/>
  <c r="D1029"/>
  <c r="C1029" s="1"/>
  <c r="D1026"/>
  <c r="C1026" s="1"/>
  <c r="C1031"/>
  <c r="J1129" i="5"/>
  <c r="O1129"/>
  <c r="R1129"/>
  <c r="E1025" i="6"/>
  <c r="F1025"/>
  <c r="G1025"/>
  <c r="H1025"/>
  <c r="I1025"/>
  <c r="J1025"/>
  <c r="K1025"/>
  <c r="L1025"/>
  <c r="M1025"/>
  <c r="N1025"/>
  <c r="O1025"/>
  <c r="P1025"/>
  <c r="Q1025"/>
  <c r="R1025"/>
  <c r="S1025"/>
  <c r="T1025"/>
  <c r="U1025"/>
  <c r="V1025"/>
  <c r="Y1025"/>
  <c r="D746" l="1"/>
  <c r="C746" s="1"/>
  <c r="D747"/>
  <c r="C747" s="1"/>
  <c r="D748"/>
  <c r="C748" s="1"/>
  <c r="D749"/>
  <c r="C749" s="1"/>
  <c r="D750"/>
  <c r="C750" s="1"/>
  <c r="D751"/>
  <c r="C751" s="1"/>
  <c r="D752"/>
  <c r="C752" s="1"/>
  <c r="D753"/>
  <c r="C753" s="1"/>
  <c r="D754"/>
  <c r="C754" s="1"/>
  <c r="D755"/>
  <c r="C755" s="1"/>
  <c r="D756"/>
  <c r="C756" s="1"/>
  <c r="D757"/>
  <c r="C757" s="1"/>
  <c r="D758"/>
  <c r="C758" s="1"/>
  <c r="D759"/>
  <c r="C759" s="1"/>
  <c r="D760"/>
  <c r="C760" s="1"/>
  <c r="D761"/>
  <c r="C761" s="1"/>
  <c r="D762"/>
  <c r="C762" s="1"/>
  <c r="D763"/>
  <c r="C763" s="1"/>
  <c r="D764"/>
  <c r="C764" s="1"/>
  <c r="D765"/>
  <c r="C765" s="1"/>
  <c r="D440"/>
  <c r="C440" s="1"/>
  <c r="D441"/>
  <c r="C441" s="1"/>
  <c r="D442"/>
  <c r="C442" s="1"/>
  <c r="D443"/>
  <c r="C443" s="1"/>
  <c r="D444"/>
  <c r="C444" s="1"/>
  <c r="D445"/>
  <c r="C445" s="1"/>
  <c r="D446"/>
  <c r="C446" s="1"/>
  <c r="D447"/>
  <c r="C447" s="1"/>
  <c r="D448"/>
  <c r="C448" s="1"/>
  <c r="D449"/>
  <c r="C449" s="1"/>
  <c r="D450"/>
  <c r="C450" s="1"/>
  <c r="D451"/>
  <c r="C451" s="1"/>
  <c r="D452"/>
  <c r="C452" s="1"/>
  <c r="D453"/>
  <c r="C453" s="1"/>
  <c r="D454"/>
  <c r="C454" s="1"/>
  <c r="D455"/>
  <c r="C455" s="1"/>
  <c r="D456"/>
  <c r="C456" s="1"/>
  <c r="D457"/>
  <c r="C457" s="1"/>
  <c r="D458"/>
  <c r="C458" s="1"/>
  <c r="D459"/>
  <c r="C459" s="1"/>
  <c r="D460"/>
  <c r="C460" s="1"/>
  <c r="D461"/>
  <c r="C461" s="1"/>
  <c r="D462"/>
  <c r="C462" s="1"/>
  <c r="D463"/>
  <c r="C463" s="1"/>
  <c r="D464"/>
  <c r="C464" s="1"/>
  <c r="D465"/>
  <c r="C465" s="1"/>
  <c r="D466"/>
  <c r="C466" s="1"/>
  <c r="D467"/>
  <c r="C467" s="1"/>
  <c r="D468"/>
  <c r="C468" s="1"/>
  <c r="D469"/>
  <c r="C469" s="1"/>
  <c r="D470"/>
  <c r="C470" s="1"/>
  <c r="D471"/>
  <c r="C471" s="1"/>
  <c r="D472"/>
  <c r="C472" s="1"/>
  <c r="D473"/>
  <c r="C473" s="1"/>
  <c r="D474"/>
  <c r="C474" s="1"/>
  <c r="D475"/>
  <c r="C475" s="1"/>
  <c r="D476"/>
  <c r="C476" s="1"/>
  <c r="D477"/>
  <c r="C477" s="1"/>
  <c r="D478"/>
  <c r="C478" s="1"/>
  <c r="D479"/>
  <c r="C479" s="1"/>
  <c r="D480"/>
  <c r="C480" s="1"/>
  <c r="D481"/>
  <c r="C481" s="1"/>
  <c r="D482"/>
  <c r="C482" s="1"/>
  <c r="D483"/>
  <c r="C483" s="1"/>
  <c r="D484"/>
  <c r="C484" s="1"/>
  <c r="D485"/>
  <c r="C485" s="1"/>
  <c r="D486"/>
  <c r="C486" s="1"/>
  <c r="D487"/>
  <c r="C487" s="1"/>
  <c r="D488"/>
  <c r="C488" s="1"/>
  <c r="D489"/>
  <c r="C489" s="1"/>
  <c r="D490"/>
  <c r="C490" s="1"/>
  <c r="D491"/>
  <c r="C491" s="1"/>
  <c r="D492"/>
  <c r="C492" s="1"/>
  <c r="X1073"/>
  <c r="C1073" s="1"/>
  <c r="X1056"/>
  <c r="C1056" s="1"/>
  <c r="C1053"/>
  <c r="D745"/>
  <c r="D439"/>
  <c r="K1053" i="5"/>
  <c r="L1053"/>
  <c r="M1053"/>
  <c r="N1053"/>
  <c r="Q1053"/>
  <c r="R1232"/>
  <c r="R1231"/>
  <c r="R1230"/>
  <c r="R1229"/>
  <c r="O1229"/>
  <c r="R1228"/>
  <c r="R1227"/>
  <c r="R1226"/>
  <c r="R1225"/>
  <c r="R1224"/>
  <c r="R1223"/>
  <c r="R1222"/>
  <c r="R1221"/>
  <c r="R1220"/>
  <c r="R1219"/>
  <c r="R1218"/>
  <c r="O1218"/>
  <c r="R1217"/>
  <c r="R1216"/>
  <c r="R1215"/>
  <c r="R1214"/>
  <c r="R1213"/>
  <c r="O1213"/>
  <c r="R1212"/>
  <c r="O1212"/>
  <c r="R1211"/>
  <c r="O1211"/>
  <c r="R1210"/>
  <c r="R1209"/>
  <c r="R1208"/>
  <c r="O1208"/>
  <c r="R1207"/>
  <c r="R1206"/>
  <c r="R1205"/>
  <c r="R1204"/>
  <c r="J1204"/>
  <c r="R1203"/>
  <c r="J1203"/>
  <c r="R1202"/>
  <c r="J1202"/>
  <c r="R1201"/>
  <c r="J1201"/>
  <c r="R1200"/>
  <c r="J1200"/>
  <c r="R1199"/>
  <c r="J1199"/>
  <c r="R1198"/>
  <c r="J1198"/>
  <c r="R1197"/>
  <c r="J1197"/>
  <c r="R1196"/>
  <c r="J1196"/>
  <c r="R1195"/>
  <c r="J1195"/>
  <c r="R1194"/>
  <c r="J1194"/>
  <c r="R1193"/>
  <c r="J1193"/>
  <c r="R1192"/>
  <c r="J1192"/>
  <c r="R1191"/>
  <c r="J1191"/>
  <c r="R1190"/>
  <c r="J1190"/>
  <c r="R1189"/>
  <c r="J1189"/>
  <c r="R1188"/>
  <c r="J1188"/>
  <c r="R1187"/>
  <c r="J1187"/>
  <c r="R1186"/>
  <c r="O1186"/>
  <c r="J1186"/>
  <c r="R1185"/>
  <c r="J1185"/>
  <c r="R1184"/>
  <c r="J1184"/>
  <c r="R1183"/>
  <c r="J1183"/>
  <c r="R1182"/>
  <c r="J1182"/>
  <c r="R1181"/>
  <c r="J1181"/>
  <c r="R1180"/>
  <c r="J1180"/>
  <c r="R1179"/>
  <c r="J1179"/>
  <c r="R1178"/>
  <c r="O1178"/>
  <c r="J1178"/>
  <c r="R1177"/>
  <c r="J1177"/>
  <c r="R1176"/>
  <c r="J1176"/>
  <c r="R1175"/>
  <c r="J1175"/>
  <c r="R1174"/>
  <c r="J1174"/>
  <c r="R1173"/>
  <c r="J1173"/>
  <c r="R1172"/>
  <c r="J1172"/>
  <c r="R1171"/>
  <c r="J1171"/>
  <c r="R1170"/>
  <c r="J1170"/>
  <c r="R1169"/>
  <c r="J1169"/>
  <c r="R1168"/>
  <c r="J1168"/>
  <c r="R1167"/>
  <c r="J1167"/>
  <c r="R1166"/>
  <c r="J1166"/>
  <c r="R1165"/>
  <c r="J1165"/>
  <c r="R1164"/>
  <c r="J1164"/>
  <c r="R1163"/>
  <c r="J1163"/>
  <c r="R1162"/>
  <c r="J1162"/>
  <c r="R1161"/>
  <c r="J1161"/>
  <c r="R1160"/>
  <c r="J1160"/>
  <c r="R1159"/>
  <c r="J1159"/>
  <c r="R1158"/>
  <c r="J1158"/>
  <c r="R1157"/>
  <c r="J1157"/>
  <c r="R1156"/>
  <c r="J1156"/>
  <c r="R1155"/>
  <c r="J1155"/>
  <c r="R1154"/>
  <c r="J1154"/>
  <c r="R1153"/>
  <c r="J1153"/>
  <c r="R1152"/>
  <c r="O1152"/>
  <c r="J1152"/>
  <c r="R1151"/>
  <c r="J1151"/>
  <c r="R1150"/>
  <c r="O1150"/>
  <c r="J1150"/>
  <c r="R1149"/>
  <c r="J1149"/>
  <c r="R1148"/>
  <c r="J1148"/>
  <c r="J1147"/>
  <c r="R1146"/>
  <c r="J1146"/>
  <c r="R1145"/>
  <c r="J1145"/>
  <c r="R1144"/>
  <c r="J1144"/>
  <c r="R1143"/>
  <c r="J1143"/>
  <c r="R1142"/>
  <c r="J1142"/>
  <c r="R1141"/>
  <c r="J1141"/>
  <c r="R1140"/>
  <c r="J1140"/>
  <c r="R1139"/>
  <c r="O1139"/>
  <c r="J1139"/>
  <c r="R1138"/>
  <c r="J1138"/>
  <c r="R1137"/>
  <c r="J1137"/>
  <c r="R1136"/>
  <c r="O1136"/>
  <c r="R1135"/>
  <c r="J1135"/>
  <c r="R1134"/>
  <c r="J1134"/>
  <c r="R1133"/>
  <c r="J1133"/>
  <c r="R1132"/>
  <c r="J1132"/>
  <c r="R1131"/>
  <c r="J1131"/>
  <c r="R1130"/>
  <c r="O1130"/>
  <c r="J1130"/>
  <c r="R1128"/>
  <c r="O1128"/>
  <c r="J1128"/>
  <c r="R1127"/>
  <c r="O1127"/>
  <c r="J1127"/>
  <c r="R1126"/>
  <c r="O1126"/>
  <c r="J1126"/>
  <c r="R1125"/>
  <c r="O1125"/>
  <c r="R1124"/>
  <c r="O1124"/>
  <c r="J1124"/>
  <c r="R1123"/>
  <c r="O1123"/>
  <c r="J1123"/>
  <c r="R1122"/>
  <c r="O1122"/>
  <c r="J1122"/>
  <c r="R1121"/>
  <c r="O1121"/>
  <c r="J1121"/>
  <c r="R1120"/>
  <c r="O1120"/>
  <c r="J1120"/>
  <c r="R1119"/>
  <c r="O1119"/>
  <c r="J1119"/>
  <c r="R1118"/>
  <c r="O1118"/>
  <c r="J1118"/>
  <c r="R1117"/>
  <c r="O1117"/>
  <c r="J1117"/>
  <c r="R1116"/>
  <c r="O1116"/>
  <c r="J1116"/>
  <c r="R1115"/>
  <c r="O1115"/>
  <c r="R1114"/>
  <c r="O1114"/>
  <c r="J1114"/>
  <c r="R1113"/>
  <c r="O1113"/>
  <c r="J1113"/>
  <c r="R1112"/>
  <c r="O1112"/>
  <c r="J1112"/>
  <c r="R1111"/>
  <c r="O1111"/>
  <c r="J1111"/>
  <c r="R1110"/>
  <c r="J1110"/>
  <c r="R1109"/>
  <c r="J1109"/>
  <c r="R1108"/>
  <c r="O1108"/>
  <c r="J1108"/>
  <c r="R1107"/>
  <c r="O1107"/>
  <c r="J1107"/>
  <c r="R1106"/>
  <c r="O1106"/>
  <c r="J1106"/>
  <c r="R1105"/>
  <c r="O1105"/>
  <c r="J1105"/>
  <c r="R1104"/>
  <c r="O1104"/>
  <c r="J1104"/>
  <c r="R1103"/>
  <c r="O1103"/>
  <c r="J1103"/>
  <c r="R1102"/>
  <c r="O1102"/>
  <c r="R1101"/>
  <c r="O1101"/>
  <c r="R1100"/>
  <c r="O1100"/>
  <c r="J1100"/>
  <c r="R1099"/>
  <c r="O1099"/>
  <c r="J1099"/>
  <c r="R1098"/>
  <c r="O1098"/>
  <c r="J1098"/>
  <c r="R1097"/>
  <c r="O1097"/>
  <c r="J1097"/>
  <c r="R1096"/>
  <c r="O1096"/>
  <c r="J1096"/>
  <c r="R1095"/>
  <c r="O1095"/>
  <c r="J1095"/>
  <c r="R1094"/>
  <c r="O1094"/>
  <c r="R1093"/>
  <c r="O1093"/>
  <c r="H1093"/>
  <c r="R1092"/>
  <c r="O1092"/>
  <c r="J1092"/>
  <c r="R1091"/>
  <c r="O1091"/>
  <c r="J1091"/>
  <c r="R1090"/>
  <c r="O1090"/>
  <c r="J1090"/>
  <c r="R1089"/>
  <c r="O1089"/>
  <c r="J1089"/>
  <c r="R1088"/>
  <c r="O1088"/>
  <c r="J1088"/>
  <c r="R1087"/>
  <c r="O1087"/>
  <c r="J1087"/>
  <c r="R1086"/>
  <c r="O1086"/>
  <c r="J1086"/>
  <c r="R1085"/>
  <c r="O1085"/>
  <c r="R1084"/>
  <c r="O1084"/>
  <c r="J1084"/>
  <c r="R1083"/>
  <c r="O1083"/>
  <c r="R1082"/>
  <c r="O1082"/>
  <c r="J1082"/>
  <c r="H1082"/>
  <c r="O1081"/>
  <c r="J1081"/>
  <c r="I1081"/>
  <c r="R1080"/>
  <c r="O1080"/>
  <c r="J1080"/>
  <c r="H1080"/>
  <c r="R1079"/>
  <c r="O1079"/>
  <c r="J1079"/>
  <c r="R1078"/>
  <c r="O1078"/>
  <c r="J1078"/>
  <c r="R1077"/>
  <c r="O1077"/>
  <c r="J1077"/>
  <c r="R1076"/>
  <c r="O1076"/>
  <c r="R1075"/>
  <c r="J1075"/>
  <c r="R1074"/>
  <c r="O1074"/>
  <c r="J1074"/>
  <c r="R1073"/>
  <c r="O1073"/>
  <c r="R1072"/>
  <c r="O1072"/>
  <c r="R1071"/>
  <c r="O1071"/>
  <c r="R1070"/>
  <c r="O1070"/>
  <c r="J1070"/>
  <c r="R1069"/>
  <c r="O1069"/>
  <c r="J1069"/>
  <c r="H1069"/>
  <c r="R1068"/>
  <c r="O1068"/>
  <c r="R1067"/>
  <c r="O1067"/>
  <c r="R1066"/>
  <c r="O1066"/>
  <c r="J1066"/>
  <c r="R1065"/>
  <c r="O1065"/>
  <c r="J1065"/>
  <c r="R1064"/>
  <c r="O1064"/>
  <c r="R1063"/>
  <c r="O1063"/>
  <c r="R1062"/>
  <c r="O1062"/>
  <c r="R1061"/>
  <c r="O1061"/>
  <c r="R1060"/>
  <c r="O1060"/>
  <c r="J1060"/>
  <c r="R1059"/>
  <c r="P1059"/>
  <c r="O1059"/>
  <c r="J1059"/>
  <c r="R1058"/>
  <c r="P1058"/>
  <c r="O1058"/>
  <c r="J1058"/>
  <c r="R1057"/>
  <c r="P1057"/>
  <c r="O1057"/>
  <c r="J1057"/>
  <c r="R1056"/>
  <c r="P1056"/>
  <c r="O1056"/>
  <c r="J1056"/>
  <c r="R1055"/>
  <c r="P1055"/>
  <c r="O1055"/>
  <c r="J1055"/>
  <c r="R1054"/>
  <c r="P1054"/>
  <c r="P1053" s="1"/>
  <c r="O1054"/>
  <c r="J1054"/>
  <c r="D224" i="7" l="1"/>
  <c r="D438" i="6"/>
  <c r="C745"/>
  <c r="C744" s="1"/>
  <c r="D744"/>
  <c r="C439"/>
  <c r="C438" s="1"/>
  <c r="R1081" i="5"/>
  <c r="X1025" i="6"/>
  <c r="D1025"/>
  <c r="J1053" i="5"/>
  <c r="O1053"/>
  <c r="H1053"/>
  <c r="I1053"/>
  <c r="D12" i="6"/>
  <c r="C12" s="1"/>
  <c r="D13"/>
  <c r="C13" s="1"/>
  <c r="D14"/>
  <c r="C14" s="1"/>
  <c r="D15"/>
  <c r="C15" s="1"/>
  <c r="D16"/>
  <c r="C16" s="1"/>
  <c r="D17"/>
  <c r="C17" s="1"/>
  <c r="D18"/>
  <c r="C18" s="1"/>
  <c r="D19"/>
  <c r="C19" s="1"/>
  <c r="D20"/>
  <c r="C20" s="1"/>
  <c r="D21"/>
  <c r="C21" s="1"/>
  <c r="D22"/>
  <c r="C22" s="1"/>
  <c r="D23"/>
  <c r="C23" s="1"/>
  <c r="D24"/>
  <c r="C24" s="1"/>
  <c r="D25"/>
  <c r="C25" s="1"/>
  <c r="D26"/>
  <c r="C26" s="1"/>
  <c r="D27"/>
  <c r="C27" s="1"/>
  <c r="D28"/>
  <c r="C28" s="1"/>
  <c r="D29"/>
  <c r="C29" s="1"/>
  <c r="D30"/>
  <c r="C30" s="1"/>
  <c r="D31"/>
  <c r="C31" s="1"/>
  <c r="D32"/>
  <c r="C32" s="1"/>
  <c r="D33"/>
  <c r="C33" s="1"/>
  <c r="D34"/>
  <c r="C34" s="1"/>
  <c r="D35"/>
  <c r="C35" s="1"/>
  <c r="D36"/>
  <c r="C36" s="1"/>
  <c r="D37"/>
  <c r="C37" s="1"/>
  <c r="D38"/>
  <c r="C38" s="1"/>
  <c r="D39"/>
  <c r="C39" s="1"/>
  <c r="D40"/>
  <c r="C40" s="1"/>
  <c r="D41"/>
  <c r="C41" s="1"/>
  <c r="D42"/>
  <c r="C42" s="1"/>
  <c r="D43"/>
  <c r="C43" s="1"/>
  <c r="D44"/>
  <c r="C44" s="1"/>
  <c r="D45"/>
  <c r="C45" s="1"/>
  <c r="D46"/>
  <c r="C46" s="1"/>
  <c r="D47"/>
  <c r="C47" s="1"/>
  <c r="D48"/>
  <c r="C48" s="1"/>
  <c r="D49"/>
  <c r="C49" s="1"/>
  <c r="D50"/>
  <c r="C50" s="1"/>
  <c r="D51"/>
  <c r="C51" s="1"/>
  <c r="D52"/>
  <c r="C52" s="1"/>
  <c r="D53"/>
  <c r="C53" s="1"/>
  <c r="D54"/>
  <c r="C54" s="1"/>
  <c r="D55"/>
  <c r="C55" s="1"/>
  <c r="D56"/>
  <c r="C56" s="1"/>
  <c r="D57"/>
  <c r="C57" s="1"/>
  <c r="D58"/>
  <c r="C58" s="1"/>
  <c r="D59"/>
  <c r="C59" s="1"/>
  <c r="D60"/>
  <c r="C60" s="1"/>
  <c r="D61"/>
  <c r="C61" s="1"/>
  <c r="D62"/>
  <c r="C62" s="1"/>
  <c r="D63"/>
  <c r="C63" s="1"/>
  <c r="D64"/>
  <c r="C64" s="1"/>
  <c r="D65"/>
  <c r="C65" s="1"/>
  <c r="D66"/>
  <c r="C66" s="1"/>
  <c r="D67"/>
  <c r="C67" s="1"/>
  <c r="D68"/>
  <c r="C68" s="1"/>
  <c r="D69"/>
  <c r="C69" s="1"/>
  <c r="D70"/>
  <c r="C70" s="1"/>
  <c r="D71"/>
  <c r="C71" s="1"/>
  <c r="D72"/>
  <c r="C72" s="1"/>
  <c r="D73"/>
  <c r="C73" s="1"/>
  <c r="D74"/>
  <c r="C74" s="1"/>
  <c r="D75"/>
  <c r="C75" s="1"/>
  <c r="D76"/>
  <c r="C76" s="1"/>
  <c r="D77"/>
  <c r="C77" s="1"/>
  <c r="D78"/>
  <c r="C78" s="1"/>
  <c r="D79"/>
  <c r="C79" s="1"/>
  <c r="D80"/>
  <c r="C80" s="1"/>
  <c r="D81"/>
  <c r="C81" s="1"/>
  <c r="D82"/>
  <c r="C82" s="1"/>
  <c r="D83"/>
  <c r="C83" s="1"/>
  <c r="D84"/>
  <c r="C84" s="1"/>
  <c r="D85"/>
  <c r="C85" s="1"/>
  <c r="D86"/>
  <c r="C86" s="1"/>
  <c r="D87"/>
  <c r="C87" s="1"/>
  <c r="D88"/>
  <c r="C88" s="1"/>
  <c r="D11"/>
  <c r="C224" i="7" l="1"/>
  <c r="D10" i="6"/>
  <c r="C11"/>
  <c r="C10" s="1"/>
  <c r="C1025"/>
  <c r="R787" i="5"/>
  <c r="R786"/>
  <c r="R785"/>
  <c r="R784"/>
  <c r="R783"/>
  <c r="R782"/>
  <c r="R781"/>
  <c r="R780"/>
  <c r="J780"/>
  <c r="J766" s="1"/>
  <c r="R779"/>
  <c r="R778"/>
  <c r="R777"/>
  <c r="R776"/>
  <c r="R775"/>
  <c r="R774"/>
  <c r="R773"/>
  <c r="R772"/>
  <c r="R771"/>
  <c r="R770"/>
  <c r="R769"/>
  <c r="R768"/>
  <c r="R767"/>
  <c r="R506"/>
  <c r="R505"/>
  <c r="R504"/>
  <c r="R503"/>
  <c r="R502"/>
  <c r="R501"/>
  <c r="R500"/>
  <c r="R499"/>
  <c r="R498"/>
  <c r="R497"/>
  <c r="R496"/>
  <c r="R495"/>
  <c r="R494"/>
  <c r="R493"/>
  <c r="R492"/>
  <c r="J492"/>
  <c r="R491"/>
  <c r="R490"/>
  <c r="R489"/>
  <c r="R488"/>
  <c r="R487"/>
  <c r="R486"/>
  <c r="R485"/>
  <c r="R484"/>
  <c r="R483"/>
  <c r="R482"/>
  <c r="R481"/>
  <c r="R480"/>
  <c r="R479"/>
  <c r="R478"/>
  <c r="R477"/>
  <c r="R476"/>
  <c r="R475"/>
  <c r="R474"/>
  <c r="R473"/>
  <c r="R472"/>
  <c r="R471"/>
  <c r="R470"/>
  <c r="R469"/>
  <c r="R468"/>
  <c r="R467"/>
  <c r="R466"/>
  <c r="R465"/>
  <c r="J465"/>
  <c r="R464"/>
  <c r="R463"/>
  <c r="R462"/>
  <c r="R461"/>
  <c r="R460"/>
  <c r="R459"/>
  <c r="R458"/>
  <c r="R457"/>
  <c r="R456"/>
  <c r="R455"/>
  <c r="J455"/>
  <c r="R454"/>
  <c r="R453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H628"/>
  <c r="C118" i="7" s="1"/>
  <c r="I628" i="5"/>
  <c r="J628"/>
  <c r="K628"/>
  <c r="D118" i="7" s="1"/>
  <c r="L628" i="5"/>
  <c r="F118" i="7" s="1"/>
  <c r="M628" i="5"/>
  <c r="N628"/>
  <c r="O628"/>
  <c r="P628"/>
  <c r="Q628"/>
  <c r="R629"/>
  <c r="H539"/>
  <c r="I539"/>
  <c r="J539"/>
  <c r="K539"/>
  <c r="L539"/>
  <c r="M539"/>
  <c r="N539"/>
  <c r="O539"/>
  <c r="P539"/>
  <c r="Q539"/>
  <c r="R540"/>
  <c r="R541"/>
  <c r="R542"/>
  <c r="R543"/>
  <c r="R544"/>
  <c r="R545"/>
  <c r="R546"/>
  <c r="O548"/>
  <c r="R548"/>
  <c r="O549"/>
  <c r="R549"/>
  <c r="O834"/>
  <c r="R834"/>
  <c r="O550"/>
  <c r="R550"/>
  <c r="O551"/>
  <c r="R551"/>
  <c r="O552"/>
  <c r="R552"/>
  <c r="O553"/>
  <c r="R553"/>
  <c r="O554"/>
  <c r="R554"/>
  <c r="O555"/>
  <c r="R555"/>
  <c r="O556"/>
  <c r="R556"/>
  <c r="H562"/>
  <c r="I562"/>
  <c r="J562"/>
  <c r="K562"/>
  <c r="L562"/>
  <c r="M562"/>
  <c r="N562"/>
  <c r="P562"/>
  <c r="Q562"/>
  <c r="R569"/>
  <c r="R570"/>
  <c r="I17"/>
  <c r="K17"/>
  <c r="L17"/>
  <c r="M17"/>
  <c r="N17"/>
  <c r="O17"/>
  <c r="P17"/>
  <c r="Q17"/>
  <c r="H17"/>
  <c r="R95"/>
  <c r="R94"/>
  <c r="R93"/>
  <c r="R92"/>
  <c r="R91"/>
  <c r="J91"/>
  <c r="R90"/>
  <c r="R89"/>
  <c r="J89"/>
  <c r="R88"/>
  <c r="R87"/>
  <c r="R86"/>
  <c r="R85"/>
  <c r="R84"/>
  <c r="R83"/>
  <c r="R82"/>
  <c r="R81"/>
  <c r="R80"/>
  <c r="R79"/>
  <c r="R78"/>
  <c r="J78"/>
  <c r="R77"/>
  <c r="R76"/>
  <c r="R75"/>
  <c r="R74"/>
  <c r="R73"/>
  <c r="R72"/>
  <c r="R71"/>
  <c r="J71"/>
  <c r="R70"/>
  <c r="R69"/>
  <c r="R68"/>
  <c r="R67"/>
  <c r="R66"/>
  <c r="R65"/>
  <c r="J65"/>
  <c r="R64"/>
  <c r="R63"/>
  <c r="R62"/>
  <c r="R61"/>
  <c r="R60"/>
  <c r="J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J30"/>
  <c r="R29"/>
  <c r="R28"/>
  <c r="R27"/>
  <c r="R26"/>
  <c r="R25"/>
  <c r="R24"/>
  <c r="R23"/>
  <c r="R22"/>
  <c r="R21"/>
  <c r="R20"/>
  <c r="R19"/>
  <c r="R18"/>
  <c r="X317" i="6"/>
  <c r="X315" s="1"/>
  <c r="E346"/>
  <c r="F346"/>
  <c r="G346"/>
  <c r="H346"/>
  <c r="I346"/>
  <c r="J346"/>
  <c r="K346"/>
  <c r="L346"/>
  <c r="M346"/>
  <c r="N346"/>
  <c r="O346"/>
  <c r="P346"/>
  <c r="Q346"/>
  <c r="R346"/>
  <c r="S346"/>
  <c r="T346"/>
  <c r="U346"/>
  <c r="V346"/>
  <c r="X346"/>
  <c r="Y346"/>
  <c r="D353"/>
  <c r="C353" s="1"/>
  <c r="D354"/>
  <c r="C354" s="1"/>
  <c r="I325" i="5"/>
  <c r="J325"/>
  <c r="K325"/>
  <c r="L325"/>
  <c r="M325"/>
  <c r="N325"/>
  <c r="O325"/>
  <c r="P325"/>
  <c r="Q325"/>
  <c r="H325"/>
  <c r="R332"/>
  <c r="R333"/>
  <c r="E1372" i="6"/>
  <c r="F1372"/>
  <c r="G1372"/>
  <c r="H1372"/>
  <c r="I1372"/>
  <c r="J1372"/>
  <c r="K1372"/>
  <c r="L1372"/>
  <c r="M1372"/>
  <c r="N1372"/>
  <c r="O1372"/>
  <c r="P1372"/>
  <c r="Q1372"/>
  <c r="R1372"/>
  <c r="S1372"/>
  <c r="T1372"/>
  <c r="U1372"/>
  <c r="V1372"/>
  <c r="X1372"/>
  <c r="Y1372"/>
  <c r="D1389"/>
  <c r="C1389" s="1"/>
  <c r="R1416" i="5"/>
  <c r="O1416"/>
  <c r="D1590" i="6"/>
  <c r="R1618" i="5"/>
  <c r="E257" i="7"/>
  <c r="D1502" i="6"/>
  <c r="C1502" s="1"/>
  <c r="D1503"/>
  <c r="C1503" s="1"/>
  <c r="D1501"/>
  <c r="D263" i="7"/>
  <c r="F263"/>
  <c r="C263"/>
  <c r="D1464" i="6"/>
  <c r="J452" i="5" l="1"/>
  <c r="C1501" i="6"/>
  <c r="C1500" s="1"/>
  <c r="D1500"/>
  <c r="C1590"/>
  <c r="C1589" s="1"/>
  <c r="D1589"/>
  <c r="F155" i="7"/>
  <c r="C1464" i="6"/>
  <c r="C1463" s="1"/>
  <c r="C1450" s="1"/>
  <c r="D1463"/>
  <c r="D1450" s="1"/>
  <c r="O562" i="5"/>
  <c r="J17"/>
  <c r="R1492" l="1"/>
  <c r="E1427" i="6"/>
  <c r="F1427"/>
  <c r="G1427"/>
  <c r="H1427"/>
  <c r="I1427"/>
  <c r="J1427"/>
  <c r="K1427"/>
  <c r="L1427"/>
  <c r="M1427"/>
  <c r="N1427"/>
  <c r="O1427"/>
  <c r="P1427"/>
  <c r="Q1427"/>
  <c r="R1427"/>
  <c r="S1427"/>
  <c r="T1427"/>
  <c r="U1427"/>
  <c r="V1427"/>
  <c r="X1427"/>
  <c r="Y1427"/>
  <c r="D1428"/>
  <c r="C1428" s="1"/>
  <c r="C1427" s="1"/>
  <c r="I1455" i="5"/>
  <c r="J1455"/>
  <c r="K1455"/>
  <c r="D246" i="7" s="1"/>
  <c r="L1455" i="5"/>
  <c r="F246" i="7" s="1"/>
  <c r="M1455" i="5"/>
  <c r="N1455"/>
  <c r="O1455"/>
  <c r="P1455"/>
  <c r="Q1455"/>
  <c r="H1455"/>
  <c r="C246" i="7" s="1"/>
  <c r="R1456" i="5"/>
  <c r="D1261" i="6"/>
  <c r="C1261" s="1"/>
  <c r="D1262"/>
  <c r="C1262" s="1"/>
  <c r="D1263"/>
  <c r="C1263" s="1"/>
  <c r="D1255"/>
  <c r="C1255" s="1"/>
  <c r="D1256"/>
  <c r="C1256" s="1"/>
  <c r="D1254"/>
  <c r="C1254" s="1"/>
  <c r="D1251"/>
  <c r="C1251" s="1"/>
  <c r="D1239"/>
  <c r="C1239" s="1"/>
  <c r="D1240"/>
  <c r="C1240" s="1"/>
  <c r="D1241"/>
  <c r="C1241" s="1"/>
  <c r="D1242"/>
  <c r="C1242" s="1"/>
  <c r="D1243"/>
  <c r="C1243" s="1"/>
  <c r="D1244"/>
  <c r="C1244" s="1"/>
  <c r="D1245"/>
  <c r="C1245" s="1"/>
  <c r="D1246"/>
  <c r="C1246" s="1"/>
  <c r="D1247"/>
  <c r="C1247" s="1"/>
  <c r="D1248"/>
  <c r="C1248" s="1"/>
  <c r="D1249"/>
  <c r="C1249" s="1"/>
  <c r="D1250"/>
  <c r="C1250" s="1"/>
  <c r="D1252"/>
  <c r="C1252" s="1"/>
  <c r="D1253"/>
  <c r="C1253" s="1"/>
  <c r="D1257"/>
  <c r="C1257" s="1"/>
  <c r="D1258"/>
  <c r="C1258" s="1"/>
  <c r="D1259"/>
  <c r="C1259" s="1"/>
  <c r="D1260"/>
  <c r="C1260" s="1"/>
  <c r="D1264"/>
  <c r="C1264" s="1"/>
  <c r="D1265"/>
  <c r="C1265" s="1"/>
  <c r="D1266"/>
  <c r="C1266" s="1"/>
  <c r="D1267"/>
  <c r="C1267" s="1"/>
  <c r="D1268"/>
  <c r="C1268" s="1"/>
  <c r="D1269"/>
  <c r="C1269" s="1"/>
  <c r="D1270"/>
  <c r="C1270" s="1"/>
  <c r="D1271"/>
  <c r="C1271" s="1"/>
  <c r="D1272"/>
  <c r="C1272" s="1"/>
  <c r="D1273"/>
  <c r="C1273" s="1"/>
  <c r="D1274"/>
  <c r="C1274" s="1"/>
  <c r="D1275"/>
  <c r="C1275" s="1"/>
  <c r="D1276"/>
  <c r="C1276" s="1"/>
  <c r="D1277"/>
  <c r="C1277" s="1"/>
  <c r="D1278"/>
  <c r="C1278" s="1"/>
  <c r="D1279"/>
  <c r="C1279" s="1"/>
  <c r="D1280"/>
  <c r="C1280" s="1"/>
  <c r="D1281"/>
  <c r="C1281" s="1"/>
  <c r="D1282"/>
  <c r="C1282" s="1"/>
  <c r="D1283"/>
  <c r="C1283" s="1"/>
  <c r="D1284"/>
  <c r="C1284" s="1"/>
  <c r="D1285"/>
  <c r="C1285" s="1"/>
  <c r="D1286"/>
  <c r="C1286" s="1"/>
  <c r="D1287"/>
  <c r="C1287" s="1"/>
  <c r="D1288"/>
  <c r="C1288" s="1"/>
  <c r="D1289"/>
  <c r="C1289" s="1"/>
  <c r="D1290"/>
  <c r="C1290" s="1"/>
  <c r="D1291"/>
  <c r="C1291" s="1"/>
  <c r="D1292"/>
  <c r="C1292" s="1"/>
  <c r="D1293"/>
  <c r="C1293" s="1"/>
  <c r="D1294"/>
  <c r="C1294" s="1"/>
  <c r="D1295"/>
  <c r="C1295" s="1"/>
  <c r="D1296"/>
  <c r="C1296" s="1"/>
  <c r="D1297"/>
  <c r="C1297" s="1"/>
  <c r="D1298"/>
  <c r="C1298" s="1"/>
  <c r="D1299"/>
  <c r="C1299" s="1"/>
  <c r="D1300"/>
  <c r="C1300" s="1"/>
  <c r="D1301"/>
  <c r="C1301" s="1"/>
  <c r="D1302"/>
  <c r="C1302" s="1"/>
  <c r="D1303"/>
  <c r="C1303" s="1"/>
  <c r="D1304"/>
  <c r="C1304" s="1"/>
  <c r="D1305"/>
  <c r="C1305" s="1"/>
  <c r="D1306"/>
  <c r="C1306" s="1"/>
  <c r="D1307"/>
  <c r="C1307" s="1"/>
  <c r="D1308"/>
  <c r="C1308" s="1"/>
  <c r="D1238"/>
  <c r="C1238" s="1"/>
  <c r="E1237"/>
  <c r="F1237"/>
  <c r="G1237"/>
  <c r="H1237"/>
  <c r="I1237"/>
  <c r="J1237"/>
  <c r="K1237"/>
  <c r="L1237"/>
  <c r="M1237"/>
  <c r="N1237"/>
  <c r="O1237"/>
  <c r="P1237"/>
  <c r="Q1237"/>
  <c r="R1237"/>
  <c r="S1237"/>
  <c r="T1237"/>
  <c r="U1237"/>
  <c r="V1237"/>
  <c r="X1237"/>
  <c r="Y1237"/>
  <c r="D537"/>
  <c r="C537" s="1"/>
  <c r="D538"/>
  <c r="C538" s="1"/>
  <c r="D539"/>
  <c r="C539" s="1"/>
  <c r="D540"/>
  <c r="C540" s="1"/>
  <c r="D541"/>
  <c r="C541" s="1"/>
  <c r="D542"/>
  <c r="C542" s="1"/>
  <c r="D536"/>
  <c r="C536" s="1"/>
  <c r="E535"/>
  <c r="F535"/>
  <c r="G535"/>
  <c r="H535"/>
  <c r="I535"/>
  <c r="J535"/>
  <c r="K535"/>
  <c r="L535"/>
  <c r="M535"/>
  <c r="N535"/>
  <c r="O535"/>
  <c r="P535"/>
  <c r="Q535"/>
  <c r="R535"/>
  <c r="S535"/>
  <c r="T535"/>
  <c r="U535"/>
  <c r="V535"/>
  <c r="X535"/>
  <c r="Y535"/>
  <c r="E362"/>
  <c r="F362"/>
  <c r="G362"/>
  <c r="H362"/>
  <c r="I362"/>
  <c r="J362"/>
  <c r="K362"/>
  <c r="L362"/>
  <c r="M362"/>
  <c r="N362"/>
  <c r="O362"/>
  <c r="P362"/>
  <c r="Q362"/>
  <c r="R362"/>
  <c r="S362"/>
  <c r="T362"/>
  <c r="U362"/>
  <c r="V362"/>
  <c r="X362"/>
  <c r="Y362"/>
  <c r="D364"/>
  <c r="C364" s="1"/>
  <c r="D365"/>
  <c r="C365" s="1"/>
  <c r="D366"/>
  <c r="C366" s="1"/>
  <c r="D367"/>
  <c r="C367" s="1"/>
  <c r="D368"/>
  <c r="C368" s="1"/>
  <c r="D369"/>
  <c r="C369" s="1"/>
  <c r="D370"/>
  <c r="C370" s="1"/>
  <c r="D371"/>
  <c r="C371" s="1"/>
  <c r="D372"/>
  <c r="C372" s="1"/>
  <c r="D373"/>
  <c r="C373" s="1"/>
  <c r="D374"/>
  <c r="C374" s="1"/>
  <c r="D375"/>
  <c r="C375" s="1"/>
  <c r="D376"/>
  <c r="C376" s="1"/>
  <c r="D377"/>
  <c r="C377" s="1"/>
  <c r="D378"/>
  <c r="C378" s="1"/>
  <c r="D379"/>
  <c r="C379" s="1"/>
  <c r="D382"/>
  <c r="C382" s="1"/>
  <c r="D383"/>
  <c r="C383" s="1"/>
  <c r="D363"/>
  <c r="C363" s="1"/>
  <c r="R1268" i="5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10"/>
  <c r="R1311"/>
  <c r="R1312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267"/>
  <c r="R1266"/>
  <c r="M1265"/>
  <c r="N1265"/>
  <c r="P1265"/>
  <c r="H1265"/>
  <c r="O1265"/>
  <c r="K1265"/>
  <c r="I1265"/>
  <c r="P344"/>
  <c r="P345"/>
  <c r="P346"/>
  <c r="P347"/>
  <c r="P348"/>
  <c r="P349"/>
  <c r="P350"/>
  <c r="P351"/>
  <c r="P352"/>
  <c r="P353"/>
  <c r="P354"/>
  <c r="P355"/>
  <c r="P356"/>
  <c r="P343"/>
  <c r="P342"/>
  <c r="I341"/>
  <c r="J341"/>
  <c r="K341"/>
  <c r="D69" i="7" s="1"/>
  <c r="L341" i="5"/>
  <c r="F69" i="7" s="1"/>
  <c r="M341" i="5"/>
  <c r="N341"/>
  <c r="O341"/>
  <c r="Q341"/>
  <c r="H341"/>
  <c r="C69" i="7" s="1"/>
  <c r="R344" i="5"/>
  <c r="R345"/>
  <c r="R346"/>
  <c r="R347"/>
  <c r="R348"/>
  <c r="R349"/>
  <c r="R350"/>
  <c r="R351"/>
  <c r="R352"/>
  <c r="R353"/>
  <c r="R354"/>
  <c r="R355"/>
  <c r="R356"/>
  <c r="R362"/>
  <c r="R343"/>
  <c r="R342"/>
  <c r="D1226" i="6"/>
  <c r="C1226" s="1"/>
  <c r="D1227"/>
  <c r="C1227" s="1"/>
  <c r="D1228"/>
  <c r="C1228" s="1"/>
  <c r="D1229"/>
  <c r="C1229" s="1"/>
  <c r="D1230"/>
  <c r="C1230" s="1"/>
  <c r="D1231"/>
  <c r="C1231" s="1"/>
  <c r="D1232"/>
  <c r="C1232" s="1"/>
  <c r="D1233"/>
  <c r="C1233" s="1"/>
  <c r="D1234"/>
  <c r="C1234" s="1"/>
  <c r="D1235"/>
  <c r="C1235" s="1"/>
  <c r="D1210"/>
  <c r="C1210" s="1"/>
  <c r="D1211"/>
  <c r="C1211" s="1"/>
  <c r="D1212"/>
  <c r="C1212" s="1"/>
  <c r="D790"/>
  <c r="C790" s="1"/>
  <c r="D791"/>
  <c r="C791" s="1"/>
  <c r="D792"/>
  <c r="C792" s="1"/>
  <c r="D793"/>
  <c r="C793" s="1"/>
  <c r="D528"/>
  <c r="C528" s="1"/>
  <c r="D529"/>
  <c r="C529" s="1"/>
  <c r="D530"/>
  <c r="C530" s="1"/>
  <c r="D531"/>
  <c r="C531" s="1"/>
  <c r="D124"/>
  <c r="C124" s="1"/>
  <c r="D125"/>
  <c r="C125" s="1"/>
  <c r="D126"/>
  <c r="C126" s="1"/>
  <c r="D127"/>
  <c r="C127" s="1"/>
  <c r="D128"/>
  <c r="C128" s="1"/>
  <c r="D129"/>
  <c r="C129" s="1"/>
  <c r="D130"/>
  <c r="C130" s="1"/>
  <c r="R1263" i="5"/>
  <c r="R1262"/>
  <c r="R1261"/>
  <c r="R1260"/>
  <c r="R1259"/>
  <c r="R1258"/>
  <c r="R1257"/>
  <c r="R1256"/>
  <c r="R1255"/>
  <c r="R1254"/>
  <c r="R1240"/>
  <c r="R1239"/>
  <c r="R1238"/>
  <c r="R815"/>
  <c r="R814"/>
  <c r="R813"/>
  <c r="R812"/>
  <c r="P124"/>
  <c r="P125"/>
  <c r="P126"/>
  <c r="P127"/>
  <c r="P128"/>
  <c r="P129"/>
  <c r="P130"/>
  <c r="R130"/>
  <c r="R129"/>
  <c r="R128"/>
  <c r="R127"/>
  <c r="R126"/>
  <c r="R125"/>
  <c r="R124"/>
  <c r="D226" i="7" l="1"/>
  <c r="C226"/>
  <c r="D1427" i="6"/>
  <c r="D1237"/>
  <c r="C1237"/>
  <c r="C535"/>
  <c r="D535"/>
  <c r="D362"/>
  <c r="C362"/>
  <c r="J1265" i="5"/>
  <c r="P341"/>
  <c r="Q1265"/>
  <c r="L1265"/>
  <c r="D1441" i="6"/>
  <c r="C1441" s="1"/>
  <c r="D1442"/>
  <c r="C1442" s="1"/>
  <c r="R1469" i="5"/>
  <c r="R1470"/>
  <c r="D256" i="7"/>
  <c r="F256"/>
  <c r="C256"/>
  <c r="F226" l="1"/>
  <c r="D1592" i="6"/>
  <c r="E284" i="7"/>
  <c r="I1614" i="5"/>
  <c r="J1614"/>
  <c r="K1614"/>
  <c r="D287" i="7" s="1"/>
  <c r="L1614" i="5"/>
  <c r="F287" i="7" s="1"/>
  <c r="M1614" i="5"/>
  <c r="N1614"/>
  <c r="O1614"/>
  <c r="P1614"/>
  <c r="Q1614"/>
  <c r="H1614"/>
  <c r="C287" i="7" s="1"/>
  <c r="I1612" i="5"/>
  <c r="J1612"/>
  <c r="K1612"/>
  <c r="D286" i="7" s="1"/>
  <c r="L1612" i="5"/>
  <c r="F286" i="7" s="1"/>
  <c r="M1612" i="5"/>
  <c r="N1612"/>
  <c r="O1612"/>
  <c r="P1612"/>
  <c r="Q1612"/>
  <c r="H1612"/>
  <c r="C286" i="7" s="1"/>
  <c r="E1584" i="6"/>
  <c r="F1584"/>
  <c r="G1584"/>
  <c r="H1584"/>
  <c r="I1584"/>
  <c r="J1584"/>
  <c r="K1584"/>
  <c r="L1584"/>
  <c r="M1584"/>
  <c r="N1584"/>
  <c r="O1584"/>
  <c r="P1584"/>
  <c r="Q1584"/>
  <c r="R1584"/>
  <c r="S1584"/>
  <c r="T1584"/>
  <c r="U1584"/>
  <c r="V1584"/>
  <c r="X1584"/>
  <c r="Y1584"/>
  <c r="E1586"/>
  <c r="F1586"/>
  <c r="G1586"/>
  <c r="H1586"/>
  <c r="I1586"/>
  <c r="J1586"/>
  <c r="K1586"/>
  <c r="L1586"/>
  <c r="M1586"/>
  <c r="N1586"/>
  <c r="O1586"/>
  <c r="P1586"/>
  <c r="Q1586"/>
  <c r="R1586"/>
  <c r="S1586"/>
  <c r="T1586"/>
  <c r="U1586"/>
  <c r="V1586"/>
  <c r="X1586"/>
  <c r="Y1586"/>
  <c r="D1585"/>
  <c r="C1585" s="1"/>
  <c r="C1584" s="1"/>
  <c r="D1587"/>
  <c r="C1587" s="1"/>
  <c r="C1586" s="1"/>
  <c r="I1609" i="5"/>
  <c r="J1609"/>
  <c r="K1609"/>
  <c r="L1609"/>
  <c r="M1609"/>
  <c r="N1609"/>
  <c r="O1609"/>
  <c r="P1609"/>
  <c r="Q1609"/>
  <c r="H1609"/>
  <c r="E276" i="7"/>
  <c r="F278"/>
  <c r="D278"/>
  <c r="C278"/>
  <c r="D1561" i="6"/>
  <c r="E1561"/>
  <c r="F1561"/>
  <c r="G1561"/>
  <c r="H1561"/>
  <c r="I1561"/>
  <c r="J1561"/>
  <c r="K1561"/>
  <c r="L1561"/>
  <c r="M1561"/>
  <c r="N1561"/>
  <c r="O1561"/>
  <c r="P1561"/>
  <c r="Q1561"/>
  <c r="Q1558" s="1"/>
  <c r="R1561"/>
  <c r="S1561"/>
  <c r="S1558" s="1"/>
  <c r="T1561"/>
  <c r="T1558" s="1"/>
  <c r="U1561"/>
  <c r="U1558" s="1"/>
  <c r="V1561"/>
  <c r="V1558" s="1"/>
  <c r="X1561"/>
  <c r="X1558" s="1"/>
  <c r="Y1561"/>
  <c r="Y1558" s="1"/>
  <c r="C1561"/>
  <c r="C1558" s="1"/>
  <c r="D1558"/>
  <c r="E1558"/>
  <c r="F1558"/>
  <c r="G1558"/>
  <c r="H1558"/>
  <c r="I1558"/>
  <c r="J1558"/>
  <c r="K1558"/>
  <c r="L1558"/>
  <c r="M1558"/>
  <c r="N1558"/>
  <c r="O1558"/>
  <c r="R1558"/>
  <c r="J1586" i="5"/>
  <c r="D277" i="7"/>
  <c r="F277"/>
  <c r="M1586" i="5"/>
  <c r="N1586"/>
  <c r="O1586"/>
  <c r="P1586"/>
  <c r="Q1586"/>
  <c r="C277" i="7"/>
  <c r="I1507" i="5"/>
  <c r="J1507"/>
  <c r="K1507"/>
  <c r="D259" i="7" s="1"/>
  <c r="L1507" i="5"/>
  <c r="F259" i="7" s="1"/>
  <c r="M1507" i="5"/>
  <c r="N1507"/>
  <c r="O1507"/>
  <c r="P1507"/>
  <c r="Q1507"/>
  <c r="H1507"/>
  <c r="C259" i="7" s="1"/>
  <c r="D1448" i="6"/>
  <c r="C1448" s="1"/>
  <c r="C1449"/>
  <c r="D1416"/>
  <c r="C1416" s="1"/>
  <c r="D1417"/>
  <c r="C1417" s="1"/>
  <c r="D1418"/>
  <c r="C1418" s="1"/>
  <c r="D1415"/>
  <c r="C1415" l="1"/>
  <c r="C1592"/>
  <c r="C1591" s="1"/>
  <c r="C1588" s="1"/>
  <c r="D1591"/>
  <c r="D1588" s="1"/>
  <c r="P1558"/>
  <c r="I1586" i="5"/>
  <c r="Y1581" i="6"/>
  <c r="V1581"/>
  <c r="T1581"/>
  <c r="R1581"/>
  <c r="P1581"/>
  <c r="N1581"/>
  <c r="L1581"/>
  <c r="J1581"/>
  <c r="H1581"/>
  <c r="F1581"/>
  <c r="X1581"/>
  <c r="U1581"/>
  <c r="S1581"/>
  <c r="Q1581"/>
  <c r="O1581"/>
  <c r="M1581"/>
  <c r="K1581"/>
  <c r="I1581"/>
  <c r="G1581"/>
  <c r="E1581"/>
  <c r="K1586" i="5"/>
  <c r="H1586"/>
  <c r="L1586"/>
  <c r="C1581" i="6"/>
  <c r="D1586"/>
  <c r="D1584"/>
  <c r="D276" i="7"/>
  <c r="C276"/>
  <c r="F276"/>
  <c r="E234"/>
  <c r="D1390" i="6"/>
  <c r="E1390"/>
  <c r="F1390"/>
  <c r="G1390"/>
  <c r="H1390"/>
  <c r="I1390"/>
  <c r="J1390"/>
  <c r="K1390"/>
  <c r="K1371" s="1"/>
  <c r="L1390"/>
  <c r="L1371" s="1"/>
  <c r="M1390"/>
  <c r="N1390"/>
  <c r="O1390"/>
  <c r="P1390"/>
  <c r="Q1390"/>
  <c r="R1390"/>
  <c r="S1390"/>
  <c r="T1390"/>
  <c r="U1390"/>
  <c r="V1390"/>
  <c r="X1390"/>
  <c r="Y1390"/>
  <c r="C1390"/>
  <c r="R1419" i="5"/>
  <c r="I1418"/>
  <c r="J1418"/>
  <c r="K1418"/>
  <c r="D236" i="7" s="1"/>
  <c r="L1418" i="5"/>
  <c r="F236" i="7" s="1"/>
  <c r="M1418" i="5"/>
  <c r="N1418"/>
  <c r="O1418"/>
  <c r="P1418"/>
  <c r="Q1418"/>
  <c r="H1418"/>
  <c r="C236" i="7" s="1"/>
  <c r="D1346" i="6"/>
  <c r="C1346" s="1"/>
  <c r="D1345"/>
  <c r="O1374" i="5"/>
  <c r="O1373"/>
  <c r="I1372"/>
  <c r="J1372"/>
  <c r="K1372"/>
  <c r="D229" i="7" s="1"/>
  <c r="L1372" i="5"/>
  <c r="M1372"/>
  <c r="N1372"/>
  <c r="P1372"/>
  <c r="Q1372"/>
  <c r="H1372"/>
  <c r="C229" i="7" s="1"/>
  <c r="E288"/>
  <c r="E1588" i="6"/>
  <c r="F1588"/>
  <c r="G1588"/>
  <c r="H1588"/>
  <c r="I1588"/>
  <c r="J1588"/>
  <c r="K1588"/>
  <c r="L1588"/>
  <c r="M1588"/>
  <c r="N1588"/>
  <c r="O1588"/>
  <c r="P1588"/>
  <c r="Q1588"/>
  <c r="R1588"/>
  <c r="S1588"/>
  <c r="T1588"/>
  <c r="U1588"/>
  <c r="V1588"/>
  <c r="X1588"/>
  <c r="Y1588"/>
  <c r="I1616" i="5"/>
  <c r="J1616"/>
  <c r="D289" i="7"/>
  <c r="F289"/>
  <c r="M1616" i="5"/>
  <c r="N1616"/>
  <c r="O1616"/>
  <c r="P1616"/>
  <c r="Q1616"/>
  <c r="C289" i="7"/>
  <c r="F290"/>
  <c r="D290"/>
  <c r="C290"/>
  <c r="T1616" i="5"/>
  <c r="R1616"/>
  <c r="S1616"/>
  <c r="F285" i="7"/>
  <c r="F284" s="1"/>
  <c r="D285"/>
  <c r="D284" s="1"/>
  <c r="C285"/>
  <c r="C284" s="1"/>
  <c r="E268"/>
  <c r="D1538" i="6"/>
  <c r="E1538"/>
  <c r="F1538"/>
  <c r="G1538"/>
  <c r="H1538"/>
  <c r="I1538"/>
  <c r="J1538"/>
  <c r="K1538"/>
  <c r="L1538"/>
  <c r="M1538"/>
  <c r="N1538"/>
  <c r="O1538"/>
  <c r="P1538"/>
  <c r="Q1538"/>
  <c r="R1538"/>
  <c r="S1538"/>
  <c r="T1538"/>
  <c r="U1538"/>
  <c r="V1538"/>
  <c r="X1538"/>
  <c r="Y1538"/>
  <c r="C1538"/>
  <c r="I1566" i="5"/>
  <c r="J1566"/>
  <c r="K1566"/>
  <c r="D271" i="7" s="1"/>
  <c r="L1566" i="5"/>
  <c r="F271" i="7" s="1"/>
  <c r="M1566" i="5"/>
  <c r="N1566"/>
  <c r="O1566"/>
  <c r="P1566"/>
  <c r="Q1566"/>
  <c r="H1566"/>
  <c r="C271" i="7" s="1"/>
  <c r="F255"/>
  <c r="D255"/>
  <c r="C255"/>
  <c r="F254"/>
  <c r="D254"/>
  <c r="C254"/>
  <c r="D250"/>
  <c r="C250"/>
  <c r="F244"/>
  <c r="D244"/>
  <c r="C244"/>
  <c r="C1345" i="6" l="1"/>
  <c r="C1344" s="1"/>
  <c r="D1344"/>
  <c r="D1581"/>
  <c r="F229" i="7"/>
  <c r="O1372" i="5"/>
  <c r="C288" i="7"/>
  <c r="F288"/>
  <c r="K1616" i="5"/>
  <c r="D288" i="7"/>
  <c r="H1616" i="5"/>
  <c r="L1616"/>
  <c r="C1486" i="6" l="1"/>
  <c r="C1484"/>
  <c r="E1487"/>
  <c r="F1487"/>
  <c r="G1487"/>
  <c r="H1487"/>
  <c r="I1487"/>
  <c r="J1487"/>
  <c r="K1487"/>
  <c r="L1487"/>
  <c r="M1487"/>
  <c r="N1487"/>
  <c r="O1487"/>
  <c r="P1487"/>
  <c r="Q1487"/>
  <c r="R1487"/>
  <c r="S1487"/>
  <c r="T1487"/>
  <c r="U1487"/>
  <c r="V1487"/>
  <c r="X1487"/>
  <c r="Y1487"/>
  <c r="D1490"/>
  <c r="I1515" i="5"/>
  <c r="J1515"/>
  <c r="K1515"/>
  <c r="L1515"/>
  <c r="M1515"/>
  <c r="N1515"/>
  <c r="O1515"/>
  <c r="P1515"/>
  <c r="Q1515"/>
  <c r="H1515"/>
  <c r="R1518"/>
  <c r="D1487" i="6" l="1"/>
  <c r="C1490"/>
  <c r="C1487" s="1"/>
  <c r="O1581" i="5"/>
  <c r="R1581"/>
  <c r="D1419" i="6"/>
  <c r="R1447" i="5"/>
  <c r="C1419" i="6" l="1"/>
  <c r="C1414" s="1"/>
  <c r="D1414"/>
  <c r="E1550"/>
  <c r="F1550"/>
  <c r="G1550"/>
  <c r="H1550"/>
  <c r="I1550"/>
  <c r="J1550"/>
  <c r="K1550"/>
  <c r="L1550"/>
  <c r="M1550"/>
  <c r="N1550"/>
  <c r="O1550"/>
  <c r="P1550"/>
  <c r="Q1550"/>
  <c r="R1550"/>
  <c r="S1550"/>
  <c r="T1550"/>
  <c r="U1550"/>
  <c r="V1550"/>
  <c r="X1550"/>
  <c r="Y1550"/>
  <c r="C1550"/>
  <c r="I1578" i="5"/>
  <c r="J1578"/>
  <c r="K1578"/>
  <c r="L1578"/>
  <c r="M1578"/>
  <c r="N1578"/>
  <c r="Q1578"/>
  <c r="H1578"/>
  <c r="R1582"/>
  <c r="E292" i="7"/>
  <c r="E1596" i="6"/>
  <c r="F1596"/>
  <c r="G1596"/>
  <c r="H1596"/>
  <c r="I1596"/>
  <c r="J1596"/>
  <c r="K1596"/>
  <c r="L1596"/>
  <c r="M1596"/>
  <c r="N1596"/>
  <c r="O1596"/>
  <c r="P1596"/>
  <c r="Q1596"/>
  <c r="R1596"/>
  <c r="S1596"/>
  <c r="T1596"/>
  <c r="U1596"/>
  <c r="V1596"/>
  <c r="X1596"/>
  <c r="Y1596"/>
  <c r="D1597"/>
  <c r="C1597" s="1"/>
  <c r="C1596" s="1"/>
  <c r="I1624" i="5"/>
  <c r="J1624"/>
  <c r="K1624"/>
  <c r="D293" i="7" s="1"/>
  <c r="L1624" i="5"/>
  <c r="F293" i="7" s="1"/>
  <c r="M1624" i="5"/>
  <c r="N1624"/>
  <c r="O1624"/>
  <c r="P1624"/>
  <c r="Q1624"/>
  <c r="H1624"/>
  <c r="C293" i="7" s="1"/>
  <c r="R1625" i="5"/>
  <c r="D1550" i="6" l="1"/>
  <c r="D1596"/>
  <c r="E238" i="7"/>
  <c r="E1400" i="6"/>
  <c r="E1399" s="1"/>
  <c r="F1400"/>
  <c r="F1399" s="1"/>
  <c r="G1400"/>
  <c r="G1399" s="1"/>
  <c r="H1400"/>
  <c r="H1399" s="1"/>
  <c r="I1400"/>
  <c r="I1399" s="1"/>
  <c r="J1400"/>
  <c r="J1399" s="1"/>
  <c r="K1400"/>
  <c r="K1399" s="1"/>
  <c r="L1400"/>
  <c r="L1399" s="1"/>
  <c r="M1400"/>
  <c r="M1399" s="1"/>
  <c r="N1400"/>
  <c r="N1399" s="1"/>
  <c r="O1400"/>
  <c r="O1399" s="1"/>
  <c r="P1400"/>
  <c r="Q1400"/>
  <c r="Q1399" s="1"/>
  <c r="R1400"/>
  <c r="R1399" s="1"/>
  <c r="S1400"/>
  <c r="S1399" s="1"/>
  <c r="T1400"/>
  <c r="U1400"/>
  <c r="U1399" s="1"/>
  <c r="V1400"/>
  <c r="V1399" s="1"/>
  <c r="X1400"/>
  <c r="X1399" s="1"/>
  <c r="Y1400"/>
  <c r="Y1399" s="1"/>
  <c r="D1402"/>
  <c r="C1402" s="1"/>
  <c r="D1403"/>
  <c r="C1403" s="1"/>
  <c r="D1401"/>
  <c r="C1401" s="1"/>
  <c r="I1428" i="5"/>
  <c r="J1428"/>
  <c r="J1427" s="1"/>
  <c r="K1428"/>
  <c r="K1427" s="1"/>
  <c r="L1428"/>
  <c r="F239" i="7" s="1"/>
  <c r="F238" s="1"/>
  <c r="M1428" i="5"/>
  <c r="M1427" s="1"/>
  <c r="N1428"/>
  <c r="N1427" s="1"/>
  <c r="O1428"/>
  <c r="O1427" s="1"/>
  <c r="P1428"/>
  <c r="P1427" s="1"/>
  <c r="Q1428"/>
  <c r="Q1427" s="1"/>
  <c r="H1428"/>
  <c r="C239" i="7" s="1"/>
  <c r="C238" s="1"/>
  <c r="R1430" i="5"/>
  <c r="R1431"/>
  <c r="R1429"/>
  <c r="I1479"/>
  <c r="I1478" s="1"/>
  <c r="J1479"/>
  <c r="J1478" s="1"/>
  <c r="K1479"/>
  <c r="L1479"/>
  <c r="M1479"/>
  <c r="M1478" s="1"/>
  <c r="N1479"/>
  <c r="N1478" s="1"/>
  <c r="O1479"/>
  <c r="O1478" s="1"/>
  <c r="P1479"/>
  <c r="P1478" s="1"/>
  <c r="Q1479"/>
  <c r="Q1478" s="1"/>
  <c r="H1479"/>
  <c r="R1482"/>
  <c r="R1481"/>
  <c r="R1480"/>
  <c r="D252" i="7" l="1"/>
  <c r="D251" s="1"/>
  <c r="K1478" i="5"/>
  <c r="H1478"/>
  <c r="C252" i="7"/>
  <c r="C251" s="1"/>
  <c r="L1478" i="5"/>
  <c r="F252" i="7"/>
  <c r="F251" s="1"/>
  <c r="T1399" i="6"/>
  <c r="P1399"/>
  <c r="I1427" i="5"/>
  <c r="C1400" i="6"/>
  <c r="C1399" s="1"/>
  <c r="D1400"/>
  <c r="D1399" s="1"/>
  <c r="H1427" i="5"/>
  <c r="L1427"/>
  <c r="D239" i="7"/>
  <c r="D238" s="1"/>
  <c r="E1309" i="6" l="1"/>
  <c r="F1309"/>
  <c r="G1309"/>
  <c r="H1309"/>
  <c r="I1309"/>
  <c r="J1309"/>
  <c r="K1309"/>
  <c r="L1309"/>
  <c r="M1309"/>
  <c r="N1309"/>
  <c r="O1309"/>
  <c r="P1309"/>
  <c r="Q1309"/>
  <c r="R1309"/>
  <c r="S1309"/>
  <c r="T1309"/>
  <c r="U1309"/>
  <c r="V1309"/>
  <c r="X1309"/>
  <c r="Y1309"/>
  <c r="K1337" i="5"/>
  <c r="M1337"/>
  <c r="N1337"/>
  <c r="Q1337"/>
  <c r="H1337"/>
  <c r="O1354"/>
  <c r="O1355"/>
  <c r="O1356"/>
  <c r="O1357"/>
  <c r="O1358"/>
  <c r="O1359"/>
  <c r="O1360"/>
  <c r="O1361"/>
  <c r="R1354"/>
  <c r="R1355"/>
  <c r="R1356"/>
  <c r="R1357"/>
  <c r="R1358"/>
  <c r="R1359"/>
  <c r="R1360"/>
  <c r="R1361"/>
  <c r="O1353"/>
  <c r="R1353"/>
  <c r="O1347"/>
  <c r="R1347"/>
  <c r="D1309" i="6" l="1"/>
  <c r="D1557"/>
  <c r="C1557" s="1"/>
  <c r="D1556"/>
  <c r="R1585" i="5"/>
  <c r="R1584"/>
  <c r="D1542" i="6"/>
  <c r="C1542" s="1"/>
  <c r="D1541"/>
  <c r="R1570" i="5"/>
  <c r="E168" i="7"/>
  <c r="E1392" i="6"/>
  <c r="F1392"/>
  <c r="G1392"/>
  <c r="H1392"/>
  <c r="I1392"/>
  <c r="J1392"/>
  <c r="K1392"/>
  <c r="L1392"/>
  <c r="M1392"/>
  <c r="N1392"/>
  <c r="O1392"/>
  <c r="P1392"/>
  <c r="Q1392"/>
  <c r="R1392"/>
  <c r="S1392"/>
  <c r="T1392"/>
  <c r="U1392"/>
  <c r="V1392"/>
  <c r="X1392"/>
  <c r="Y1392"/>
  <c r="D1394"/>
  <c r="C1394" s="1"/>
  <c r="D1395"/>
  <c r="C1395" s="1"/>
  <c r="D1393"/>
  <c r="D852"/>
  <c r="E852"/>
  <c r="F852"/>
  <c r="G852"/>
  <c r="H852"/>
  <c r="I852"/>
  <c r="J852"/>
  <c r="K852"/>
  <c r="L852"/>
  <c r="M852"/>
  <c r="N852"/>
  <c r="O852"/>
  <c r="P852"/>
  <c r="Q852"/>
  <c r="R852"/>
  <c r="S852"/>
  <c r="T852"/>
  <c r="U852"/>
  <c r="V852"/>
  <c r="X852"/>
  <c r="Y852"/>
  <c r="E585"/>
  <c r="F585"/>
  <c r="G585"/>
  <c r="H585"/>
  <c r="I585"/>
  <c r="J585"/>
  <c r="K585"/>
  <c r="L585"/>
  <c r="M585"/>
  <c r="N585"/>
  <c r="O585"/>
  <c r="P585"/>
  <c r="Q585"/>
  <c r="R585"/>
  <c r="S585"/>
  <c r="T585"/>
  <c r="U585"/>
  <c r="V585"/>
  <c r="X585"/>
  <c r="Y5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V185"/>
  <c r="X185"/>
  <c r="Y185"/>
  <c r="I1420" i="5"/>
  <c r="J1420"/>
  <c r="K1420"/>
  <c r="D237" i="7" s="1"/>
  <c r="L1420" i="5"/>
  <c r="F237" i="7" s="1"/>
  <c r="M1420" i="5"/>
  <c r="N1420"/>
  <c r="O1420"/>
  <c r="Q1420"/>
  <c r="H1420"/>
  <c r="C237" i="7" s="1"/>
  <c r="R1423" i="5"/>
  <c r="R1422"/>
  <c r="R1421"/>
  <c r="I874"/>
  <c r="J874"/>
  <c r="K874"/>
  <c r="D168" i="7" s="1"/>
  <c r="M874" i="5"/>
  <c r="N874"/>
  <c r="O874"/>
  <c r="P874"/>
  <c r="Q874"/>
  <c r="H874"/>
  <c r="C168" i="7" s="1"/>
  <c r="I589" i="5"/>
  <c r="J589"/>
  <c r="K589"/>
  <c r="D102" i="7" s="1"/>
  <c r="L589" i="5"/>
  <c r="F102" i="7" s="1"/>
  <c r="M589" i="5"/>
  <c r="N589"/>
  <c r="O589"/>
  <c r="P589"/>
  <c r="Q589"/>
  <c r="H589"/>
  <c r="C102" i="7" s="1"/>
  <c r="I185" i="5"/>
  <c r="J185"/>
  <c r="K185"/>
  <c r="D21" i="7" s="1"/>
  <c r="M185" i="5"/>
  <c r="N185"/>
  <c r="O185"/>
  <c r="P185"/>
  <c r="Q185"/>
  <c r="H185"/>
  <c r="C21" i="7" s="1"/>
  <c r="E43"/>
  <c r="E1505" i="6"/>
  <c r="F1505"/>
  <c r="G1505"/>
  <c r="H1505"/>
  <c r="I1505"/>
  <c r="J1505"/>
  <c r="K1505"/>
  <c r="L1505"/>
  <c r="M1505"/>
  <c r="N1505"/>
  <c r="O1505"/>
  <c r="P1505"/>
  <c r="Q1505"/>
  <c r="R1505"/>
  <c r="S1505"/>
  <c r="T1505"/>
  <c r="U1505"/>
  <c r="V1505"/>
  <c r="X1505"/>
  <c r="Y1505"/>
  <c r="D1507"/>
  <c r="C1507" s="1"/>
  <c r="D1508"/>
  <c r="C1508" s="1"/>
  <c r="D1506"/>
  <c r="C1506" s="1"/>
  <c r="E914"/>
  <c r="F914"/>
  <c r="G914"/>
  <c r="H914"/>
  <c r="I914"/>
  <c r="J914"/>
  <c r="K914"/>
  <c r="L914"/>
  <c r="M914"/>
  <c r="N914"/>
  <c r="O914"/>
  <c r="P914"/>
  <c r="Q914"/>
  <c r="R914"/>
  <c r="S914"/>
  <c r="T914"/>
  <c r="U914"/>
  <c r="V914"/>
  <c r="X914"/>
  <c r="Y914"/>
  <c r="D915"/>
  <c r="C915" s="1"/>
  <c r="C914" s="1"/>
  <c r="E649"/>
  <c r="F649"/>
  <c r="G649"/>
  <c r="H649"/>
  <c r="I649"/>
  <c r="J649"/>
  <c r="K649"/>
  <c r="L649"/>
  <c r="M649"/>
  <c r="N649"/>
  <c r="O649"/>
  <c r="P649"/>
  <c r="Q649"/>
  <c r="R649"/>
  <c r="S649"/>
  <c r="T649"/>
  <c r="U649"/>
  <c r="V649"/>
  <c r="X649"/>
  <c r="Y649"/>
  <c r="D651"/>
  <c r="C651" s="1"/>
  <c r="D652"/>
  <c r="C652" s="1"/>
  <c r="D653"/>
  <c r="C653" s="1"/>
  <c r="D650"/>
  <c r="C650" s="1"/>
  <c r="E275"/>
  <c r="F275"/>
  <c r="G275"/>
  <c r="H275"/>
  <c r="I275"/>
  <c r="J275"/>
  <c r="K275"/>
  <c r="L275"/>
  <c r="M275"/>
  <c r="N275"/>
  <c r="O275"/>
  <c r="P275"/>
  <c r="Q275"/>
  <c r="R275"/>
  <c r="S275"/>
  <c r="T275"/>
  <c r="U275"/>
  <c r="V275"/>
  <c r="X275"/>
  <c r="Y275"/>
  <c r="D277"/>
  <c r="C277" s="1"/>
  <c r="D278"/>
  <c r="C278" s="1"/>
  <c r="D279"/>
  <c r="C279" s="1"/>
  <c r="D280"/>
  <c r="C280" s="1"/>
  <c r="D276"/>
  <c r="C276" s="1"/>
  <c r="O1535" i="5"/>
  <c r="O1536"/>
  <c r="O1534"/>
  <c r="R1535"/>
  <c r="R1536"/>
  <c r="R1534"/>
  <c r="I1533"/>
  <c r="J1533"/>
  <c r="K1533"/>
  <c r="D264" i="7" s="1"/>
  <c r="L1533" i="5"/>
  <c r="F264" i="7" s="1"/>
  <c r="M1533" i="5"/>
  <c r="N1533"/>
  <c r="P1533"/>
  <c r="Q1533"/>
  <c r="H1533"/>
  <c r="C264" i="7" s="1"/>
  <c r="I936" i="5"/>
  <c r="J936"/>
  <c r="K936"/>
  <c r="D188" i="7" s="1"/>
  <c r="L936" i="5"/>
  <c r="F188" i="7" s="1"/>
  <c r="M936" i="5"/>
  <c r="N936"/>
  <c r="O936"/>
  <c r="P936"/>
  <c r="Q936"/>
  <c r="H936"/>
  <c r="C188" i="7" s="1"/>
  <c r="R937" i="5"/>
  <c r="O653"/>
  <c r="O654"/>
  <c r="O655"/>
  <c r="O652"/>
  <c r="R653"/>
  <c r="R654"/>
  <c r="R655"/>
  <c r="R652"/>
  <c r="I651"/>
  <c r="J651"/>
  <c r="K651"/>
  <c r="D126" i="7" s="1"/>
  <c r="L651" i="5"/>
  <c r="F126" i="7" s="1"/>
  <c r="M651" i="5"/>
  <c r="N651"/>
  <c r="P651"/>
  <c r="Q651"/>
  <c r="H651"/>
  <c r="C126" i="7" s="1"/>
  <c r="O273" i="5"/>
  <c r="O274"/>
  <c r="O275"/>
  <c r="O276"/>
  <c r="O272"/>
  <c r="R273"/>
  <c r="R274"/>
  <c r="R275"/>
  <c r="R276"/>
  <c r="R272"/>
  <c r="I271"/>
  <c r="J271"/>
  <c r="K271"/>
  <c r="D49" i="7" s="1"/>
  <c r="L271" i="5"/>
  <c r="F49" i="7" s="1"/>
  <c r="M271" i="5"/>
  <c r="N271"/>
  <c r="P271"/>
  <c r="Q271"/>
  <c r="H271"/>
  <c r="C49" i="7" s="1"/>
  <c r="D1545" i="6"/>
  <c r="C1545" s="1"/>
  <c r="D1547"/>
  <c r="C1547" s="1"/>
  <c r="D1548"/>
  <c r="C1548" s="1"/>
  <c r="D1549"/>
  <c r="C1549" s="1"/>
  <c r="D1544"/>
  <c r="C1544" s="1"/>
  <c r="E1543"/>
  <c r="F1543"/>
  <c r="G1543"/>
  <c r="H1543"/>
  <c r="I1543"/>
  <c r="J1543"/>
  <c r="K1543"/>
  <c r="L1543"/>
  <c r="M1543"/>
  <c r="N1543"/>
  <c r="O1543"/>
  <c r="P1543"/>
  <c r="Q1543"/>
  <c r="R1543"/>
  <c r="S1543"/>
  <c r="T1543"/>
  <c r="U1543"/>
  <c r="V1543"/>
  <c r="X1543"/>
  <c r="Y1543"/>
  <c r="E673"/>
  <c r="F673"/>
  <c r="G673"/>
  <c r="H673"/>
  <c r="I673"/>
  <c r="J673"/>
  <c r="K673"/>
  <c r="L673"/>
  <c r="M673"/>
  <c r="N673"/>
  <c r="O673"/>
  <c r="P673"/>
  <c r="Q673"/>
  <c r="R673"/>
  <c r="S673"/>
  <c r="T673"/>
  <c r="U673"/>
  <c r="V673"/>
  <c r="X673"/>
  <c r="Y673"/>
  <c r="D675"/>
  <c r="C675" s="1"/>
  <c r="D676"/>
  <c r="D674"/>
  <c r="C674" s="1"/>
  <c r="K325"/>
  <c r="L325"/>
  <c r="M325"/>
  <c r="O325"/>
  <c r="P325"/>
  <c r="Q325"/>
  <c r="S325"/>
  <c r="U325"/>
  <c r="X325"/>
  <c r="Y325"/>
  <c r="D273" i="7"/>
  <c r="C273"/>
  <c r="R1575" i="5"/>
  <c r="R1576"/>
  <c r="R1577"/>
  <c r="O677"/>
  <c r="O678"/>
  <c r="O676"/>
  <c r="R677"/>
  <c r="R678"/>
  <c r="R676"/>
  <c r="I675"/>
  <c r="J675"/>
  <c r="K675"/>
  <c r="D135" i="7" s="1"/>
  <c r="L675" i="5"/>
  <c r="F135" i="7" s="1"/>
  <c r="M675" i="5"/>
  <c r="N675"/>
  <c r="P675"/>
  <c r="Q675"/>
  <c r="H675"/>
  <c r="C135" i="7" s="1"/>
  <c r="I321" i="5"/>
  <c r="J321"/>
  <c r="K321"/>
  <c r="L321"/>
  <c r="M321"/>
  <c r="N321"/>
  <c r="P321"/>
  <c r="Q321"/>
  <c r="H321"/>
  <c r="O323"/>
  <c r="O324"/>
  <c r="O322"/>
  <c r="C1541" i="6" l="1"/>
  <c r="C1540" s="1"/>
  <c r="D1540"/>
  <c r="D1555"/>
  <c r="C1556"/>
  <c r="C1555" s="1"/>
  <c r="O271" i="5"/>
  <c r="O1533"/>
  <c r="C1393" i="6"/>
  <c r="D1505"/>
  <c r="C1505"/>
  <c r="D914"/>
  <c r="D649"/>
  <c r="C649"/>
  <c r="C275"/>
  <c r="D275"/>
  <c r="O651" i="5"/>
  <c r="O675"/>
  <c r="O321"/>
  <c r="D1543" i="6"/>
  <c r="C1543"/>
  <c r="D673"/>
  <c r="C676"/>
  <c r="C673" s="1"/>
  <c r="D1369" l="1"/>
  <c r="C1369" s="1"/>
  <c r="D1370"/>
  <c r="C1370" s="1"/>
  <c r="D1368"/>
  <c r="D839"/>
  <c r="C839" s="1"/>
  <c r="D838"/>
  <c r="D576"/>
  <c r="D171"/>
  <c r="C171" s="1"/>
  <c r="D172"/>
  <c r="C172" s="1"/>
  <c r="D173"/>
  <c r="C173" s="1"/>
  <c r="D170"/>
  <c r="R1398" i="5"/>
  <c r="R584"/>
  <c r="R585"/>
  <c r="R586"/>
  <c r="R587"/>
  <c r="R588"/>
  <c r="R583"/>
  <c r="R580"/>
  <c r="R173"/>
  <c r="R172"/>
  <c r="R171"/>
  <c r="R170"/>
  <c r="C1368" i="6" l="1"/>
  <c r="C1367" s="1"/>
  <c r="D1367"/>
  <c r="C838"/>
  <c r="C837" s="1"/>
  <c r="D837"/>
  <c r="C170"/>
  <c r="C169" s="1"/>
  <c r="D169"/>
  <c r="C576"/>
  <c r="C575" s="1"/>
  <c r="D575"/>
  <c r="E220" i="7"/>
  <c r="E25" l="1"/>
  <c r="E1425" i="6"/>
  <c r="F1425"/>
  <c r="G1425"/>
  <c r="H1425"/>
  <c r="I1425"/>
  <c r="J1425"/>
  <c r="K1425"/>
  <c r="K1420" s="1"/>
  <c r="L1425"/>
  <c r="L1420" s="1"/>
  <c r="M1425"/>
  <c r="N1425"/>
  <c r="O1425"/>
  <c r="P1425"/>
  <c r="Q1425"/>
  <c r="R1425"/>
  <c r="S1425"/>
  <c r="T1425"/>
  <c r="U1425"/>
  <c r="V1425"/>
  <c r="X1425"/>
  <c r="Y1425"/>
  <c r="D1426"/>
  <c r="D1425" s="1"/>
  <c r="E206"/>
  <c r="F206"/>
  <c r="G206"/>
  <c r="H206"/>
  <c r="I206"/>
  <c r="J206"/>
  <c r="K206"/>
  <c r="L206"/>
  <c r="M206"/>
  <c r="N206"/>
  <c r="O206"/>
  <c r="P206"/>
  <c r="Q206"/>
  <c r="R206"/>
  <c r="S206"/>
  <c r="T206"/>
  <c r="U206"/>
  <c r="V206"/>
  <c r="X206"/>
  <c r="Y206"/>
  <c r="D208"/>
  <c r="C208" s="1"/>
  <c r="D207"/>
  <c r="C207" s="1"/>
  <c r="I1453" i="5"/>
  <c r="J1453"/>
  <c r="K1453"/>
  <c r="D245" i="7" s="1"/>
  <c r="L1453" i="5"/>
  <c r="F245" i="7" s="1"/>
  <c r="M1453" i="5"/>
  <c r="N1453"/>
  <c r="O1453"/>
  <c r="P1453"/>
  <c r="Q1453"/>
  <c r="H1453"/>
  <c r="C245" i="7" s="1"/>
  <c r="R1454" i="5"/>
  <c r="I206"/>
  <c r="J206"/>
  <c r="K206"/>
  <c r="D30" i="7" s="1"/>
  <c r="L206" i="5"/>
  <c r="F30" i="7" s="1"/>
  <c r="M206" i="5"/>
  <c r="N206"/>
  <c r="O206"/>
  <c r="P206"/>
  <c r="Q206"/>
  <c r="H206"/>
  <c r="C30" i="7" s="1"/>
  <c r="R208" i="5"/>
  <c r="R207"/>
  <c r="C1426" i="6" l="1"/>
  <c r="C1425" s="1"/>
  <c r="D206"/>
  <c r="C206"/>
  <c r="K1432"/>
  <c r="L1432"/>
  <c r="E217" i="7" l="1"/>
  <c r="D913" i="6" l="1"/>
  <c r="E647"/>
  <c r="F647"/>
  <c r="G647"/>
  <c r="H647"/>
  <c r="I647"/>
  <c r="J647"/>
  <c r="K647"/>
  <c r="L647"/>
  <c r="M647"/>
  <c r="N647"/>
  <c r="O647"/>
  <c r="P647"/>
  <c r="Q647"/>
  <c r="R647"/>
  <c r="S647"/>
  <c r="T647"/>
  <c r="U647"/>
  <c r="V647"/>
  <c r="X647"/>
  <c r="Y647"/>
  <c r="D648"/>
  <c r="C648" s="1"/>
  <c r="C647" s="1"/>
  <c r="E273"/>
  <c r="F273"/>
  <c r="G273"/>
  <c r="H273"/>
  <c r="I273"/>
  <c r="J273"/>
  <c r="K273"/>
  <c r="L273"/>
  <c r="M273"/>
  <c r="N273"/>
  <c r="O273"/>
  <c r="P273"/>
  <c r="Q273"/>
  <c r="R273"/>
  <c r="S273"/>
  <c r="T273"/>
  <c r="U273"/>
  <c r="X273"/>
  <c r="Y273"/>
  <c r="D274"/>
  <c r="C274" s="1"/>
  <c r="C273" s="1"/>
  <c r="D187" i="7"/>
  <c r="F187"/>
  <c r="C187"/>
  <c r="I649" i="5"/>
  <c r="J649"/>
  <c r="K649"/>
  <c r="D125" i="7" s="1"/>
  <c r="L649" i="5"/>
  <c r="F125" i="7" s="1"/>
  <c r="M649" i="5"/>
  <c r="N649"/>
  <c r="O649"/>
  <c r="P649"/>
  <c r="Q649"/>
  <c r="H649"/>
  <c r="C125" i="7" s="1"/>
  <c r="R650" i="5"/>
  <c r="I269"/>
  <c r="J269"/>
  <c r="K269"/>
  <c r="D48" i="7" s="1"/>
  <c r="L269" i="5"/>
  <c r="F48" i="7" s="1"/>
  <c r="M269" i="5"/>
  <c r="N269"/>
  <c r="O269"/>
  <c r="P269"/>
  <c r="Q269"/>
  <c r="H269"/>
  <c r="C48" i="7" s="1"/>
  <c r="R270" i="5"/>
  <c r="E271" i="6"/>
  <c r="F271"/>
  <c r="G271"/>
  <c r="H271"/>
  <c r="I271"/>
  <c r="J271"/>
  <c r="K271"/>
  <c r="L271"/>
  <c r="M271"/>
  <c r="N271"/>
  <c r="O271"/>
  <c r="P271"/>
  <c r="Q271"/>
  <c r="R271"/>
  <c r="S271"/>
  <c r="T271"/>
  <c r="U271"/>
  <c r="V271"/>
  <c r="X271"/>
  <c r="Y271"/>
  <c r="D272"/>
  <c r="C272" s="1"/>
  <c r="C271" s="1"/>
  <c r="I267" i="5"/>
  <c r="J267"/>
  <c r="K267"/>
  <c r="D47" i="7" s="1"/>
  <c r="L267" i="5"/>
  <c r="F47" i="7" s="1"/>
  <c r="M267" i="5"/>
  <c r="N267"/>
  <c r="O267"/>
  <c r="P267"/>
  <c r="Q267"/>
  <c r="H267"/>
  <c r="C47" i="7" s="1"/>
  <c r="R268" i="5"/>
  <c r="D291" i="7"/>
  <c r="E1593" i="6"/>
  <c r="F1593"/>
  <c r="G1593"/>
  <c r="H1593"/>
  <c r="I1593"/>
  <c r="J1593"/>
  <c r="K1593"/>
  <c r="L1593"/>
  <c r="M1593"/>
  <c r="N1593"/>
  <c r="O1593"/>
  <c r="P1593"/>
  <c r="Q1593"/>
  <c r="R1593"/>
  <c r="S1593"/>
  <c r="T1593"/>
  <c r="U1593"/>
  <c r="V1593"/>
  <c r="X1593"/>
  <c r="Y1593"/>
  <c r="D1594"/>
  <c r="C1594" s="1"/>
  <c r="C1593" s="1"/>
  <c r="D1010"/>
  <c r="C1010" s="1"/>
  <c r="D1011"/>
  <c r="C1011" s="1"/>
  <c r="D1012"/>
  <c r="C1012" s="1"/>
  <c r="D1009"/>
  <c r="E734"/>
  <c r="F734"/>
  <c r="G734"/>
  <c r="H734"/>
  <c r="I734"/>
  <c r="J734"/>
  <c r="K734"/>
  <c r="L734"/>
  <c r="M734"/>
  <c r="N734"/>
  <c r="O734"/>
  <c r="P734"/>
  <c r="Q734"/>
  <c r="R734"/>
  <c r="S734"/>
  <c r="T734"/>
  <c r="U734"/>
  <c r="V734"/>
  <c r="X734"/>
  <c r="Y734"/>
  <c r="D736"/>
  <c r="C736" s="1"/>
  <c r="D737"/>
  <c r="C737" s="1"/>
  <c r="D738"/>
  <c r="C738" s="1"/>
  <c r="D735"/>
  <c r="C735" s="1"/>
  <c r="E420"/>
  <c r="F420"/>
  <c r="G420"/>
  <c r="H420"/>
  <c r="I420"/>
  <c r="J420"/>
  <c r="K420"/>
  <c r="L420"/>
  <c r="M420"/>
  <c r="N420"/>
  <c r="O420"/>
  <c r="P420"/>
  <c r="Q420"/>
  <c r="R420"/>
  <c r="S420"/>
  <c r="T420"/>
  <c r="U420"/>
  <c r="V420"/>
  <c r="X420"/>
  <c r="Y420"/>
  <c r="D422"/>
  <c r="C422" s="1"/>
  <c r="D423"/>
  <c r="C423" s="1"/>
  <c r="D424"/>
  <c r="C424" s="1"/>
  <c r="D425"/>
  <c r="C425" s="1"/>
  <c r="D426"/>
  <c r="C426" s="1"/>
  <c r="D421"/>
  <c r="C421" s="1"/>
  <c r="I1621" i="5"/>
  <c r="J1621"/>
  <c r="K1621"/>
  <c r="L1621"/>
  <c r="F291" i="7" s="1"/>
  <c r="M1621" i="5"/>
  <c r="N1621"/>
  <c r="O1621"/>
  <c r="P1621"/>
  <c r="Q1621"/>
  <c r="H1621"/>
  <c r="C291" i="7" s="1"/>
  <c r="R1622" i="5"/>
  <c r="R1018"/>
  <c r="R1019"/>
  <c r="R1020"/>
  <c r="R1017"/>
  <c r="D219" i="7"/>
  <c r="F219"/>
  <c r="C219"/>
  <c r="O1020" i="5"/>
  <c r="O1019"/>
  <c r="O1018"/>
  <c r="O1017"/>
  <c r="I715"/>
  <c r="J715"/>
  <c r="K715"/>
  <c r="D150" i="7" s="1"/>
  <c r="L715" i="5"/>
  <c r="F150" i="7" s="1"/>
  <c r="M715" i="5"/>
  <c r="N715"/>
  <c r="P715"/>
  <c r="Q715"/>
  <c r="H715"/>
  <c r="C150" i="7" s="1"/>
  <c r="R719" i="5"/>
  <c r="O719"/>
  <c r="R718"/>
  <c r="O718"/>
  <c r="R717"/>
  <c r="O717"/>
  <c r="R716"/>
  <c r="O716"/>
  <c r="O715" s="1"/>
  <c r="I399"/>
  <c r="J399"/>
  <c r="K399"/>
  <c r="D84" i="7" s="1"/>
  <c r="L399" i="5"/>
  <c r="F84" i="7" s="1"/>
  <c r="M399" i="5"/>
  <c r="N399"/>
  <c r="P399"/>
  <c r="Q399"/>
  <c r="H399"/>
  <c r="C84" i="7" s="1"/>
  <c r="R405" i="5"/>
  <c r="O405"/>
  <c r="R404"/>
  <c r="R403"/>
  <c r="O403"/>
  <c r="R402"/>
  <c r="O402"/>
  <c r="R401"/>
  <c r="O401"/>
  <c r="R400"/>
  <c r="O400"/>
  <c r="O1016" l="1"/>
  <c r="D1008" i="6"/>
  <c r="C1009"/>
  <c r="C1008" s="1"/>
  <c r="C913"/>
  <c r="C912" s="1"/>
  <c r="D912"/>
  <c r="C734"/>
  <c r="D647"/>
  <c r="D271"/>
  <c r="D273"/>
  <c r="D1593"/>
  <c r="D734"/>
  <c r="C420"/>
  <c r="D420"/>
  <c r="O399" i="5"/>
  <c r="E597" i="6" l="1"/>
  <c r="F597"/>
  <c r="G597"/>
  <c r="H597"/>
  <c r="I597"/>
  <c r="J597"/>
  <c r="K597"/>
  <c r="L597"/>
  <c r="M597"/>
  <c r="N597"/>
  <c r="O597"/>
  <c r="P597"/>
  <c r="Q597"/>
  <c r="R597"/>
  <c r="S597"/>
  <c r="T597"/>
  <c r="U597"/>
  <c r="V597"/>
  <c r="X597"/>
  <c r="Y597"/>
  <c r="D598"/>
  <c r="C598" s="1"/>
  <c r="C597" s="1"/>
  <c r="E196"/>
  <c r="F196"/>
  <c r="G196"/>
  <c r="H196"/>
  <c r="I196"/>
  <c r="J196"/>
  <c r="K196"/>
  <c r="L196"/>
  <c r="M196"/>
  <c r="N196"/>
  <c r="O196"/>
  <c r="P196"/>
  <c r="Q196"/>
  <c r="R196"/>
  <c r="S196"/>
  <c r="T196"/>
  <c r="U196"/>
  <c r="V196"/>
  <c r="X196"/>
  <c r="Y196"/>
  <c r="D197"/>
  <c r="C197" s="1"/>
  <c r="C196" s="1"/>
  <c r="I601" i="5"/>
  <c r="J601"/>
  <c r="K601"/>
  <c r="L601"/>
  <c r="M601"/>
  <c r="N601"/>
  <c r="O601"/>
  <c r="P601"/>
  <c r="Q601"/>
  <c r="H601"/>
  <c r="R602"/>
  <c r="I196"/>
  <c r="J196"/>
  <c r="K196"/>
  <c r="D26" i="7" s="1"/>
  <c r="L196" i="5"/>
  <c r="F26" i="7" s="1"/>
  <c r="M196" i="5"/>
  <c r="N196"/>
  <c r="O196"/>
  <c r="P196"/>
  <c r="Q196"/>
  <c r="H196"/>
  <c r="C26" i="7" s="1"/>
  <c r="R197" i="5"/>
  <c r="D1575" i="6"/>
  <c r="D407"/>
  <c r="R374" i="5"/>
  <c r="D643" i="6"/>
  <c r="C643" s="1"/>
  <c r="D642"/>
  <c r="I643" i="5"/>
  <c r="J643"/>
  <c r="K643"/>
  <c r="D123" i="7" s="1"/>
  <c r="L643" i="5"/>
  <c r="F123" i="7" s="1"/>
  <c r="M643" i="5"/>
  <c r="N643"/>
  <c r="O643"/>
  <c r="P643"/>
  <c r="Q643"/>
  <c r="H643"/>
  <c r="C123" i="7" s="1"/>
  <c r="R645" i="5"/>
  <c r="R644"/>
  <c r="E166" i="7"/>
  <c r="E100"/>
  <c r="D1374" i="6"/>
  <c r="C1374" s="1"/>
  <c r="D1375"/>
  <c r="C1375" s="1"/>
  <c r="D1376"/>
  <c r="C1376" s="1"/>
  <c r="D1377"/>
  <c r="C1377" s="1"/>
  <c r="D1378"/>
  <c r="C1378" s="1"/>
  <c r="D1379"/>
  <c r="C1379" s="1"/>
  <c r="D1380"/>
  <c r="C1380" s="1"/>
  <c r="D1381"/>
  <c r="C1381" s="1"/>
  <c r="D1382"/>
  <c r="C1382" s="1"/>
  <c r="D1383"/>
  <c r="C1383" s="1"/>
  <c r="D1384"/>
  <c r="C1384" s="1"/>
  <c r="D1385"/>
  <c r="C1385" s="1"/>
  <c r="D1386"/>
  <c r="C1386" s="1"/>
  <c r="D1387"/>
  <c r="C1387" s="1"/>
  <c r="D1388"/>
  <c r="C1388" s="1"/>
  <c r="D1373"/>
  <c r="K840"/>
  <c r="L840"/>
  <c r="M840"/>
  <c r="N840"/>
  <c r="O840"/>
  <c r="Q840"/>
  <c r="R840"/>
  <c r="S840"/>
  <c r="U840"/>
  <c r="V840"/>
  <c r="X840"/>
  <c r="Y840"/>
  <c r="D849"/>
  <c r="C849" s="1"/>
  <c r="D850"/>
  <c r="C850" s="1"/>
  <c r="E578"/>
  <c r="F578"/>
  <c r="F577" s="1"/>
  <c r="G578"/>
  <c r="G577" s="1"/>
  <c r="H578"/>
  <c r="H577" s="1"/>
  <c r="I578"/>
  <c r="I577" s="1"/>
  <c r="J578"/>
  <c r="J577" s="1"/>
  <c r="K578"/>
  <c r="K577" s="1"/>
  <c r="L578"/>
  <c r="L577" s="1"/>
  <c r="M578"/>
  <c r="M577" s="1"/>
  <c r="N578"/>
  <c r="N577" s="1"/>
  <c r="O578"/>
  <c r="O577" s="1"/>
  <c r="P578"/>
  <c r="P577" s="1"/>
  <c r="Q578"/>
  <c r="Q577" s="1"/>
  <c r="R578"/>
  <c r="R577" s="1"/>
  <c r="S578"/>
  <c r="S577" s="1"/>
  <c r="T578"/>
  <c r="T577" s="1"/>
  <c r="U578"/>
  <c r="U577" s="1"/>
  <c r="V578"/>
  <c r="V577" s="1"/>
  <c r="X578"/>
  <c r="X577" s="1"/>
  <c r="Y578"/>
  <c r="Y577" s="1"/>
  <c r="D580"/>
  <c r="C580" s="1"/>
  <c r="D581"/>
  <c r="C581" s="1"/>
  <c r="D582"/>
  <c r="C582" s="1"/>
  <c r="D583"/>
  <c r="C583" s="1"/>
  <c r="D584"/>
  <c r="C584" s="1"/>
  <c r="D579"/>
  <c r="C579" s="1"/>
  <c r="E175"/>
  <c r="E174" s="1"/>
  <c r="F175"/>
  <c r="F174" s="1"/>
  <c r="G175"/>
  <c r="G174" s="1"/>
  <c r="H175"/>
  <c r="H174" s="1"/>
  <c r="I175"/>
  <c r="I174" s="1"/>
  <c r="J175"/>
  <c r="J174" s="1"/>
  <c r="K175"/>
  <c r="K174" s="1"/>
  <c r="L175"/>
  <c r="L174" s="1"/>
  <c r="M175"/>
  <c r="M174" s="1"/>
  <c r="N175"/>
  <c r="N174" s="1"/>
  <c r="O175"/>
  <c r="O174" s="1"/>
  <c r="P175"/>
  <c r="P174" s="1"/>
  <c r="Q175"/>
  <c r="Q174" s="1"/>
  <c r="R175"/>
  <c r="R174" s="1"/>
  <c r="S175"/>
  <c r="S174" s="1"/>
  <c r="T175"/>
  <c r="T174" s="1"/>
  <c r="U175"/>
  <c r="U174" s="1"/>
  <c r="V175"/>
  <c r="V174" s="1"/>
  <c r="X175"/>
  <c r="X174" s="1"/>
  <c r="Y175"/>
  <c r="Y174" s="1"/>
  <c r="D177"/>
  <c r="C177" s="1"/>
  <c r="D178"/>
  <c r="C178" s="1"/>
  <c r="D179"/>
  <c r="C179" s="1"/>
  <c r="D180"/>
  <c r="C180" s="1"/>
  <c r="D181"/>
  <c r="C181" s="1"/>
  <c r="D182"/>
  <c r="C182" s="1"/>
  <c r="D176"/>
  <c r="I1400" i="5"/>
  <c r="J1400"/>
  <c r="J1399" s="1"/>
  <c r="K1400"/>
  <c r="D235" i="7" s="1"/>
  <c r="L1400" i="5"/>
  <c r="M1400"/>
  <c r="M1399" s="1"/>
  <c r="N1400"/>
  <c r="N1399" s="1"/>
  <c r="P1400"/>
  <c r="P1399" s="1"/>
  <c r="Q1400"/>
  <c r="Q1399" s="1"/>
  <c r="H1400"/>
  <c r="R1410"/>
  <c r="R1411"/>
  <c r="R1412"/>
  <c r="R1413"/>
  <c r="R1414"/>
  <c r="R1415"/>
  <c r="R1417"/>
  <c r="O1402"/>
  <c r="O1406"/>
  <c r="O1409"/>
  <c r="O1410"/>
  <c r="O1413"/>
  <c r="O1414"/>
  <c r="O1415"/>
  <c r="J862"/>
  <c r="K862"/>
  <c r="L862"/>
  <c r="M862"/>
  <c r="N862"/>
  <c r="P862"/>
  <c r="Q862"/>
  <c r="H862"/>
  <c r="R872"/>
  <c r="O872"/>
  <c r="O865"/>
  <c r="O866"/>
  <c r="O867"/>
  <c r="O868"/>
  <c r="O869"/>
  <c r="O870"/>
  <c r="O871"/>
  <c r="O864"/>
  <c r="R870"/>
  <c r="O584"/>
  <c r="O585"/>
  <c r="O586"/>
  <c r="O587"/>
  <c r="O588"/>
  <c r="O583"/>
  <c r="I582"/>
  <c r="J582"/>
  <c r="K582"/>
  <c r="D101" i="7" s="1"/>
  <c r="D100" s="1"/>
  <c r="L582" i="5"/>
  <c r="F101" i="7" s="1"/>
  <c r="F100" s="1"/>
  <c r="M582" i="5"/>
  <c r="M581" s="1"/>
  <c r="N582"/>
  <c r="P582"/>
  <c r="P581" s="1"/>
  <c r="Q582"/>
  <c r="Q581" s="1"/>
  <c r="I581"/>
  <c r="J581"/>
  <c r="K581"/>
  <c r="N581"/>
  <c r="H582"/>
  <c r="H581" s="1"/>
  <c r="O177"/>
  <c r="O178"/>
  <c r="O179"/>
  <c r="O180"/>
  <c r="O181"/>
  <c r="O182"/>
  <c r="O176"/>
  <c r="I175"/>
  <c r="I174" s="1"/>
  <c r="J175"/>
  <c r="J174" s="1"/>
  <c r="K175"/>
  <c r="K174" s="1"/>
  <c r="M175"/>
  <c r="M174" s="1"/>
  <c r="N175"/>
  <c r="N174" s="1"/>
  <c r="P175"/>
  <c r="P174" s="1"/>
  <c r="Q175"/>
  <c r="Q174" s="1"/>
  <c r="H175"/>
  <c r="H174" s="1"/>
  <c r="R182"/>
  <c r="R181"/>
  <c r="R180"/>
  <c r="R179"/>
  <c r="R178"/>
  <c r="R177"/>
  <c r="R176"/>
  <c r="D1349" i="6"/>
  <c r="C1349" s="1"/>
  <c r="D1350"/>
  <c r="C1350" s="1"/>
  <c r="D1351"/>
  <c r="C1351" s="1"/>
  <c r="D1352"/>
  <c r="C1352" s="1"/>
  <c r="D1353"/>
  <c r="C1353" s="1"/>
  <c r="D1354"/>
  <c r="C1354" s="1"/>
  <c r="D1355"/>
  <c r="C1355" s="1"/>
  <c r="D1356"/>
  <c r="C1356" s="1"/>
  <c r="D1348"/>
  <c r="D822"/>
  <c r="C822" s="1"/>
  <c r="D821"/>
  <c r="D565"/>
  <c r="D566"/>
  <c r="C566" s="1"/>
  <c r="D148"/>
  <c r="C148" s="1"/>
  <c r="D147"/>
  <c r="R1379" i="5"/>
  <c r="R148"/>
  <c r="R147"/>
  <c r="D1494" i="6"/>
  <c r="C1494" s="1"/>
  <c r="D1495"/>
  <c r="C1495" s="1"/>
  <c r="D1496"/>
  <c r="C1496" s="1"/>
  <c r="D1497"/>
  <c r="C1497" s="1"/>
  <c r="D1498"/>
  <c r="C1498" s="1"/>
  <c r="D1499"/>
  <c r="C1499" s="1"/>
  <c r="D1493"/>
  <c r="C1493" s="1"/>
  <c r="D1492"/>
  <c r="C1492" s="1"/>
  <c r="D919"/>
  <c r="C919" s="1"/>
  <c r="C918" s="1"/>
  <c r="E918"/>
  <c r="F918"/>
  <c r="G918"/>
  <c r="H918"/>
  <c r="I918"/>
  <c r="J918"/>
  <c r="K918"/>
  <c r="L918"/>
  <c r="M918"/>
  <c r="N918"/>
  <c r="O918"/>
  <c r="P918"/>
  <c r="Q918"/>
  <c r="R918"/>
  <c r="S918"/>
  <c r="T918"/>
  <c r="U918"/>
  <c r="V918"/>
  <c r="X918"/>
  <c r="Y918"/>
  <c r="O1522" i="5"/>
  <c r="O1523"/>
  <c r="O1524"/>
  <c r="O1525"/>
  <c r="O1526"/>
  <c r="O1527"/>
  <c r="I1519"/>
  <c r="J1519"/>
  <c r="K1519"/>
  <c r="D262" i="7" s="1"/>
  <c r="L1519" i="5"/>
  <c r="F262" i="7" s="1"/>
  <c r="M1519" i="5"/>
  <c r="N1519"/>
  <c r="Q1519"/>
  <c r="H1519"/>
  <c r="C262" i="7" s="1"/>
  <c r="R1527" i="5"/>
  <c r="R1526"/>
  <c r="R1524"/>
  <c r="P1524"/>
  <c r="R1523"/>
  <c r="P1523"/>
  <c r="P1519" s="1"/>
  <c r="I940"/>
  <c r="J940"/>
  <c r="K940"/>
  <c r="D190" i="7" s="1"/>
  <c r="L940" i="5"/>
  <c r="F190" i="7" s="1"/>
  <c r="M940" i="5"/>
  <c r="N940"/>
  <c r="O940"/>
  <c r="P940"/>
  <c r="Q940"/>
  <c r="H940"/>
  <c r="C190" i="7" s="1"/>
  <c r="X814" i="6"/>
  <c r="X558"/>
  <c r="E558"/>
  <c r="F558"/>
  <c r="G558"/>
  <c r="H558"/>
  <c r="I558"/>
  <c r="J558"/>
  <c r="K558"/>
  <c r="L558"/>
  <c r="M558"/>
  <c r="N558"/>
  <c r="O558"/>
  <c r="P558"/>
  <c r="Q558"/>
  <c r="R558"/>
  <c r="S558"/>
  <c r="T558"/>
  <c r="U558"/>
  <c r="V558"/>
  <c r="Y558"/>
  <c r="E142"/>
  <c r="F142"/>
  <c r="G142"/>
  <c r="H142"/>
  <c r="I142"/>
  <c r="J142"/>
  <c r="K142"/>
  <c r="L142"/>
  <c r="M142"/>
  <c r="N142"/>
  <c r="O142"/>
  <c r="P142"/>
  <c r="Q142"/>
  <c r="R142"/>
  <c r="S142"/>
  <c r="T142"/>
  <c r="U142"/>
  <c r="V142"/>
  <c r="X142"/>
  <c r="Y142"/>
  <c r="D228" i="7"/>
  <c r="F228"/>
  <c r="C228"/>
  <c r="I836" i="5"/>
  <c r="J836"/>
  <c r="K836"/>
  <c r="M836"/>
  <c r="N836"/>
  <c r="P836"/>
  <c r="Q836"/>
  <c r="H836"/>
  <c r="D95" i="7"/>
  <c r="F95"/>
  <c r="C95"/>
  <c r="C1575" i="6" l="1"/>
  <c r="C1574" s="1"/>
  <c r="D1574"/>
  <c r="C407"/>
  <c r="C406" s="1"/>
  <c r="D406"/>
  <c r="D108" i="7"/>
  <c r="C108"/>
  <c r="F108"/>
  <c r="O863" i="5"/>
  <c r="O862" s="1"/>
  <c r="C642" i="6"/>
  <c r="C641" s="1"/>
  <c r="D641"/>
  <c r="C159" i="7"/>
  <c r="D159"/>
  <c r="D1347" i="6"/>
  <c r="C821"/>
  <c r="C820" s="1"/>
  <c r="D820"/>
  <c r="C565"/>
  <c r="C564" s="1"/>
  <c r="D564"/>
  <c r="C147"/>
  <c r="C146" s="1"/>
  <c r="D146"/>
  <c r="P840"/>
  <c r="E577"/>
  <c r="I1399" i="5"/>
  <c r="I862"/>
  <c r="C1348" i="6"/>
  <c r="C1347" s="1"/>
  <c r="C1373"/>
  <c r="C1372" s="1"/>
  <c r="D1372"/>
  <c r="F235" i="7"/>
  <c r="F234" s="1"/>
  <c r="L1399" i="5"/>
  <c r="C235" i="7"/>
  <c r="C234" s="1"/>
  <c r="H1399" i="5"/>
  <c r="K1399"/>
  <c r="D234" i="7" s="1"/>
  <c r="C558" i="6"/>
  <c r="D597"/>
  <c r="D196"/>
  <c r="J840"/>
  <c r="H840"/>
  <c r="F840"/>
  <c r="D848"/>
  <c r="C848" s="1"/>
  <c r="D847"/>
  <c r="C847" s="1"/>
  <c r="T840"/>
  <c r="I840"/>
  <c r="G840"/>
  <c r="E840"/>
  <c r="C19" i="7"/>
  <c r="C18" s="1"/>
  <c r="C101"/>
  <c r="C100" s="1"/>
  <c r="F167"/>
  <c r="F166" s="1"/>
  <c r="D19"/>
  <c r="D18" s="1"/>
  <c r="D846" i="6"/>
  <c r="C846" s="1"/>
  <c r="D845"/>
  <c r="C845" s="1"/>
  <c r="D844"/>
  <c r="C844" s="1"/>
  <c r="D843"/>
  <c r="C843" s="1"/>
  <c r="D842"/>
  <c r="D175"/>
  <c r="D174" s="1"/>
  <c r="C578"/>
  <c r="C577" s="1"/>
  <c r="D578"/>
  <c r="D577" s="1"/>
  <c r="C176"/>
  <c r="C175" s="1"/>
  <c r="C174" s="1"/>
  <c r="O582" i="5"/>
  <c r="O581" s="1"/>
  <c r="L581"/>
  <c r="L175"/>
  <c r="O175"/>
  <c r="O174" s="1"/>
  <c r="C1491" i="6"/>
  <c r="D918"/>
  <c r="D558"/>
  <c r="C142"/>
  <c r="D142"/>
  <c r="O836" i="5"/>
  <c r="L836"/>
  <c r="C842" i="6" l="1"/>
  <c r="C841" s="1"/>
  <c r="C840" s="1"/>
  <c r="D841"/>
  <c r="D840" s="1"/>
  <c r="F159" i="7"/>
  <c r="L174" i="5"/>
  <c r="F19" i="7"/>
  <c r="F18" s="1"/>
  <c r="I142" i="5" l="1"/>
  <c r="J142"/>
  <c r="K142"/>
  <c r="L142"/>
  <c r="M142"/>
  <c r="N142"/>
  <c r="O142"/>
  <c r="P142"/>
  <c r="Q142"/>
  <c r="H142"/>
  <c r="C13" i="7" s="1"/>
  <c r="R145" i="5"/>
  <c r="R144"/>
  <c r="R143"/>
  <c r="D13" i="7" l="1"/>
  <c r="F13"/>
  <c r="E266"/>
  <c r="E128"/>
  <c r="E51"/>
  <c r="E1513" i="6"/>
  <c r="F1513"/>
  <c r="G1513"/>
  <c r="H1513"/>
  <c r="I1513"/>
  <c r="J1513"/>
  <c r="K1513"/>
  <c r="L1513"/>
  <c r="M1513"/>
  <c r="N1513"/>
  <c r="O1513"/>
  <c r="P1513"/>
  <c r="Q1513"/>
  <c r="R1513"/>
  <c r="S1513"/>
  <c r="T1513"/>
  <c r="U1513"/>
  <c r="V1513"/>
  <c r="X1513"/>
  <c r="Y1513"/>
  <c r="D1515"/>
  <c r="C1515" s="1"/>
  <c r="D1516"/>
  <c r="C1516" s="1"/>
  <c r="D1517"/>
  <c r="C1517" s="1"/>
  <c r="D1518"/>
  <c r="C1518" s="1"/>
  <c r="D1514"/>
  <c r="C1514" s="1"/>
  <c r="D926"/>
  <c r="C926" s="1"/>
  <c r="D925"/>
  <c r="C925" s="1"/>
  <c r="D924"/>
  <c r="C924" s="1"/>
  <c r="E658"/>
  <c r="E657" s="1"/>
  <c r="F658"/>
  <c r="F657" s="1"/>
  <c r="G658"/>
  <c r="G657" s="1"/>
  <c r="H658"/>
  <c r="H657" s="1"/>
  <c r="I658"/>
  <c r="I657" s="1"/>
  <c r="J658"/>
  <c r="J657" s="1"/>
  <c r="K658"/>
  <c r="K657" s="1"/>
  <c r="L658"/>
  <c r="L657" s="1"/>
  <c r="M658"/>
  <c r="M657" s="1"/>
  <c r="N658"/>
  <c r="N657" s="1"/>
  <c r="O658"/>
  <c r="O657" s="1"/>
  <c r="P658"/>
  <c r="Q658"/>
  <c r="Q657" s="1"/>
  <c r="R658"/>
  <c r="R657" s="1"/>
  <c r="S658"/>
  <c r="S657" s="1"/>
  <c r="T658"/>
  <c r="T657" s="1"/>
  <c r="U658"/>
  <c r="U657" s="1"/>
  <c r="V658"/>
  <c r="V657" s="1"/>
  <c r="X658"/>
  <c r="X657" s="1"/>
  <c r="Y658"/>
  <c r="Y657" s="1"/>
  <c r="D659"/>
  <c r="C659" s="1"/>
  <c r="C658" s="1"/>
  <c r="C657" s="1"/>
  <c r="E286"/>
  <c r="E285" s="1"/>
  <c r="F286"/>
  <c r="F285" s="1"/>
  <c r="G286"/>
  <c r="G285" s="1"/>
  <c r="H286"/>
  <c r="H285" s="1"/>
  <c r="I286"/>
  <c r="I285" s="1"/>
  <c r="J286"/>
  <c r="J285" s="1"/>
  <c r="K286"/>
  <c r="K285" s="1"/>
  <c r="L286"/>
  <c r="L285" s="1"/>
  <c r="M286"/>
  <c r="M285" s="1"/>
  <c r="N286"/>
  <c r="N285" s="1"/>
  <c r="O286"/>
  <c r="O285" s="1"/>
  <c r="P286"/>
  <c r="Q286"/>
  <c r="Q285" s="1"/>
  <c r="R286"/>
  <c r="R285" s="1"/>
  <c r="S286"/>
  <c r="S285" s="1"/>
  <c r="T286"/>
  <c r="T285" s="1"/>
  <c r="U286"/>
  <c r="U285" s="1"/>
  <c r="V286"/>
  <c r="V285" s="1"/>
  <c r="X286"/>
  <c r="X285" s="1"/>
  <c r="Y286"/>
  <c r="Y285" s="1"/>
  <c r="D287"/>
  <c r="C287" s="1"/>
  <c r="C286" s="1"/>
  <c r="C285" s="1"/>
  <c r="I1541" i="5"/>
  <c r="J1541"/>
  <c r="K1541"/>
  <c r="D267" i="7" s="1"/>
  <c r="D266" s="1"/>
  <c r="L1541" i="5"/>
  <c r="F267" i="7" s="1"/>
  <c r="F266" s="1"/>
  <c r="M1541" i="5"/>
  <c r="N1541"/>
  <c r="Q1541"/>
  <c r="H1541"/>
  <c r="C267" i="7" s="1"/>
  <c r="C266" s="1"/>
  <c r="I947" i="5"/>
  <c r="J947"/>
  <c r="K947"/>
  <c r="D194" i="7" s="1"/>
  <c r="L947" i="5"/>
  <c r="F194" i="7" s="1"/>
  <c r="M947" i="5"/>
  <c r="N947"/>
  <c r="O947"/>
  <c r="P947"/>
  <c r="Q947"/>
  <c r="H947"/>
  <c r="C194" i="7" s="1"/>
  <c r="R949" i="5"/>
  <c r="R950"/>
  <c r="I660"/>
  <c r="J660"/>
  <c r="J659" s="1"/>
  <c r="K660"/>
  <c r="K659" s="1"/>
  <c r="L660"/>
  <c r="L659" s="1"/>
  <c r="M660"/>
  <c r="M659" s="1"/>
  <c r="N660"/>
  <c r="N659" s="1"/>
  <c r="O660"/>
  <c r="O659" s="1"/>
  <c r="P660"/>
  <c r="P659" s="1"/>
  <c r="Q660"/>
  <c r="Q659" s="1"/>
  <c r="H660"/>
  <c r="H659" s="1"/>
  <c r="R661"/>
  <c r="I282"/>
  <c r="J282"/>
  <c r="J281" s="1"/>
  <c r="K282"/>
  <c r="K281" s="1"/>
  <c r="L282"/>
  <c r="L281" s="1"/>
  <c r="M282"/>
  <c r="M281" s="1"/>
  <c r="N282"/>
  <c r="N281" s="1"/>
  <c r="O282"/>
  <c r="O281" s="1"/>
  <c r="P282"/>
  <c r="P281" s="1"/>
  <c r="Q282"/>
  <c r="Q281" s="1"/>
  <c r="H282"/>
  <c r="H281" s="1"/>
  <c r="R283"/>
  <c r="E85" i="7"/>
  <c r="E428" i="6"/>
  <c r="F428"/>
  <c r="G428"/>
  <c r="H428"/>
  <c r="I428"/>
  <c r="J428"/>
  <c r="K428"/>
  <c r="L428"/>
  <c r="M428"/>
  <c r="N428"/>
  <c r="O428"/>
  <c r="P428"/>
  <c r="Q428"/>
  <c r="R428"/>
  <c r="S428"/>
  <c r="T428"/>
  <c r="U428"/>
  <c r="V428"/>
  <c r="X428"/>
  <c r="Y428"/>
  <c r="D429"/>
  <c r="C429" s="1"/>
  <c r="C428" s="1"/>
  <c r="I407" i="5"/>
  <c r="J407"/>
  <c r="K407"/>
  <c r="D86" i="7" s="1"/>
  <c r="L407" i="5"/>
  <c r="F86" i="7" s="1"/>
  <c r="M407" i="5"/>
  <c r="N407"/>
  <c r="O407"/>
  <c r="P407"/>
  <c r="Q407"/>
  <c r="H407"/>
  <c r="C86" i="7" s="1"/>
  <c r="R408" i="5"/>
  <c r="E252" i="6"/>
  <c r="F252"/>
  <c r="G252"/>
  <c r="H252"/>
  <c r="I252"/>
  <c r="J252"/>
  <c r="K252"/>
  <c r="L252"/>
  <c r="M252"/>
  <c r="N252"/>
  <c r="O252"/>
  <c r="P252"/>
  <c r="Q252"/>
  <c r="R252"/>
  <c r="S252"/>
  <c r="T252"/>
  <c r="U252"/>
  <c r="V252"/>
  <c r="X252"/>
  <c r="Y252"/>
  <c r="D253"/>
  <c r="C253" s="1"/>
  <c r="C252" s="1"/>
  <c r="I252" i="5"/>
  <c r="J252"/>
  <c r="K252"/>
  <c r="D42" i="7" s="1"/>
  <c r="L252" i="5"/>
  <c r="F42" i="7" s="1"/>
  <c r="M252" i="5"/>
  <c r="N252"/>
  <c r="O252"/>
  <c r="P252"/>
  <c r="Q252"/>
  <c r="H252"/>
  <c r="C42" i="7" s="1"/>
  <c r="R253" i="5"/>
  <c r="E201" i="6"/>
  <c r="F201"/>
  <c r="G201"/>
  <c r="H201"/>
  <c r="I201"/>
  <c r="J201"/>
  <c r="K201"/>
  <c r="L201"/>
  <c r="M201"/>
  <c r="N201"/>
  <c r="O201"/>
  <c r="P201"/>
  <c r="Q201"/>
  <c r="R201"/>
  <c r="S201"/>
  <c r="T201"/>
  <c r="U201"/>
  <c r="V201"/>
  <c r="X201"/>
  <c r="Y201"/>
  <c r="D202"/>
  <c r="C202" s="1"/>
  <c r="I201" i="5"/>
  <c r="J201"/>
  <c r="K201"/>
  <c r="D28" i="7" s="1"/>
  <c r="L201" i="5"/>
  <c r="F28" i="7" s="1"/>
  <c r="M201" i="5"/>
  <c r="N201"/>
  <c r="O201"/>
  <c r="P201"/>
  <c r="Q201"/>
  <c r="H201"/>
  <c r="C28" i="7" s="1"/>
  <c r="R203" i="5"/>
  <c r="R202"/>
  <c r="D1483" i="6"/>
  <c r="E1483"/>
  <c r="F1483"/>
  <c r="G1483"/>
  <c r="H1483"/>
  <c r="I1483"/>
  <c r="J1483"/>
  <c r="K1483"/>
  <c r="L1483"/>
  <c r="M1483"/>
  <c r="N1483"/>
  <c r="O1483"/>
  <c r="P1483"/>
  <c r="Q1483"/>
  <c r="R1483"/>
  <c r="S1483"/>
  <c r="T1483"/>
  <c r="U1483"/>
  <c r="V1483"/>
  <c r="X1483"/>
  <c r="Y1483"/>
  <c r="C1485"/>
  <c r="E266"/>
  <c r="F266"/>
  <c r="G266"/>
  <c r="H266"/>
  <c r="I266"/>
  <c r="J266"/>
  <c r="K266"/>
  <c r="L266"/>
  <c r="M266"/>
  <c r="N266"/>
  <c r="O266"/>
  <c r="P266"/>
  <c r="Q266"/>
  <c r="R266"/>
  <c r="S266"/>
  <c r="T266"/>
  <c r="U266"/>
  <c r="V266"/>
  <c r="X266"/>
  <c r="Y266"/>
  <c r="D268"/>
  <c r="C268" s="1"/>
  <c r="D267"/>
  <c r="C267" s="1"/>
  <c r="I1511" i="5"/>
  <c r="J1511"/>
  <c r="K1511"/>
  <c r="D260" i="7" s="1"/>
  <c r="L1511" i="5"/>
  <c r="F260" i="7" s="1"/>
  <c r="M1511" i="5"/>
  <c r="N1511"/>
  <c r="Q1511"/>
  <c r="H1511"/>
  <c r="C260" i="7" s="1"/>
  <c r="R1514" i="5"/>
  <c r="D122" i="7"/>
  <c r="F122"/>
  <c r="C122"/>
  <c r="I262" i="5"/>
  <c r="J262"/>
  <c r="K262"/>
  <c r="D45" i="7" s="1"/>
  <c r="L262" i="5"/>
  <c r="F45" i="7" s="1"/>
  <c r="M262" i="5"/>
  <c r="N262"/>
  <c r="O262"/>
  <c r="P262"/>
  <c r="Q262"/>
  <c r="H262"/>
  <c r="C45" i="7" s="1"/>
  <c r="R264" i="5"/>
  <c r="R263"/>
  <c r="D1207" i="6"/>
  <c r="C1207" s="1"/>
  <c r="D1208"/>
  <c r="D1209"/>
  <c r="C1209" s="1"/>
  <c r="D1213"/>
  <c r="C1213" s="1"/>
  <c r="D1214"/>
  <c r="C1214" s="1"/>
  <c r="D1215"/>
  <c r="C1215" s="1"/>
  <c r="D1216"/>
  <c r="C1216" s="1"/>
  <c r="D1217"/>
  <c r="C1217" s="1"/>
  <c r="D1218"/>
  <c r="C1218" s="1"/>
  <c r="D1219"/>
  <c r="C1219" s="1"/>
  <c r="D1220"/>
  <c r="C1220" s="1"/>
  <c r="D1221"/>
  <c r="C1221" s="1"/>
  <c r="D1222"/>
  <c r="C1222" s="1"/>
  <c r="D1223"/>
  <c r="C1223" s="1"/>
  <c r="D1224"/>
  <c r="C1224" s="1"/>
  <c r="D1225"/>
  <c r="C1225" s="1"/>
  <c r="D1206"/>
  <c r="D779"/>
  <c r="D780"/>
  <c r="C780" s="1"/>
  <c r="D781"/>
  <c r="C781" s="1"/>
  <c r="D782"/>
  <c r="C782" s="1"/>
  <c r="D783"/>
  <c r="C783" s="1"/>
  <c r="D784"/>
  <c r="C784" s="1"/>
  <c r="D785"/>
  <c r="C785" s="1"/>
  <c r="D786"/>
  <c r="C786" s="1"/>
  <c r="D787"/>
  <c r="C787" s="1"/>
  <c r="D788"/>
  <c r="C788" s="1"/>
  <c r="D789"/>
  <c r="C789" s="1"/>
  <c r="D519"/>
  <c r="D520"/>
  <c r="C520" s="1"/>
  <c r="D521"/>
  <c r="C521" s="1"/>
  <c r="D522"/>
  <c r="C522" s="1"/>
  <c r="D523"/>
  <c r="C523" s="1"/>
  <c r="D524"/>
  <c r="C524" s="1"/>
  <c r="D525"/>
  <c r="C525" s="1"/>
  <c r="D526"/>
  <c r="C526" s="1"/>
  <c r="D527"/>
  <c r="C527" s="1"/>
  <c r="D101"/>
  <c r="D102"/>
  <c r="C102" s="1"/>
  <c r="D103"/>
  <c r="C103" s="1"/>
  <c r="D104"/>
  <c r="C104" s="1"/>
  <c r="D105"/>
  <c r="C105" s="1"/>
  <c r="D106"/>
  <c r="C106" s="1"/>
  <c r="D107"/>
  <c r="C107" s="1"/>
  <c r="D108"/>
  <c r="C108" s="1"/>
  <c r="D109"/>
  <c r="C109" s="1"/>
  <c r="D110"/>
  <c r="C110" s="1"/>
  <c r="D111"/>
  <c r="C111" s="1"/>
  <c r="D112"/>
  <c r="C112" s="1"/>
  <c r="D113"/>
  <c r="C113" s="1"/>
  <c r="D114"/>
  <c r="C114" s="1"/>
  <c r="D115"/>
  <c r="C115" s="1"/>
  <c r="D116"/>
  <c r="C116" s="1"/>
  <c r="D117"/>
  <c r="C117" s="1"/>
  <c r="D118"/>
  <c r="C118" s="1"/>
  <c r="D119"/>
  <c r="C119" s="1"/>
  <c r="D120"/>
  <c r="C120" s="1"/>
  <c r="D121"/>
  <c r="C121" s="1"/>
  <c r="D122"/>
  <c r="C122" s="1"/>
  <c r="D123"/>
  <c r="C123" s="1"/>
  <c r="R1235" i="5"/>
  <c r="R1236"/>
  <c r="R1237"/>
  <c r="R1241"/>
  <c r="R1242"/>
  <c r="R1243"/>
  <c r="R1244"/>
  <c r="R1245"/>
  <c r="R1246"/>
  <c r="R1247"/>
  <c r="R1248"/>
  <c r="R1249"/>
  <c r="R1250"/>
  <c r="R1251"/>
  <c r="R1252"/>
  <c r="R1253"/>
  <c r="R1234"/>
  <c r="D225" i="7"/>
  <c r="F225"/>
  <c r="C225"/>
  <c r="F156"/>
  <c r="R809" i="5"/>
  <c r="R808"/>
  <c r="R807"/>
  <c r="R806"/>
  <c r="R805"/>
  <c r="R804"/>
  <c r="R803"/>
  <c r="R802"/>
  <c r="R801"/>
  <c r="R800"/>
  <c r="R799"/>
  <c r="R798"/>
  <c r="D92" i="7"/>
  <c r="F92"/>
  <c r="C92"/>
  <c r="P98" i="5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97"/>
  <c r="D11" i="7"/>
  <c r="F11"/>
  <c r="C11"/>
  <c r="R123" i="5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C779" i="6" l="1"/>
  <c r="C775" s="1"/>
  <c r="D775"/>
  <c r="P96" i="5"/>
  <c r="C519" i="6"/>
  <c r="C514" s="1"/>
  <c r="D514"/>
  <c r="D1205"/>
  <c r="D96"/>
  <c r="C101"/>
  <c r="C96" s="1"/>
  <c r="P285"/>
  <c r="P657"/>
  <c r="I659" i="5"/>
  <c r="I281"/>
  <c r="C1206" i="6"/>
  <c r="C1513"/>
  <c r="C1483"/>
  <c r="C923"/>
  <c r="D1513"/>
  <c r="C52" i="7"/>
  <c r="C51" s="1"/>
  <c r="F52"/>
  <c r="F51" s="1"/>
  <c r="C129"/>
  <c r="C128" s="1"/>
  <c r="F129"/>
  <c r="F128" s="1"/>
  <c r="D52"/>
  <c r="D51" s="1"/>
  <c r="D129"/>
  <c r="D128" s="1"/>
  <c r="D286" i="6"/>
  <c r="D285" s="1"/>
  <c r="D658"/>
  <c r="D657" s="1"/>
  <c r="C266"/>
  <c r="D252"/>
  <c r="D428"/>
  <c r="C201"/>
  <c r="D201"/>
  <c r="D266"/>
  <c r="D1468" l="1"/>
  <c r="C1468" s="1"/>
  <c r="D1469"/>
  <c r="D1470"/>
  <c r="C1470" s="1"/>
  <c r="D1471"/>
  <c r="C1471" s="1"/>
  <c r="D1472"/>
  <c r="C1472" s="1"/>
  <c r="D1473"/>
  <c r="C1473" s="1"/>
  <c r="D1474"/>
  <c r="C1474" s="1"/>
  <c r="D1475"/>
  <c r="C1475" s="1"/>
  <c r="D1476"/>
  <c r="C1476" s="1"/>
  <c r="D1477"/>
  <c r="D1478"/>
  <c r="C1478" s="1"/>
  <c r="D1467"/>
  <c r="E1466"/>
  <c r="F1466"/>
  <c r="G1466"/>
  <c r="H1466"/>
  <c r="I1466"/>
  <c r="J1466"/>
  <c r="K1466"/>
  <c r="K1465" s="1"/>
  <c r="L1466"/>
  <c r="L1465" s="1"/>
  <c r="M1466"/>
  <c r="N1466"/>
  <c r="O1466"/>
  <c r="P1466"/>
  <c r="Q1466"/>
  <c r="R1466"/>
  <c r="S1466"/>
  <c r="T1466"/>
  <c r="U1466"/>
  <c r="V1466"/>
  <c r="Y1466"/>
  <c r="X1467"/>
  <c r="E899"/>
  <c r="F899"/>
  <c r="G899"/>
  <c r="H899"/>
  <c r="I899"/>
  <c r="J899"/>
  <c r="K899"/>
  <c r="L899"/>
  <c r="M899"/>
  <c r="N899"/>
  <c r="O899"/>
  <c r="P899"/>
  <c r="Q899"/>
  <c r="R899"/>
  <c r="S899"/>
  <c r="T899"/>
  <c r="U899"/>
  <c r="V899"/>
  <c r="Y899"/>
  <c r="E628"/>
  <c r="F628"/>
  <c r="G628"/>
  <c r="H628"/>
  <c r="I628"/>
  <c r="J628"/>
  <c r="K628"/>
  <c r="L628"/>
  <c r="M628"/>
  <c r="N628"/>
  <c r="O628"/>
  <c r="Q628"/>
  <c r="R628"/>
  <c r="S628"/>
  <c r="U628"/>
  <c r="V628"/>
  <c r="Y628"/>
  <c r="D631"/>
  <c r="C631" s="1"/>
  <c r="D632"/>
  <c r="C632" s="1"/>
  <c r="D633"/>
  <c r="D634"/>
  <c r="D635"/>
  <c r="D636"/>
  <c r="D630"/>
  <c r="X636"/>
  <c r="X629" s="1"/>
  <c r="C635"/>
  <c r="P634"/>
  <c r="P629" s="1"/>
  <c r="D257"/>
  <c r="D258"/>
  <c r="D259"/>
  <c r="D260"/>
  <c r="D261"/>
  <c r="K254"/>
  <c r="L254"/>
  <c r="Y261"/>
  <c r="X261"/>
  <c r="X255" s="1"/>
  <c r="V261"/>
  <c r="U261"/>
  <c r="D255" l="1"/>
  <c r="C630"/>
  <c r="D629"/>
  <c r="D628" s="1"/>
  <c r="P628"/>
  <c r="X1466"/>
  <c r="X899"/>
  <c r="D1466"/>
  <c r="D899"/>
  <c r="C1477"/>
  <c r="C1469"/>
  <c r="X628"/>
  <c r="C634"/>
  <c r="C1467"/>
  <c r="C636"/>
  <c r="C633"/>
  <c r="T628"/>
  <c r="C261"/>
  <c r="C629" l="1"/>
  <c r="C628" s="1"/>
  <c r="C1466"/>
  <c r="C1465" s="1"/>
  <c r="C899"/>
  <c r="O1496" i="5" l="1"/>
  <c r="O1497"/>
  <c r="O1498"/>
  <c r="O1499"/>
  <c r="O1500"/>
  <c r="O1501"/>
  <c r="O1502"/>
  <c r="O1503"/>
  <c r="O1504"/>
  <c r="O1505"/>
  <c r="O1506"/>
  <c r="O1495"/>
  <c r="I1494"/>
  <c r="K1494"/>
  <c r="K1493" s="1"/>
  <c r="M1494"/>
  <c r="M1493" s="1"/>
  <c r="N1494"/>
  <c r="N1493" s="1"/>
  <c r="P1494"/>
  <c r="Q1494"/>
  <c r="Q1493" s="1"/>
  <c r="H1494"/>
  <c r="H1493" s="1"/>
  <c r="R1506"/>
  <c r="R1505"/>
  <c r="J1505"/>
  <c r="R1504"/>
  <c r="J1504"/>
  <c r="R1503"/>
  <c r="J1503"/>
  <c r="R1502"/>
  <c r="J1502"/>
  <c r="R1501"/>
  <c r="J1501"/>
  <c r="R1500"/>
  <c r="J1500"/>
  <c r="R1499"/>
  <c r="J1499"/>
  <c r="R1498"/>
  <c r="J1498"/>
  <c r="R1497"/>
  <c r="J1497"/>
  <c r="J1494" s="1"/>
  <c r="J1493" s="1"/>
  <c r="R1496"/>
  <c r="R1495"/>
  <c r="I921"/>
  <c r="K921"/>
  <c r="M921"/>
  <c r="N921"/>
  <c r="P921"/>
  <c r="Q921"/>
  <c r="H921"/>
  <c r="J927"/>
  <c r="J926"/>
  <c r="J925"/>
  <c r="J924"/>
  <c r="J923"/>
  <c r="O635"/>
  <c r="O636"/>
  <c r="O637"/>
  <c r="O638"/>
  <c r="O639"/>
  <c r="O640"/>
  <c r="O634"/>
  <c r="I633"/>
  <c r="I632" s="1"/>
  <c r="K633"/>
  <c r="L633"/>
  <c r="M633"/>
  <c r="M632" s="1"/>
  <c r="N633"/>
  <c r="N632" s="1"/>
  <c r="P633"/>
  <c r="P632" s="1"/>
  <c r="Q633"/>
  <c r="Q632" s="1"/>
  <c r="H633"/>
  <c r="R640"/>
  <c r="J640"/>
  <c r="R639"/>
  <c r="J639"/>
  <c r="R638"/>
  <c r="J638"/>
  <c r="R637"/>
  <c r="J637"/>
  <c r="R636"/>
  <c r="J636"/>
  <c r="R635"/>
  <c r="J635"/>
  <c r="R634"/>
  <c r="J634"/>
  <c r="J633" s="1"/>
  <c r="J632" s="1"/>
  <c r="I255"/>
  <c r="K255"/>
  <c r="M255"/>
  <c r="N255"/>
  <c r="P255"/>
  <c r="Q255"/>
  <c r="H255"/>
  <c r="R261"/>
  <c r="J261"/>
  <c r="R260"/>
  <c r="J260"/>
  <c r="R259"/>
  <c r="J259"/>
  <c r="R258"/>
  <c r="J258"/>
  <c r="R257"/>
  <c r="J257"/>
  <c r="O255"/>
  <c r="E217" i="6"/>
  <c r="F217"/>
  <c r="G217"/>
  <c r="H217"/>
  <c r="I217"/>
  <c r="J217"/>
  <c r="K217"/>
  <c r="L217"/>
  <c r="M217"/>
  <c r="N217"/>
  <c r="O217"/>
  <c r="P217"/>
  <c r="Q217"/>
  <c r="R217"/>
  <c r="S217"/>
  <c r="T217"/>
  <c r="U217"/>
  <c r="V217"/>
  <c r="X217"/>
  <c r="Y217"/>
  <c r="D219"/>
  <c r="C219" s="1"/>
  <c r="D218"/>
  <c r="C218" s="1"/>
  <c r="I217" i="5"/>
  <c r="J217"/>
  <c r="K217"/>
  <c r="D34" i="7" s="1"/>
  <c r="L217" i="5"/>
  <c r="F34" i="7" s="1"/>
  <c r="M217" i="5"/>
  <c r="N217"/>
  <c r="O217"/>
  <c r="P217"/>
  <c r="Q217"/>
  <c r="H217"/>
  <c r="C34" i="7" s="1"/>
  <c r="R219" i="5"/>
  <c r="R218"/>
  <c r="H632" l="1"/>
  <c r="C121" i="7"/>
  <c r="C120" s="1"/>
  <c r="K632" i="5"/>
  <c r="D121" i="7"/>
  <c r="D120" s="1"/>
  <c r="L632" i="5"/>
  <c r="F121" i="7"/>
  <c r="F120" s="1"/>
  <c r="J922" i="5"/>
  <c r="I1493"/>
  <c r="C185" i="7"/>
  <c r="C184" s="1"/>
  <c r="D258"/>
  <c r="D185"/>
  <c r="D184" s="1"/>
  <c r="C258"/>
  <c r="O1494" i="5"/>
  <c r="J921"/>
  <c r="L1494"/>
  <c r="L1493" s="1"/>
  <c r="L921"/>
  <c r="J255"/>
  <c r="O633"/>
  <c r="O632" s="1"/>
  <c r="L255"/>
  <c r="C217" i="6"/>
  <c r="D217"/>
  <c r="F185" i="7" l="1"/>
  <c r="F184" s="1"/>
  <c r="F258"/>
  <c r="D804" i="6"/>
  <c r="D805"/>
  <c r="C805" s="1"/>
  <c r="D806"/>
  <c r="C806" s="1"/>
  <c r="D807"/>
  <c r="C807" s="1"/>
  <c r="D545"/>
  <c r="D812"/>
  <c r="C812" s="1"/>
  <c r="D546"/>
  <c r="C546" s="1"/>
  <c r="D547"/>
  <c r="C547" s="1"/>
  <c r="D548"/>
  <c r="C548" s="1"/>
  <c r="D549"/>
  <c r="C549" s="1"/>
  <c r="D550"/>
  <c r="C550" s="1"/>
  <c r="D551"/>
  <c r="C551" s="1"/>
  <c r="D552"/>
  <c r="C552" s="1"/>
  <c r="D544"/>
  <c r="D133"/>
  <c r="C133" s="1"/>
  <c r="D134"/>
  <c r="C134" s="1"/>
  <c r="D135"/>
  <c r="C135" s="1"/>
  <c r="D136"/>
  <c r="C136" s="1"/>
  <c r="D137"/>
  <c r="C137" s="1"/>
  <c r="D138"/>
  <c r="C138" s="1"/>
  <c r="D557"/>
  <c r="C557" s="1"/>
  <c r="D139"/>
  <c r="C139" s="1"/>
  <c r="D140"/>
  <c r="C140" s="1"/>
  <c r="D141"/>
  <c r="C141" s="1"/>
  <c r="D132"/>
  <c r="C132" s="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X131"/>
  <c r="Y131"/>
  <c r="O1352" i="5"/>
  <c r="J1352"/>
  <c r="O1351"/>
  <c r="J1351"/>
  <c r="O1350"/>
  <c r="R1349"/>
  <c r="J1349"/>
  <c r="O1346"/>
  <c r="R1346"/>
  <c r="J1346"/>
  <c r="J1345"/>
  <c r="I1345"/>
  <c r="O1344"/>
  <c r="J1344"/>
  <c r="O1343"/>
  <c r="O1342"/>
  <c r="R1342"/>
  <c r="J1342"/>
  <c r="O1341"/>
  <c r="R1341"/>
  <c r="J1341"/>
  <c r="O829"/>
  <c r="R828"/>
  <c r="O827"/>
  <c r="R826"/>
  <c r="O825"/>
  <c r="O824"/>
  <c r="R824"/>
  <c r="R823"/>
  <c r="I131"/>
  <c r="J131"/>
  <c r="K131"/>
  <c r="L131"/>
  <c r="P131"/>
  <c r="Q131"/>
  <c r="H131"/>
  <c r="O141"/>
  <c r="O140"/>
  <c r="R140"/>
  <c r="O139"/>
  <c r="R561"/>
  <c r="O138"/>
  <c r="R137"/>
  <c r="O136"/>
  <c r="R135"/>
  <c r="O134"/>
  <c r="R133"/>
  <c r="O132"/>
  <c r="C12" i="7" l="1"/>
  <c r="D12"/>
  <c r="F12"/>
  <c r="C804" i="6"/>
  <c r="C800" s="1"/>
  <c r="D800"/>
  <c r="C544"/>
  <c r="D543"/>
  <c r="C545"/>
  <c r="I1337" i="5"/>
  <c r="C158" i="7"/>
  <c r="D158"/>
  <c r="F158"/>
  <c r="C1309" i="6"/>
  <c r="J1337" i="5"/>
  <c r="D227" i="7"/>
  <c r="C227"/>
  <c r="D131" i="6"/>
  <c r="C131"/>
  <c r="O1349" i="5"/>
  <c r="R1350"/>
  <c r="R1351"/>
  <c r="R1352"/>
  <c r="R1345"/>
  <c r="O1345"/>
  <c r="R1343"/>
  <c r="R1344"/>
  <c r="O828"/>
  <c r="O826"/>
  <c r="O823"/>
  <c r="R825"/>
  <c r="R827"/>
  <c r="R829"/>
  <c r="R132"/>
  <c r="O133"/>
  <c r="R134"/>
  <c r="O135"/>
  <c r="R136"/>
  <c r="O137"/>
  <c r="R138"/>
  <c r="O561"/>
  <c r="O547" s="1"/>
  <c r="R139"/>
  <c r="R141"/>
  <c r="O822" l="1"/>
  <c r="C543" i="6"/>
  <c r="O131" i="5"/>
  <c r="D975" i="6" l="1"/>
  <c r="D708"/>
  <c r="D356"/>
  <c r="R689" i="5"/>
  <c r="R335"/>
  <c r="D1431" i="6"/>
  <c r="C1431" s="1"/>
  <c r="D1430"/>
  <c r="C1430" s="1"/>
  <c r="D33" i="7"/>
  <c r="F33"/>
  <c r="C33"/>
  <c r="D961" i="6"/>
  <c r="C961" s="1"/>
  <c r="D962"/>
  <c r="D963"/>
  <c r="C963" s="1"/>
  <c r="D964"/>
  <c r="C964" s="1"/>
  <c r="D965"/>
  <c r="C965" s="1"/>
  <c r="D966"/>
  <c r="C966" s="1"/>
  <c r="D967"/>
  <c r="C967" s="1"/>
  <c r="D968"/>
  <c r="C968" s="1"/>
  <c r="D969"/>
  <c r="C969" s="1"/>
  <c r="D970"/>
  <c r="C970" s="1"/>
  <c r="D960"/>
  <c r="C960" s="1"/>
  <c r="E698"/>
  <c r="F698"/>
  <c r="G698"/>
  <c r="H698"/>
  <c r="I698"/>
  <c r="J698"/>
  <c r="K698"/>
  <c r="L698"/>
  <c r="M698"/>
  <c r="N698"/>
  <c r="O698"/>
  <c r="P698"/>
  <c r="Q698"/>
  <c r="R698"/>
  <c r="S698"/>
  <c r="T698"/>
  <c r="U698"/>
  <c r="V698"/>
  <c r="X698"/>
  <c r="Y698"/>
  <c r="D700"/>
  <c r="C700" s="1"/>
  <c r="D701"/>
  <c r="C701" s="1"/>
  <c r="D702"/>
  <c r="C702" s="1"/>
  <c r="D703"/>
  <c r="C703" s="1"/>
  <c r="D704"/>
  <c r="C704" s="1"/>
  <c r="D705"/>
  <c r="C705" s="1"/>
  <c r="D706"/>
  <c r="C706" s="1"/>
  <c r="D699"/>
  <c r="D348"/>
  <c r="C348" s="1"/>
  <c r="D349"/>
  <c r="C349" s="1"/>
  <c r="D350"/>
  <c r="C350" s="1"/>
  <c r="D351"/>
  <c r="C351" s="1"/>
  <c r="D352"/>
  <c r="C352" s="1"/>
  <c r="D347"/>
  <c r="F203" i="7"/>
  <c r="R978" i="5"/>
  <c r="R977"/>
  <c r="R976"/>
  <c r="R975"/>
  <c r="R974"/>
  <c r="R973"/>
  <c r="R972"/>
  <c r="R971"/>
  <c r="R970"/>
  <c r="R969"/>
  <c r="R968"/>
  <c r="I679"/>
  <c r="J679"/>
  <c r="K679"/>
  <c r="D137" i="7" s="1"/>
  <c r="L679" i="5"/>
  <c r="F137" i="7" s="1"/>
  <c r="M679" i="5"/>
  <c r="N679"/>
  <c r="O679"/>
  <c r="P679"/>
  <c r="Q679"/>
  <c r="H679"/>
  <c r="C137" i="7" s="1"/>
  <c r="R687" i="5"/>
  <c r="R686"/>
  <c r="R685"/>
  <c r="R684"/>
  <c r="R683"/>
  <c r="R682"/>
  <c r="R681"/>
  <c r="R680"/>
  <c r="D64" i="7"/>
  <c r="F64"/>
  <c r="C64"/>
  <c r="R331" i="5"/>
  <c r="R330"/>
  <c r="R329"/>
  <c r="R328"/>
  <c r="R327"/>
  <c r="R326"/>
  <c r="C962" i="6" l="1"/>
  <c r="C959" s="1"/>
  <c r="D959"/>
  <c r="C975"/>
  <c r="C974" s="1"/>
  <c r="D974"/>
  <c r="C708"/>
  <c r="C707" s="1"/>
  <c r="D707"/>
  <c r="C356"/>
  <c r="C355" s="1"/>
  <c r="D355"/>
  <c r="C347"/>
  <c r="C346" s="1"/>
  <c r="D346"/>
  <c r="D698"/>
  <c r="C699"/>
  <c r="C698" s="1"/>
  <c r="E80" i="7" l="1"/>
  <c r="E413" i="6"/>
  <c r="F413"/>
  <c r="F412" s="1"/>
  <c r="G413"/>
  <c r="G412" s="1"/>
  <c r="H413"/>
  <c r="H412" s="1"/>
  <c r="I413"/>
  <c r="I412" s="1"/>
  <c r="J413"/>
  <c r="J412" s="1"/>
  <c r="K413"/>
  <c r="K412" s="1"/>
  <c r="L413"/>
  <c r="L412" s="1"/>
  <c r="M413"/>
  <c r="M412" s="1"/>
  <c r="N413"/>
  <c r="N412" s="1"/>
  <c r="O413"/>
  <c r="O412" s="1"/>
  <c r="P413"/>
  <c r="P412" s="1"/>
  <c r="Q413"/>
  <c r="Q412" s="1"/>
  <c r="R413"/>
  <c r="R412" s="1"/>
  <c r="S413"/>
  <c r="S412" s="1"/>
  <c r="T413"/>
  <c r="T412" s="1"/>
  <c r="U413"/>
  <c r="U412" s="1"/>
  <c r="V413"/>
  <c r="V412" s="1"/>
  <c r="X413"/>
  <c r="X412" s="1"/>
  <c r="Y413"/>
  <c r="Y412" s="1"/>
  <c r="D415"/>
  <c r="C415" s="1"/>
  <c r="D414"/>
  <c r="I392" i="5"/>
  <c r="J392"/>
  <c r="J391" s="1"/>
  <c r="K392"/>
  <c r="D81" i="7" s="1"/>
  <c r="D80" s="1"/>
  <c r="L392" i="5"/>
  <c r="F81" i="7" s="1"/>
  <c r="F80" s="1"/>
  <c r="M392" i="5"/>
  <c r="M391" s="1"/>
  <c r="N392"/>
  <c r="N391" s="1"/>
  <c r="O392"/>
  <c r="O391" s="1"/>
  <c r="P392"/>
  <c r="P391" s="1"/>
  <c r="Q392"/>
  <c r="Q391" s="1"/>
  <c r="H392"/>
  <c r="C81" i="7" s="1"/>
  <c r="C80" s="1"/>
  <c r="R394" i="5"/>
  <c r="R393"/>
  <c r="E729" i="6"/>
  <c r="F729"/>
  <c r="G729"/>
  <c r="H729"/>
  <c r="I729"/>
  <c r="J729"/>
  <c r="K729"/>
  <c r="L729"/>
  <c r="M729"/>
  <c r="N729"/>
  <c r="O729"/>
  <c r="P729"/>
  <c r="Q729"/>
  <c r="R729"/>
  <c r="S729"/>
  <c r="T729"/>
  <c r="U729"/>
  <c r="V729"/>
  <c r="X729"/>
  <c r="Y729"/>
  <c r="D730"/>
  <c r="C730" s="1"/>
  <c r="C729" s="1"/>
  <c r="I707" i="5"/>
  <c r="J707"/>
  <c r="K707"/>
  <c r="D147" i="7" s="1"/>
  <c r="L707" i="5"/>
  <c r="F147" i="7" s="1"/>
  <c r="M707" i="5"/>
  <c r="N707"/>
  <c r="O707"/>
  <c r="P707"/>
  <c r="Q707"/>
  <c r="H707"/>
  <c r="C147" i="7" s="1"/>
  <c r="R708" i="5"/>
  <c r="D1601" i="6"/>
  <c r="E1601"/>
  <c r="F1601"/>
  <c r="G1601"/>
  <c r="H1601"/>
  <c r="I1601"/>
  <c r="J1601"/>
  <c r="L1601"/>
  <c r="N1601"/>
  <c r="O1601"/>
  <c r="P1601"/>
  <c r="Q1601"/>
  <c r="R1601"/>
  <c r="S1601"/>
  <c r="T1601"/>
  <c r="U1601"/>
  <c r="V1601"/>
  <c r="X1601"/>
  <c r="Y1601"/>
  <c r="C1602"/>
  <c r="C1601" s="1"/>
  <c r="I1629" i="5"/>
  <c r="J1629"/>
  <c r="K1629"/>
  <c r="D294" i="7" s="1"/>
  <c r="L1629" i="5"/>
  <c r="F294" i="7" s="1"/>
  <c r="M1629" i="5"/>
  <c r="N1629"/>
  <c r="O1629"/>
  <c r="P1629"/>
  <c r="Q1629"/>
  <c r="H1629"/>
  <c r="C294" i="7" s="1"/>
  <c r="R1630" i="5"/>
  <c r="V433" i="6"/>
  <c r="R433"/>
  <c r="N433"/>
  <c r="J433"/>
  <c r="I433"/>
  <c r="H433"/>
  <c r="G433"/>
  <c r="Y433"/>
  <c r="X433"/>
  <c r="U433"/>
  <c r="T433"/>
  <c r="S433"/>
  <c r="Q433"/>
  <c r="P433"/>
  <c r="O433"/>
  <c r="M433"/>
  <c r="L433"/>
  <c r="K433"/>
  <c r="E433"/>
  <c r="I412" i="5"/>
  <c r="J412"/>
  <c r="K412"/>
  <c r="D88" i="7" s="1"/>
  <c r="L412" i="5"/>
  <c r="F88" i="7" s="1"/>
  <c r="M412" i="5"/>
  <c r="N412"/>
  <c r="O412"/>
  <c r="P412"/>
  <c r="Q412"/>
  <c r="H412"/>
  <c r="C88" i="7" s="1"/>
  <c r="E213" i="6"/>
  <c r="F213"/>
  <c r="G213"/>
  <c r="H213"/>
  <c r="I213"/>
  <c r="J213"/>
  <c r="K213"/>
  <c r="L213"/>
  <c r="M213"/>
  <c r="N213"/>
  <c r="O213"/>
  <c r="P213"/>
  <c r="Q213"/>
  <c r="R213"/>
  <c r="S213"/>
  <c r="T213"/>
  <c r="U213"/>
  <c r="V213"/>
  <c r="X213"/>
  <c r="Y213"/>
  <c r="D214"/>
  <c r="C214" s="1"/>
  <c r="C213" s="1"/>
  <c r="I213" i="5"/>
  <c r="J213"/>
  <c r="K213"/>
  <c r="D32" i="7" s="1"/>
  <c r="L213" i="5"/>
  <c r="F32" i="7" s="1"/>
  <c r="M213" i="5"/>
  <c r="N213"/>
  <c r="O213"/>
  <c r="P213"/>
  <c r="Q213"/>
  <c r="H213"/>
  <c r="C32" i="7" s="1"/>
  <c r="R214" i="5"/>
  <c r="D884" i="6"/>
  <c r="E884"/>
  <c r="F884"/>
  <c r="G884"/>
  <c r="H884"/>
  <c r="I884"/>
  <c r="J884"/>
  <c r="K884"/>
  <c r="L884"/>
  <c r="M884"/>
  <c r="N884"/>
  <c r="O884"/>
  <c r="P884"/>
  <c r="Q884"/>
  <c r="R884"/>
  <c r="S884"/>
  <c r="T884"/>
  <c r="U884"/>
  <c r="V884"/>
  <c r="X884"/>
  <c r="Y884"/>
  <c r="K611"/>
  <c r="L611"/>
  <c r="M611"/>
  <c r="N611"/>
  <c r="O611"/>
  <c r="P611"/>
  <c r="Q611"/>
  <c r="R611"/>
  <c r="S611"/>
  <c r="T611"/>
  <c r="U611"/>
  <c r="V611"/>
  <c r="X611"/>
  <c r="Y611"/>
  <c r="D612"/>
  <c r="D614"/>
  <c r="C614" s="1"/>
  <c r="D613"/>
  <c r="C613" s="1"/>
  <c r="D228"/>
  <c r="C228" s="1"/>
  <c r="D229"/>
  <c r="C229" s="1"/>
  <c r="K221"/>
  <c r="L221"/>
  <c r="M221"/>
  <c r="O221"/>
  <c r="P221"/>
  <c r="Q221"/>
  <c r="R221"/>
  <c r="S221"/>
  <c r="T221"/>
  <c r="U221"/>
  <c r="V221"/>
  <c r="X221"/>
  <c r="Y221"/>
  <c r="J1460" i="5"/>
  <c r="M1460"/>
  <c r="N1460"/>
  <c r="O1460"/>
  <c r="P1460"/>
  <c r="Q1460"/>
  <c r="I906"/>
  <c r="J906"/>
  <c r="K906"/>
  <c r="D182" i="7" s="1"/>
  <c r="L906" i="5"/>
  <c r="F182" i="7" s="1"/>
  <c r="M906" i="5"/>
  <c r="N906"/>
  <c r="O906"/>
  <c r="P906"/>
  <c r="Q906"/>
  <c r="H906"/>
  <c r="C182" i="7" s="1"/>
  <c r="I615" i="5"/>
  <c r="J615"/>
  <c r="K615"/>
  <c r="L615"/>
  <c r="M615"/>
  <c r="N615"/>
  <c r="O615"/>
  <c r="P615"/>
  <c r="Q615"/>
  <c r="H615"/>
  <c r="R619"/>
  <c r="R618"/>
  <c r="R617"/>
  <c r="R616"/>
  <c r="I221"/>
  <c r="J221"/>
  <c r="K221"/>
  <c r="L221"/>
  <c r="M221"/>
  <c r="N221"/>
  <c r="O221"/>
  <c r="P221"/>
  <c r="Q221"/>
  <c r="H221"/>
  <c r="R229"/>
  <c r="R228"/>
  <c r="R227"/>
  <c r="R226"/>
  <c r="R225"/>
  <c r="R224"/>
  <c r="R223"/>
  <c r="R222"/>
  <c r="D320" i="6"/>
  <c r="R316" i="5"/>
  <c r="D321" i="6"/>
  <c r="R317" i="5"/>
  <c r="D386" i="6"/>
  <c r="E386"/>
  <c r="F386"/>
  <c r="G386"/>
  <c r="H386"/>
  <c r="I386"/>
  <c r="J386"/>
  <c r="K386"/>
  <c r="L386"/>
  <c r="M386"/>
  <c r="N386"/>
  <c r="O386"/>
  <c r="P386"/>
  <c r="Q386"/>
  <c r="R386"/>
  <c r="S386"/>
  <c r="T386"/>
  <c r="U386"/>
  <c r="V386"/>
  <c r="X386"/>
  <c r="Y386"/>
  <c r="C388"/>
  <c r="C387"/>
  <c r="I365" i="5"/>
  <c r="J365"/>
  <c r="K365"/>
  <c r="D71" i="7" s="1"/>
  <c r="L365" i="5"/>
  <c r="F71" i="7" s="1"/>
  <c r="M365" i="5"/>
  <c r="N365"/>
  <c r="O365"/>
  <c r="P365"/>
  <c r="Q365"/>
  <c r="H365"/>
  <c r="C71" i="7" s="1"/>
  <c r="R367" i="5"/>
  <c r="R366"/>
  <c r="D669" i="6"/>
  <c r="D668" s="1"/>
  <c r="D317"/>
  <c r="D319"/>
  <c r="C319" s="1"/>
  <c r="R671" i="5"/>
  <c r="R313"/>
  <c r="R315"/>
  <c r="E401" i="6"/>
  <c r="F401"/>
  <c r="G401"/>
  <c r="H401"/>
  <c r="I401"/>
  <c r="J401"/>
  <c r="K401"/>
  <c r="L401"/>
  <c r="M401"/>
  <c r="N401"/>
  <c r="O401"/>
  <c r="P401"/>
  <c r="Q401"/>
  <c r="R401"/>
  <c r="S401"/>
  <c r="T401"/>
  <c r="U401"/>
  <c r="V401"/>
  <c r="X401"/>
  <c r="Y401"/>
  <c r="D405"/>
  <c r="C405" s="1"/>
  <c r="D404"/>
  <c r="C404" s="1"/>
  <c r="D403"/>
  <c r="C403" s="1"/>
  <c r="D402"/>
  <c r="C402" s="1"/>
  <c r="I386" i="5"/>
  <c r="J386"/>
  <c r="K386"/>
  <c r="D79" i="7" s="1"/>
  <c r="L386" i="5"/>
  <c r="F79" i="7" s="1"/>
  <c r="M386" i="5"/>
  <c r="N386"/>
  <c r="O386"/>
  <c r="P386"/>
  <c r="Q386"/>
  <c r="H386"/>
  <c r="C79" i="7" s="1"/>
  <c r="R388" i="5"/>
  <c r="R389"/>
  <c r="R390"/>
  <c r="R387"/>
  <c r="E1532" i="6"/>
  <c r="F1532"/>
  <c r="G1532"/>
  <c r="H1532"/>
  <c r="I1532"/>
  <c r="J1532"/>
  <c r="K1532"/>
  <c r="K1519" s="1"/>
  <c r="L1532"/>
  <c r="L1519" s="1"/>
  <c r="M1532"/>
  <c r="N1532"/>
  <c r="O1532"/>
  <c r="P1532"/>
  <c r="Q1532"/>
  <c r="R1532"/>
  <c r="S1532"/>
  <c r="T1532"/>
  <c r="U1532"/>
  <c r="V1532"/>
  <c r="X1532"/>
  <c r="Y1532"/>
  <c r="D1537"/>
  <c r="C1537" s="1"/>
  <c r="D1534"/>
  <c r="C1534" s="1"/>
  <c r="D1535"/>
  <c r="C1535" s="1"/>
  <c r="D1536"/>
  <c r="C1536" s="1"/>
  <c r="D1533"/>
  <c r="C1533" s="1"/>
  <c r="K932"/>
  <c r="L932"/>
  <c r="M932"/>
  <c r="N932"/>
  <c r="O932"/>
  <c r="P932"/>
  <c r="Q932"/>
  <c r="R932"/>
  <c r="S932"/>
  <c r="T932"/>
  <c r="U932"/>
  <c r="V932"/>
  <c r="X932"/>
  <c r="Y932"/>
  <c r="D933"/>
  <c r="C933" s="1"/>
  <c r="D308"/>
  <c r="C308" s="1"/>
  <c r="D307"/>
  <c r="H306"/>
  <c r="K306"/>
  <c r="L306"/>
  <c r="M306"/>
  <c r="O306"/>
  <c r="P306"/>
  <c r="Q306"/>
  <c r="S306"/>
  <c r="U306"/>
  <c r="X306"/>
  <c r="Y306"/>
  <c r="C307"/>
  <c r="I1560" i="5"/>
  <c r="J1560"/>
  <c r="K1560"/>
  <c r="D270" i="7" s="1"/>
  <c r="M1560" i="5"/>
  <c r="N1560"/>
  <c r="O1560"/>
  <c r="P1560"/>
  <c r="Q1560"/>
  <c r="H1560"/>
  <c r="C270" i="7" s="1"/>
  <c r="R1565" i="5"/>
  <c r="I954"/>
  <c r="J954"/>
  <c r="K954"/>
  <c r="D197" i="7" s="1"/>
  <c r="L954" i="5"/>
  <c r="F197" i="7" s="1"/>
  <c r="M954" i="5"/>
  <c r="N954"/>
  <c r="P954"/>
  <c r="Q954"/>
  <c r="H954"/>
  <c r="C197" i="7" s="1"/>
  <c r="R955" i="5"/>
  <c r="I302"/>
  <c r="J302"/>
  <c r="K302"/>
  <c r="L302"/>
  <c r="M302"/>
  <c r="N302"/>
  <c r="Q302"/>
  <c r="H302"/>
  <c r="R304"/>
  <c r="R305"/>
  <c r="P305"/>
  <c r="O305"/>
  <c r="E151" i="7"/>
  <c r="D1598" i="6"/>
  <c r="E1598"/>
  <c r="F1598"/>
  <c r="G1598"/>
  <c r="H1598"/>
  <c r="I1598"/>
  <c r="J1598"/>
  <c r="K1598"/>
  <c r="K1595" s="1"/>
  <c r="L1598"/>
  <c r="M1598"/>
  <c r="M1595" s="1"/>
  <c r="N1598"/>
  <c r="O1598"/>
  <c r="P1598"/>
  <c r="Q1598"/>
  <c r="R1598"/>
  <c r="S1598"/>
  <c r="T1598"/>
  <c r="U1598"/>
  <c r="V1598"/>
  <c r="X1598"/>
  <c r="Y1598"/>
  <c r="C1599"/>
  <c r="C1600"/>
  <c r="D1019"/>
  <c r="F1019"/>
  <c r="G1019"/>
  <c r="H1019"/>
  <c r="I1019"/>
  <c r="J1019"/>
  <c r="K1019"/>
  <c r="L1019"/>
  <c r="M1019"/>
  <c r="N1019"/>
  <c r="O1019"/>
  <c r="P1019"/>
  <c r="Q1019"/>
  <c r="R1019"/>
  <c r="S1019"/>
  <c r="T1019"/>
  <c r="U1019"/>
  <c r="V1019"/>
  <c r="X1019"/>
  <c r="Y1019"/>
  <c r="V739"/>
  <c r="R739"/>
  <c r="N739"/>
  <c r="J739"/>
  <c r="I739"/>
  <c r="H739"/>
  <c r="G739"/>
  <c r="D741"/>
  <c r="Y739"/>
  <c r="X739"/>
  <c r="U739"/>
  <c r="T739"/>
  <c r="S739"/>
  <c r="Q739"/>
  <c r="P739"/>
  <c r="O739"/>
  <c r="F739"/>
  <c r="V430"/>
  <c r="N430"/>
  <c r="J430"/>
  <c r="I430"/>
  <c r="H430"/>
  <c r="G430"/>
  <c r="F430"/>
  <c r="D431"/>
  <c r="C431" s="1"/>
  <c r="Y430"/>
  <c r="X430"/>
  <c r="U430"/>
  <c r="T430"/>
  <c r="S430"/>
  <c r="R430"/>
  <c r="Q430"/>
  <c r="P430"/>
  <c r="O430"/>
  <c r="M430"/>
  <c r="L430"/>
  <c r="K430"/>
  <c r="I1626" i="5"/>
  <c r="J1626"/>
  <c r="K1626"/>
  <c r="L1626"/>
  <c r="M1626"/>
  <c r="N1626"/>
  <c r="Q1626"/>
  <c r="H1626"/>
  <c r="R1627"/>
  <c r="J1027"/>
  <c r="M1027"/>
  <c r="N1027"/>
  <c r="O1027"/>
  <c r="P1027"/>
  <c r="Q1027"/>
  <c r="J720"/>
  <c r="K720"/>
  <c r="L720"/>
  <c r="M720"/>
  <c r="N720"/>
  <c r="O720"/>
  <c r="P720"/>
  <c r="Q720"/>
  <c r="H720"/>
  <c r="R722"/>
  <c r="I409"/>
  <c r="J409"/>
  <c r="K409"/>
  <c r="L409"/>
  <c r="M409"/>
  <c r="N409"/>
  <c r="O409"/>
  <c r="P409"/>
  <c r="Q409"/>
  <c r="H409"/>
  <c r="R411"/>
  <c r="R410"/>
  <c r="E195" i="7"/>
  <c r="E54"/>
  <c r="E938" i="6"/>
  <c r="F938"/>
  <c r="G938"/>
  <c r="H938"/>
  <c r="I938"/>
  <c r="J938"/>
  <c r="K938"/>
  <c r="L938"/>
  <c r="M938"/>
  <c r="N938"/>
  <c r="O938"/>
  <c r="P938"/>
  <c r="Q938"/>
  <c r="R938"/>
  <c r="S938"/>
  <c r="T938"/>
  <c r="U938"/>
  <c r="V938"/>
  <c r="X938"/>
  <c r="Y938"/>
  <c r="D939"/>
  <c r="C939" s="1"/>
  <c r="C938" s="1"/>
  <c r="E313"/>
  <c r="F313"/>
  <c r="G313"/>
  <c r="H313"/>
  <c r="I313"/>
  <c r="J313"/>
  <c r="K313"/>
  <c r="L313"/>
  <c r="M313"/>
  <c r="N313"/>
  <c r="O313"/>
  <c r="P313"/>
  <c r="Q313"/>
  <c r="R313"/>
  <c r="S313"/>
  <c r="T313"/>
  <c r="U313"/>
  <c r="V313"/>
  <c r="X313"/>
  <c r="Y313"/>
  <c r="D314"/>
  <c r="C314" s="1"/>
  <c r="C313" s="1"/>
  <c r="I960" i="5"/>
  <c r="J960"/>
  <c r="K960"/>
  <c r="D199" i="7" s="1"/>
  <c r="L960" i="5"/>
  <c r="F199" i="7" s="1"/>
  <c r="M960" i="5"/>
  <c r="N960"/>
  <c r="O960"/>
  <c r="P960"/>
  <c r="Q960"/>
  <c r="H960"/>
  <c r="C199" i="7" s="1"/>
  <c r="R961" i="5"/>
  <c r="I309"/>
  <c r="J309"/>
  <c r="K309"/>
  <c r="D58" i="7" s="1"/>
  <c r="L309" i="5"/>
  <c r="F58" i="7" s="1"/>
  <c r="M309" i="5"/>
  <c r="N309"/>
  <c r="O309"/>
  <c r="P309"/>
  <c r="Q309"/>
  <c r="H309"/>
  <c r="C58" i="7" s="1"/>
  <c r="R310" i="5"/>
  <c r="E60" i="7"/>
  <c r="E323" i="6"/>
  <c r="E322" s="1"/>
  <c r="F323"/>
  <c r="F322" s="1"/>
  <c r="G323"/>
  <c r="G322" s="1"/>
  <c r="H323"/>
  <c r="H322" s="1"/>
  <c r="I323"/>
  <c r="I322" s="1"/>
  <c r="J323"/>
  <c r="J322" s="1"/>
  <c r="K323"/>
  <c r="K322" s="1"/>
  <c r="L323"/>
  <c r="L322" s="1"/>
  <c r="M323"/>
  <c r="M322" s="1"/>
  <c r="N323"/>
  <c r="N322" s="1"/>
  <c r="O323"/>
  <c r="O322" s="1"/>
  <c r="P323"/>
  <c r="Q323"/>
  <c r="Q322" s="1"/>
  <c r="R323"/>
  <c r="R322" s="1"/>
  <c r="S323"/>
  <c r="S322" s="1"/>
  <c r="T323"/>
  <c r="T322" s="1"/>
  <c r="U323"/>
  <c r="U322" s="1"/>
  <c r="V323"/>
  <c r="V322" s="1"/>
  <c r="X323"/>
  <c r="X322" s="1"/>
  <c r="Y323"/>
  <c r="Y322" s="1"/>
  <c r="D324"/>
  <c r="C324" s="1"/>
  <c r="C323" s="1"/>
  <c r="C322" s="1"/>
  <c r="I319" i="5"/>
  <c r="J319"/>
  <c r="J318" s="1"/>
  <c r="K319"/>
  <c r="D61" i="7" s="1"/>
  <c r="D60" s="1"/>
  <c r="L319" i="5"/>
  <c r="L318" s="1"/>
  <c r="M319"/>
  <c r="M318" s="1"/>
  <c r="N319"/>
  <c r="N318" s="1"/>
  <c r="O319"/>
  <c r="O318" s="1"/>
  <c r="P319"/>
  <c r="P318" s="1"/>
  <c r="Q319"/>
  <c r="Q318" s="1"/>
  <c r="H319"/>
  <c r="H318" s="1"/>
  <c r="R320"/>
  <c r="D1564" i="6"/>
  <c r="D1563" s="1"/>
  <c r="D714"/>
  <c r="C714" s="1"/>
  <c r="D713"/>
  <c r="D390"/>
  <c r="O988" i="5"/>
  <c r="O987" s="1"/>
  <c r="R695"/>
  <c r="R694"/>
  <c r="R369"/>
  <c r="E282" i="7"/>
  <c r="D1579" i="6"/>
  <c r="C1579" s="1"/>
  <c r="D1580"/>
  <c r="C1580" s="1"/>
  <c r="D1578"/>
  <c r="C1578" s="1"/>
  <c r="D996"/>
  <c r="C996" s="1"/>
  <c r="D995"/>
  <c r="C995" s="1"/>
  <c r="D994"/>
  <c r="E992"/>
  <c r="F992"/>
  <c r="G992"/>
  <c r="H992"/>
  <c r="I992"/>
  <c r="J992"/>
  <c r="K992"/>
  <c r="L992"/>
  <c r="M992"/>
  <c r="N992"/>
  <c r="O992"/>
  <c r="P992"/>
  <c r="Q992"/>
  <c r="R992"/>
  <c r="S992"/>
  <c r="T992"/>
  <c r="U992"/>
  <c r="V992"/>
  <c r="X992"/>
  <c r="Y992"/>
  <c r="D398"/>
  <c r="C398" s="1"/>
  <c r="D399"/>
  <c r="C399" s="1"/>
  <c r="K395"/>
  <c r="K394" s="1"/>
  <c r="L395"/>
  <c r="L394" s="1"/>
  <c r="M395"/>
  <c r="M394" s="1"/>
  <c r="O395"/>
  <c r="P395"/>
  <c r="Q395"/>
  <c r="S395"/>
  <c r="S394" s="1"/>
  <c r="U395"/>
  <c r="X395"/>
  <c r="X394" s="1"/>
  <c r="Y395"/>
  <c r="Y394" s="1"/>
  <c r="E723"/>
  <c r="E722" s="1"/>
  <c r="F723"/>
  <c r="F722" s="1"/>
  <c r="G723"/>
  <c r="G722" s="1"/>
  <c r="H723"/>
  <c r="H722" s="1"/>
  <c r="I723"/>
  <c r="I722" s="1"/>
  <c r="J723"/>
  <c r="J722" s="1"/>
  <c r="K723"/>
  <c r="K722" s="1"/>
  <c r="L723"/>
  <c r="L722" s="1"/>
  <c r="M723"/>
  <c r="M722" s="1"/>
  <c r="N723"/>
  <c r="N722" s="1"/>
  <c r="O723"/>
  <c r="O722" s="1"/>
  <c r="P723"/>
  <c r="P722" s="1"/>
  <c r="Q723"/>
  <c r="Q722" s="1"/>
  <c r="R723"/>
  <c r="R722" s="1"/>
  <c r="S723"/>
  <c r="S722" s="1"/>
  <c r="T723"/>
  <c r="T722" s="1"/>
  <c r="U723"/>
  <c r="U722" s="1"/>
  <c r="V723"/>
  <c r="V722" s="1"/>
  <c r="X723"/>
  <c r="X722" s="1"/>
  <c r="Y723"/>
  <c r="Y722" s="1"/>
  <c r="D726"/>
  <c r="C726" s="1"/>
  <c r="D727"/>
  <c r="C727" s="1"/>
  <c r="D728"/>
  <c r="C728" s="1"/>
  <c r="D725"/>
  <c r="C725" s="1"/>
  <c r="D724"/>
  <c r="C724" s="1"/>
  <c r="H666" i="5"/>
  <c r="I666"/>
  <c r="J666"/>
  <c r="K666"/>
  <c r="L666"/>
  <c r="M666"/>
  <c r="N666"/>
  <c r="P666"/>
  <c r="Q666"/>
  <c r="O667"/>
  <c r="O666" s="1"/>
  <c r="R667"/>
  <c r="I701"/>
  <c r="J701"/>
  <c r="K701"/>
  <c r="L701"/>
  <c r="M701"/>
  <c r="N701"/>
  <c r="O701"/>
  <c r="P701"/>
  <c r="Q701"/>
  <c r="H701"/>
  <c r="R706"/>
  <c r="R705"/>
  <c r="R704"/>
  <c r="R703"/>
  <c r="R702"/>
  <c r="I380"/>
  <c r="J380"/>
  <c r="K380"/>
  <c r="L380"/>
  <c r="M380"/>
  <c r="N380"/>
  <c r="O380"/>
  <c r="P380"/>
  <c r="Q380"/>
  <c r="H380"/>
  <c r="R385"/>
  <c r="R384"/>
  <c r="R383"/>
  <c r="R382"/>
  <c r="R381"/>
  <c r="D290" i="6"/>
  <c r="C290" s="1"/>
  <c r="D289"/>
  <c r="L286" i="5"/>
  <c r="R285"/>
  <c r="E250" i="6"/>
  <c r="F250"/>
  <c r="G250"/>
  <c r="H250"/>
  <c r="I250"/>
  <c r="J250"/>
  <c r="K250"/>
  <c r="L250"/>
  <c r="M250"/>
  <c r="N250"/>
  <c r="O250"/>
  <c r="P250"/>
  <c r="Q250"/>
  <c r="R250"/>
  <c r="S250"/>
  <c r="T250"/>
  <c r="U250"/>
  <c r="V250"/>
  <c r="X250"/>
  <c r="Y250"/>
  <c r="D251"/>
  <c r="C251" s="1"/>
  <c r="C250" s="1"/>
  <c r="I250" i="5"/>
  <c r="J250"/>
  <c r="K250"/>
  <c r="D41" i="7" s="1"/>
  <c r="L250" i="5"/>
  <c r="F41" i="7" s="1"/>
  <c r="M250" i="5"/>
  <c r="N250"/>
  <c r="O250"/>
  <c r="P250"/>
  <c r="Q250"/>
  <c r="H250"/>
  <c r="C41" i="7" s="1"/>
  <c r="R251" i="5"/>
  <c r="D1439" i="6"/>
  <c r="C1439" s="1"/>
  <c r="D1440"/>
  <c r="C1440" s="1"/>
  <c r="D1443"/>
  <c r="C1443" s="1"/>
  <c r="D1444"/>
  <c r="C1444" s="1"/>
  <c r="D1445"/>
  <c r="C1445" s="1"/>
  <c r="D1446"/>
  <c r="C1446" s="1"/>
  <c r="D1447"/>
  <c r="C1447" s="1"/>
  <c r="D1438"/>
  <c r="D893"/>
  <c r="C893" s="1"/>
  <c r="D890"/>
  <c r="C890" s="1"/>
  <c r="D891"/>
  <c r="C891" s="1"/>
  <c r="D892"/>
  <c r="C892" s="1"/>
  <c r="D889"/>
  <c r="D618"/>
  <c r="C618" s="1"/>
  <c r="D619"/>
  <c r="C619" s="1"/>
  <c r="D620"/>
  <c r="C620" s="1"/>
  <c r="D621"/>
  <c r="C621" s="1"/>
  <c r="D622"/>
  <c r="C622" s="1"/>
  <c r="D617"/>
  <c r="E230"/>
  <c r="F230"/>
  <c r="G230"/>
  <c r="H230"/>
  <c r="I230"/>
  <c r="J230"/>
  <c r="K230"/>
  <c r="L230"/>
  <c r="M230"/>
  <c r="N230"/>
  <c r="O230"/>
  <c r="P230"/>
  <c r="Q230"/>
  <c r="R230"/>
  <c r="S230"/>
  <c r="T230"/>
  <c r="U230"/>
  <c r="V230"/>
  <c r="X230"/>
  <c r="Y230"/>
  <c r="D232"/>
  <c r="C232" s="1"/>
  <c r="D233"/>
  <c r="C233" s="1"/>
  <c r="D234"/>
  <c r="C234" s="1"/>
  <c r="D235"/>
  <c r="C235" s="1"/>
  <c r="D236"/>
  <c r="C236" s="1"/>
  <c r="D237"/>
  <c r="C237" s="1"/>
  <c r="D238"/>
  <c r="C238" s="1"/>
  <c r="D231"/>
  <c r="C231" s="1"/>
  <c r="F250" i="7"/>
  <c r="R1467" i="5"/>
  <c r="R1468"/>
  <c r="R1471"/>
  <c r="R1472"/>
  <c r="R1473"/>
  <c r="R1474"/>
  <c r="R1475"/>
  <c r="R1466"/>
  <c r="R912"/>
  <c r="R913"/>
  <c r="R914"/>
  <c r="R915"/>
  <c r="R911"/>
  <c r="R626"/>
  <c r="R625"/>
  <c r="R624"/>
  <c r="R623"/>
  <c r="R622"/>
  <c r="R621"/>
  <c r="I230"/>
  <c r="J230"/>
  <c r="K230"/>
  <c r="D37" i="7" s="1"/>
  <c r="L230" i="5"/>
  <c r="F37" i="7" s="1"/>
  <c r="M230" i="5"/>
  <c r="N230"/>
  <c r="O230"/>
  <c r="P230"/>
  <c r="Q230"/>
  <c r="H230"/>
  <c r="C37" i="7" s="1"/>
  <c r="R232" i="5"/>
  <c r="R233"/>
  <c r="R234"/>
  <c r="R235"/>
  <c r="R236"/>
  <c r="R237"/>
  <c r="R238"/>
  <c r="R231"/>
  <c r="K1024" i="6" l="1"/>
  <c r="D315"/>
  <c r="U394"/>
  <c r="Q394"/>
  <c r="O394"/>
  <c r="D616"/>
  <c r="D888"/>
  <c r="C994"/>
  <c r="C993" s="1"/>
  <c r="C992" s="1"/>
  <c r="D993"/>
  <c r="D992" s="1"/>
  <c r="C741"/>
  <c r="C740" s="1"/>
  <c r="D740"/>
  <c r="D739" s="1"/>
  <c r="D1437"/>
  <c r="C617"/>
  <c r="C616" s="1"/>
  <c r="C889"/>
  <c r="C888" s="1"/>
  <c r="Q379" i="5"/>
  <c r="O379"/>
  <c r="M379"/>
  <c r="K379"/>
  <c r="H700"/>
  <c r="P700"/>
  <c r="N700"/>
  <c r="L700"/>
  <c r="J700"/>
  <c r="H379"/>
  <c r="P379"/>
  <c r="N379"/>
  <c r="L379"/>
  <c r="J379"/>
  <c r="Q700"/>
  <c r="O700"/>
  <c r="M700"/>
  <c r="K700"/>
  <c r="I700"/>
  <c r="P394" i="6"/>
  <c r="C289"/>
  <c r="C288" s="1"/>
  <c r="D288"/>
  <c r="R286" i="5"/>
  <c r="L284"/>
  <c r="F53" i="7" s="1"/>
  <c r="I379" i="5"/>
  <c r="D712" i="6"/>
  <c r="C390"/>
  <c r="C389" s="1"/>
  <c r="D389"/>
  <c r="P322"/>
  <c r="E1019"/>
  <c r="C669"/>
  <c r="C668" s="1"/>
  <c r="E412"/>
  <c r="I318" i="5"/>
  <c r="I720"/>
  <c r="I1027"/>
  <c r="I1460"/>
  <c r="I391"/>
  <c r="C317" i="6"/>
  <c r="X1595"/>
  <c r="U1595"/>
  <c r="S1595"/>
  <c r="Q1595"/>
  <c r="O1595"/>
  <c r="I1595"/>
  <c r="G1595"/>
  <c r="E1595"/>
  <c r="L1595"/>
  <c r="L1024" s="1"/>
  <c r="H406" i="5"/>
  <c r="P406"/>
  <c r="N406"/>
  <c r="L406"/>
  <c r="J406"/>
  <c r="S427" i="6"/>
  <c r="U427"/>
  <c r="Y427"/>
  <c r="Q1623" i="5"/>
  <c r="M1623"/>
  <c r="K1623"/>
  <c r="I1623"/>
  <c r="H1623"/>
  <c r="N1623"/>
  <c r="L1623"/>
  <c r="J1623"/>
  <c r="C1564" i="6"/>
  <c r="C1563" s="1"/>
  <c r="K427"/>
  <c r="M427"/>
  <c r="P427"/>
  <c r="Y1595"/>
  <c r="V1595"/>
  <c r="T1595"/>
  <c r="R1595"/>
  <c r="P1595"/>
  <c r="N1595"/>
  <c r="J1595"/>
  <c r="H1595"/>
  <c r="F1595"/>
  <c r="D1595"/>
  <c r="C1438"/>
  <c r="C1437" s="1"/>
  <c r="L427"/>
  <c r="O427"/>
  <c r="Q427"/>
  <c r="G427"/>
  <c r="I427"/>
  <c r="N427"/>
  <c r="V427"/>
  <c r="C221" i="7"/>
  <c r="C220" s="1"/>
  <c r="H1027" i="5"/>
  <c r="F221" i="7"/>
  <c r="F220" s="1"/>
  <c r="L1027" i="5"/>
  <c r="D221" i="7"/>
  <c r="D220" s="1"/>
  <c r="K1027" i="5"/>
  <c r="R427" i="6"/>
  <c r="H427"/>
  <c r="J427"/>
  <c r="Q406" i="5"/>
  <c r="O406"/>
  <c r="M406"/>
  <c r="K406"/>
  <c r="I406"/>
  <c r="D249" i="7"/>
  <c r="D248" s="1"/>
  <c r="K1460" i="5"/>
  <c r="C249" i="7"/>
  <c r="C248" s="1"/>
  <c r="H1460" i="5"/>
  <c r="F249" i="7"/>
  <c r="F248" s="1"/>
  <c r="L1460" i="5"/>
  <c r="T427" i="6"/>
  <c r="X427"/>
  <c r="C295" i="7"/>
  <c r="C292" s="1"/>
  <c r="F295"/>
  <c r="F292" s="1"/>
  <c r="D295"/>
  <c r="D292" s="1"/>
  <c r="D729" i="6"/>
  <c r="D413"/>
  <c r="D412" s="1"/>
  <c r="H391" i="5"/>
  <c r="L391"/>
  <c r="K391"/>
  <c r="C414" i="6"/>
  <c r="C413" s="1"/>
  <c r="C412" s="1"/>
  <c r="D213"/>
  <c r="C433"/>
  <c r="F433"/>
  <c r="F427" s="1"/>
  <c r="C320"/>
  <c r="C612"/>
  <c r="C321"/>
  <c r="C386"/>
  <c r="C1598"/>
  <c r="C1595" s="1"/>
  <c r="E739"/>
  <c r="C401"/>
  <c r="D401"/>
  <c r="C1532"/>
  <c r="D432"/>
  <c r="C432" s="1"/>
  <c r="C430" s="1"/>
  <c r="D1532"/>
  <c r="E430"/>
  <c r="C61" i="7"/>
  <c r="C60" s="1"/>
  <c r="D87"/>
  <c r="D85" s="1"/>
  <c r="D152"/>
  <c r="D151" s="1"/>
  <c r="F61"/>
  <c r="F60" s="1"/>
  <c r="C87"/>
  <c r="C85" s="1"/>
  <c r="F87"/>
  <c r="F85" s="1"/>
  <c r="C152"/>
  <c r="C151" s="1"/>
  <c r="F152"/>
  <c r="F151" s="1"/>
  <c r="D313" i="6"/>
  <c r="D938"/>
  <c r="K318" i="5"/>
  <c r="D323" i="6"/>
  <c r="D322" s="1"/>
  <c r="C713"/>
  <c r="C146" i="7"/>
  <c r="C145" s="1"/>
  <c r="F146"/>
  <c r="F145" s="1"/>
  <c r="D146"/>
  <c r="D145" s="1"/>
  <c r="D250" i="6"/>
  <c r="C723"/>
  <c r="C722" s="1"/>
  <c r="D723"/>
  <c r="C230"/>
  <c r="D230"/>
  <c r="C315" l="1"/>
  <c r="D722"/>
  <c r="C712"/>
  <c r="E427"/>
  <c r="C427"/>
  <c r="C739"/>
  <c r="D433"/>
  <c r="D430"/>
  <c r="D1422"/>
  <c r="C1422" s="1"/>
  <c r="E198"/>
  <c r="F198"/>
  <c r="G198"/>
  <c r="H198"/>
  <c r="I198"/>
  <c r="J198"/>
  <c r="K198"/>
  <c r="L198"/>
  <c r="M198"/>
  <c r="N198"/>
  <c r="O198"/>
  <c r="P198"/>
  <c r="Q198"/>
  <c r="R198"/>
  <c r="S198"/>
  <c r="T198"/>
  <c r="U198"/>
  <c r="V198"/>
  <c r="X198"/>
  <c r="Y198"/>
  <c r="D199"/>
  <c r="C199" s="1"/>
  <c r="D200"/>
  <c r="C200" s="1"/>
  <c r="I198" i="5"/>
  <c r="J198"/>
  <c r="K198"/>
  <c r="D27" i="7" s="1"/>
  <c r="L198" i="5"/>
  <c r="F27" i="7" s="1"/>
  <c r="M198" i="5"/>
  <c r="N198"/>
  <c r="O198"/>
  <c r="P198"/>
  <c r="Q198"/>
  <c r="H198"/>
  <c r="C27" i="7" s="1"/>
  <c r="R200" i="5"/>
  <c r="R199"/>
  <c r="D1511" i="6"/>
  <c r="C1511" s="1"/>
  <c r="D1510"/>
  <c r="D928"/>
  <c r="D656"/>
  <c r="C656" s="1"/>
  <c r="D655"/>
  <c r="D284"/>
  <c r="C284" s="1"/>
  <c r="D283"/>
  <c r="C283" s="1"/>
  <c r="D282"/>
  <c r="R658" i="5"/>
  <c r="R657"/>
  <c r="R280"/>
  <c r="R279"/>
  <c r="R278"/>
  <c r="D427" i="6" l="1"/>
  <c r="C1510"/>
  <c r="C1509" s="1"/>
  <c r="D1509"/>
  <c r="C928"/>
  <c r="C927" s="1"/>
  <c r="D927"/>
  <c r="C655"/>
  <c r="C654" s="1"/>
  <c r="D654"/>
  <c r="C282"/>
  <c r="C281" s="1"/>
  <c r="D281"/>
  <c r="C198"/>
  <c r="D198"/>
  <c r="D242" l="1"/>
  <c r="C242" s="1"/>
  <c r="D243"/>
  <c r="C243" s="1"/>
  <c r="D244"/>
  <c r="C244" s="1"/>
  <c r="D245"/>
  <c r="C245" s="1"/>
  <c r="D241"/>
  <c r="C241" s="1"/>
  <c r="E240"/>
  <c r="F240"/>
  <c r="G240"/>
  <c r="H240"/>
  <c r="I240"/>
  <c r="J240"/>
  <c r="K240"/>
  <c r="L240"/>
  <c r="M240"/>
  <c r="N240"/>
  <c r="O240"/>
  <c r="P240"/>
  <c r="Q240"/>
  <c r="R240"/>
  <c r="S240"/>
  <c r="T240"/>
  <c r="U240"/>
  <c r="V240"/>
  <c r="X240"/>
  <c r="Y240"/>
  <c r="I240" i="5"/>
  <c r="J240"/>
  <c r="K240"/>
  <c r="D39" i="7" s="1"/>
  <c r="L240" i="5"/>
  <c r="F39" i="7" s="1"/>
  <c r="M240" i="5"/>
  <c r="N240"/>
  <c r="O240"/>
  <c r="P240"/>
  <c r="Q240"/>
  <c r="H240"/>
  <c r="C39" i="7" s="1"/>
  <c r="R242" i="5"/>
  <c r="R243"/>
  <c r="R244"/>
  <c r="R245"/>
  <c r="R241"/>
  <c r="E130" i="7"/>
  <c r="C930" i="6"/>
  <c r="E930"/>
  <c r="F930"/>
  <c r="G930"/>
  <c r="H930"/>
  <c r="I930"/>
  <c r="J930"/>
  <c r="K930"/>
  <c r="L930"/>
  <c r="M930"/>
  <c r="N930"/>
  <c r="O930"/>
  <c r="P930"/>
  <c r="Q930"/>
  <c r="R930"/>
  <c r="S930"/>
  <c r="T930"/>
  <c r="U930"/>
  <c r="V930"/>
  <c r="X930"/>
  <c r="Y930"/>
  <c r="E661"/>
  <c r="F661"/>
  <c r="G661"/>
  <c r="H661"/>
  <c r="I661"/>
  <c r="J661"/>
  <c r="K661"/>
  <c r="L661"/>
  <c r="M661"/>
  <c r="N661"/>
  <c r="O661"/>
  <c r="P661"/>
  <c r="Q661"/>
  <c r="R661"/>
  <c r="S661"/>
  <c r="T661"/>
  <c r="U661"/>
  <c r="V661"/>
  <c r="X661"/>
  <c r="Y661"/>
  <c r="E292"/>
  <c r="F292"/>
  <c r="G292"/>
  <c r="H292"/>
  <c r="I292"/>
  <c r="J292"/>
  <c r="K292"/>
  <c r="L292"/>
  <c r="M292"/>
  <c r="N292"/>
  <c r="O292"/>
  <c r="P292"/>
  <c r="Q292"/>
  <c r="R292"/>
  <c r="S292"/>
  <c r="T292"/>
  <c r="U292"/>
  <c r="V292"/>
  <c r="X292"/>
  <c r="Y292"/>
  <c r="J1547" i="5"/>
  <c r="K1547"/>
  <c r="M1547"/>
  <c r="N1547"/>
  <c r="O1547"/>
  <c r="Q1547"/>
  <c r="H1547"/>
  <c r="I663"/>
  <c r="J663"/>
  <c r="K663"/>
  <c r="D131" i="7" s="1"/>
  <c r="L663" i="5"/>
  <c r="F131" i="7" s="1"/>
  <c r="M663" i="5"/>
  <c r="N663"/>
  <c r="O663"/>
  <c r="P663"/>
  <c r="Q663"/>
  <c r="H663"/>
  <c r="C131" i="7" s="1"/>
  <c r="I288" i="5"/>
  <c r="J288"/>
  <c r="K288"/>
  <c r="D55" i="7" s="1"/>
  <c r="L288" i="5"/>
  <c r="F55" i="7" s="1"/>
  <c r="M288" i="5"/>
  <c r="N288"/>
  <c r="P288"/>
  <c r="Q288"/>
  <c r="H288"/>
  <c r="C55" i="7" s="1"/>
  <c r="C1520" i="6" l="1"/>
  <c r="D1520"/>
  <c r="I1547" i="5"/>
  <c r="C269" i="7"/>
  <c r="C268" s="1"/>
  <c r="D269"/>
  <c r="D268" s="1"/>
  <c r="C292" i="6"/>
  <c r="D661"/>
  <c r="C661"/>
  <c r="D930"/>
  <c r="D240"/>
  <c r="C240"/>
  <c r="D292"/>
  <c r="O288" i="5"/>
  <c r="D1396" i="6" l="1"/>
  <c r="D1398"/>
  <c r="C1398" s="1"/>
  <c r="D1397"/>
  <c r="C1397" s="1"/>
  <c r="D587"/>
  <c r="C587" s="1"/>
  <c r="D586"/>
  <c r="D187"/>
  <c r="C187" s="1"/>
  <c r="D186"/>
  <c r="L874" i="5"/>
  <c r="R591"/>
  <c r="R590"/>
  <c r="L186"/>
  <c r="L185" s="1"/>
  <c r="F21" i="7" s="1"/>
  <c r="R187" i="5"/>
  <c r="R186"/>
  <c r="E210" i="7"/>
  <c r="E143"/>
  <c r="E75"/>
  <c r="F988" i="6"/>
  <c r="K988"/>
  <c r="L988"/>
  <c r="M988"/>
  <c r="N988"/>
  <c r="O988"/>
  <c r="P988"/>
  <c r="Q988"/>
  <c r="R988"/>
  <c r="S988"/>
  <c r="T988"/>
  <c r="U988"/>
  <c r="V988"/>
  <c r="X988"/>
  <c r="Y988"/>
  <c r="E720"/>
  <c r="F720"/>
  <c r="F719" s="1"/>
  <c r="G720"/>
  <c r="G719" s="1"/>
  <c r="H720"/>
  <c r="H719" s="1"/>
  <c r="I720"/>
  <c r="I719" s="1"/>
  <c r="J720"/>
  <c r="J719" s="1"/>
  <c r="K720"/>
  <c r="K719" s="1"/>
  <c r="L720"/>
  <c r="L719" s="1"/>
  <c r="M720"/>
  <c r="M719" s="1"/>
  <c r="N720"/>
  <c r="N719" s="1"/>
  <c r="O720"/>
  <c r="O719" s="1"/>
  <c r="P720"/>
  <c r="P719" s="1"/>
  <c r="Q720"/>
  <c r="Q719" s="1"/>
  <c r="R720"/>
  <c r="R719" s="1"/>
  <c r="S720"/>
  <c r="S719" s="1"/>
  <c r="T720"/>
  <c r="T719" s="1"/>
  <c r="U720"/>
  <c r="U719" s="1"/>
  <c r="V720"/>
  <c r="V719" s="1"/>
  <c r="X720"/>
  <c r="X719" s="1"/>
  <c r="Y720"/>
  <c r="Y719" s="1"/>
  <c r="D721"/>
  <c r="C721" s="1"/>
  <c r="C720" s="1"/>
  <c r="C719" s="1"/>
  <c r="E409"/>
  <c r="F409"/>
  <c r="F408" s="1"/>
  <c r="G409"/>
  <c r="G408" s="1"/>
  <c r="H409"/>
  <c r="H408" s="1"/>
  <c r="I409"/>
  <c r="I408" s="1"/>
  <c r="J409"/>
  <c r="J408" s="1"/>
  <c r="K409"/>
  <c r="K408" s="1"/>
  <c r="L409"/>
  <c r="L408" s="1"/>
  <c r="M409"/>
  <c r="M408" s="1"/>
  <c r="N409"/>
  <c r="N408" s="1"/>
  <c r="O409"/>
  <c r="O408" s="1"/>
  <c r="P409"/>
  <c r="Q409"/>
  <c r="Q408" s="1"/>
  <c r="R409"/>
  <c r="R408" s="1"/>
  <c r="S409"/>
  <c r="S408" s="1"/>
  <c r="T409"/>
  <c r="T408" s="1"/>
  <c r="U409"/>
  <c r="U408" s="1"/>
  <c r="V409"/>
  <c r="V408" s="1"/>
  <c r="X409"/>
  <c r="X408" s="1"/>
  <c r="Y409"/>
  <c r="Y408" s="1"/>
  <c r="D410"/>
  <c r="C410" s="1"/>
  <c r="D411"/>
  <c r="C411" s="1"/>
  <c r="F211" i="7"/>
  <c r="F210" s="1"/>
  <c r="I710" i="5"/>
  <c r="J710"/>
  <c r="J709" s="1"/>
  <c r="K710"/>
  <c r="K709" s="1"/>
  <c r="D144" i="7" s="1"/>
  <c r="D143" s="1"/>
  <c r="L710" i="5"/>
  <c r="L709" s="1"/>
  <c r="M710"/>
  <c r="M709" s="1"/>
  <c r="N710"/>
  <c r="N709" s="1"/>
  <c r="O710"/>
  <c r="O709" s="1"/>
  <c r="P710"/>
  <c r="P709" s="1"/>
  <c r="Q710"/>
  <c r="Q709" s="1"/>
  <c r="H710"/>
  <c r="H709" s="1"/>
  <c r="R711"/>
  <c r="I376"/>
  <c r="J376"/>
  <c r="J375" s="1"/>
  <c r="K376"/>
  <c r="K375" s="1"/>
  <c r="L376"/>
  <c r="L375" s="1"/>
  <c r="M376"/>
  <c r="M375" s="1"/>
  <c r="N376"/>
  <c r="N375" s="1"/>
  <c r="O376"/>
  <c r="O375" s="1"/>
  <c r="P376"/>
  <c r="P375" s="1"/>
  <c r="Q376"/>
  <c r="Q375" s="1"/>
  <c r="H376"/>
  <c r="H375" s="1"/>
  <c r="R378"/>
  <c r="R377"/>
  <c r="F168" i="7" l="1"/>
  <c r="P408" i="6"/>
  <c r="E719"/>
  <c r="E408"/>
  <c r="I709" i="5"/>
  <c r="I375"/>
  <c r="C1396" i="6"/>
  <c r="C1392" s="1"/>
  <c r="D1392"/>
  <c r="C586"/>
  <c r="C585" s="1"/>
  <c r="D585"/>
  <c r="C186"/>
  <c r="C185" s="1"/>
  <c r="D185"/>
  <c r="D76" i="7"/>
  <c r="D75" s="1"/>
  <c r="C76"/>
  <c r="C75" s="1"/>
  <c r="F76"/>
  <c r="F75" s="1"/>
  <c r="C144"/>
  <c r="C143" s="1"/>
  <c r="F144"/>
  <c r="F143" s="1"/>
  <c r="C409" i="6"/>
  <c r="C408" s="1"/>
  <c r="D409"/>
  <c r="D408" s="1"/>
  <c r="D720"/>
  <c r="D719" s="1"/>
  <c r="E666"/>
  <c r="F666"/>
  <c r="G666"/>
  <c r="H666"/>
  <c r="I666"/>
  <c r="J666"/>
  <c r="K666"/>
  <c r="K660" s="1"/>
  <c r="L666"/>
  <c r="L660" s="1"/>
  <c r="M666"/>
  <c r="N666"/>
  <c r="O666"/>
  <c r="P666"/>
  <c r="Q666"/>
  <c r="R666"/>
  <c r="S666"/>
  <c r="T666"/>
  <c r="U666"/>
  <c r="V666"/>
  <c r="X666"/>
  <c r="Y666"/>
  <c r="D667"/>
  <c r="C667" s="1"/>
  <c r="C666" s="1"/>
  <c r="E310"/>
  <c r="F310"/>
  <c r="G310"/>
  <c r="H310"/>
  <c r="I310"/>
  <c r="J310"/>
  <c r="K310"/>
  <c r="K291" s="1"/>
  <c r="L310"/>
  <c r="L291" s="1"/>
  <c r="M310"/>
  <c r="N310"/>
  <c r="O310"/>
  <c r="P310"/>
  <c r="Q310"/>
  <c r="R310"/>
  <c r="S310"/>
  <c r="T310"/>
  <c r="U310"/>
  <c r="V310"/>
  <c r="X310"/>
  <c r="X291" s="1"/>
  <c r="Y310"/>
  <c r="Y291" s="1"/>
  <c r="D312"/>
  <c r="C312" s="1"/>
  <c r="D311"/>
  <c r="C311" s="1"/>
  <c r="D198" i="7"/>
  <c r="F198"/>
  <c r="C198"/>
  <c r="K929" i="6"/>
  <c r="L929"/>
  <c r="M929"/>
  <c r="I668" i="5"/>
  <c r="J668"/>
  <c r="K668"/>
  <c r="D133" i="7" s="1"/>
  <c r="L668" i="5"/>
  <c r="F133" i="7" s="1"/>
  <c r="M668" i="5"/>
  <c r="N668"/>
  <c r="O668"/>
  <c r="P668"/>
  <c r="Q668"/>
  <c r="H668"/>
  <c r="C133" i="7" s="1"/>
  <c r="R669" i="5"/>
  <c r="I306"/>
  <c r="J306"/>
  <c r="K306"/>
  <c r="D57" i="7" s="1"/>
  <c r="L306" i="5"/>
  <c r="F57" i="7" s="1"/>
  <c r="M306" i="5"/>
  <c r="N306"/>
  <c r="O306"/>
  <c r="P306"/>
  <c r="Q306"/>
  <c r="H306"/>
  <c r="C57" i="7" s="1"/>
  <c r="R308" i="5"/>
  <c r="R307"/>
  <c r="E103" i="7"/>
  <c r="E22"/>
  <c r="D857" i="6"/>
  <c r="C857" s="1"/>
  <c r="E856"/>
  <c r="F856"/>
  <c r="G856"/>
  <c r="H856"/>
  <c r="I856"/>
  <c r="J856"/>
  <c r="K856"/>
  <c r="L856"/>
  <c r="M856"/>
  <c r="N856"/>
  <c r="O856"/>
  <c r="P856"/>
  <c r="Q856"/>
  <c r="R856"/>
  <c r="S856"/>
  <c r="T856"/>
  <c r="U856"/>
  <c r="V856"/>
  <c r="X856"/>
  <c r="Y856"/>
  <c r="E589"/>
  <c r="F589"/>
  <c r="F588" s="1"/>
  <c r="G589"/>
  <c r="G588" s="1"/>
  <c r="H589"/>
  <c r="H588" s="1"/>
  <c r="I589"/>
  <c r="I588" s="1"/>
  <c r="J589"/>
  <c r="J588" s="1"/>
  <c r="K589"/>
  <c r="K588" s="1"/>
  <c r="L589"/>
  <c r="L588" s="1"/>
  <c r="M589"/>
  <c r="M588" s="1"/>
  <c r="N589"/>
  <c r="N588" s="1"/>
  <c r="O589"/>
  <c r="O588" s="1"/>
  <c r="P589"/>
  <c r="Q589"/>
  <c r="Q588" s="1"/>
  <c r="R589"/>
  <c r="R588" s="1"/>
  <c r="S589"/>
  <c r="S588" s="1"/>
  <c r="T589"/>
  <c r="T588" s="1"/>
  <c r="U589"/>
  <c r="U588" s="1"/>
  <c r="V589"/>
  <c r="V588" s="1"/>
  <c r="X589"/>
  <c r="X588" s="1"/>
  <c r="Y589"/>
  <c r="Y588" s="1"/>
  <c r="D590"/>
  <c r="C590" s="1"/>
  <c r="C589" s="1"/>
  <c r="C588" s="1"/>
  <c r="E189"/>
  <c r="E188" s="1"/>
  <c r="F189"/>
  <c r="F188" s="1"/>
  <c r="G189"/>
  <c r="G188" s="1"/>
  <c r="H189"/>
  <c r="H188" s="1"/>
  <c r="I189"/>
  <c r="I188" s="1"/>
  <c r="J189"/>
  <c r="J188" s="1"/>
  <c r="K189"/>
  <c r="K188" s="1"/>
  <c r="L189"/>
  <c r="L188" s="1"/>
  <c r="M189"/>
  <c r="M188" s="1"/>
  <c r="N189"/>
  <c r="N188" s="1"/>
  <c r="O189"/>
  <c r="O188" s="1"/>
  <c r="P189"/>
  <c r="Q189"/>
  <c r="Q188" s="1"/>
  <c r="R189"/>
  <c r="R188" s="1"/>
  <c r="S189"/>
  <c r="S188" s="1"/>
  <c r="T189"/>
  <c r="T188" s="1"/>
  <c r="U189"/>
  <c r="U188" s="1"/>
  <c r="V189"/>
  <c r="V188" s="1"/>
  <c r="X189"/>
  <c r="X188" s="1"/>
  <c r="Y189"/>
  <c r="Y188" s="1"/>
  <c r="D190"/>
  <c r="C190" s="1"/>
  <c r="C189" s="1"/>
  <c r="C188" s="1"/>
  <c r="I878" i="5"/>
  <c r="J878"/>
  <c r="K878"/>
  <c r="D170" i="7" s="1"/>
  <c r="L878" i="5"/>
  <c r="F170" i="7" s="1"/>
  <c r="M878" i="5"/>
  <c r="N878"/>
  <c r="O878"/>
  <c r="P878"/>
  <c r="Q878"/>
  <c r="H878"/>
  <c r="C170" i="7" s="1"/>
  <c r="I593" i="5"/>
  <c r="J593"/>
  <c r="J592" s="1"/>
  <c r="K593"/>
  <c r="K592" s="1"/>
  <c r="L593"/>
  <c r="L592" s="1"/>
  <c r="M593"/>
  <c r="M592" s="1"/>
  <c r="N593"/>
  <c r="N592" s="1"/>
  <c r="O593"/>
  <c r="O592" s="1"/>
  <c r="P593"/>
  <c r="P592" s="1"/>
  <c r="Q593"/>
  <c r="Q592" s="1"/>
  <c r="H593"/>
  <c r="H592" s="1"/>
  <c r="R594"/>
  <c r="I189"/>
  <c r="J189"/>
  <c r="J188" s="1"/>
  <c r="K189"/>
  <c r="K188" s="1"/>
  <c r="L189"/>
  <c r="L188" s="1"/>
  <c r="M189"/>
  <c r="M188" s="1"/>
  <c r="N189"/>
  <c r="N188" s="1"/>
  <c r="O189"/>
  <c r="O188" s="1"/>
  <c r="P189"/>
  <c r="P188" s="1"/>
  <c r="Q189"/>
  <c r="Q188" s="1"/>
  <c r="H189"/>
  <c r="H188" s="1"/>
  <c r="R190"/>
  <c r="E148" i="7"/>
  <c r="D732" i="6"/>
  <c r="E732"/>
  <c r="F732"/>
  <c r="G732"/>
  <c r="H732"/>
  <c r="I732"/>
  <c r="J732"/>
  <c r="K732"/>
  <c r="L732"/>
  <c r="M732"/>
  <c r="N732"/>
  <c r="O732"/>
  <c r="P732"/>
  <c r="Q732"/>
  <c r="R732"/>
  <c r="S732"/>
  <c r="T732"/>
  <c r="U732"/>
  <c r="V732"/>
  <c r="X732"/>
  <c r="Y732"/>
  <c r="D1004"/>
  <c r="F1004"/>
  <c r="G1004"/>
  <c r="H1004"/>
  <c r="I1004"/>
  <c r="J1004"/>
  <c r="K1004"/>
  <c r="L1004"/>
  <c r="M1004"/>
  <c r="N1004"/>
  <c r="O1004"/>
  <c r="Q1004"/>
  <c r="R1004"/>
  <c r="S1004"/>
  <c r="T1004"/>
  <c r="U1004"/>
  <c r="V1004"/>
  <c r="X1004"/>
  <c r="Y1004"/>
  <c r="D418"/>
  <c r="C418" s="1"/>
  <c r="K417"/>
  <c r="L417"/>
  <c r="M417"/>
  <c r="O417"/>
  <c r="P417"/>
  <c r="Q417"/>
  <c r="S417"/>
  <c r="U417"/>
  <c r="X417"/>
  <c r="Y417"/>
  <c r="I1012" i="5"/>
  <c r="J1012"/>
  <c r="M1012"/>
  <c r="N1012"/>
  <c r="O1012"/>
  <c r="P1012"/>
  <c r="Q1012"/>
  <c r="I713"/>
  <c r="I712" s="1"/>
  <c r="J713"/>
  <c r="J712" s="1"/>
  <c r="K713"/>
  <c r="D149" i="7" s="1"/>
  <c r="D148" s="1"/>
  <c r="L713" i="5"/>
  <c r="F149" i="7" s="1"/>
  <c r="F148" s="1"/>
  <c r="M713" i="5"/>
  <c r="M712" s="1"/>
  <c r="N713"/>
  <c r="N712" s="1"/>
  <c r="O713"/>
  <c r="P713"/>
  <c r="Q713"/>
  <c r="Q712" s="1"/>
  <c r="H713"/>
  <c r="C149" i="7" s="1"/>
  <c r="C148" s="1"/>
  <c r="R714" i="5"/>
  <c r="P712"/>
  <c r="O712"/>
  <c r="L712"/>
  <c r="K712"/>
  <c r="R397"/>
  <c r="I396"/>
  <c r="J396"/>
  <c r="K396"/>
  <c r="L396"/>
  <c r="M396"/>
  <c r="N396"/>
  <c r="O396"/>
  <c r="Q396"/>
  <c r="H396"/>
  <c r="E626" i="6"/>
  <c r="E623" s="1"/>
  <c r="F626"/>
  <c r="F623" s="1"/>
  <c r="G626"/>
  <c r="G623" s="1"/>
  <c r="H626"/>
  <c r="H623" s="1"/>
  <c r="I626"/>
  <c r="I623" s="1"/>
  <c r="J626"/>
  <c r="J623" s="1"/>
  <c r="K626"/>
  <c r="K623" s="1"/>
  <c r="L626"/>
  <c r="L623" s="1"/>
  <c r="M626"/>
  <c r="M623" s="1"/>
  <c r="N626"/>
  <c r="N623" s="1"/>
  <c r="O626"/>
  <c r="O623" s="1"/>
  <c r="P626"/>
  <c r="P623" s="1"/>
  <c r="Q626"/>
  <c r="Q623" s="1"/>
  <c r="R626"/>
  <c r="R623" s="1"/>
  <c r="S626"/>
  <c r="S623" s="1"/>
  <c r="T626"/>
  <c r="T623" s="1"/>
  <c r="U626"/>
  <c r="U623" s="1"/>
  <c r="V626"/>
  <c r="V623" s="1"/>
  <c r="Y626"/>
  <c r="Y623" s="1"/>
  <c r="D626"/>
  <c r="D623" s="1"/>
  <c r="E246"/>
  <c r="E239" s="1"/>
  <c r="F246"/>
  <c r="F239" s="1"/>
  <c r="G246"/>
  <c r="G239" s="1"/>
  <c r="H246"/>
  <c r="H239" s="1"/>
  <c r="I246"/>
  <c r="I239" s="1"/>
  <c r="J246"/>
  <c r="J239" s="1"/>
  <c r="K246"/>
  <c r="K239" s="1"/>
  <c r="L246"/>
  <c r="L239" s="1"/>
  <c r="M246"/>
  <c r="M239" s="1"/>
  <c r="N246"/>
  <c r="N239" s="1"/>
  <c r="O246"/>
  <c r="O239" s="1"/>
  <c r="Q246"/>
  <c r="Q239" s="1"/>
  <c r="R246"/>
  <c r="R239" s="1"/>
  <c r="S246"/>
  <c r="S239" s="1"/>
  <c r="T246"/>
  <c r="T239" s="1"/>
  <c r="U246"/>
  <c r="U239" s="1"/>
  <c r="V246"/>
  <c r="V239" s="1"/>
  <c r="Y246"/>
  <c r="Y239" s="1"/>
  <c r="P246"/>
  <c r="P239" s="1"/>
  <c r="X246"/>
  <c r="X239" s="1"/>
  <c r="I630" i="5"/>
  <c r="I627" s="1"/>
  <c r="J630"/>
  <c r="J627" s="1"/>
  <c r="K630"/>
  <c r="K627" s="1"/>
  <c r="L630"/>
  <c r="L627" s="1"/>
  <c r="M630"/>
  <c r="M627" s="1"/>
  <c r="N630"/>
  <c r="N627" s="1"/>
  <c r="O630"/>
  <c r="O627" s="1"/>
  <c r="P630"/>
  <c r="P627" s="1"/>
  <c r="Q630"/>
  <c r="Q627" s="1"/>
  <c r="H630"/>
  <c r="H627" s="1"/>
  <c r="I246"/>
  <c r="I239" s="1"/>
  <c r="K246"/>
  <c r="K239" s="1"/>
  <c r="L246"/>
  <c r="L239" s="1"/>
  <c r="M246"/>
  <c r="M239" s="1"/>
  <c r="N246"/>
  <c r="N239" s="1"/>
  <c r="O246"/>
  <c r="O239" s="1"/>
  <c r="P246"/>
  <c r="P239" s="1"/>
  <c r="Q246"/>
  <c r="Q239" s="1"/>
  <c r="H246"/>
  <c r="H239" s="1"/>
  <c r="J249"/>
  <c r="J248"/>
  <c r="J247"/>
  <c r="D1406" i="6"/>
  <c r="C1406" s="1"/>
  <c r="D1407"/>
  <c r="C1407" s="1"/>
  <c r="D1408"/>
  <c r="C1408" s="1"/>
  <c r="D1409"/>
  <c r="C1409" s="1"/>
  <c r="D1410"/>
  <c r="C1410" s="1"/>
  <c r="D1411"/>
  <c r="C1411" s="1"/>
  <c r="D1412"/>
  <c r="C1412" s="1"/>
  <c r="D1413"/>
  <c r="C1413" s="1"/>
  <c r="D1405"/>
  <c r="D593"/>
  <c r="C593" s="1"/>
  <c r="D592"/>
  <c r="D860"/>
  <c r="D194"/>
  <c r="C194" s="1"/>
  <c r="D193"/>
  <c r="C193" s="1"/>
  <c r="D192"/>
  <c r="R1441" i="5"/>
  <c r="R1440"/>
  <c r="R1439"/>
  <c r="R1438"/>
  <c r="R1437"/>
  <c r="O1437"/>
  <c r="R1436"/>
  <c r="R1435"/>
  <c r="R1434"/>
  <c r="R1433"/>
  <c r="H712" l="1"/>
  <c r="D191" i="6"/>
  <c r="C860"/>
  <c r="D858"/>
  <c r="C1405"/>
  <c r="C1404" s="1"/>
  <c r="D1404"/>
  <c r="C592"/>
  <c r="C591" s="1"/>
  <c r="D591"/>
  <c r="C192"/>
  <c r="C191" s="1"/>
  <c r="O1432" i="5"/>
  <c r="P1004" i="6"/>
  <c r="P188"/>
  <c r="E588"/>
  <c r="E1004"/>
  <c r="P588"/>
  <c r="I592" i="5"/>
  <c r="I188"/>
  <c r="D218" i="7"/>
  <c r="D217" s="1"/>
  <c r="K1012" i="5"/>
  <c r="F218" i="7"/>
  <c r="F217" s="1"/>
  <c r="L1012" i="5"/>
  <c r="C218" i="7"/>
  <c r="C217" s="1"/>
  <c r="H1012" i="5"/>
  <c r="C119" i="7"/>
  <c r="C117" s="1"/>
  <c r="F119"/>
  <c r="F117" s="1"/>
  <c r="D119"/>
  <c r="D117" s="1"/>
  <c r="D666" i="6"/>
  <c r="C310"/>
  <c r="D310"/>
  <c r="D23" i="7"/>
  <c r="D22" s="1"/>
  <c r="D104"/>
  <c r="D103" s="1"/>
  <c r="C23"/>
  <c r="C22" s="1"/>
  <c r="F23"/>
  <c r="F22" s="1"/>
  <c r="C104"/>
  <c r="C103" s="1"/>
  <c r="F104"/>
  <c r="F103" s="1"/>
  <c r="D856" i="6"/>
  <c r="D189"/>
  <c r="D188" s="1"/>
  <c r="D589"/>
  <c r="D588" s="1"/>
  <c r="J246" i="5"/>
  <c r="J239" s="1"/>
  <c r="D40" i="7"/>
  <c r="D38" s="1"/>
  <c r="C246" i="6"/>
  <c r="C239" s="1"/>
  <c r="C626"/>
  <c r="C623" s="1"/>
  <c r="X626"/>
  <c r="X623" s="1"/>
  <c r="C40" i="7"/>
  <c r="C38" s="1"/>
  <c r="F40"/>
  <c r="F38" s="1"/>
  <c r="D246" i="6"/>
  <c r="D239" s="1"/>
  <c r="R599" i="5"/>
  <c r="R598"/>
  <c r="R882"/>
  <c r="R194"/>
  <c r="R193"/>
  <c r="R192"/>
  <c r="E139" i="7"/>
  <c r="E710" i="6"/>
  <c r="E709" s="1"/>
  <c r="F710"/>
  <c r="F709" s="1"/>
  <c r="G710"/>
  <c r="G709" s="1"/>
  <c r="H710"/>
  <c r="H709" s="1"/>
  <c r="I710"/>
  <c r="I709" s="1"/>
  <c r="J710"/>
  <c r="J709" s="1"/>
  <c r="K710"/>
  <c r="K709" s="1"/>
  <c r="L710"/>
  <c r="L709" s="1"/>
  <c r="M710"/>
  <c r="M709" s="1"/>
  <c r="N710"/>
  <c r="N709" s="1"/>
  <c r="O710"/>
  <c r="O709" s="1"/>
  <c r="P710"/>
  <c r="P709" s="1"/>
  <c r="Q710"/>
  <c r="Q709" s="1"/>
  <c r="R710"/>
  <c r="R709" s="1"/>
  <c r="S710"/>
  <c r="S709" s="1"/>
  <c r="T710"/>
  <c r="T709" s="1"/>
  <c r="U710"/>
  <c r="U709" s="1"/>
  <c r="V710"/>
  <c r="V709" s="1"/>
  <c r="X710"/>
  <c r="X709" s="1"/>
  <c r="Y710"/>
  <c r="Y709" s="1"/>
  <c r="D711"/>
  <c r="C711" s="1"/>
  <c r="C710" s="1"/>
  <c r="C709" s="1"/>
  <c r="I691" i="5"/>
  <c r="J691"/>
  <c r="J690" s="1"/>
  <c r="K691"/>
  <c r="K690" s="1"/>
  <c r="L691"/>
  <c r="F140" i="7" s="1"/>
  <c r="F139" s="1"/>
  <c r="M691" i="5"/>
  <c r="M690" s="1"/>
  <c r="N691"/>
  <c r="N690" s="1"/>
  <c r="O691"/>
  <c r="O690" s="1"/>
  <c r="P691"/>
  <c r="P690" s="1"/>
  <c r="Q691"/>
  <c r="Q690" s="1"/>
  <c r="H691"/>
  <c r="C140" i="7" s="1"/>
  <c r="C139" s="1"/>
  <c r="R692" i="5"/>
  <c r="E231" i="7"/>
  <c r="E223" s="1"/>
  <c r="E97"/>
  <c r="E15"/>
  <c r="D1360" i="6"/>
  <c r="C1360" s="1"/>
  <c r="D1361"/>
  <c r="C1361" s="1"/>
  <c r="D1362"/>
  <c r="C1362" s="1"/>
  <c r="D1363"/>
  <c r="C1363" s="1"/>
  <c r="D1364"/>
  <c r="C1364" s="1"/>
  <c r="D1365"/>
  <c r="C1365" s="1"/>
  <c r="D1366"/>
  <c r="C1366" s="1"/>
  <c r="D1359"/>
  <c r="D570"/>
  <c r="D571"/>
  <c r="D572"/>
  <c r="D573"/>
  <c r="D574"/>
  <c r="D569"/>
  <c r="C570"/>
  <c r="C571"/>
  <c r="C572"/>
  <c r="C573"/>
  <c r="C574"/>
  <c r="F567"/>
  <c r="G567"/>
  <c r="H567"/>
  <c r="I567"/>
  <c r="J567"/>
  <c r="K567"/>
  <c r="L567"/>
  <c r="M567"/>
  <c r="N567"/>
  <c r="O567"/>
  <c r="Q567"/>
  <c r="R567"/>
  <c r="S567"/>
  <c r="U567"/>
  <c r="V567"/>
  <c r="X567"/>
  <c r="Y567"/>
  <c r="D151"/>
  <c r="C151" s="1"/>
  <c r="D152"/>
  <c r="C152" s="1"/>
  <c r="D153"/>
  <c r="C153" s="1"/>
  <c r="D154"/>
  <c r="C154" s="1"/>
  <c r="D155"/>
  <c r="C155" s="1"/>
  <c r="D156"/>
  <c r="C156" s="1"/>
  <c r="D157"/>
  <c r="C157" s="1"/>
  <c r="D158"/>
  <c r="C158" s="1"/>
  <c r="D159"/>
  <c r="C159" s="1"/>
  <c r="D160"/>
  <c r="C160" s="1"/>
  <c r="D161"/>
  <c r="C161" s="1"/>
  <c r="D162"/>
  <c r="C162" s="1"/>
  <c r="D163"/>
  <c r="C163" s="1"/>
  <c r="D164"/>
  <c r="C164" s="1"/>
  <c r="D165"/>
  <c r="C165" s="1"/>
  <c r="D166"/>
  <c r="C166" s="1"/>
  <c r="D167"/>
  <c r="C167" s="1"/>
  <c r="D168"/>
  <c r="C168" s="1"/>
  <c r="D232" i="7"/>
  <c r="D231" s="1"/>
  <c r="F232"/>
  <c r="F231" s="1"/>
  <c r="C232"/>
  <c r="C231" s="1"/>
  <c r="R1394" i="5"/>
  <c r="R1393"/>
  <c r="J1393"/>
  <c r="R1392"/>
  <c r="J1392"/>
  <c r="R1391"/>
  <c r="J1391"/>
  <c r="R1390"/>
  <c r="J1390"/>
  <c r="R1389"/>
  <c r="J1389"/>
  <c r="R1388"/>
  <c r="J1388"/>
  <c r="R1387"/>
  <c r="J1387"/>
  <c r="J1386" s="1"/>
  <c r="D163" i="7"/>
  <c r="D162" s="1"/>
  <c r="F163"/>
  <c r="F162" s="1"/>
  <c r="C163"/>
  <c r="C162" s="1"/>
  <c r="J571" i="5"/>
  <c r="K571"/>
  <c r="L571"/>
  <c r="M571"/>
  <c r="M547" s="1"/>
  <c r="N571"/>
  <c r="N547" s="1"/>
  <c r="O571"/>
  <c r="P571"/>
  <c r="Q571"/>
  <c r="H571"/>
  <c r="R578"/>
  <c r="R577"/>
  <c r="R576"/>
  <c r="R575"/>
  <c r="R574"/>
  <c r="R573"/>
  <c r="I149"/>
  <c r="K149"/>
  <c r="L149"/>
  <c r="M149"/>
  <c r="M131" s="1"/>
  <c r="N149"/>
  <c r="N131" s="1"/>
  <c r="O149"/>
  <c r="P149"/>
  <c r="Q149"/>
  <c r="H149"/>
  <c r="R168"/>
  <c r="R167"/>
  <c r="R166"/>
  <c r="R165"/>
  <c r="J165"/>
  <c r="R164"/>
  <c r="J164"/>
  <c r="R163"/>
  <c r="R162"/>
  <c r="J162"/>
  <c r="R161"/>
  <c r="R160"/>
  <c r="R159"/>
  <c r="R157"/>
  <c r="R156"/>
  <c r="J156"/>
  <c r="R155"/>
  <c r="J155"/>
  <c r="R154"/>
  <c r="J154"/>
  <c r="R153"/>
  <c r="R152"/>
  <c r="R151"/>
  <c r="E606" i="6"/>
  <c r="F606"/>
  <c r="G606"/>
  <c r="H606"/>
  <c r="I606"/>
  <c r="J606"/>
  <c r="K606"/>
  <c r="K596" s="1"/>
  <c r="L606"/>
  <c r="L596" s="1"/>
  <c r="M606"/>
  <c r="N606"/>
  <c r="O606"/>
  <c r="P606"/>
  <c r="Q606"/>
  <c r="R606"/>
  <c r="S606"/>
  <c r="T606"/>
  <c r="U606"/>
  <c r="V606"/>
  <c r="X606"/>
  <c r="Y606"/>
  <c r="D607"/>
  <c r="C607" s="1"/>
  <c r="C606" s="1"/>
  <c r="D212"/>
  <c r="C212" s="1"/>
  <c r="D211"/>
  <c r="D210"/>
  <c r="C210" s="1"/>
  <c r="C211"/>
  <c r="E209"/>
  <c r="F209"/>
  <c r="G209"/>
  <c r="H209"/>
  <c r="I209"/>
  <c r="J209"/>
  <c r="K209"/>
  <c r="L209"/>
  <c r="M209"/>
  <c r="N209"/>
  <c r="O209"/>
  <c r="P209"/>
  <c r="Q209"/>
  <c r="R209"/>
  <c r="S209"/>
  <c r="T209"/>
  <c r="U209"/>
  <c r="V209"/>
  <c r="X209"/>
  <c r="Y209"/>
  <c r="I610" i="5"/>
  <c r="J610"/>
  <c r="K610"/>
  <c r="D112" i="7" s="1"/>
  <c r="L610" i="5"/>
  <c r="F112" i="7" s="1"/>
  <c r="M610" i="5"/>
  <c r="N610"/>
  <c r="O610"/>
  <c r="P610"/>
  <c r="Q610"/>
  <c r="H610"/>
  <c r="C112" i="7" s="1"/>
  <c r="R611" i="5"/>
  <c r="I209"/>
  <c r="J209"/>
  <c r="K209"/>
  <c r="D31" i="7" s="1"/>
  <c r="L209" i="5"/>
  <c r="F31" i="7" s="1"/>
  <c r="M209" i="5"/>
  <c r="N209"/>
  <c r="Q209"/>
  <c r="H209"/>
  <c r="C31" i="7" s="1"/>
  <c r="O211" i="5"/>
  <c r="O212"/>
  <c r="R211"/>
  <c r="R212"/>
  <c r="R210"/>
  <c r="P210"/>
  <c r="P209" s="1"/>
  <c r="O210"/>
  <c r="R364"/>
  <c r="P364"/>
  <c r="Q363"/>
  <c r="Q340" s="1"/>
  <c r="O363"/>
  <c r="O340" s="1"/>
  <c r="N363"/>
  <c r="N340" s="1"/>
  <c r="M363"/>
  <c r="M340" s="1"/>
  <c r="L363"/>
  <c r="L340" s="1"/>
  <c r="K363"/>
  <c r="K340" s="1"/>
  <c r="J363"/>
  <c r="J340" s="1"/>
  <c r="I363"/>
  <c r="I340" s="1"/>
  <c r="H363"/>
  <c r="H340" s="1"/>
  <c r="D1573" i="6"/>
  <c r="C1569"/>
  <c r="C1570"/>
  <c r="C1571"/>
  <c r="C1572"/>
  <c r="C1568"/>
  <c r="C1567"/>
  <c r="K982"/>
  <c r="K981" s="1"/>
  <c r="L982"/>
  <c r="L981" s="1"/>
  <c r="M982"/>
  <c r="M981" s="1"/>
  <c r="C982"/>
  <c r="C717"/>
  <c r="C718"/>
  <c r="C716"/>
  <c r="D393"/>
  <c r="C393" s="1"/>
  <c r="D392"/>
  <c r="R1600" i="5"/>
  <c r="R990"/>
  <c r="K437" i="6" l="1"/>
  <c r="L437"/>
  <c r="D568"/>
  <c r="D567" s="1"/>
  <c r="C1359"/>
  <c r="C1358" s="1"/>
  <c r="D1358"/>
  <c r="C150"/>
  <c r="D150"/>
  <c r="J150" i="5"/>
  <c r="J149" s="1"/>
  <c r="C569" i="6"/>
  <c r="C1573"/>
  <c r="D1566"/>
  <c r="C1566"/>
  <c r="C715"/>
  <c r="C392"/>
  <c r="C391" s="1"/>
  <c r="D391"/>
  <c r="E567"/>
  <c r="T567"/>
  <c r="P567"/>
  <c r="I690" i="5"/>
  <c r="I571"/>
  <c r="P195"/>
  <c r="N195"/>
  <c r="L195"/>
  <c r="J195"/>
  <c r="H195"/>
  <c r="Q195"/>
  <c r="M195"/>
  <c r="K195"/>
  <c r="I195"/>
  <c r="C70" i="7"/>
  <c r="C68" s="1"/>
  <c r="P363" i="5"/>
  <c r="P340" s="1"/>
  <c r="F70" i="7"/>
  <c r="F68" s="1"/>
  <c r="D70"/>
  <c r="D68" s="1"/>
  <c r="F16"/>
  <c r="F15" s="1"/>
  <c r="C16"/>
  <c r="C15" s="1"/>
  <c r="D140"/>
  <c r="D139" s="1"/>
  <c r="C98"/>
  <c r="C97" s="1"/>
  <c r="F98"/>
  <c r="F97" s="1"/>
  <c r="H690" i="5"/>
  <c r="L690"/>
  <c r="D16" i="7"/>
  <c r="D15" s="1"/>
  <c r="D98"/>
  <c r="D97" s="1"/>
  <c r="D710" i="6"/>
  <c r="D709" s="1"/>
  <c r="O209" i="5"/>
  <c r="O195" s="1"/>
  <c r="D606" i="6"/>
  <c r="D209"/>
  <c r="C209"/>
  <c r="X384"/>
  <c r="X361" s="1"/>
  <c r="Y384"/>
  <c r="Y361" s="1"/>
  <c r="R698" i="5"/>
  <c r="R697"/>
  <c r="R699"/>
  <c r="R372"/>
  <c r="R371"/>
  <c r="C568" i="6" l="1"/>
  <c r="C567" s="1"/>
  <c r="V384"/>
  <c r="V361" s="1"/>
  <c r="J195"/>
  <c r="K195"/>
  <c r="L195"/>
  <c r="M195"/>
  <c r="N195"/>
  <c r="O195"/>
  <c r="P195"/>
  <c r="Q195"/>
  <c r="R195"/>
  <c r="S195"/>
  <c r="T195"/>
  <c r="U195"/>
  <c r="V195"/>
  <c r="X195"/>
  <c r="Y195"/>
  <c r="G195" l="1"/>
  <c r="I195"/>
  <c r="U384"/>
  <c r="U361" s="1"/>
  <c r="D205"/>
  <c r="H195"/>
  <c r="F195"/>
  <c r="R205" i="5"/>
  <c r="R435"/>
  <c r="R434"/>
  <c r="R433"/>
  <c r="R432"/>
  <c r="R431"/>
  <c r="R430"/>
  <c r="R429"/>
  <c r="R428"/>
  <c r="R427"/>
  <c r="R426"/>
  <c r="R425"/>
  <c r="R424"/>
  <c r="R423"/>
  <c r="R422"/>
  <c r="R421"/>
  <c r="R420"/>
  <c r="C205" i="6" l="1"/>
  <c r="C204" s="1"/>
  <c r="C195" s="1"/>
  <c r="D204"/>
  <c r="E195"/>
  <c r="T384"/>
  <c r="T361" s="1"/>
  <c r="D195"/>
  <c r="C29" i="7"/>
  <c r="C25" s="1"/>
  <c r="F29"/>
  <c r="F25" s="1"/>
  <c r="D29"/>
  <c r="D25" s="1"/>
  <c r="Q1357" i="6"/>
  <c r="Q1421"/>
  <c r="Q1429"/>
  <c r="Q1432"/>
  <c r="Q1491"/>
  <c r="Q1465" s="1"/>
  <c r="Q1512"/>
  <c r="Q1519"/>
  <c r="Q1577"/>
  <c r="Q1576" s="1"/>
  <c r="Q855"/>
  <c r="Q864"/>
  <c r="Q863" s="1"/>
  <c r="Q883"/>
  <c r="Q923"/>
  <c r="Q922" s="1"/>
  <c r="Q929"/>
  <c r="Q977"/>
  <c r="Q976" s="1"/>
  <c r="Q982"/>
  <c r="Q981" s="1"/>
  <c r="Q987"/>
  <c r="Q599"/>
  <c r="Q596" s="1"/>
  <c r="Q610"/>
  <c r="Q664"/>
  <c r="Q660" s="1"/>
  <c r="Q731"/>
  <c r="Q149"/>
  <c r="Q220"/>
  <c r="Q269"/>
  <c r="Q254" s="1"/>
  <c r="Q291"/>
  <c r="Q358"/>
  <c r="Q357" s="1"/>
  <c r="Q416"/>
  <c r="K987"/>
  <c r="K743" s="1"/>
  <c r="L987"/>
  <c r="L743" s="1"/>
  <c r="Q437" l="1"/>
  <c r="Q743"/>
  <c r="Q1420"/>
  <c r="S384"/>
  <c r="S361" s="1"/>
  <c r="R384" l="1"/>
  <c r="R361" s="1"/>
  <c r="Q384" l="1"/>
  <c r="Q361" s="1"/>
  <c r="Q9" s="1"/>
  <c r="P384" l="1"/>
  <c r="P361" s="1"/>
  <c r="D1577"/>
  <c r="D1576" s="1"/>
  <c r="E1577"/>
  <c r="E1576" s="1"/>
  <c r="F1577"/>
  <c r="F1576" s="1"/>
  <c r="G1577"/>
  <c r="G1576" s="1"/>
  <c r="H1577"/>
  <c r="H1576" s="1"/>
  <c r="I1577"/>
  <c r="I1576" s="1"/>
  <c r="J1577"/>
  <c r="J1576" s="1"/>
  <c r="M1577"/>
  <c r="M1576" s="1"/>
  <c r="N1577"/>
  <c r="N1576" s="1"/>
  <c r="O1577"/>
  <c r="O1576" s="1"/>
  <c r="P1577"/>
  <c r="R1577"/>
  <c r="R1576" s="1"/>
  <c r="S1577"/>
  <c r="S1576" s="1"/>
  <c r="T1577"/>
  <c r="U1577"/>
  <c r="U1576" s="1"/>
  <c r="V1577"/>
  <c r="V1576" s="1"/>
  <c r="X1577"/>
  <c r="X1576" s="1"/>
  <c r="Y1577"/>
  <c r="Y1576" s="1"/>
  <c r="C1577"/>
  <c r="C1576" s="1"/>
  <c r="D1519"/>
  <c r="F1519"/>
  <c r="G1519"/>
  <c r="H1519"/>
  <c r="I1519"/>
  <c r="J1519"/>
  <c r="M1519"/>
  <c r="N1519"/>
  <c r="O1519"/>
  <c r="R1519"/>
  <c r="S1519"/>
  <c r="T1519"/>
  <c r="U1519"/>
  <c r="V1519"/>
  <c r="X1519"/>
  <c r="Y1519"/>
  <c r="C1519"/>
  <c r="D1512"/>
  <c r="E1512"/>
  <c r="F1512"/>
  <c r="G1512"/>
  <c r="H1512"/>
  <c r="I1512"/>
  <c r="J1512"/>
  <c r="M1512"/>
  <c r="N1512"/>
  <c r="O1512"/>
  <c r="P1512"/>
  <c r="R1512"/>
  <c r="S1512"/>
  <c r="T1512"/>
  <c r="U1512"/>
  <c r="V1512"/>
  <c r="X1512"/>
  <c r="Y1512"/>
  <c r="C1512"/>
  <c r="D1491"/>
  <c r="D1465" s="1"/>
  <c r="E1491"/>
  <c r="F1491"/>
  <c r="F1465" s="1"/>
  <c r="G1491"/>
  <c r="G1465" s="1"/>
  <c r="H1491"/>
  <c r="H1465" s="1"/>
  <c r="I1491"/>
  <c r="I1465" s="1"/>
  <c r="J1491"/>
  <c r="J1465" s="1"/>
  <c r="M1491"/>
  <c r="M1465" s="1"/>
  <c r="N1491"/>
  <c r="N1465" s="1"/>
  <c r="O1491"/>
  <c r="O1465" s="1"/>
  <c r="P1491"/>
  <c r="R1491"/>
  <c r="R1465" s="1"/>
  <c r="S1491"/>
  <c r="S1465" s="1"/>
  <c r="T1491"/>
  <c r="U1491"/>
  <c r="U1465" s="1"/>
  <c r="V1491"/>
  <c r="V1465" s="1"/>
  <c r="X1491"/>
  <c r="X1465" s="1"/>
  <c r="Y1491"/>
  <c r="Y1465" s="1"/>
  <c r="D1432"/>
  <c r="F1432"/>
  <c r="G1432"/>
  <c r="H1432"/>
  <c r="I1432"/>
  <c r="J1432"/>
  <c r="M1432"/>
  <c r="N1432"/>
  <c r="O1432"/>
  <c r="R1432"/>
  <c r="S1432"/>
  <c r="T1432"/>
  <c r="U1432"/>
  <c r="V1432"/>
  <c r="X1432"/>
  <c r="Y1432"/>
  <c r="C1432"/>
  <c r="D1429"/>
  <c r="E1429"/>
  <c r="F1429"/>
  <c r="G1429"/>
  <c r="H1429"/>
  <c r="I1429"/>
  <c r="J1429"/>
  <c r="M1429"/>
  <c r="N1429"/>
  <c r="O1429"/>
  <c r="P1429"/>
  <c r="R1429"/>
  <c r="S1429"/>
  <c r="T1429"/>
  <c r="U1429"/>
  <c r="V1429"/>
  <c r="X1429"/>
  <c r="Y1429"/>
  <c r="C1429"/>
  <c r="D1421"/>
  <c r="E1421"/>
  <c r="F1421"/>
  <c r="G1421"/>
  <c r="H1421"/>
  <c r="I1421"/>
  <c r="J1421"/>
  <c r="M1421"/>
  <c r="N1421"/>
  <c r="O1421"/>
  <c r="P1421"/>
  <c r="R1421"/>
  <c r="S1421"/>
  <c r="T1421"/>
  <c r="U1421"/>
  <c r="V1421"/>
  <c r="X1421"/>
  <c r="Y1421"/>
  <c r="C1421"/>
  <c r="D1371"/>
  <c r="E1371"/>
  <c r="F1371"/>
  <c r="G1371"/>
  <c r="H1371"/>
  <c r="I1371"/>
  <c r="J1371"/>
  <c r="M1371"/>
  <c r="N1371"/>
  <c r="O1371"/>
  <c r="P1371"/>
  <c r="Q1371"/>
  <c r="Q1024" s="1"/>
  <c r="R1371"/>
  <c r="S1371"/>
  <c r="T1371"/>
  <c r="U1371"/>
  <c r="V1371"/>
  <c r="X1371"/>
  <c r="Y1371"/>
  <c r="D1357"/>
  <c r="E1357"/>
  <c r="F1357"/>
  <c r="G1357"/>
  <c r="H1357"/>
  <c r="I1357"/>
  <c r="J1357"/>
  <c r="M1357"/>
  <c r="N1357"/>
  <c r="O1357"/>
  <c r="R1357"/>
  <c r="S1357"/>
  <c r="T1357"/>
  <c r="U1357"/>
  <c r="V1357"/>
  <c r="X1357"/>
  <c r="Y1357"/>
  <c r="P1357"/>
  <c r="C1357"/>
  <c r="Y1420" l="1"/>
  <c r="Y1024" s="1"/>
  <c r="V1420"/>
  <c r="V1024" s="1"/>
  <c r="T1420"/>
  <c r="R1420"/>
  <c r="R1024" s="1"/>
  <c r="O1420"/>
  <c r="O1024" s="1"/>
  <c r="M1420"/>
  <c r="M1024" s="1"/>
  <c r="I1420"/>
  <c r="I1024" s="1"/>
  <c r="G1420"/>
  <c r="G1024" s="1"/>
  <c r="C1420"/>
  <c r="X1420"/>
  <c r="X1024" s="1"/>
  <c r="U1420"/>
  <c r="U1024" s="1"/>
  <c r="S1420"/>
  <c r="S1024" s="1"/>
  <c r="P1420"/>
  <c r="N1420"/>
  <c r="N1024" s="1"/>
  <c r="J1420"/>
  <c r="J1024" s="1"/>
  <c r="H1420"/>
  <c r="H1024" s="1"/>
  <c r="F1420"/>
  <c r="F1024" s="1"/>
  <c r="D1420"/>
  <c r="D1024" s="1"/>
  <c r="E1420"/>
  <c r="E1432"/>
  <c r="T1465"/>
  <c r="E1465"/>
  <c r="P1519"/>
  <c r="T1576"/>
  <c r="P1432"/>
  <c r="P1465"/>
  <c r="E1519"/>
  <c r="P1576"/>
  <c r="D155" i="7"/>
  <c r="O384" i="6"/>
  <c r="O361" s="1"/>
  <c r="C155" i="7"/>
  <c r="E1024" i="6" l="1"/>
  <c r="P1024"/>
  <c r="T1024"/>
  <c r="N384"/>
  <c r="N361" s="1"/>
  <c r="C1371"/>
  <c r="M384" l="1"/>
  <c r="M361" s="1"/>
  <c r="R1628" i="5"/>
  <c r="P1628"/>
  <c r="P1626" s="1"/>
  <c r="P1623" s="1"/>
  <c r="O1628"/>
  <c r="O1626" s="1"/>
  <c r="O1623" s="1"/>
  <c r="R1608"/>
  <c r="O1608"/>
  <c r="R1607"/>
  <c r="O1607"/>
  <c r="R1606"/>
  <c r="P1606"/>
  <c r="P1605" s="1"/>
  <c r="O1606"/>
  <c r="Q1605"/>
  <c r="Q1604" s="1"/>
  <c r="P1604" s="1"/>
  <c r="N1605"/>
  <c r="N1604" s="1"/>
  <c r="M1605"/>
  <c r="M1604" s="1"/>
  <c r="L1605"/>
  <c r="K1605"/>
  <c r="J1605"/>
  <c r="J1604" s="1"/>
  <c r="I1605"/>
  <c r="H1605"/>
  <c r="R1603"/>
  <c r="P1603"/>
  <c r="P1602" s="1"/>
  <c r="R1601"/>
  <c r="R1599"/>
  <c r="O1599"/>
  <c r="R1598"/>
  <c r="O1598"/>
  <c r="O1594" s="1"/>
  <c r="P1597"/>
  <c r="R1597"/>
  <c r="P1596"/>
  <c r="R1596"/>
  <c r="P1595"/>
  <c r="P1594" s="1"/>
  <c r="R1592"/>
  <c r="O1592"/>
  <c r="O1591" s="1"/>
  <c r="R1580"/>
  <c r="P1580"/>
  <c r="O1580"/>
  <c r="R1579"/>
  <c r="P1579"/>
  <c r="O1579"/>
  <c r="F274" i="7"/>
  <c r="D274"/>
  <c r="C274"/>
  <c r="R1573" i="5"/>
  <c r="L1572"/>
  <c r="L1571" s="1"/>
  <c r="R1569"/>
  <c r="P1569"/>
  <c r="P1568" s="1"/>
  <c r="O1569"/>
  <c r="O1568" s="1"/>
  <c r="R1564"/>
  <c r="R1563"/>
  <c r="R1562"/>
  <c r="L1561"/>
  <c r="R1547"/>
  <c r="R1543"/>
  <c r="R1542"/>
  <c r="R1546"/>
  <c r="R1545"/>
  <c r="P1545"/>
  <c r="O1545"/>
  <c r="O1541" s="1"/>
  <c r="O1540" s="1"/>
  <c r="R1544"/>
  <c r="P1544"/>
  <c r="R1540"/>
  <c r="Q1540"/>
  <c r="P1540" s="1"/>
  <c r="N1540"/>
  <c r="M1540"/>
  <c r="L1540"/>
  <c r="K1540"/>
  <c r="J1540"/>
  <c r="I1540"/>
  <c r="H1540"/>
  <c r="P1539"/>
  <c r="R1539"/>
  <c r="P1538"/>
  <c r="P1537" s="1"/>
  <c r="R1538"/>
  <c r="R1522"/>
  <c r="R1521"/>
  <c r="O1521"/>
  <c r="R1520"/>
  <c r="O1520"/>
  <c r="O1519" s="1"/>
  <c r="R1525"/>
  <c r="R1517"/>
  <c r="R1516"/>
  <c r="R1513"/>
  <c r="O1513"/>
  <c r="O1511" s="1"/>
  <c r="R1512"/>
  <c r="P1512"/>
  <c r="P1511" s="1"/>
  <c r="P1493" s="1"/>
  <c r="R1459"/>
  <c r="R1458"/>
  <c r="Q1457"/>
  <c r="P1457"/>
  <c r="O1457"/>
  <c r="N1457"/>
  <c r="M1457"/>
  <c r="L1457"/>
  <c r="F247" i="7" s="1"/>
  <c r="K1457" i="5"/>
  <c r="D247" i="7" s="1"/>
  <c r="J1457" i="5"/>
  <c r="I1457"/>
  <c r="H1457"/>
  <c r="C247" i="7" s="1"/>
  <c r="R1450" i="5"/>
  <c r="O1450"/>
  <c r="O1449" s="1"/>
  <c r="Q1449"/>
  <c r="Q1448" s="1"/>
  <c r="P1449"/>
  <c r="P1448" s="1"/>
  <c r="N1449"/>
  <c r="M1449"/>
  <c r="L1449"/>
  <c r="K1449"/>
  <c r="J1449"/>
  <c r="I1449"/>
  <c r="H1449"/>
  <c r="R1424"/>
  <c r="P1426"/>
  <c r="R1426"/>
  <c r="P1425"/>
  <c r="P1420" s="1"/>
  <c r="R1425"/>
  <c r="R1402"/>
  <c r="R1401"/>
  <c r="O1401"/>
  <c r="R1409"/>
  <c r="R1406"/>
  <c r="R1397"/>
  <c r="P1396"/>
  <c r="P1395" s="1"/>
  <c r="R1396"/>
  <c r="Q1385"/>
  <c r="N1385"/>
  <c r="M1385"/>
  <c r="K1385"/>
  <c r="I1385"/>
  <c r="H1385"/>
  <c r="R1378"/>
  <c r="O1378"/>
  <c r="R1377"/>
  <c r="O1377"/>
  <c r="R1376"/>
  <c r="O1376"/>
  <c r="R1380"/>
  <c r="O1380"/>
  <c r="R1384"/>
  <c r="O1384"/>
  <c r="P1382"/>
  <c r="R1382"/>
  <c r="P1383"/>
  <c r="R1383"/>
  <c r="P1381"/>
  <c r="P1375" s="1"/>
  <c r="R1381"/>
  <c r="R1340"/>
  <c r="O1340"/>
  <c r="R1339"/>
  <c r="O1339"/>
  <c r="O1337" s="1"/>
  <c r="P1338"/>
  <c r="P1337" s="1"/>
  <c r="L1338"/>
  <c r="L1337" s="1"/>
  <c r="P1385" l="1"/>
  <c r="Q1052"/>
  <c r="I1448"/>
  <c r="K1448"/>
  <c r="M1448"/>
  <c r="M1052" s="1"/>
  <c r="O1448"/>
  <c r="H1448"/>
  <c r="J1448"/>
  <c r="L1448"/>
  <c r="N1448"/>
  <c r="N1052" s="1"/>
  <c r="R1595"/>
  <c r="L1594"/>
  <c r="F280" i="7" s="1"/>
  <c r="O1375" i="5"/>
  <c r="P1548"/>
  <c r="P1547" s="1"/>
  <c r="L1548"/>
  <c r="I1604"/>
  <c r="O1578"/>
  <c r="O1493"/>
  <c r="P1578"/>
  <c r="F227" i="7"/>
  <c r="R1572" i="5"/>
  <c r="F273" i="7"/>
  <c r="C243"/>
  <c r="C242" s="1"/>
  <c r="F243"/>
  <c r="F242" s="1"/>
  <c r="D243"/>
  <c r="D242" s="1"/>
  <c r="D261"/>
  <c r="D257" s="1"/>
  <c r="C261"/>
  <c r="C257" s="1"/>
  <c r="F261"/>
  <c r="F257" s="1"/>
  <c r="P1541" i="5"/>
  <c r="R1338"/>
  <c r="R1561"/>
  <c r="L1560"/>
  <c r="F270" i="7" s="1"/>
  <c r="K1604" i="5"/>
  <c r="K1052" s="1"/>
  <c r="D283" i="7"/>
  <c r="D282" s="1"/>
  <c r="H1604" i="5"/>
  <c r="C283" i="7"/>
  <c r="C282" s="1"/>
  <c r="L1604" i="5"/>
  <c r="F283" i="7"/>
  <c r="F282" s="1"/>
  <c r="L384" i="6"/>
  <c r="L361" s="1"/>
  <c r="L9" s="1"/>
  <c r="F224" i="7"/>
  <c r="O1605" i="5"/>
  <c r="O1604" s="1"/>
  <c r="J1385"/>
  <c r="J1052" s="1"/>
  <c r="O1385"/>
  <c r="L1385" s="1"/>
  <c r="E114" i="7"/>
  <c r="E90" s="1"/>
  <c r="E82"/>
  <c r="O662" i="5"/>
  <c r="I662"/>
  <c r="J662"/>
  <c r="K662"/>
  <c r="M662"/>
  <c r="N662"/>
  <c r="P662"/>
  <c r="Q662"/>
  <c r="H662"/>
  <c r="P614"/>
  <c r="I603"/>
  <c r="I600" s="1"/>
  <c r="J603"/>
  <c r="J600" s="1"/>
  <c r="K603"/>
  <c r="K600" s="1"/>
  <c r="L603"/>
  <c r="L600" s="1"/>
  <c r="M603"/>
  <c r="M600" s="1"/>
  <c r="N603"/>
  <c r="N600" s="1"/>
  <c r="P603"/>
  <c r="P600" s="1"/>
  <c r="Q603"/>
  <c r="Q600" s="1"/>
  <c r="H603"/>
  <c r="H600" s="1"/>
  <c r="H1052" l="1"/>
  <c r="I1052"/>
  <c r="P1052"/>
  <c r="D223" i="7"/>
  <c r="C223"/>
  <c r="H1050" i="5"/>
  <c r="K1050"/>
  <c r="J1050"/>
  <c r="L1547"/>
  <c r="L1052" s="1"/>
  <c r="F269" i="7"/>
  <c r="F268" s="1"/>
  <c r="F223" s="1"/>
  <c r="N1050" i="5"/>
  <c r="M1050"/>
  <c r="F109" i="7"/>
  <c r="F107" s="1"/>
  <c r="C109"/>
  <c r="C107" s="1"/>
  <c r="D109"/>
  <c r="D107" s="1"/>
  <c r="K384" i="6"/>
  <c r="K361" s="1"/>
  <c r="K9" s="1"/>
  <c r="C132" i="7"/>
  <c r="C130" s="1"/>
  <c r="D132"/>
  <c r="D130" s="1"/>
  <c r="L662" i="5"/>
  <c r="X149" i="6"/>
  <c r="V149"/>
  <c r="U149"/>
  <c r="T149"/>
  <c r="S149"/>
  <c r="R149"/>
  <c r="P149"/>
  <c r="O149"/>
  <c r="N149"/>
  <c r="M149"/>
  <c r="J149"/>
  <c r="I149"/>
  <c r="H149"/>
  <c r="G149"/>
  <c r="F149"/>
  <c r="E149"/>
  <c r="I1050" i="5" l="1"/>
  <c r="J384" i="6"/>
  <c r="J361" s="1"/>
  <c r="C149"/>
  <c r="I384" l="1"/>
  <c r="I361" s="1"/>
  <c r="D149"/>
  <c r="H384" l="1"/>
  <c r="H361" s="1"/>
  <c r="I265" i="5"/>
  <c r="I254" s="1"/>
  <c r="J265"/>
  <c r="J254" s="1"/>
  <c r="K265"/>
  <c r="K254" s="1"/>
  <c r="L265"/>
  <c r="L254" s="1"/>
  <c r="M265"/>
  <c r="M254" s="1"/>
  <c r="N265"/>
  <c r="N254" s="1"/>
  <c r="O265"/>
  <c r="O254" s="1"/>
  <c r="Q265"/>
  <c r="Q254" s="1"/>
  <c r="I395"/>
  <c r="J395"/>
  <c r="M395"/>
  <c r="N395"/>
  <c r="O395"/>
  <c r="Q395"/>
  <c r="H265"/>
  <c r="H254" s="1"/>
  <c r="J664" i="6"/>
  <c r="J660" s="1"/>
  <c r="M664"/>
  <c r="M660" s="1"/>
  <c r="N664"/>
  <c r="N660" s="1"/>
  <c r="O664"/>
  <c r="O660" s="1"/>
  <c r="R664"/>
  <c r="R660" s="1"/>
  <c r="S664"/>
  <c r="S660" s="1"/>
  <c r="U664"/>
  <c r="U660" s="1"/>
  <c r="V664"/>
  <c r="V660" s="1"/>
  <c r="X664"/>
  <c r="X660" s="1"/>
  <c r="Y664"/>
  <c r="Y660" s="1"/>
  <c r="M610"/>
  <c r="N610"/>
  <c r="O610"/>
  <c r="R610"/>
  <c r="S610"/>
  <c r="T610"/>
  <c r="U610"/>
  <c r="V610"/>
  <c r="X610"/>
  <c r="Y610"/>
  <c r="M599"/>
  <c r="M596" s="1"/>
  <c r="N599"/>
  <c r="N596" s="1"/>
  <c r="O599"/>
  <c r="O596" s="1"/>
  <c r="R599"/>
  <c r="R596" s="1"/>
  <c r="S599"/>
  <c r="S596" s="1"/>
  <c r="T599"/>
  <c r="T596" s="1"/>
  <c r="U599"/>
  <c r="U596" s="1"/>
  <c r="V599"/>
  <c r="V596" s="1"/>
  <c r="X599"/>
  <c r="X596" s="1"/>
  <c r="X437" s="1"/>
  <c r="Y599"/>
  <c r="Y596" s="1"/>
  <c r="Y437" s="1"/>
  <c r="C46" i="7" l="1"/>
  <c r="C43" s="1"/>
  <c r="D46"/>
  <c r="D43" s="1"/>
  <c r="G384" i="6"/>
  <c r="G361" s="1"/>
  <c r="Q1050" i="5"/>
  <c r="L395"/>
  <c r="F83" i="7"/>
  <c r="F82" s="1"/>
  <c r="H395" i="5"/>
  <c r="C83" i="7"/>
  <c r="C82" s="1"/>
  <c r="K395" i="5"/>
  <c r="D83" i="7"/>
  <c r="D82" s="1"/>
  <c r="P1050" i="5" l="1"/>
  <c r="F384" i="6"/>
  <c r="F361" s="1"/>
  <c r="O416"/>
  <c r="S416"/>
  <c r="U416"/>
  <c r="X416"/>
  <c r="Y416"/>
  <c r="M269"/>
  <c r="M254" s="1"/>
  <c r="O269"/>
  <c r="O254" s="1"/>
  <c r="S269"/>
  <c r="S254" s="1"/>
  <c r="U269"/>
  <c r="X269"/>
  <c r="X254" s="1"/>
  <c r="Y269"/>
  <c r="Y260" s="1"/>
  <c r="Y259" s="1"/>
  <c r="Y258" s="1"/>
  <c r="Y257" s="1"/>
  <c r="Y256" s="1"/>
  <c r="Y255" l="1"/>
  <c r="Y254" s="1"/>
  <c r="Y9" s="1"/>
  <c r="E384"/>
  <c r="E361" s="1"/>
  <c r="D384" l="1"/>
  <c r="D361" s="1"/>
  <c r="C385"/>
  <c r="C384" s="1"/>
  <c r="C361" s="1"/>
  <c r="T328" l="1"/>
  <c r="R328"/>
  <c r="N328"/>
  <c r="T327"/>
  <c r="R327"/>
  <c r="N327"/>
  <c r="T326"/>
  <c r="R326"/>
  <c r="N326"/>
  <c r="T309"/>
  <c r="T306" s="1"/>
  <c r="R309"/>
  <c r="R306" s="1"/>
  <c r="N309"/>
  <c r="N306" s="1"/>
  <c r="T270"/>
  <c r="T269" s="1"/>
  <c r="R270"/>
  <c r="R269" s="1"/>
  <c r="R254" s="1"/>
  <c r="P269"/>
  <c r="P254" s="1"/>
  <c r="N270"/>
  <c r="N269" s="1"/>
  <c r="N254" s="1"/>
  <c r="J328"/>
  <c r="I328"/>
  <c r="H328"/>
  <c r="G328"/>
  <c r="F328"/>
  <c r="J327"/>
  <c r="I327"/>
  <c r="H327"/>
  <c r="G327"/>
  <c r="F327"/>
  <c r="E327"/>
  <c r="J326"/>
  <c r="I326"/>
  <c r="H326"/>
  <c r="G326"/>
  <c r="F326"/>
  <c r="E326"/>
  <c r="J309"/>
  <c r="J306" s="1"/>
  <c r="I309"/>
  <c r="I306" s="1"/>
  <c r="G309"/>
  <c r="G306" s="1"/>
  <c r="F309"/>
  <c r="F306" s="1"/>
  <c r="E309"/>
  <c r="J270"/>
  <c r="J269" s="1"/>
  <c r="J254" s="1"/>
  <c r="I270"/>
  <c r="I269" s="1"/>
  <c r="I254" s="1"/>
  <c r="H270"/>
  <c r="H269" s="1"/>
  <c r="H254" s="1"/>
  <c r="G270"/>
  <c r="G269" s="1"/>
  <c r="G254" s="1"/>
  <c r="F270"/>
  <c r="F269" s="1"/>
  <c r="F254" s="1"/>
  <c r="E270"/>
  <c r="J227"/>
  <c r="I227"/>
  <c r="H227"/>
  <c r="G227"/>
  <c r="F227"/>
  <c r="E227"/>
  <c r="J226"/>
  <c r="I226"/>
  <c r="H226"/>
  <c r="G226"/>
  <c r="F226"/>
  <c r="E226"/>
  <c r="J225"/>
  <c r="I225"/>
  <c r="H225"/>
  <c r="G225"/>
  <c r="F225"/>
  <c r="E225"/>
  <c r="J224"/>
  <c r="I224"/>
  <c r="H224"/>
  <c r="G224"/>
  <c r="F224"/>
  <c r="E224"/>
  <c r="J223"/>
  <c r="I223"/>
  <c r="H223"/>
  <c r="G223"/>
  <c r="F223"/>
  <c r="E223"/>
  <c r="J222"/>
  <c r="J221" s="1"/>
  <c r="I222"/>
  <c r="H222"/>
  <c r="H221" s="1"/>
  <c r="G222"/>
  <c r="G221" s="1"/>
  <c r="F222"/>
  <c r="F221" s="1"/>
  <c r="E222"/>
  <c r="N227"/>
  <c r="N226"/>
  <c r="N225"/>
  <c r="N224"/>
  <c r="N223"/>
  <c r="N222"/>
  <c r="V328"/>
  <c r="V327"/>
  <c r="V326"/>
  <c r="V309"/>
  <c r="V306" s="1"/>
  <c r="V270"/>
  <c r="V269" s="1"/>
  <c r="T254" l="1"/>
  <c r="E221"/>
  <c r="E269"/>
  <c r="E254" s="1"/>
  <c r="E306"/>
  <c r="E291" s="1"/>
  <c r="V325"/>
  <c r="F325"/>
  <c r="H325"/>
  <c r="J325"/>
  <c r="R325"/>
  <c r="G325"/>
  <c r="I325"/>
  <c r="N325"/>
  <c r="T325"/>
  <c r="D327"/>
  <c r="C327" s="1"/>
  <c r="D326"/>
  <c r="E325"/>
  <c r="D328"/>
  <c r="C328" s="1"/>
  <c r="I221"/>
  <c r="I220" s="1"/>
  <c r="N221"/>
  <c r="N220" s="1"/>
  <c r="R220"/>
  <c r="V220"/>
  <c r="P220"/>
  <c r="T220"/>
  <c r="D309"/>
  <c r="D306" s="1"/>
  <c r="V291"/>
  <c r="U291"/>
  <c r="U260" s="1"/>
  <c r="U259" s="1"/>
  <c r="U258" s="1"/>
  <c r="U257" s="1"/>
  <c r="T291"/>
  <c r="S291"/>
  <c r="R291"/>
  <c r="P291"/>
  <c r="O291"/>
  <c r="N291"/>
  <c r="M291"/>
  <c r="J291"/>
  <c r="I291"/>
  <c r="H291"/>
  <c r="G291"/>
  <c r="F291"/>
  <c r="D270"/>
  <c r="D269" s="1"/>
  <c r="D254" s="1"/>
  <c r="D227"/>
  <c r="D226"/>
  <c r="C226" s="1"/>
  <c r="D225"/>
  <c r="D224"/>
  <c r="C224" s="1"/>
  <c r="D223"/>
  <c r="G220"/>
  <c r="D222"/>
  <c r="S220"/>
  <c r="O220"/>
  <c r="M220"/>
  <c r="J220"/>
  <c r="H220"/>
  <c r="F220"/>
  <c r="U220"/>
  <c r="V260" l="1"/>
  <c r="C260" s="1"/>
  <c r="U256"/>
  <c r="U255" s="1"/>
  <c r="U254" s="1"/>
  <c r="C326"/>
  <c r="C325" s="1"/>
  <c r="D325"/>
  <c r="V259"/>
  <c r="C259" s="1"/>
  <c r="D221"/>
  <c r="D220" s="1"/>
  <c r="C222"/>
  <c r="E220"/>
  <c r="C225"/>
  <c r="C227"/>
  <c r="D291"/>
  <c r="C309"/>
  <c r="C223"/>
  <c r="C270"/>
  <c r="C269" s="1"/>
  <c r="V258" l="1"/>
  <c r="C258" s="1"/>
  <c r="C221"/>
  <c r="C220" s="1"/>
  <c r="C306"/>
  <c r="C291" s="1"/>
  <c r="V257" l="1"/>
  <c r="D183" i="7"/>
  <c r="C183"/>
  <c r="D116"/>
  <c r="C116"/>
  <c r="C257" i="6" l="1"/>
  <c r="V256"/>
  <c r="C256" s="1"/>
  <c r="Y929"/>
  <c r="X929"/>
  <c r="V929"/>
  <c r="U929"/>
  <c r="T929"/>
  <c r="S929"/>
  <c r="R929"/>
  <c r="P929"/>
  <c r="O929"/>
  <c r="N929"/>
  <c r="R958" i="5"/>
  <c r="R956"/>
  <c r="O956"/>
  <c r="O954" s="1"/>
  <c r="Q952"/>
  <c r="Q951" s="1"/>
  <c r="P952"/>
  <c r="P951" s="1"/>
  <c r="N952"/>
  <c r="N951" s="1"/>
  <c r="M952"/>
  <c r="M951" s="1"/>
  <c r="L952"/>
  <c r="K952"/>
  <c r="J952"/>
  <c r="J951" s="1"/>
  <c r="I952"/>
  <c r="H952"/>
  <c r="T951"/>
  <c r="S951"/>
  <c r="R951"/>
  <c r="R324"/>
  <c r="R323"/>
  <c r="R322"/>
  <c r="R303"/>
  <c r="P303"/>
  <c r="P302" s="1"/>
  <c r="O303"/>
  <c r="O302" s="1"/>
  <c r="O287" s="1"/>
  <c r="Q287"/>
  <c r="N287"/>
  <c r="M287"/>
  <c r="L287"/>
  <c r="K287"/>
  <c r="J287"/>
  <c r="I287"/>
  <c r="H287"/>
  <c r="V255" i="6" l="1"/>
  <c r="I951" i="5"/>
  <c r="C196" i="7"/>
  <c r="C195" s="1"/>
  <c r="H951" i="5"/>
  <c r="F196" i="7"/>
  <c r="F195" s="1"/>
  <c r="L951" i="5"/>
  <c r="D196" i="7"/>
  <c r="D195" s="1"/>
  <c r="K951" i="5"/>
  <c r="C56" i="7"/>
  <c r="C54" s="1"/>
  <c r="P287" i="5"/>
  <c r="D56" i="7"/>
  <c r="D54" s="1"/>
  <c r="O952" i="5"/>
  <c r="O951" s="1"/>
  <c r="C255" i="6" l="1"/>
  <c r="C254" s="1"/>
  <c r="F56" i="7"/>
  <c r="F54" s="1"/>
  <c r="D201" l="1"/>
  <c r="C201"/>
  <c r="D62"/>
  <c r="C62"/>
  <c r="C854" i="6" l="1"/>
  <c r="R876" i="5"/>
  <c r="D193" i="7" l="1"/>
  <c r="E193"/>
  <c r="F193"/>
  <c r="D923" i="6"/>
  <c r="D922" s="1"/>
  <c r="E923"/>
  <c r="F923"/>
  <c r="F922" s="1"/>
  <c r="G923"/>
  <c r="G922" s="1"/>
  <c r="H923"/>
  <c r="H922" s="1"/>
  <c r="I923"/>
  <c r="I922" s="1"/>
  <c r="J923"/>
  <c r="J922" s="1"/>
  <c r="N923"/>
  <c r="N922" s="1"/>
  <c r="O923"/>
  <c r="O922" s="1"/>
  <c r="P923"/>
  <c r="P922" s="1"/>
  <c r="R923"/>
  <c r="R922" s="1"/>
  <c r="S923"/>
  <c r="S922" s="1"/>
  <c r="T923"/>
  <c r="U923"/>
  <c r="U922" s="1"/>
  <c r="V923"/>
  <c r="V922" s="1"/>
  <c r="X923"/>
  <c r="X922" s="1"/>
  <c r="Y923"/>
  <c r="Y922" s="1"/>
  <c r="E922" l="1"/>
  <c r="T922"/>
  <c r="D181" i="7"/>
  <c r="E181"/>
  <c r="F181"/>
  <c r="E883" i="6"/>
  <c r="G883"/>
  <c r="H883"/>
  <c r="I883"/>
  <c r="J883"/>
  <c r="N883"/>
  <c r="O883"/>
  <c r="P883"/>
  <c r="R883"/>
  <c r="S883"/>
  <c r="T883"/>
  <c r="U883"/>
  <c r="V883"/>
  <c r="X883"/>
  <c r="Y883"/>
  <c r="D883"/>
  <c r="F883"/>
  <c r="R941" i="5" l="1"/>
  <c r="C983" i="6" l="1"/>
  <c r="C981" s="1"/>
  <c r="F932" l="1"/>
  <c r="G932"/>
  <c r="I932"/>
  <c r="J932"/>
  <c r="E932" l="1"/>
  <c r="D934"/>
  <c r="H932"/>
  <c r="H929" s="1"/>
  <c r="C934" l="1"/>
  <c r="C932" s="1"/>
  <c r="D932"/>
  <c r="R860" i="5"/>
  <c r="R861"/>
  <c r="O861"/>
  <c r="O860"/>
  <c r="O859" l="1"/>
  <c r="C733" i="6" l="1"/>
  <c r="C732" s="1"/>
  <c r="D169" i="7" l="1"/>
  <c r="E169"/>
  <c r="F169"/>
  <c r="M855" i="6"/>
  <c r="D855"/>
  <c r="E855"/>
  <c r="F855"/>
  <c r="G855"/>
  <c r="H855"/>
  <c r="I855"/>
  <c r="J855"/>
  <c r="N855"/>
  <c r="O855"/>
  <c r="R855"/>
  <c r="S855"/>
  <c r="T855"/>
  <c r="U855"/>
  <c r="V855"/>
  <c r="X855"/>
  <c r="Y855"/>
  <c r="C856"/>
  <c r="R879" i="5"/>
  <c r="D864" i="6"/>
  <c r="D863" s="1"/>
  <c r="E864"/>
  <c r="E863" s="1"/>
  <c r="F864"/>
  <c r="F863" s="1"/>
  <c r="G864"/>
  <c r="G863" s="1"/>
  <c r="H864"/>
  <c r="H863" s="1"/>
  <c r="I864"/>
  <c r="I863" s="1"/>
  <c r="J864"/>
  <c r="J863" s="1"/>
  <c r="N864"/>
  <c r="N863" s="1"/>
  <c r="O864"/>
  <c r="O863" s="1"/>
  <c r="P864"/>
  <c r="P863" s="1"/>
  <c r="R864"/>
  <c r="R863" s="1"/>
  <c r="S864"/>
  <c r="S863" s="1"/>
  <c r="T864"/>
  <c r="T863" s="1"/>
  <c r="U864"/>
  <c r="U863" s="1"/>
  <c r="V864"/>
  <c r="V863" s="1"/>
  <c r="X864"/>
  <c r="X863" s="1"/>
  <c r="Y864"/>
  <c r="Y863" s="1"/>
  <c r="E977" l="1"/>
  <c r="E976" s="1"/>
  <c r="M977"/>
  <c r="M976" s="1"/>
  <c r="N977"/>
  <c r="N976" s="1"/>
  <c r="O977"/>
  <c r="O976" s="1"/>
  <c r="R977"/>
  <c r="R976" s="1"/>
  <c r="S977"/>
  <c r="S976" s="1"/>
  <c r="T977"/>
  <c r="T976" s="1"/>
  <c r="U977"/>
  <c r="U976" s="1"/>
  <c r="V977"/>
  <c r="V976" s="1"/>
  <c r="X977"/>
  <c r="X976" s="1"/>
  <c r="Y977"/>
  <c r="Y976" s="1"/>
  <c r="I985" i="5"/>
  <c r="J985"/>
  <c r="K985"/>
  <c r="D206" i="7" s="1"/>
  <c r="L985" i="5"/>
  <c r="F206" i="7" s="1"/>
  <c r="M985" i="5"/>
  <c r="N985"/>
  <c r="O985"/>
  <c r="P985"/>
  <c r="Q985"/>
  <c r="H985"/>
  <c r="C206" i="7" s="1"/>
  <c r="I1000" i="5" l="1"/>
  <c r="J1000"/>
  <c r="M1000"/>
  <c r="N1000"/>
  <c r="P1000"/>
  <c r="P765" s="1"/>
  <c r="Q1000"/>
  <c r="R1004"/>
  <c r="P762" l="1"/>
  <c r="P761" s="1"/>
  <c r="P760" s="1"/>
  <c r="P759" s="1"/>
  <c r="P758" s="1"/>
  <c r="P757" s="1"/>
  <c r="P756" s="1"/>
  <c r="P755" s="1"/>
  <c r="P753" s="1"/>
  <c r="P752" s="1"/>
  <c r="P751" s="1"/>
  <c r="P750" s="1"/>
  <c r="P749" s="1"/>
  <c r="P748" s="1"/>
  <c r="P747" s="1"/>
  <c r="P746" s="1"/>
  <c r="P745" s="1"/>
  <c r="P744" s="1"/>
  <c r="P743" s="1"/>
  <c r="P742" s="1"/>
  <c r="P728" s="1"/>
  <c r="P451" s="1"/>
  <c r="D213" i="7"/>
  <c r="D212" s="1"/>
  <c r="K1000" i="5"/>
  <c r="C213" i="7"/>
  <c r="C212" s="1"/>
  <c r="H1000" i="5"/>
  <c r="F213" i="7"/>
  <c r="F212" s="1"/>
  <c r="L1000" i="5"/>
  <c r="Y987" i="6"/>
  <c r="Y743" s="1"/>
  <c r="M987"/>
  <c r="M743" s="1"/>
  <c r="F987"/>
  <c r="N987"/>
  <c r="O987"/>
  <c r="O743" s="1"/>
  <c r="R987"/>
  <c r="S987"/>
  <c r="T987"/>
  <c r="U987"/>
  <c r="V987"/>
  <c r="X987"/>
  <c r="X743" s="1"/>
  <c r="D982"/>
  <c r="D981" s="1"/>
  <c r="F982"/>
  <c r="F981" s="1"/>
  <c r="G982"/>
  <c r="G981" s="1"/>
  <c r="H982"/>
  <c r="H981" s="1"/>
  <c r="I982"/>
  <c r="I981" s="1"/>
  <c r="J982"/>
  <c r="J981" s="1"/>
  <c r="N982"/>
  <c r="N981" s="1"/>
  <c r="N743" s="1"/>
  <c r="R982"/>
  <c r="R981" s="1"/>
  <c r="S982"/>
  <c r="S981" s="1"/>
  <c r="S743" s="1"/>
  <c r="T982"/>
  <c r="T981" s="1"/>
  <c r="U982"/>
  <c r="U981" s="1"/>
  <c r="U743" s="1"/>
  <c r="V982"/>
  <c r="V981" s="1"/>
  <c r="V743" s="1"/>
  <c r="T743" l="1"/>
  <c r="R743"/>
  <c r="E982"/>
  <c r="E981" s="1"/>
  <c r="T946" i="5"/>
  <c r="E205" i="7" l="1"/>
  <c r="E154" s="1"/>
  <c r="E66" l="1"/>
  <c r="E35"/>
  <c r="E9" s="1"/>
  <c r="E7" l="1"/>
  <c r="D205"/>
  <c r="C205"/>
  <c r="J988" i="6" l="1"/>
  <c r="I988"/>
  <c r="H988"/>
  <c r="G988"/>
  <c r="E988"/>
  <c r="J977"/>
  <c r="J976" s="1"/>
  <c r="I977"/>
  <c r="I976" s="1"/>
  <c r="H977"/>
  <c r="H976" s="1"/>
  <c r="G977"/>
  <c r="G976" s="1"/>
  <c r="F977"/>
  <c r="F976" s="1"/>
  <c r="P977"/>
  <c r="P976" s="1"/>
  <c r="P855"/>
  <c r="P664"/>
  <c r="T664"/>
  <c r="T660" s="1"/>
  <c r="P610"/>
  <c r="P599"/>
  <c r="P596" s="1"/>
  <c r="P660" l="1"/>
  <c r="D944"/>
  <c r="C944" s="1"/>
  <c r="D943"/>
  <c r="G929"/>
  <c r="J929"/>
  <c r="F929"/>
  <c r="F743" s="1"/>
  <c r="I929"/>
  <c r="P987"/>
  <c r="P743" s="1"/>
  <c r="G987"/>
  <c r="I987"/>
  <c r="E987"/>
  <c r="H987"/>
  <c r="H743" s="1"/>
  <c r="J987"/>
  <c r="D978"/>
  <c r="D989"/>
  <c r="D936"/>
  <c r="D935" s="1"/>
  <c r="I664"/>
  <c r="I660" s="1"/>
  <c r="H664"/>
  <c r="H660" s="1"/>
  <c r="G664"/>
  <c r="G660" s="1"/>
  <c r="F664"/>
  <c r="F660" s="1"/>
  <c r="E664"/>
  <c r="J599"/>
  <c r="J596" s="1"/>
  <c r="I599"/>
  <c r="I596" s="1"/>
  <c r="H599"/>
  <c r="H596" s="1"/>
  <c r="G599"/>
  <c r="G596" s="1"/>
  <c r="F599"/>
  <c r="F596" s="1"/>
  <c r="E599"/>
  <c r="E596" s="1"/>
  <c r="P416"/>
  <c r="T395"/>
  <c r="T394" s="1"/>
  <c r="J395"/>
  <c r="J394" s="1"/>
  <c r="I395"/>
  <c r="I394" s="1"/>
  <c r="H395"/>
  <c r="H394" s="1"/>
  <c r="X220"/>
  <c r="X9" s="1"/>
  <c r="C1006"/>
  <c r="C985"/>
  <c r="C984" s="1"/>
  <c r="C980"/>
  <c r="C979" s="1"/>
  <c r="C922"/>
  <c r="C864"/>
  <c r="I743" l="1"/>
  <c r="J743"/>
  <c r="G743"/>
  <c r="C1005"/>
  <c r="C1004" s="1"/>
  <c r="C943"/>
  <c r="C942" s="1"/>
  <c r="D942"/>
  <c r="E929"/>
  <c r="E743" s="1"/>
  <c r="E660"/>
  <c r="F611"/>
  <c r="F610" s="1"/>
  <c r="H611"/>
  <c r="H610" s="1"/>
  <c r="J611"/>
  <c r="J610" s="1"/>
  <c r="E611"/>
  <c r="G611"/>
  <c r="G610" s="1"/>
  <c r="I611"/>
  <c r="I610" s="1"/>
  <c r="D400"/>
  <c r="C400" s="1"/>
  <c r="N395"/>
  <c r="N394" s="1"/>
  <c r="V395"/>
  <c r="V394" s="1"/>
  <c r="R395"/>
  <c r="R394" s="1"/>
  <c r="G395"/>
  <c r="G394" s="1"/>
  <c r="D397"/>
  <c r="C397" s="1"/>
  <c r="E395"/>
  <c r="E394" s="1"/>
  <c r="D396"/>
  <c r="F395"/>
  <c r="F394" s="1"/>
  <c r="C989"/>
  <c r="D988"/>
  <c r="D987" s="1"/>
  <c r="D929"/>
  <c r="F417"/>
  <c r="F416" s="1"/>
  <c r="H417"/>
  <c r="H416" s="1"/>
  <c r="J417"/>
  <c r="J416" s="1"/>
  <c r="T417"/>
  <c r="T416" s="1"/>
  <c r="N417"/>
  <c r="N416" s="1"/>
  <c r="E417"/>
  <c r="G417"/>
  <c r="G416" s="1"/>
  <c r="I417"/>
  <c r="I416" s="1"/>
  <c r="R417"/>
  <c r="R416" s="1"/>
  <c r="V417"/>
  <c r="V416" s="1"/>
  <c r="D977"/>
  <c r="D976" s="1"/>
  <c r="C978"/>
  <c r="C977" s="1"/>
  <c r="C976" s="1"/>
  <c r="C867"/>
  <c r="C866" s="1"/>
  <c r="C863" s="1"/>
  <c r="C936"/>
  <c r="C1021"/>
  <c r="C859"/>
  <c r="C858" s="1"/>
  <c r="C855"/>
  <c r="C941"/>
  <c r="C940" s="1"/>
  <c r="D665"/>
  <c r="D359"/>
  <c r="D419"/>
  <c r="D360"/>
  <c r="D600"/>
  <c r="D615"/>
  <c r="D611" s="1"/>
  <c r="C853"/>
  <c r="C852" s="1"/>
  <c r="C988" l="1"/>
  <c r="C987" s="1"/>
  <c r="C935"/>
  <c r="C929" s="1"/>
  <c r="C1020"/>
  <c r="C1019" s="1"/>
  <c r="E610"/>
  <c r="E416"/>
  <c r="C884"/>
  <c r="C883" s="1"/>
  <c r="C396"/>
  <c r="C395" s="1"/>
  <c r="C394" s="1"/>
  <c r="D395"/>
  <c r="D394" s="1"/>
  <c r="D417"/>
  <c r="D416" s="1"/>
  <c r="C665"/>
  <c r="C664" s="1"/>
  <c r="C660" s="1"/>
  <c r="D664"/>
  <c r="D660" s="1"/>
  <c r="C615"/>
  <c r="D610"/>
  <c r="C600"/>
  <c r="C599" s="1"/>
  <c r="C596" s="1"/>
  <c r="D599"/>
  <c r="D596" s="1"/>
  <c r="C611" l="1"/>
  <c r="C610" s="1"/>
  <c r="F132" i="7"/>
  <c r="F130" s="1"/>
  <c r="R358" i="6" l="1"/>
  <c r="R357" s="1"/>
  <c r="R9" s="1"/>
  <c r="P358"/>
  <c r="P357" l="1"/>
  <c r="P9" s="1"/>
  <c r="T358"/>
  <c r="T357" s="1"/>
  <c r="T9" s="1"/>
  <c r="V358"/>
  <c r="V357" s="1"/>
  <c r="V9" s="1"/>
  <c r="C419"/>
  <c r="C360"/>
  <c r="C359"/>
  <c r="C417" l="1"/>
  <c r="C416" s="1"/>
  <c r="S946" i="5"/>
  <c r="F94" i="7" l="1"/>
  <c r="F115"/>
  <c r="F114" s="1"/>
  <c r="C94" l="1"/>
  <c r="D94"/>
  <c r="D78"/>
  <c r="D77" s="1"/>
  <c r="C78"/>
  <c r="C77" s="1"/>
  <c r="D175" l="1"/>
  <c r="C175"/>
  <c r="F175"/>
  <c r="R889" i="5"/>
  <c r="R604"/>
  <c r="O604"/>
  <c r="O603" s="1"/>
  <c r="O600" s="1"/>
  <c r="P266" l="1"/>
  <c r="P265" s="1"/>
  <c r="P254" s="1"/>
  <c r="P339"/>
  <c r="P398"/>
  <c r="C814" i="6" l="1"/>
  <c r="C743" s="1"/>
  <c r="D814"/>
  <c r="D743" s="1"/>
  <c r="P396" i="5"/>
  <c r="P395" s="1"/>
  <c r="D93" i="7" l="1"/>
  <c r="C93"/>
  <c r="R945" i="5" l="1"/>
  <c r="I995" l="1"/>
  <c r="J995"/>
  <c r="D211" i="7"/>
  <c r="D210" s="1"/>
  <c r="M995" i="5"/>
  <c r="N995"/>
  <c r="O995"/>
  <c r="Q995"/>
  <c r="H995"/>
  <c r="R997" l="1"/>
  <c r="K995"/>
  <c r="C211" i="7"/>
  <c r="C210" s="1"/>
  <c r="L995" i="5" l="1"/>
  <c r="F201" i="7" l="1"/>
  <c r="F62"/>
  <c r="R965" i="5"/>
  <c r="R966"/>
  <c r="R864"/>
  <c r="C167" i="7" l="1"/>
  <c r="C166" s="1"/>
  <c r="D167"/>
  <c r="D166" s="1"/>
  <c r="R866" i="5"/>
  <c r="R869"/>
  <c r="R871"/>
  <c r="R867"/>
  <c r="R868"/>
  <c r="R865"/>
  <c r="C169" i="7" l="1"/>
  <c r="C193"/>
  <c r="V731" i="6"/>
  <c r="V437" s="1"/>
  <c r="U731"/>
  <c r="U437" s="1"/>
  <c r="T731"/>
  <c r="T437" s="1"/>
  <c r="S731"/>
  <c r="S437" s="1"/>
  <c r="R731"/>
  <c r="R437" s="1"/>
  <c r="P731"/>
  <c r="P437" s="1"/>
  <c r="O731"/>
  <c r="O437" s="1"/>
  <c r="N731"/>
  <c r="N437" s="1"/>
  <c r="M731"/>
  <c r="M437" s="1"/>
  <c r="J731"/>
  <c r="J437" s="1"/>
  <c r="I731"/>
  <c r="I437" s="1"/>
  <c r="H731"/>
  <c r="H437" s="1"/>
  <c r="G731"/>
  <c r="G437" s="1"/>
  <c r="F731"/>
  <c r="F437" s="1"/>
  <c r="E731"/>
  <c r="E437" s="1"/>
  <c r="U358"/>
  <c r="U357" s="1"/>
  <c r="U9" s="1"/>
  <c r="S358"/>
  <c r="S357" s="1"/>
  <c r="S9" s="1"/>
  <c r="O358"/>
  <c r="N358"/>
  <c r="N357" s="1"/>
  <c r="N9" s="1"/>
  <c r="M358"/>
  <c r="M357" s="1"/>
  <c r="M9" s="1"/>
  <c r="J358"/>
  <c r="J357" s="1"/>
  <c r="J9" s="1"/>
  <c r="I358"/>
  <c r="I357" s="1"/>
  <c r="I9" s="1"/>
  <c r="H358"/>
  <c r="H357" s="1"/>
  <c r="H9" s="1"/>
  <c r="G358"/>
  <c r="G357" s="1"/>
  <c r="G9" s="1"/>
  <c r="F358"/>
  <c r="F357" s="1"/>
  <c r="F9" s="1"/>
  <c r="E358"/>
  <c r="D358"/>
  <c r="C358"/>
  <c r="I886" i="5"/>
  <c r="I885" s="1"/>
  <c r="J886"/>
  <c r="J885" s="1"/>
  <c r="K886"/>
  <c r="K885" s="1"/>
  <c r="L886"/>
  <c r="L885" s="1"/>
  <c r="M886"/>
  <c r="M885" s="1"/>
  <c r="N886"/>
  <c r="N885" s="1"/>
  <c r="Q886"/>
  <c r="Q885" s="1"/>
  <c r="H886"/>
  <c r="H885" s="1"/>
  <c r="C504" i="2"/>
  <c r="C505"/>
  <c r="C503"/>
  <c r="E357" i="6" l="1"/>
  <c r="E9" s="1"/>
  <c r="O357"/>
  <c r="O9" s="1"/>
  <c r="C174" i="7"/>
  <c r="C173" s="1"/>
  <c r="F174"/>
  <c r="F173" s="1"/>
  <c r="D174"/>
  <c r="D173" s="1"/>
  <c r="F78"/>
  <c r="F77" s="1"/>
  <c r="C731" i="6"/>
  <c r="C437" s="1"/>
  <c r="D731"/>
  <c r="D437" s="1"/>
  <c r="C357"/>
  <c r="C9" s="1"/>
  <c r="D357"/>
  <c r="D9" s="1"/>
  <c r="F205" i="7" l="1"/>
  <c r="R1029" i="5"/>
  <c r="R1014"/>
  <c r="R1003"/>
  <c r="O1003"/>
  <c r="R1002"/>
  <c r="O1002"/>
  <c r="R993"/>
  <c r="R991"/>
  <c r="R988"/>
  <c r="R986"/>
  <c r="N984"/>
  <c r="M984"/>
  <c r="K984"/>
  <c r="J984"/>
  <c r="I984"/>
  <c r="H984"/>
  <c r="O984"/>
  <c r="R983"/>
  <c r="D203" i="7"/>
  <c r="C203"/>
  <c r="R963" i="5"/>
  <c r="O963"/>
  <c r="O962" s="1"/>
  <c r="R948"/>
  <c r="Q946"/>
  <c r="O946"/>
  <c r="N946"/>
  <c r="M946"/>
  <c r="K946"/>
  <c r="J946"/>
  <c r="I946"/>
  <c r="H946"/>
  <c r="R946"/>
  <c r="R935"/>
  <c r="O935"/>
  <c r="K905"/>
  <c r="J905"/>
  <c r="I905"/>
  <c r="H905"/>
  <c r="O886"/>
  <c r="O885" s="1"/>
  <c r="R881"/>
  <c r="Q877"/>
  <c r="O877"/>
  <c r="N877"/>
  <c r="M877"/>
  <c r="L877"/>
  <c r="K877"/>
  <c r="K765" s="1"/>
  <c r="J877"/>
  <c r="J765" s="1"/>
  <c r="I877"/>
  <c r="I765" s="1"/>
  <c r="H877"/>
  <c r="H765" s="1"/>
  <c r="R875"/>
  <c r="R844"/>
  <c r="O844"/>
  <c r="O842" s="1"/>
  <c r="R843"/>
  <c r="L614"/>
  <c r="L451" s="1"/>
  <c r="J614"/>
  <c r="J451" s="1"/>
  <c r="I614"/>
  <c r="I451" s="1"/>
  <c r="R398"/>
  <c r="R339"/>
  <c r="R338"/>
  <c r="O337"/>
  <c r="O336" s="1"/>
  <c r="N337"/>
  <c r="N336" s="1"/>
  <c r="N16" s="1"/>
  <c r="M337"/>
  <c r="M336" s="1"/>
  <c r="L337"/>
  <c r="K337"/>
  <c r="D67" i="7" s="1"/>
  <c r="J337" i="5"/>
  <c r="J336" s="1"/>
  <c r="I337"/>
  <c r="H337"/>
  <c r="C67" i="7" s="1"/>
  <c r="R266" i="5"/>
  <c r="D36" i="7"/>
  <c r="J220" i="5"/>
  <c r="I220"/>
  <c r="C36" i="7"/>
  <c r="J16" i="5" l="1"/>
  <c r="O1001"/>
  <c r="O1000" s="1"/>
  <c r="O934"/>
  <c r="O921" s="1"/>
  <c r="I336"/>
  <c r="I16" s="1"/>
  <c r="K614"/>
  <c r="K451" s="1"/>
  <c r="D115" i="7"/>
  <c r="D114" s="1"/>
  <c r="D90" s="1"/>
  <c r="H614" i="5"/>
  <c r="H451" s="1"/>
  <c r="C115" i="7"/>
  <c r="C114" s="1"/>
  <c r="C90" s="1"/>
  <c r="F116"/>
  <c r="F183"/>
  <c r="F154" s="1"/>
  <c r="F67"/>
  <c r="F66" s="1"/>
  <c r="F36"/>
  <c r="F35" s="1"/>
  <c r="F9" s="1"/>
  <c r="F46"/>
  <c r="F43" s="1"/>
  <c r="K220" i="5"/>
  <c r="K16" s="1"/>
  <c r="H336"/>
  <c r="C66" i="7"/>
  <c r="K336" i="5"/>
  <c r="D66" i="7"/>
  <c r="H220" i="5"/>
  <c r="H16" s="1"/>
  <c r="L984"/>
  <c r="L220"/>
  <c r="L905"/>
  <c r="L946"/>
  <c r="L336"/>
  <c r="O905"/>
  <c r="O765" s="1"/>
  <c r="O220"/>
  <c r="O16" s="1"/>
  <c r="D156" i="7"/>
  <c r="D154" s="1"/>
  <c r="C156"/>
  <c r="Q984" i="5"/>
  <c r="O614"/>
  <c r="O451" s="1"/>
  <c r="L16" l="1"/>
  <c r="L765"/>
  <c r="K14"/>
  <c r="J14"/>
  <c r="N14"/>
  <c r="O14"/>
  <c r="I14"/>
  <c r="H14"/>
  <c r="L14" l="1"/>
  <c r="Q337"/>
  <c r="Q336" l="1"/>
  <c r="Q16" s="1"/>
  <c r="P337"/>
  <c r="E207" i="3"/>
  <c r="F207"/>
  <c r="G207"/>
  <c r="H207"/>
  <c r="J207"/>
  <c r="K207"/>
  <c r="L207"/>
  <c r="E114"/>
  <c r="F114"/>
  <c r="G114"/>
  <c r="H114"/>
  <c r="J114"/>
  <c r="K114"/>
  <c r="L114"/>
  <c r="Y813" i="2"/>
  <c r="Q14" i="5" l="1"/>
  <c r="P336"/>
  <c r="P16" s="1"/>
  <c r="I235" i="3"/>
  <c r="D354" i="2"/>
  <c r="E354"/>
  <c r="F354"/>
  <c r="G354"/>
  <c r="H354"/>
  <c r="I354"/>
  <c r="J354"/>
  <c r="K354"/>
  <c r="L354"/>
  <c r="M354"/>
  <c r="N354"/>
  <c r="P354"/>
  <c r="Q354"/>
  <c r="R354"/>
  <c r="S354"/>
  <c r="T354"/>
  <c r="U354"/>
  <c r="D892"/>
  <c r="E892"/>
  <c r="F892"/>
  <c r="G892"/>
  <c r="H892"/>
  <c r="I892"/>
  <c r="J892"/>
  <c r="K892"/>
  <c r="L892"/>
  <c r="M892"/>
  <c r="N892"/>
  <c r="P892"/>
  <c r="Q892"/>
  <c r="R892"/>
  <c r="S892"/>
  <c r="T892"/>
  <c r="U892"/>
  <c r="D1383"/>
  <c r="E1383"/>
  <c r="F1383"/>
  <c r="G1383"/>
  <c r="H1383"/>
  <c r="I1383"/>
  <c r="J1383"/>
  <c r="K1383"/>
  <c r="L1383"/>
  <c r="M1383"/>
  <c r="N1383"/>
  <c r="P1383"/>
  <c r="Q1383"/>
  <c r="R1383"/>
  <c r="S1383"/>
  <c r="T1383"/>
  <c r="U1383"/>
  <c r="L1417" i="1"/>
  <c r="O1385" i="2" s="1"/>
  <c r="W1385" s="1"/>
  <c r="L1418" i="1"/>
  <c r="O1386" i="2" s="1"/>
  <c r="W1386" s="1"/>
  <c r="L1419" i="1"/>
  <c r="O1387" i="2" s="1"/>
  <c r="W1387" s="1"/>
  <c r="L1420" i="1"/>
  <c r="O1388" i="2" s="1"/>
  <c r="W1388" s="1"/>
  <c r="L1421" i="1"/>
  <c r="O1389" i="2" s="1"/>
  <c r="W1389" s="1"/>
  <c r="L1422" i="1"/>
  <c r="O1390" i="2" s="1"/>
  <c r="W1390" s="1"/>
  <c r="L1416" i="1"/>
  <c r="O1384" i="2" s="1"/>
  <c r="L919" i="1"/>
  <c r="O894" i="2" s="1"/>
  <c r="W894" s="1"/>
  <c r="L920" i="1"/>
  <c r="O895" i="2" s="1"/>
  <c r="W895" s="1"/>
  <c r="L921" i="1"/>
  <c r="O896" i="2" s="1"/>
  <c r="W896" s="1"/>
  <c r="L922" i="1"/>
  <c r="O897" i="2" s="1"/>
  <c r="W897" s="1"/>
  <c r="L923" i="1"/>
  <c r="O898" i="2" s="1"/>
  <c r="W898" s="1"/>
  <c r="L924" i="1"/>
  <c r="O899" i="2" s="1"/>
  <c r="W899" s="1"/>
  <c r="L925" i="1"/>
  <c r="O900" i="2" s="1"/>
  <c r="W900" s="1"/>
  <c r="L918" i="1"/>
  <c r="O893" i="2" s="1"/>
  <c r="L366" i="1"/>
  <c r="L367"/>
  <c r="L368"/>
  <c r="L369"/>
  <c r="L370"/>
  <c r="L371"/>
  <c r="L372"/>
  <c r="L365"/>
  <c r="P14" i="5" l="1"/>
  <c r="O362" i="2"/>
  <c r="W362" s="1"/>
  <c r="O355"/>
  <c r="W355" s="1"/>
  <c r="O361"/>
  <c r="W361" s="1"/>
  <c r="O359"/>
  <c r="W359" s="1"/>
  <c r="O357"/>
  <c r="W357" s="1"/>
  <c r="O360"/>
  <c r="W360" s="1"/>
  <c r="O358"/>
  <c r="W358" s="1"/>
  <c r="W356"/>
  <c r="W893"/>
  <c r="O892"/>
  <c r="W1384"/>
  <c r="O1383"/>
  <c r="C1384"/>
  <c r="C1389"/>
  <c r="C1387"/>
  <c r="C1385"/>
  <c r="C900"/>
  <c r="C898"/>
  <c r="C896"/>
  <c r="C894"/>
  <c r="C355"/>
  <c r="C361"/>
  <c r="C359"/>
  <c r="C357"/>
  <c r="C1390"/>
  <c r="C1388"/>
  <c r="C1386"/>
  <c r="C893"/>
  <c r="C899"/>
  <c r="C897"/>
  <c r="C895"/>
  <c r="C362"/>
  <c r="C360"/>
  <c r="C358"/>
  <c r="C356"/>
  <c r="E216" i="3"/>
  <c r="F216"/>
  <c r="G216"/>
  <c r="H216"/>
  <c r="J216"/>
  <c r="K216"/>
  <c r="E25"/>
  <c r="F25"/>
  <c r="G25"/>
  <c r="H25"/>
  <c r="J25"/>
  <c r="K25"/>
  <c r="L25"/>
  <c r="W300" i="2"/>
  <c r="W302"/>
  <c r="W304"/>
  <c r="W306"/>
  <c r="W310"/>
  <c r="I878" i="1"/>
  <c r="J878"/>
  <c r="K878"/>
  <c r="L878"/>
  <c r="M878"/>
  <c r="N878"/>
  <c r="P878"/>
  <c r="H878"/>
  <c r="O354" i="2" l="1"/>
  <c r="C354"/>
  <c r="C1383"/>
  <c r="C892"/>
  <c r="C250" i="3"/>
  <c r="D410" i="2"/>
  <c r="E410"/>
  <c r="F410"/>
  <c r="G410"/>
  <c r="H410"/>
  <c r="I410"/>
  <c r="J410"/>
  <c r="K410"/>
  <c r="L410"/>
  <c r="M410"/>
  <c r="N410"/>
  <c r="O410"/>
  <c r="P410"/>
  <c r="Q410"/>
  <c r="R410"/>
  <c r="S410"/>
  <c r="T410"/>
  <c r="U410"/>
  <c r="W411"/>
  <c r="C411"/>
  <c r="C410" s="1"/>
  <c r="X945"/>
  <c r="X944"/>
  <c r="D943"/>
  <c r="E943"/>
  <c r="F943"/>
  <c r="G943"/>
  <c r="H943"/>
  <c r="I943"/>
  <c r="J943"/>
  <c r="K943"/>
  <c r="L943"/>
  <c r="M943"/>
  <c r="N943"/>
  <c r="O943"/>
  <c r="P943"/>
  <c r="Q943"/>
  <c r="R943"/>
  <c r="S943"/>
  <c r="T943"/>
  <c r="U943"/>
  <c r="V943"/>
  <c r="C945"/>
  <c r="C944"/>
  <c r="C1430"/>
  <c r="I958" i="1"/>
  <c r="J958"/>
  <c r="K958"/>
  <c r="L958"/>
  <c r="M157" i="3" s="1"/>
  <c r="M958" i="1"/>
  <c r="N958"/>
  <c r="O958"/>
  <c r="P958"/>
  <c r="H958"/>
  <c r="Q960"/>
  <c r="Q959"/>
  <c r="Q416"/>
  <c r="D1222" i="2"/>
  <c r="E1222"/>
  <c r="F1222"/>
  <c r="G1222"/>
  <c r="H1222"/>
  <c r="I1222"/>
  <c r="J1222"/>
  <c r="K1222"/>
  <c r="L1222"/>
  <c r="M1222"/>
  <c r="N1222"/>
  <c r="P1222"/>
  <c r="Q1222"/>
  <c r="R1222"/>
  <c r="S1222"/>
  <c r="T1222"/>
  <c r="U1222"/>
  <c r="D730"/>
  <c r="E730"/>
  <c r="F730"/>
  <c r="G730"/>
  <c r="H730"/>
  <c r="I730"/>
  <c r="J730"/>
  <c r="K730"/>
  <c r="L730"/>
  <c r="M730"/>
  <c r="N730"/>
  <c r="P730"/>
  <c r="Q730"/>
  <c r="R730"/>
  <c r="S730"/>
  <c r="T730"/>
  <c r="U730"/>
  <c r="V730"/>
  <c r="D177"/>
  <c r="E177"/>
  <c r="F177"/>
  <c r="G177"/>
  <c r="H177"/>
  <c r="I177"/>
  <c r="J177"/>
  <c r="K177"/>
  <c r="L177"/>
  <c r="M177"/>
  <c r="N177"/>
  <c r="P177"/>
  <c r="Q177"/>
  <c r="R177"/>
  <c r="S177"/>
  <c r="T177"/>
  <c r="U177"/>
  <c r="V177"/>
  <c r="L1257" i="1"/>
  <c r="C1224" i="2" s="1"/>
  <c r="O1224" s="1"/>
  <c r="W1224" s="1"/>
  <c r="L1258" i="1"/>
  <c r="C1225" i="2" s="1"/>
  <c r="O1225" s="1"/>
  <c r="W1225" s="1"/>
  <c r="L1259" i="1"/>
  <c r="C1226" i="2" s="1"/>
  <c r="O1226" s="1"/>
  <c r="W1226" s="1"/>
  <c r="L1260" i="1"/>
  <c r="C1227" i="2" s="1"/>
  <c r="O1227" s="1"/>
  <c r="W1227" s="1"/>
  <c r="L1261" i="1"/>
  <c r="C1228" i="2" s="1"/>
  <c r="O1228" s="1"/>
  <c r="W1228" s="1"/>
  <c r="L1262" i="1"/>
  <c r="C1229" i="2" s="1"/>
  <c r="O1229" s="1"/>
  <c r="W1229" s="1"/>
  <c r="L1263" i="1"/>
  <c r="C1230" i="2" s="1"/>
  <c r="O1230" s="1"/>
  <c r="W1230" s="1"/>
  <c r="L1264" i="1"/>
  <c r="C1231" i="2" s="1"/>
  <c r="O1231" s="1"/>
  <c r="W1231" s="1"/>
  <c r="L1265" i="1"/>
  <c r="C1232" i="2" s="1"/>
  <c r="O1232" s="1"/>
  <c r="W1232" s="1"/>
  <c r="L1266" i="1"/>
  <c r="C1233" i="2" s="1"/>
  <c r="O1233" s="1"/>
  <c r="W1233" s="1"/>
  <c r="L1256" i="1"/>
  <c r="C1223" i="2" s="1"/>
  <c r="H1255" i="1"/>
  <c r="C199" i="3" s="1"/>
  <c r="L755" i="1"/>
  <c r="C732" i="2" s="1"/>
  <c r="O732" s="1"/>
  <c r="W732" s="1"/>
  <c r="L756" i="1"/>
  <c r="C733" i="2" s="1"/>
  <c r="O733" s="1"/>
  <c r="W733" s="1"/>
  <c r="L757" i="1"/>
  <c r="C734" i="2" s="1"/>
  <c r="O734" s="1"/>
  <c r="W734" s="1"/>
  <c r="L758" i="1"/>
  <c r="C735" i="2" s="1"/>
  <c r="O735" s="1"/>
  <c r="W735" s="1"/>
  <c r="L759" i="1"/>
  <c r="C736" i="2" s="1"/>
  <c r="O736" s="1"/>
  <c r="W736" s="1"/>
  <c r="L760" i="1"/>
  <c r="C737" i="2" s="1"/>
  <c r="O737" s="1"/>
  <c r="W737" s="1"/>
  <c r="L761" i="1"/>
  <c r="C738" i="2" s="1"/>
  <c r="O738" s="1"/>
  <c r="W738" s="1"/>
  <c r="L762" i="1"/>
  <c r="C739" i="2" s="1"/>
  <c r="O739" s="1"/>
  <c r="W739" s="1"/>
  <c r="L763" i="1"/>
  <c r="C740" i="2" s="1"/>
  <c r="O740" s="1"/>
  <c r="W740" s="1"/>
  <c r="L764" i="1"/>
  <c r="C741" i="2" s="1"/>
  <c r="O741" s="1"/>
  <c r="W741" s="1"/>
  <c r="L765" i="1"/>
  <c r="C742" i="2" s="1"/>
  <c r="O742" s="1"/>
  <c r="W742" s="1"/>
  <c r="L766" i="1"/>
  <c r="C743" i="2" s="1"/>
  <c r="O743" s="1"/>
  <c r="W743" s="1"/>
  <c r="L754" i="1"/>
  <c r="C731" i="2" s="1"/>
  <c r="O731" s="1"/>
  <c r="L190" i="1"/>
  <c r="C179" i="2" s="1"/>
  <c r="O179" s="1"/>
  <c r="W179" s="1"/>
  <c r="L191" i="1"/>
  <c r="C180" i="2" s="1"/>
  <c r="O180" s="1"/>
  <c r="W180" s="1"/>
  <c r="L192" i="1"/>
  <c r="C181" i="2" s="1"/>
  <c r="O181" s="1"/>
  <c r="W181" s="1"/>
  <c r="L193" i="1"/>
  <c r="C182" i="2" s="1"/>
  <c r="O182" s="1"/>
  <c r="W182" s="1"/>
  <c r="L194" i="1"/>
  <c r="C183" i="2" s="1"/>
  <c r="O183" s="1"/>
  <c r="W183" s="1"/>
  <c r="L195" i="1"/>
  <c r="C184" i="2" s="1"/>
  <c r="O184" s="1"/>
  <c r="W184" s="1"/>
  <c r="L196" i="1"/>
  <c r="C185" i="2" s="1"/>
  <c r="O185" s="1"/>
  <c r="W185" s="1"/>
  <c r="L197" i="1"/>
  <c r="C186" i="2" s="1"/>
  <c r="O186" s="1"/>
  <c r="W186" s="1"/>
  <c r="L198" i="1"/>
  <c r="C187" i="2" s="1"/>
  <c r="O187" s="1"/>
  <c r="W187" s="1"/>
  <c r="L199" i="1"/>
  <c r="C188" i="2" s="1"/>
  <c r="O188" s="1"/>
  <c r="W188" s="1"/>
  <c r="L200" i="1"/>
  <c r="C189" i="2" s="1"/>
  <c r="O189" s="1"/>
  <c r="W189" s="1"/>
  <c r="L201" i="1"/>
  <c r="C190" i="2" s="1"/>
  <c r="O190" s="1"/>
  <c r="W190" s="1"/>
  <c r="L202" i="1"/>
  <c r="C191" i="2" s="1"/>
  <c r="O191" s="1"/>
  <c r="W191" s="1"/>
  <c r="L203" i="1"/>
  <c r="C192" i="2" s="1"/>
  <c r="O192" s="1"/>
  <c r="W192" s="1"/>
  <c r="L204" i="1"/>
  <c r="C193" i="2" s="1"/>
  <c r="O193" s="1"/>
  <c r="W193" s="1"/>
  <c r="L189" i="1"/>
  <c r="C178" i="2" s="1"/>
  <c r="O188" i="1"/>
  <c r="O939"/>
  <c r="C157" i="3" l="1"/>
  <c r="D157"/>
  <c r="C1222" i="2"/>
  <c r="C943"/>
  <c r="O1223"/>
  <c r="C177"/>
  <c r="O730"/>
  <c r="W731"/>
  <c r="C730"/>
  <c r="O178"/>
  <c r="W178" s="1"/>
  <c r="W1223" l="1"/>
  <c r="O1222"/>
  <c r="O177"/>
  <c r="E430" l="1"/>
  <c r="F430"/>
  <c r="G430"/>
  <c r="H430"/>
  <c r="I430"/>
  <c r="J430"/>
  <c r="K430"/>
  <c r="L430"/>
  <c r="M430"/>
  <c r="N430"/>
  <c r="O430"/>
  <c r="P430"/>
  <c r="Q430"/>
  <c r="R430"/>
  <c r="S430"/>
  <c r="T430"/>
  <c r="U430"/>
  <c r="W1456"/>
  <c r="D1455"/>
  <c r="E1455"/>
  <c r="F1455"/>
  <c r="G1455"/>
  <c r="H1455"/>
  <c r="I1455"/>
  <c r="J1455"/>
  <c r="K1455"/>
  <c r="L1455"/>
  <c r="M1455"/>
  <c r="N1455"/>
  <c r="O1455"/>
  <c r="P1455"/>
  <c r="Q1455"/>
  <c r="R1455"/>
  <c r="S1455"/>
  <c r="T1455"/>
  <c r="U1455"/>
  <c r="C1456"/>
  <c r="C1455" s="1"/>
  <c r="X974"/>
  <c r="X973"/>
  <c r="X972"/>
  <c r="D971"/>
  <c r="E971"/>
  <c r="F971"/>
  <c r="G971"/>
  <c r="H971"/>
  <c r="I971"/>
  <c r="J971"/>
  <c r="K971"/>
  <c r="L971"/>
  <c r="M971"/>
  <c r="N971"/>
  <c r="O971"/>
  <c r="P971"/>
  <c r="Q971"/>
  <c r="R971"/>
  <c r="S971"/>
  <c r="T971"/>
  <c r="U971"/>
  <c r="V971"/>
  <c r="C973"/>
  <c r="C974"/>
  <c r="C972"/>
  <c r="D436"/>
  <c r="E436"/>
  <c r="F436"/>
  <c r="G436"/>
  <c r="H436"/>
  <c r="I436"/>
  <c r="J436"/>
  <c r="K436"/>
  <c r="L436"/>
  <c r="M436"/>
  <c r="N436"/>
  <c r="O436"/>
  <c r="P436"/>
  <c r="Q436"/>
  <c r="R436"/>
  <c r="S436"/>
  <c r="T436"/>
  <c r="U436"/>
  <c r="V436"/>
  <c r="W437"/>
  <c r="C437"/>
  <c r="C436" s="1"/>
  <c r="Q988" i="1"/>
  <c r="I986"/>
  <c r="J986"/>
  <c r="K986"/>
  <c r="L986"/>
  <c r="M986"/>
  <c r="N986"/>
  <c r="P986"/>
  <c r="H986"/>
  <c r="Q987"/>
  <c r="H441"/>
  <c r="X333" i="2"/>
  <c r="W333"/>
  <c r="X332"/>
  <c r="W332"/>
  <c r="D331"/>
  <c r="E331"/>
  <c r="F331"/>
  <c r="G331"/>
  <c r="H331"/>
  <c r="I331"/>
  <c r="J331"/>
  <c r="K331"/>
  <c r="L331"/>
  <c r="M331"/>
  <c r="N331"/>
  <c r="O331"/>
  <c r="P331"/>
  <c r="Q331"/>
  <c r="R331"/>
  <c r="S331"/>
  <c r="T331"/>
  <c r="U331"/>
  <c r="V331"/>
  <c r="C333"/>
  <c r="C332"/>
  <c r="I341" i="1"/>
  <c r="J341"/>
  <c r="K341"/>
  <c r="D42" i="3" s="1"/>
  <c r="L341" i="1"/>
  <c r="L42" i="3" s="1"/>
  <c r="N42" s="1"/>
  <c r="M341" i="1"/>
  <c r="N341"/>
  <c r="O341"/>
  <c r="P341"/>
  <c r="H341"/>
  <c r="C42" i="3" s="1"/>
  <c r="Q343" i="1"/>
  <c r="Q342"/>
  <c r="D166" i="3" l="1"/>
  <c r="C166"/>
  <c r="M166"/>
  <c r="C971" i="2"/>
  <c r="C331"/>
  <c r="AB968"/>
  <c r="E964"/>
  <c r="F964"/>
  <c r="G964"/>
  <c r="H964"/>
  <c r="I964"/>
  <c r="J964"/>
  <c r="K964"/>
  <c r="L964"/>
  <c r="M964"/>
  <c r="N964"/>
  <c r="O964"/>
  <c r="P964"/>
  <c r="Q964"/>
  <c r="R964"/>
  <c r="S964"/>
  <c r="T964"/>
  <c r="U964"/>
  <c r="H979" i="1"/>
  <c r="E172" i="3" l="1"/>
  <c r="F172"/>
  <c r="G172"/>
  <c r="H172"/>
  <c r="J172"/>
  <c r="K172"/>
  <c r="L172"/>
  <c r="M172"/>
  <c r="D265"/>
  <c r="E265"/>
  <c r="F265"/>
  <c r="G265"/>
  <c r="H265"/>
  <c r="I265"/>
  <c r="J265"/>
  <c r="K265"/>
  <c r="L265"/>
  <c r="M265"/>
  <c r="C265"/>
  <c r="D1474" i="2"/>
  <c r="E1474"/>
  <c r="F1474"/>
  <c r="G1474"/>
  <c r="H1474"/>
  <c r="I1474"/>
  <c r="J1474"/>
  <c r="K1474"/>
  <c r="L1474"/>
  <c r="M1474"/>
  <c r="N1474"/>
  <c r="O1474"/>
  <c r="P1474"/>
  <c r="Q1474"/>
  <c r="R1474"/>
  <c r="S1474"/>
  <c r="T1474"/>
  <c r="U1474"/>
  <c r="V1474"/>
  <c r="C1474"/>
  <c r="D993"/>
  <c r="E993"/>
  <c r="F993"/>
  <c r="G993"/>
  <c r="H993"/>
  <c r="I993"/>
  <c r="J993"/>
  <c r="K993"/>
  <c r="L993"/>
  <c r="M993"/>
  <c r="N993"/>
  <c r="O993"/>
  <c r="P993"/>
  <c r="Q993"/>
  <c r="R993"/>
  <c r="S993"/>
  <c r="T993"/>
  <c r="U993"/>
  <c r="V993"/>
  <c r="C993"/>
  <c r="H1080" i="1"/>
  <c r="V1459" i="2"/>
  <c r="D1460"/>
  <c r="D1459" s="1"/>
  <c r="E1460"/>
  <c r="E1459" s="1"/>
  <c r="F1460"/>
  <c r="F1459" s="1"/>
  <c r="G1460"/>
  <c r="G1459" s="1"/>
  <c r="H1460"/>
  <c r="H1459" s="1"/>
  <c r="I1460"/>
  <c r="I1459" s="1"/>
  <c r="J1460"/>
  <c r="J1459" s="1"/>
  <c r="K1460"/>
  <c r="K1459" s="1"/>
  <c r="L1460"/>
  <c r="L1459" s="1"/>
  <c r="M1460"/>
  <c r="M1459" s="1"/>
  <c r="N1460"/>
  <c r="N1459" s="1"/>
  <c r="O1460"/>
  <c r="O1459" s="1"/>
  <c r="P1460"/>
  <c r="P1459" s="1"/>
  <c r="Q1460"/>
  <c r="Q1459" s="1"/>
  <c r="R1460"/>
  <c r="R1459" s="1"/>
  <c r="S1460"/>
  <c r="S1459" s="1"/>
  <c r="T1460"/>
  <c r="T1459" s="1"/>
  <c r="U1460"/>
  <c r="U1459" s="1"/>
  <c r="W1461"/>
  <c r="C1461"/>
  <c r="C1460" s="1"/>
  <c r="C1459" s="1"/>
  <c r="D978"/>
  <c r="E978"/>
  <c r="F978"/>
  <c r="G978"/>
  <c r="H978"/>
  <c r="I978"/>
  <c r="J978"/>
  <c r="K978"/>
  <c r="L978"/>
  <c r="M978"/>
  <c r="N978"/>
  <c r="O978"/>
  <c r="P978"/>
  <c r="Q978"/>
  <c r="R978"/>
  <c r="S978"/>
  <c r="T978"/>
  <c r="U978"/>
  <c r="W980"/>
  <c r="AE979"/>
  <c r="C980"/>
  <c r="C979"/>
  <c r="Y443"/>
  <c r="AE442"/>
  <c r="D443"/>
  <c r="D442"/>
  <c r="E441"/>
  <c r="F441"/>
  <c r="G441"/>
  <c r="H441"/>
  <c r="I441"/>
  <c r="J441"/>
  <c r="K441"/>
  <c r="L441"/>
  <c r="M441"/>
  <c r="N441"/>
  <c r="O441"/>
  <c r="P441"/>
  <c r="Q441"/>
  <c r="R441"/>
  <c r="S441"/>
  <c r="T441"/>
  <c r="U441"/>
  <c r="C443"/>
  <c r="C442"/>
  <c r="C441" l="1"/>
  <c r="C978"/>
  <c r="D441"/>
  <c r="E76" i="3"/>
  <c r="F76"/>
  <c r="G76"/>
  <c r="H76"/>
  <c r="J76"/>
  <c r="K76"/>
  <c r="L76"/>
  <c r="AG484" i="2"/>
  <c r="AG475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466"/>
  <c r="L547" i="1"/>
  <c r="L548"/>
  <c r="L549"/>
  <c r="L550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46"/>
  <c r="D1536" i="2" l="1"/>
  <c r="E1536"/>
  <c r="F1536"/>
  <c r="G1536"/>
  <c r="H1536"/>
  <c r="I1536"/>
  <c r="J1536"/>
  <c r="K1536"/>
  <c r="L1536"/>
  <c r="M1536"/>
  <c r="N1536"/>
  <c r="O1536"/>
  <c r="P1536"/>
  <c r="Q1536"/>
  <c r="R1536"/>
  <c r="S1536"/>
  <c r="T1536"/>
  <c r="U1536"/>
  <c r="V1536"/>
  <c r="W1537"/>
  <c r="C1537"/>
  <c r="C1536" s="1"/>
  <c r="W560"/>
  <c r="I1488" i="1"/>
  <c r="J1488"/>
  <c r="K1488"/>
  <c r="L1488"/>
  <c r="M1488"/>
  <c r="N1488"/>
  <c r="P1488"/>
  <c r="H1488"/>
  <c r="W1374" i="2"/>
  <c r="W1375"/>
  <c r="W1376"/>
  <c r="W1377"/>
  <c r="W1378"/>
  <c r="W1379"/>
  <c r="W1380"/>
  <c r="W1381"/>
  <c r="W1373"/>
  <c r="V1371"/>
  <c r="D1372"/>
  <c r="D1371" s="1"/>
  <c r="E1372"/>
  <c r="E1371" s="1"/>
  <c r="F1372"/>
  <c r="F1371" s="1"/>
  <c r="G1372"/>
  <c r="G1371" s="1"/>
  <c r="H1372"/>
  <c r="H1371" s="1"/>
  <c r="I1372"/>
  <c r="I1371" s="1"/>
  <c r="J1372"/>
  <c r="J1371" s="1"/>
  <c r="K1372"/>
  <c r="K1371" s="1"/>
  <c r="L1372"/>
  <c r="L1371" s="1"/>
  <c r="M1372"/>
  <c r="M1371" s="1"/>
  <c r="N1372"/>
  <c r="N1371" s="1"/>
  <c r="O1372"/>
  <c r="O1371" s="1"/>
  <c r="P1372"/>
  <c r="P1371" s="1"/>
  <c r="Q1372"/>
  <c r="Q1371" s="1"/>
  <c r="R1372"/>
  <c r="R1371" s="1"/>
  <c r="S1372"/>
  <c r="S1371" s="1"/>
  <c r="T1372"/>
  <c r="T1371" s="1"/>
  <c r="U1372"/>
  <c r="U1371" s="1"/>
  <c r="C1374"/>
  <c r="C1375"/>
  <c r="C1376"/>
  <c r="C1377"/>
  <c r="C1378"/>
  <c r="C1379"/>
  <c r="C1380"/>
  <c r="C1381"/>
  <c r="C1373"/>
  <c r="W886"/>
  <c r="W887"/>
  <c r="W888"/>
  <c r="W889"/>
  <c r="W890"/>
  <c r="W885"/>
  <c r="D884"/>
  <c r="E884"/>
  <c r="F884"/>
  <c r="G884"/>
  <c r="H884"/>
  <c r="I884"/>
  <c r="J884"/>
  <c r="K884"/>
  <c r="L884"/>
  <c r="M884"/>
  <c r="N884"/>
  <c r="O884"/>
  <c r="P884"/>
  <c r="Q884"/>
  <c r="R884"/>
  <c r="S884"/>
  <c r="T884"/>
  <c r="U884"/>
  <c r="V884"/>
  <c r="C886"/>
  <c r="C887"/>
  <c r="C888"/>
  <c r="C889"/>
  <c r="C890"/>
  <c r="C885"/>
  <c r="W345"/>
  <c r="W346"/>
  <c r="W347"/>
  <c r="W348"/>
  <c r="W349"/>
  <c r="W350"/>
  <c r="W351"/>
  <c r="W352"/>
  <c r="W344"/>
  <c r="D343"/>
  <c r="D342" s="1"/>
  <c r="E343"/>
  <c r="E342" s="1"/>
  <c r="F343"/>
  <c r="F342" s="1"/>
  <c r="G343"/>
  <c r="G342" s="1"/>
  <c r="H343"/>
  <c r="H342" s="1"/>
  <c r="I343"/>
  <c r="I342" s="1"/>
  <c r="J343"/>
  <c r="J342" s="1"/>
  <c r="K343"/>
  <c r="K342" s="1"/>
  <c r="L343"/>
  <c r="L342" s="1"/>
  <c r="M343"/>
  <c r="M342" s="1"/>
  <c r="N343"/>
  <c r="N342" s="1"/>
  <c r="O343"/>
  <c r="O342" s="1"/>
  <c r="P343"/>
  <c r="P342" s="1"/>
  <c r="Q343"/>
  <c r="Q342" s="1"/>
  <c r="R343"/>
  <c r="R342" s="1"/>
  <c r="S343"/>
  <c r="S342" s="1"/>
  <c r="T343"/>
  <c r="T342" s="1"/>
  <c r="U343"/>
  <c r="U342" s="1"/>
  <c r="C345"/>
  <c r="C346"/>
  <c r="C347"/>
  <c r="C348"/>
  <c r="C349"/>
  <c r="C350"/>
  <c r="C351"/>
  <c r="C352"/>
  <c r="C344"/>
  <c r="D224"/>
  <c r="D225"/>
  <c r="D226"/>
  <c r="D227"/>
  <c r="D228"/>
  <c r="D229"/>
  <c r="D230"/>
  <c r="D231"/>
  <c r="C224"/>
  <c r="C225"/>
  <c r="C226"/>
  <c r="C227"/>
  <c r="C228"/>
  <c r="C229"/>
  <c r="C230"/>
  <c r="C231"/>
  <c r="C223"/>
  <c r="X1264"/>
  <c r="AF1263"/>
  <c r="D1262"/>
  <c r="E1262"/>
  <c r="F1262"/>
  <c r="G1262"/>
  <c r="H1262"/>
  <c r="I1262"/>
  <c r="J1262"/>
  <c r="K1262"/>
  <c r="L1262"/>
  <c r="M1262"/>
  <c r="N1262"/>
  <c r="O1262"/>
  <c r="P1262"/>
  <c r="Q1262"/>
  <c r="R1262"/>
  <c r="S1262"/>
  <c r="T1262"/>
  <c r="U1262"/>
  <c r="V1262"/>
  <c r="C1264"/>
  <c r="C1263"/>
  <c r="I1295" i="1"/>
  <c r="J1295"/>
  <c r="K1295"/>
  <c r="L1295"/>
  <c r="M1295"/>
  <c r="N1295"/>
  <c r="O1295"/>
  <c r="P1295"/>
  <c r="H1295"/>
  <c r="Q1297"/>
  <c r="Q1296"/>
  <c r="D465" i="2"/>
  <c r="E465"/>
  <c r="F465"/>
  <c r="G465"/>
  <c r="H465"/>
  <c r="I465"/>
  <c r="J465"/>
  <c r="K465"/>
  <c r="L465"/>
  <c r="M465"/>
  <c r="N465"/>
  <c r="O465"/>
  <c r="P465"/>
  <c r="Q465"/>
  <c r="R465"/>
  <c r="S465"/>
  <c r="T465"/>
  <c r="U465"/>
  <c r="V465"/>
  <c r="V456" s="1"/>
  <c r="W466"/>
  <c r="E457"/>
  <c r="F457"/>
  <c r="G457"/>
  <c r="H457"/>
  <c r="I457"/>
  <c r="J457"/>
  <c r="K457"/>
  <c r="L457"/>
  <c r="M457"/>
  <c r="N457"/>
  <c r="O457"/>
  <c r="P457"/>
  <c r="Q457"/>
  <c r="R457"/>
  <c r="S457"/>
  <c r="T457"/>
  <c r="U457"/>
  <c r="AB464"/>
  <c r="AG463"/>
  <c r="AD462"/>
  <c r="Y462"/>
  <c r="AD461"/>
  <c r="AB461"/>
  <c r="W460"/>
  <c r="W459"/>
  <c r="W458"/>
  <c r="D459"/>
  <c r="D460"/>
  <c r="D461"/>
  <c r="D462"/>
  <c r="D463"/>
  <c r="D464"/>
  <c r="D458"/>
  <c r="C459"/>
  <c r="C460"/>
  <c r="C461"/>
  <c r="C462"/>
  <c r="C463"/>
  <c r="C464"/>
  <c r="C458"/>
  <c r="Q539" i="1"/>
  <c r="Q540"/>
  <c r="Q541"/>
  <c r="Q542"/>
  <c r="Q543"/>
  <c r="Q544"/>
  <c r="Q538"/>
  <c r="H767"/>
  <c r="R456" i="2" l="1"/>
  <c r="N456"/>
  <c r="J456"/>
  <c r="Q456"/>
  <c r="M456"/>
  <c r="I456"/>
  <c r="S456"/>
  <c r="O456"/>
  <c r="K456"/>
  <c r="U456"/>
  <c r="T456"/>
  <c r="P456"/>
  <c r="L456"/>
  <c r="H456"/>
  <c r="M202" i="3"/>
  <c r="C262"/>
  <c r="M262"/>
  <c r="C202"/>
  <c r="D202"/>
  <c r="D262"/>
  <c r="C1372" i="2"/>
  <c r="C1371" s="1"/>
  <c r="D457"/>
  <c r="D456" s="1"/>
  <c r="G456"/>
  <c r="E456"/>
  <c r="C1262"/>
  <c r="C343"/>
  <c r="C342" s="1"/>
  <c r="C884"/>
  <c r="F456"/>
  <c r="C457"/>
  <c r="Q1258" i="1"/>
  <c r="Q1259"/>
  <c r="Q1260"/>
  <c r="Q1261"/>
  <c r="Q1262"/>
  <c r="Q1263"/>
  <c r="Q1264"/>
  <c r="Q1265"/>
  <c r="Q1266"/>
  <c r="Q760" l="1"/>
  <c r="Q761"/>
  <c r="Q762"/>
  <c r="Q763"/>
  <c r="Q764"/>
  <c r="Q765"/>
  <c r="Q194"/>
  <c r="Q195"/>
  <c r="Q196"/>
  <c r="Q197"/>
  <c r="Q198"/>
  <c r="Q199"/>
  <c r="Q200"/>
  <c r="Q201"/>
  <c r="AD1304" i="2"/>
  <c r="AB1304"/>
  <c r="AA1304"/>
  <c r="D1304"/>
  <c r="E1300"/>
  <c r="F1300"/>
  <c r="G1300"/>
  <c r="H1300"/>
  <c r="I1300"/>
  <c r="J1300"/>
  <c r="K1300"/>
  <c r="L1300"/>
  <c r="M1300"/>
  <c r="N1300"/>
  <c r="O1300"/>
  <c r="P1300"/>
  <c r="Q1300"/>
  <c r="R1300"/>
  <c r="S1300"/>
  <c r="T1300"/>
  <c r="U1300"/>
  <c r="V1300"/>
  <c r="C1304"/>
  <c r="Y271"/>
  <c r="Y270"/>
  <c r="Y815"/>
  <c r="I1332" i="1"/>
  <c r="K1332"/>
  <c r="L1332"/>
  <c r="M1332"/>
  <c r="N1332"/>
  <c r="P1332"/>
  <c r="H1332"/>
  <c r="Q1336"/>
  <c r="O1336"/>
  <c r="O277"/>
  <c r="A275" l="1"/>
  <c r="A276" s="1"/>
  <c r="A278"/>
  <c r="A279" s="1"/>
  <c r="A271"/>
  <c r="E235" i="2"/>
  <c r="F235"/>
  <c r="G235"/>
  <c r="H235"/>
  <c r="I235"/>
  <c r="J235"/>
  <c r="K235"/>
  <c r="L235"/>
  <c r="M235"/>
  <c r="N235"/>
  <c r="O235"/>
  <c r="P235"/>
  <c r="Q235"/>
  <c r="R235"/>
  <c r="S235"/>
  <c r="T235"/>
  <c r="U235"/>
  <c r="V235"/>
  <c r="AD240"/>
  <c r="AD239"/>
  <c r="D237"/>
  <c r="D238"/>
  <c r="D239"/>
  <c r="D240"/>
  <c r="D236"/>
  <c r="C239"/>
  <c r="C240"/>
  <c r="W1276"/>
  <c r="E1275"/>
  <c r="F1275"/>
  <c r="G1275"/>
  <c r="H1275"/>
  <c r="I1275"/>
  <c r="J1275"/>
  <c r="K1275"/>
  <c r="L1275"/>
  <c r="M1275"/>
  <c r="N1275"/>
  <c r="O1275"/>
  <c r="P1275"/>
  <c r="Q1275"/>
  <c r="R1275"/>
  <c r="S1275"/>
  <c r="T1275"/>
  <c r="U1275"/>
  <c r="I244" i="1"/>
  <c r="J244"/>
  <c r="K244"/>
  <c r="L244"/>
  <c r="N244"/>
  <c r="P244"/>
  <c r="H244"/>
  <c r="D1341" i="2"/>
  <c r="E1341"/>
  <c r="F1341"/>
  <c r="G1341"/>
  <c r="H1341"/>
  <c r="I1341"/>
  <c r="J1341"/>
  <c r="K1341"/>
  <c r="L1341"/>
  <c r="M1341"/>
  <c r="N1341"/>
  <c r="O1341"/>
  <c r="P1341"/>
  <c r="Q1341"/>
  <c r="R1341"/>
  <c r="S1341"/>
  <c r="T1341"/>
  <c r="U1341"/>
  <c r="W1342"/>
  <c r="C1342"/>
  <c r="C1341" s="1"/>
  <c r="D855"/>
  <c r="E855"/>
  <c r="F855"/>
  <c r="G855"/>
  <c r="H855"/>
  <c r="I855"/>
  <c r="J855"/>
  <c r="K855"/>
  <c r="L855"/>
  <c r="M855"/>
  <c r="N855"/>
  <c r="O855"/>
  <c r="P855"/>
  <c r="Q855"/>
  <c r="R855"/>
  <c r="S855"/>
  <c r="T855"/>
  <c r="U855"/>
  <c r="W856"/>
  <c r="C856"/>
  <c r="C855" s="1"/>
  <c r="I1373" i="1"/>
  <c r="J1373"/>
  <c r="K1373"/>
  <c r="L1373"/>
  <c r="M1373"/>
  <c r="N1373"/>
  <c r="P1373"/>
  <c r="H1373"/>
  <c r="C1346" i="2"/>
  <c r="D1345"/>
  <c r="E1345"/>
  <c r="F1345"/>
  <c r="G1345"/>
  <c r="H1345"/>
  <c r="I1345"/>
  <c r="J1345"/>
  <c r="K1345"/>
  <c r="L1345"/>
  <c r="M1345"/>
  <c r="N1345"/>
  <c r="O1345"/>
  <c r="P1345"/>
  <c r="Q1345"/>
  <c r="R1345"/>
  <c r="S1345"/>
  <c r="T1345"/>
  <c r="U1345"/>
  <c r="V1345"/>
  <c r="C1345"/>
  <c r="I545" i="1"/>
  <c r="J545"/>
  <c r="K545"/>
  <c r="M545"/>
  <c r="N545"/>
  <c r="O545"/>
  <c r="P545"/>
  <c r="H545"/>
  <c r="C466" i="2"/>
  <c r="I537" i="1"/>
  <c r="J537"/>
  <c r="K537"/>
  <c r="L537"/>
  <c r="M537"/>
  <c r="N537"/>
  <c r="N536" s="1"/>
  <c r="O537"/>
  <c r="P537"/>
  <c r="H537"/>
  <c r="C746" i="2"/>
  <c r="C745"/>
  <c r="C195"/>
  <c r="N240" i="3"/>
  <c r="N146"/>
  <c r="N50"/>
  <c r="W365" i="2"/>
  <c r="W364"/>
  <c r="D363"/>
  <c r="E363"/>
  <c r="F363"/>
  <c r="G363"/>
  <c r="H363"/>
  <c r="I363"/>
  <c r="J363"/>
  <c r="K363"/>
  <c r="L363"/>
  <c r="M363"/>
  <c r="N363"/>
  <c r="O363"/>
  <c r="P363"/>
  <c r="Q363"/>
  <c r="R363"/>
  <c r="S363"/>
  <c r="T363"/>
  <c r="U363"/>
  <c r="C365"/>
  <c r="C364"/>
  <c r="E901"/>
  <c r="F901"/>
  <c r="G901"/>
  <c r="H901"/>
  <c r="I901"/>
  <c r="J901"/>
  <c r="K901"/>
  <c r="L901"/>
  <c r="M901"/>
  <c r="N901"/>
  <c r="O901"/>
  <c r="P901"/>
  <c r="Q901"/>
  <c r="R901"/>
  <c r="S901"/>
  <c r="T901"/>
  <c r="U901"/>
  <c r="V901"/>
  <c r="Y903"/>
  <c r="X902"/>
  <c r="D903"/>
  <c r="D902"/>
  <c r="C903"/>
  <c r="C902"/>
  <c r="E1391"/>
  <c r="F1391"/>
  <c r="G1391"/>
  <c r="H1391"/>
  <c r="I1391"/>
  <c r="J1391"/>
  <c r="K1391"/>
  <c r="L1391"/>
  <c r="M1391"/>
  <c r="N1391"/>
  <c r="O1391"/>
  <c r="P1391"/>
  <c r="Q1391"/>
  <c r="R1391"/>
  <c r="S1391"/>
  <c r="T1391"/>
  <c r="U1391"/>
  <c r="Y1393"/>
  <c r="W1392"/>
  <c r="D1393"/>
  <c r="D1392"/>
  <c r="C1393"/>
  <c r="C1392"/>
  <c r="I1423" i="1"/>
  <c r="J1423"/>
  <c r="K1423"/>
  <c r="L1423"/>
  <c r="M1423"/>
  <c r="N1423"/>
  <c r="O1423"/>
  <c r="P1423"/>
  <c r="H1423"/>
  <c r="Q1424"/>
  <c r="Q1425"/>
  <c r="I926"/>
  <c r="J926"/>
  <c r="K926"/>
  <c r="D146" i="3" s="1"/>
  <c r="L926" i="1"/>
  <c r="M926"/>
  <c r="N926"/>
  <c r="O926"/>
  <c r="P926"/>
  <c r="H926"/>
  <c r="C146" i="3" s="1"/>
  <c r="Q927" i="1"/>
  <c r="Q928"/>
  <c r="I373"/>
  <c r="J373"/>
  <c r="K373"/>
  <c r="L373"/>
  <c r="M373"/>
  <c r="N373"/>
  <c r="O373"/>
  <c r="P373"/>
  <c r="H373"/>
  <c r="Q374"/>
  <c r="Q375"/>
  <c r="E132" i="3"/>
  <c r="F132"/>
  <c r="G132"/>
  <c r="H132"/>
  <c r="J132"/>
  <c r="K132"/>
  <c r="L132"/>
  <c r="E226"/>
  <c r="F226"/>
  <c r="G226"/>
  <c r="H226"/>
  <c r="J226"/>
  <c r="K226"/>
  <c r="L226"/>
  <c r="W318" i="2"/>
  <c r="W319"/>
  <c r="W320"/>
  <c r="W321"/>
  <c r="W317"/>
  <c r="D316"/>
  <c r="D315" s="1"/>
  <c r="E316"/>
  <c r="E315" s="1"/>
  <c r="F316"/>
  <c r="F315" s="1"/>
  <c r="G316"/>
  <c r="G315" s="1"/>
  <c r="H316"/>
  <c r="H315" s="1"/>
  <c r="I316"/>
  <c r="I315" s="1"/>
  <c r="J316"/>
  <c r="J315" s="1"/>
  <c r="K316"/>
  <c r="K315" s="1"/>
  <c r="L316"/>
  <c r="L315" s="1"/>
  <c r="M316"/>
  <c r="M315" s="1"/>
  <c r="N316"/>
  <c r="N315" s="1"/>
  <c r="O316"/>
  <c r="O315" s="1"/>
  <c r="P316"/>
  <c r="P315" s="1"/>
  <c r="Q316"/>
  <c r="Q315" s="1"/>
  <c r="R316"/>
  <c r="R315" s="1"/>
  <c r="S316"/>
  <c r="S315" s="1"/>
  <c r="T316"/>
  <c r="T315" s="1"/>
  <c r="U316"/>
  <c r="U315" s="1"/>
  <c r="C318"/>
  <c r="C319"/>
  <c r="C320"/>
  <c r="C321"/>
  <c r="C317"/>
  <c r="V862"/>
  <c r="D863"/>
  <c r="D862" s="1"/>
  <c r="E863"/>
  <c r="E862" s="1"/>
  <c r="F863"/>
  <c r="F862" s="1"/>
  <c r="G863"/>
  <c r="G862" s="1"/>
  <c r="H863"/>
  <c r="H862" s="1"/>
  <c r="I863"/>
  <c r="I862" s="1"/>
  <c r="J863"/>
  <c r="J862" s="1"/>
  <c r="K863"/>
  <c r="K862" s="1"/>
  <c r="L863"/>
  <c r="L862" s="1"/>
  <c r="M863"/>
  <c r="M862" s="1"/>
  <c r="N863"/>
  <c r="N862" s="1"/>
  <c r="O863"/>
  <c r="O862" s="1"/>
  <c r="P863"/>
  <c r="P862" s="1"/>
  <c r="Q863"/>
  <c r="Q862" s="1"/>
  <c r="R863"/>
  <c r="R862" s="1"/>
  <c r="S863"/>
  <c r="S862" s="1"/>
  <c r="T863"/>
  <c r="T862" s="1"/>
  <c r="U863"/>
  <c r="U862" s="1"/>
  <c r="W864"/>
  <c r="C864"/>
  <c r="C863" s="1"/>
  <c r="C862" s="1"/>
  <c r="D1352"/>
  <c r="D1351" s="1"/>
  <c r="E1352"/>
  <c r="E1351" s="1"/>
  <c r="F1352"/>
  <c r="F1351" s="1"/>
  <c r="G1352"/>
  <c r="G1351" s="1"/>
  <c r="H1352"/>
  <c r="H1351" s="1"/>
  <c r="I1352"/>
  <c r="I1351" s="1"/>
  <c r="J1352"/>
  <c r="J1351" s="1"/>
  <c r="K1352"/>
  <c r="K1351" s="1"/>
  <c r="L1352"/>
  <c r="L1351" s="1"/>
  <c r="M1352"/>
  <c r="M1351" s="1"/>
  <c r="N1352"/>
  <c r="N1351" s="1"/>
  <c r="O1352"/>
  <c r="O1351" s="1"/>
  <c r="P1352"/>
  <c r="P1351" s="1"/>
  <c r="Q1352"/>
  <c r="Q1351" s="1"/>
  <c r="R1352"/>
  <c r="R1351" s="1"/>
  <c r="S1352"/>
  <c r="S1351" s="1"/>
  <c r="T1352"/>
  <c r="T1351" s="1"/>
  <c r="U1352"/>
  <c r="U1351" s="1"/>
  <c r="V1352"/>
  <c r="V1351" s="1"/>
  <c r="W1353"/>
  <c r="C1353"/>
  <c r="C1352" s="1"/>
  <c r="C1351" s="1"/>
  <c r="O1384" i="1"/>
  <c r="I1384"/>
  <c r="J1384"/>
  <c r="K1384"/>
  <c r="L1384"/>
  <c r="M1384"/>
  <c r="N1384"/>
  <c r="H1384"/>
  <c r="I887"/>
  <c r="J887"/>
  <c r="K887"/>
  <c r="L887"/>
  <c r="M887"/>
  <c r="N887"/>
  <c r="O887"/>
  <c r="H887"/>
  <c r="Q329"/>
  <c r="I204" i="3"/>
  <c r="N111"/>
  <c r="I111"/>
  <c r="N13"/>
  <c r="I13"/>
  <c r="X250" i="2"/>
  <c r="D250"/>
  <c r="D249"/>
  <c r="Y249"/>
  <c r="X249"/>
  <c r="F248"/>
  <c r="G248"/>
  <c r="H248"/>
  <c r="I248"/>
  <c r="J248"/>
  <c r="K248"/>
  <c r="L248"/>
  <c r="M248"/>
  <c r="N248"/>
  <c r="O248"/>
  <c r="P248"/>
  <c r="Q248"/>
  <c r="R248"/>
  <c r="S248"/>
  <c r="T248"/>
  <c r="U248"/>
  <c r="V248"/>
  <c r="C250"/>
  <c r="C249"/>
  <c r="E799"/>
  <c r="F799"/>
  <c r="G799"/>
  <c r="H799"/>
  <c r="I799"/>
  <c r="J799"/>
  <c r="K799"/>
  <c r="L799"/>
  <c r="M799"/>
  <c r="N799"/>
  <c r="O799"/>
  <c r="P799"/>
  <c r="Q799"/>
  <c r="R799"/>
  <c r="S799"/>
  <c r="T799"/>
  <c r="U799"/>
  <c r="X801"/>
  <c r="D801"/>
  <c r="D800"/>
  <c r="Y800"/>
  <c r="X800"/>
  <c r="C801"/>
  <c r="C800"/>
  <c r="D1288"/>
  <c r="E1288"/>
  <c r="F1288"/>
  <c r="G1288"/>
  <c r="H1288"/>
  <c r="I1288"/>
  <c r="J1288"/>
  <c r="K1288"/>
  <c r="L1288"/>
  <c r="M1288"/>
  <c r="N1288"/>
  <c r="O1288"/>
  <c r="P1288"/>
  <c r="Q1288"/>
  <c r="R1288"/>
  <c r="S1288"/>
  <c r="T1288"/>
  <c r="U1288"/>
  <c r="V1288"/>
  <c r="X1289"/>
  <c r="C1289"/>
  <c r="C1288" s="1"/>
  <c r="I1320" i="1"/>
  <c r="J1320"/>
  <c r="K1320"/>
  <c r="L1320"/>
  <c r="M1320"/>
  <c r="N1320"/>
  <c r="O1320"/>
  <c r="P1320"/>
  <c r="H1320"/>
  <c r="Q1321"/>
  <c r="I822"/>
  <c r="J822"/>
  <c r="K822"/>
  <c r="L822"/>
  <c r="M822"/>
  <c r="N822"/>
  <c r="O822"/>
  <c r="P822"/>
  <c r="H822"/>
  <c r="Q823"/>
  <c r="Q824"/>
  <c r="I257"/>
  <c r="J257"/>
  <c r="K257"/>
  <c r="L257"/>
  <c r="M257"/>
  <c r="N257"/>
  <c r="O257"/>
  <c r="P257"/>
  <c r="H257"/>
  <c r="Q248"/>
  <c r="Q249"/>
  <c r="Q258"/>
  <c r="Q259"/>
  <c r="I536" l="1"/>
  <c r="M536"/>
  <c r="P536"/>
  <c r="O536"/>
  <c r="C13" i="3"/>
  <c r="D13"/>
  <c r="D133"/>
  <c r="D132" s="1"/>
  <c r="M227"/>
  <c r="M226" s="1"/>
  <c r="D78"/>
  <c r="C221"/>
  <c r="L221"/>
  <c r="N221" s="1"/>
  <c r="C111"/>
  <c r="D111"/>
  <c r="C204"/>
  <c r="D204"/>
  <c r="C133"/>
  <c r="C132" s="1"/>
  <c r="M133"/>
  <c r="M132" s="1"/>
  <c r="C227"/>
  <c r="C226" s="1"/>
  <c r="D227"/>
  <c r="D226" s="1"/>
  <c r="C50"/>
  <c r="D50"/>
  <c r="C240"/>
  <c r="D240"/>
  <c r="H536" i="1"/>
  <c r="K536"/>
  <c r="C78" i="3"/>
  <c r="D221"/>
  <c r="J536" i="1"/>
  <c r="D799" i="2"/>
  <c r="D235"/>
  <c r="Q580" i="1"/>
  <c r="C500" i="2"/>
  <c r="Q578" i="1"/>
  <c r="C498" i="2"/>
  <c r="Q576" i="1"/>
  <c r="C496" i="2"/>
  <c r="Q574" i="1"/>
  <c r="C494" i="2"/>
  <c r="Q572" i="1"/>
  <c r="C492" i="2"/>
  <c r="Q570" i="1"/>
  <c r="C490" i="2"/>
  <c r="Q568" i="1"/>
  <c r="C488" i="2"/>
  <c r="Q566" i="1"/>
  <c r="C486" i="2"/>
  <c r="Q564" i="1"/>
  <c r="C484" i="2"/>
  <c r="Q562" i="1"/>
  <c r="C482" i="2"/>
  <c r="Q558" i="1"/>
  <c r="C478" i="2"/>
  <c r="Q556" i="1"/>
  <c r="C476" i="2"/>
  <c r="Q554" i="1"/>
  <c r="C474" i="2"/>
  <c r="Q552" i="1"/>
  <c r="C472" i="2"/>
  <c r="Q550" i="1"/>
  <c r="C470" i="2"/>
  <c r="Q548" i="1"/>
  <c r="C468" i="2"/>
  <c r="Q559" i="1"/>
  <c r="C479" i="2"/>
  <c r="Q579" i="1"/>
  <c r="C499" i="2"/>
  <c r="Q577" i="1"/>
  <c r="C497" i="2"/>
  <c r="Q575" i="1"/>
  <c r="C495" i="2"/>
  <c r="Q573" i="1"/>
  <c r="C493" i="2"/>
  <c r="Q571" i="1"/>
  <c r="C491" i="2"/>
  <c r="Q569" i="1"/>
  <c r="C489" i="2"/>
  <c r="Q567" i="1"/>
  <c r="C487" i="2"/>
  <c r="Q565" i="1"/>
  <c r="C485" i="2"/>
  <c r="Q563" i="1"/>
  <c r="C483" i="2"/>
  <c r="Q560" i="1"/>
  <c r="C480" i="2"/>
  <c r="Q557" i="1"/>
  <c r="C477" i="2"/>
  <c r="Q555" i="1"/>
  <c r="C475" i="2"/>
  <c r="Q553" i="1"/>
  <c r="C473" i="2"/>
  <c r="Q551" i="1"/>
  <c r="C471" i="2"/>
  <c r="Q549" i="1"/>
  <c r="C469" i="2"/>
  <c r="Q547" i="1"/>
  <c r="C467" i="2"/>
  <c r="Q561" i="1"/>
  <c r="C481" i="2"/>
  <c r="D1391"/>
  <c r="D901"/>
  <c r="L545" i="1"/>
  <c r="Q546"/>
  <c r="C1391" i="2"/>
  <c r="C363"/>
  <c r="C901"/>
  <c r="C316"/>
  <c r="C315" s="1"/>
  <c r="C799"/>
  <c r="C248"/>
  <c r="D248"/>
  <c r="E248"/>
  <c r="L216" i="3" l="1"/>
  <c r="M78"/>
  <c r="L536" i="1"/>
  <c r="C465" i="2"/>
  <c r="C456" s="1"/>
  <c r="I223" i="3"/>
  <c r="M32"/>
  <c r="N32" s="1"/>
  <c r="D32"/>
  <c r="C32"/>
  <c r="D309" i="2"/>
  <c r="E309"/>
  <c r="F309"/>
  <c r="G309"/>
  <c r="H309"/>
  <c r="I309"/>
  <c r="J309"/>
  <c r="K309"/>
  <c r="L309"/>
  <c r="M309"/>
  <c r="N309"/>
  <c r="O309"/>
  <c r="P309"/>
  <c r="Q309"/>
  <c r="R309"/>
  <c r="S309"/>
  <c r="T309"/>
  <c r="U309"/>
  <c r="C310"/>
  <c r="C309" s="1"/>
  <c r="W1346"/>
  <c r="I1377" i="1"/>
  <c r="J1377"/>
  <c r="K1377"/>
  <c r="L1377"/>
  <c r="M1377"/>
  <c r="N1377"/>
  <c r="O1377"/>
  <c r="P1377"/>
  <c r="H1377"/>
  <c r="Q1378"/>
  <c r="I318"/>
  <c r="J318"/>
  <c r="K318"/>
  <c r="L318"/>
  <c r="M318"/>
  <c r="N318"/>
  <c r="O318"/>
  <c r="P318"/>
  <c r="H318"/>
  <c r="Q319"/>
  <c r="N242" i="3"/>
  <c r="N280"/>
  <c r="E1515" i="2"/>
  <c r="F1515"/>
  <c r="G1515"/>
  <c r="H1515"/>
  <c r="I1515"/>
  <c r="J1515"/>
  <c r="K1515"/>
  <c r="L1515"/>
  <c r="M1515"/>
  <c r="N1515"/>
  <c r="O1515"/>
  <c r="P1515"/>
  <c r="Q1515"/>
  <c r="R1515"/>
  <c r="S1515"/>
  <c r="T1515"/>
  <c r="U1515"/>
  <c r="C1516"/>
  <c r="C1515" s="1"/>
  <c r="C416"/>
  <c r="C415"/>
  <c r="D224" i="3"/>
  <c r="E224"/>
  <c r="F224"/>
  <c r="G224"/>
  <c r="H224"/>
  <c r="J224"/>
  <c r="K224"/>
  <c r="L224"/>
  <c r="M224"/>
  <c r="C224"/>
  <c r="D130"/>
  <c r="E130"/>
  <c r="F130"/>
  <c r="G130"/>
  <c r="H130"/>
  <c r="J130"/>
  <c r="K130"/>
  <c r="L130"/>
  <c r="M130"/>
  <c r="C130"/>
  <c r="V858" i="2"/>
  <c r="C860"/>
  <c r="C1349"/>
  <c r="AA227"/>
  <c r="W309" l="1"/>
  <c r="C223" i="3"/>
  <c r="D223"/>
  <c r="M223"/>
  <c r="N223" s="1"/>
  <c r="AF385" i="2"/>
  <c r="AF384"/>
  <c r="AF379"/>
  <c r="AF377"/>
  <c r="AF378"/>
  <c r="AF376"/>
  <c r="D375"/>
  <c r="E375"/>
  <c r="F375"/>
  <c r="G375"/>
  <c r="H375"/>
  <c r="I375"/>
  <c r="J375"/>
  <c r="K375"/>
  <c r="L375"/>
  <c r="M375"/>
  <c r="N375"/>
  <c r="O375"/>
  <c r="P375"/>
  <c r="Q375"/>
  <c r="R375"/>
  <c r="S375"/>
  <c r="T375"/>
  <c r="U375"/>
  <c r="V375"/>
  <c r="W383"/>
  <c r="W382"/>
  <c r="W381"/>
  <c r="W380"/>
  <c r="C377"/>
  <c r="C378"/>
  <c r="C379"/>
  <c r="C380"/>
  <c r="C381"/>
  <c r="C382"/>
  <c r="C383"/>
  <c r="C384"/>
  <c r="C385"/>
  <c r="C376"/>
  <c r="D913"/>
  <c r="E913"/>
  <c r="F913"/>
  <c r="G913"/>
  <c r="H913"/>
  <c r="I913"/>
  <c r="J913"/>
  <c r="K913"/>
  <c r="L913"/>
  <c r="N913"/>
  <c r="O913"/>
  <c r="P913"/>
  <c r="Q913"/>
  <c r="R913"/>
  <c r="S913"/>
  <c r="T913"/>
  <c r="U913"/>
  <c r="C915"/>
  <c r="M915" s="1"/>
  <c r="AF915" s="1"/>
  <c r="C916"/>
  <c r="M916" s="1"/>
  <c r="AF916" s="1"/>
  <c r="C917"/>
  <c r="M917" s="1"/>
  <c r="AF917" s="1"/>
  <c r="C918"/>
  <c r="M918" s="1"/>
  <c r="AF918" s="1"/>
  <c r="C919"/>
  <c r="M919" s="1"/>
  <c r="AF919" s="1"/>
  <c r="C914"/>
  <c r="C1405"/>
  <c r="O1405" s="1"/>
  <c r="C1406"/>
  <c r="O1406" s="1"/>
  <c r="C1407"/>
  <c r="O1407" s="1"/>
  <c r="C1408"/>
  <c r="O1408" s="1"/>
  <c r="C1409"/>
  <c r="O1409" s="1"/>
  <c r="C1410"/>
  <c r="O1410" s="1"/>
  <c r="C1411"/>
  <c r="O1411" s="1"/>
  <c r="C1412"/>
  <c r="O1412" s="1"/>
  <c r="C1413"/>
  <c r="O1413" s="1"/>
  <c r="C1414"/>
  <c r="O1414" s="1"/>
  <c r="C1404"/>
  <c r="O1404" s="1"/>
  <c r="D1403"/>
  <c r="E1403"/>
  <c r="F1403"/>
  <c r="G1403"/>
  <c r="H1403"/>
  <c r="I1403"/>
  <c r="J1403"/>
  <c r="K1403"/>
  <c r="L1403"/>
  <c r="M1403"/>
  <c r="N1403"/>
  <c r="P1403"/>
  <c r="Q1403"/>
  <c r="R1403"/>
  <c r="S1403"/>
  <c r="T1403"/>
  <c r="U1403"/>
  <c r="V1403"/>
  <c r="I1435" i="1"/>
  <c r="K1435"/>
  <c r="L1435"/>
  <c r="M1435"/>
  <c r="N1435"/>
  <c r="P1435"/>
  <c r="H1435"/>
  <c r="Q1445"/>
  <c r="Q1446"/>
  <c r="O1445"/>
  <c r="O1446"/>
  <c r="I938"/>
  <c r="K938"/>
  <c r="L938"/>
  <c r="M938"/>
  <c r="N938"/>
  <c r="P938"/>
  <c r="H938"/>
  <c r="O391"/>
  <c r="Q391"/>
  <c r="H385"/>
  <c r="J393"/>
  <c r="O1403" i="2" l="1"/>
  <c r="C375"/>
  <c r="C1403"/>
  <c r="C913"/>
  <c r="M914"/>
  <c r="V1290"/>
  <c r="C1293"/>
  <c r="C1294"/>
  <c r="C1295"/>
  <c r="C1292"/>
  <c r="C805"/>
  <c r="C804"/>
  <c r="C254"/>
  <c r="C255"/>
  <c r="C256"/>
  <c r="C257"/>
  <c r="C258"/>
  <c r="C259"/>
  <c r="C253"/>
  <c r="M913" l="1"/>
  <c r="AF914"/>
  <c r="W1425"/>
  <c r="W1426"/>
  <c r="W1424"/>
  <c r="H949" i="1"/>
  <c r="H909"/>
  <c r="C143" i="3" l="1"/>
  <c r="D524" i="2"/>
  <c r="E524"/>
  <c r="F524"/>
  <c r="G524"/>
  <c r="H524"/>
  <c r="I524"/>
  <c r="J524"/>
  <c r="K524"/>
  <c r="L524"/>
  <c r="M524"/>
  <c r="N524"/>
  <c r="O524"/>
  <c r="P524"/>
  <c r="Q524"/>
  <c r="R524"/>
  <c r="S524"/>
  <c r="T524"/>
  <c r="U524"/>
  <c r="V524"/>
  <c r="W525"/>
  <c r="C525"/>
  <c r="C524" s="1"/>
  <c r="E18" i="3" l="1"/>
  <c r="F18"/>
  <c r="G18"/>
  <c r="H18"/>
  <c r="J18"/>
  <c r="K18"/>
  <c r="L18"/>
  <c r="W1303" i="2"/>
  <c r="W1302"/>
  <c r="AA1301"/>
  <c r="D1302"/>
  <c r="D1303"/>
  <c r="D1301"/>
  <c r="E1299"/>
  <c r="F1299"/>
  <c r="G1299"/>
  <c r="H1299"/>
  <c r="I1299"/>
  <c r="J1299"/>
  <c r="K1299"/>
  <c r="L1299"/>
  <c r="M1299"/>
  <c r="N1299"/>
  <c r="O1299"/>
  <c r="P1299"/>
  <c r="Q1299"/>
  <c r="R1299"/>
  <c r="S1299"/>
  <c r="T1299"/>
  <c r="U1299"/>
  <c r="C1302"/>
  <c r="C1303"/>
  <c r="C1301"/>
  <c r="Y817"/>
  <c r="W817"/>
  <c r="AD816"/>
  <c r="AB816"/>
  <c r="AA816"/>
  <c r="Y816"/>
  <c r="W815"/>
  <c r="AD814"/>
  <c r="AB814"/>
  <c r="AA814"/>
  <c r="Y814"/>
  <c r="D814"/>
  <c r="D815"/>
  <c r="D816"/>
  <c r="D817"/>
  <c r="D813"/>
  <c r="E812"/>
  <c r="F812"/>
  <c r="G812"/>
  <c r="H812"/>
  <c r="I812"/>
  <c r="J812"/>
  <c r="K812"/>
  <c r="L812"/>
  <c r="M812"/>
  <c r="N812"/>
  <c r="O812"/>
  <c r="P812"/>
  <c r="Q812"/>
  <c r="R812"/>
  <c r="S812"/>
  <c r="T812"/>
  <c r="U812"/>
  <c r="C814"/>
  <c r="C815"/>
  <c r="C816"/>
  <c r="C817"/>
  <c r="C813"/>
  <c r="X271"/>
  <c r="W269"/>
  <c r="X268"/>
  <c r="X267"/>
  <c r="W266"/>
  <c r="W265"/>
  <c r="W264"/>
  <c r="W263"/>
  <c r="AD262"/>
  <c r="AB262"/>
  <c r="E261"/>
  <c r="F261"/>
  <c r="G261"/>
  <c r="H261"/>
  <c r="I261"/>
  <c r="J261"/>
  <c r="K261"/>
  <c r="L261"/>
  <c r="M261"/>
  <c r="N261"/>
  <c r="O261"/>
  <c r="P261"/>
  <c r="Q261"/>
  <c r="R261"/>
  <c r="S261"/>
  <c r="T261"/>
  <c r="U261"/>
  <c r="V261"/>
  <c r="C263"/>
  <c r="C264"/>
  <c r="C265"/>
  <c r="C266"/>
  <c r="C267"/>
  <c r="C268"/>
  <c r="C269"/>
  <c r="C270"/>
  <c r="C271"/>
  <c r="C262"/>
  <c r="D263"/>
  <c r="D264"/>
  <c r="D265"/>
  <c r="D266"/>
  <c r="D267"/>
  <c r="D268"/>
  <c r="D269"/>
  <c r="D270"/>
  <c r="D271"/>
  <c r="D262"/>
  <c r="D208" i="3"/>
  <c r="D207" s="1"/>
  <c r="M208"/>
  <c r="M207" s="1"/>
  <c r="C208"/>
  <c r="O1334" i="1"/>
  <c r="O1335"/>
  <c r="J1335"/>
  <c r="J1334"/>
  <c r="J1333"/>
  <c r="O837"/>
  <c r="O838"/>
  <c r="O839"/>
  <c r="O840"/>
  <c r="J840"/>
  <c r="J839"/>
  <c r="J838"/>
  <c r="J837"/>
  <c r="J836"/>
  <c r="Q274"/>
  <c r="Q275"/>
  <c r="Q276"/>
  <c r="Q277"/>
  <c r="Q278"/>
  <c r="O280"/>
  <c r="O279"/>
  <c r="O272"/>
  <c r="O273"/>
  <c r="O274"/>
  <c r="O275"/>
  <c r="O276"/>
  <c r="O278"/>
  <c r="J280"/>
  <c r="J279"/>
  <c r="J278"/>
  <c r="J277"/>
  <c r="J276"/>
  <c r="J275"/>
  <c r="J274"/>
  <c r="J273"/>
  <c r="J272"/>
  <c r="J271"/>
  <c r="J1332" l="1"/>
  <c r="D1300" i="2"/>
  <c r="C1300"/>
  <c r="C1299" s="1"/>
  <c r="C261"/>
  <c r="C812"/>
  <c r="D1299"/>
  <c r="D812"/>
  <c r="D261"/>
  <c r="V857"/>
  <c r="W1344"/>
  <c r="D1343"/>
  <c r="E1343"/>
  <c r="F1343"/>
  <c r="G1343"/>
  <c r="H1343"/>
  <c r="I1343"/>
  <c r="J1343"/>
  <c r="K1343"/>
  <c r="L1343"/>
  <c r="M1343"/>
  <c r="N1343"/>
  <c r="O1343"/>
  <c r="P1343"/>
  <c r="Q1343"/>
  <c r="R1343"/>
  <c r="S1343"/>
  <c r="T1343"/>
  <c r="U1343"/>
  <c r="C1343"/>
  <c r="N260" i="3"/>
  <c r="N71"/>
  <c r="E1457" i="2"/>
  <c r="F1457"/>
  <c r="G1457"/>
  <c r="H1457"/>
  <c r="I1457"/>
  <c r="J1457"/>
  <c r="K1457"/>
  <c r="L1457"/>
  <c r="M1457"/>
  <c r="N1457"/>
  <c r="O1457"/>
  <c r="P1457"/>
  <c r="Q1457"/>
  <c r="R1457"/>
  <c r="S1457"/>
  <c r="T1457"/>
  <c r="U1457"/>
  <c r="AB1458"/>
  <c r="D1458"/>
  <c r="D1457" s="1"/>
  <c r="C1458"/>
  <c r="C1457" s="1"/>
  <c r="D438"/>
  <c r="E438"/>
  <c r="F438"/>
  <c r="G438"/>
  <c r="H438"/>
  <c r="I438"/>
  <c r="J438"/>
  <c r="K438"/>
  <c r="L438"/>
  <c r="M438"/>
  <c r="N438"/>
  <c r="O438"/>
  <c r="P438"/>
  <c r="Q438"/>
  <c r="R438"/>
  <c r="S438"/>
  <c r="T438"/>
  <c r="U438"/>
  <c r="V438"/>
  <c r="W439"/>
  <c r="C439"/>
  <c r="C438" s="1"/>
  <c r="D1499"/>
  <c r="E1499"/>
  <c r="F1499"/>
  <c r="G1499"/>
  <c r="H1499"/>
  <c r="I1499"/>
  <c r="J1499"/>
  <c r="K1499"/>
  <c r="L1499"/>
  <c r="M1499"/>
  <c r="N1499"/>
  <c r="O1499"/>
  <c r="P1499"/>
  <c r="Q1499"/>
  <c r="R1499"/>
  <c r="S1499"/>
  <c r="T1499"/>
  <c r="U1499"/>
  <c r="H1523" i="1"/>
  <c r="I1523"/>
  <c r="J1523"/>
  <c r="K1523"/>
  <c r="L1523"/>
  <c r="M1523"/>
  <c r="N1523"/>
  <c r="O1523"/>
  <c r="P1523"/>
  <c r="D303" i="2"/>
  <c r="E303"/>
  <c r="F303"/>
  <c r="G303"/>
  <c r="H303"/>
  <c r="I303"/>
  <c r="J303"/>
  <c r="K303"/>
  <c r="L303"/>
  <c r="M303"/>
  <c r="N303"/>
  <c r="O303"/>
  <c r="P303"/>
  <c r="Q303"/>
  <c r="R303"/>
  <c r="S303"/>
  <c r="T303"/>
  <c r="U303"/>
  <c r="V303"/>
  <c r="C304"/>
  <c r="C303" s="1"/>
  <c r="D851"/>
  <c r="E851"/>
  <c r="F851"/>
  <c r="G851"/>
  <c r="H851"/>
  <c r="I851"/>
  <c r="J851"/>
  <c r="K851"/>
  <c r="L851"/>
  <c r="M851"/>
  <c r="N851"/>
  <c r="O851"/>
  <c r="P851"/>
  <c r="Q851"/>
  <c r="R851"/>
  <c r="S851"/>
  <c r="T851"/>
  <c r="U851"/>
  <c r="V851"/>
  <c r="W852"/>
  <c r="C852"/>
  <c r="C851" s="1"/>
  <c r="W1339"/>
  <c r="W1338"/>
  <c r="D1337"/>
  <c r="E1337"/>
  <c r="F1337"/>
  <c r="G1337"/>
  <c r="H1337"/>
  <c r="I1337"/>
  <c r="J1337"/>
  <c r="K1337"/>
  <c r="L1337"/>
  <c r="M1337"/>
  <c r="N1337"/>
  <c r="O1337"/>
  <c r="P1337"/>
  <c r="Q1337"/>
  <c r="R1337"/>
  <c r="S1337"/>
  <c r="T1337"/>
  <c r="U1337"/>
  <c r="V1337"/>
  <c r="C1339"/>
  <c r="C1338"/>
  <c r="I874" i="1"/>
  <c r="J874"/>
  <c r="K874"/>
  <c r="L874"/>
  <c r="M874"/>
  <c r="N874"/>
  <c r="P874"/>
  <c r="H874"/>
  <c r="I312"/>
  <c r="J312"/>
  <c r="K312"/>
  <c r="L312"/>
  <c r="M312"/>
  <c r="N312"/>
  <c r="P312"/>
  <c r="H312"/>
  <c r="D299" i="2"/>
  <c r="E299"/>
  <c r="F299"/>
  <c r="G299"/>
  <c r="H299"/>
  <c r="I299"/>
  <c r="J299"/>
  <c r="K299"/>
  <c r="L299"/>
  <c r="M299"/>
  <c r="N299"/>
  <c r="O299"/>
  <c r="P299"/>
  <c r="Q299"/>
  <c r="R299"/>
  <c r="S299"/>
  <c r="T299"/>
  <c r="U299"/>
  <c r="C300"/>
  <c r="C299" s="1"/>
  <c r="W847"/>
  <c r="W848"/>
  <c r="W846"/>
  <c r="D845"/>
  <c r="E845"/>
  <c r="F845"/>
  <c r="G845"/>
  <c r="H845"/>
  <c r="I845"/>
  <c r="J845"/>
  <c r="K845"/>
  <c r="L845"/>
  <c r="M845"/>
  <c r="N845"/>
  <c r="O845"/>
  <c r="P845"/>
  <c r="Q845"/>
  <c r="R845"/>
  <c r="S845"/>
  <c r="T845"/>
  <c r="U845"/>
  <c r="C847"/>
  <c r="C848"/>
  <c r="C846"/>
  <c r="W1334"/>
  <c r="D1333"/>
  <c r="E1333"/>
  <c r="F1333"/>
  <c r="G1333"/>
  <c r="H1333"/>
  <c r="I1333"/>
  <c r="J1333"/>
  <c r="K1333"/>
  <c r="L1333"/>
  <c r="M1333"/>
  <c r="N1333"/>
  <c r="O1333"/>
  <c r="P1333"/>
  <c r="Q1333"/>
  <c r="R1333"/>
  <c r="S1333"/>
  <c r="T1333"/>
  <c r="U1333"/>
  <c r="V1333"/>
  <c r="C1334"/>
  <c r="C1333" s="1"/>
  <c r="I1365" i="1"/>
  <c r="J1365"/>
  <c r="K1365"/>
  <c r="L1365"/>
  <c r="M1365"/>
  <c r="N1365"/>
  <c r="O1365"/>
  <c r="H1365"/>
  <c r="I308"/>
  <c r="J308"/>
  <c r="K308"/>
  <c r="L308"/>
  <c r="M308"/>
  <c r="N308"/>
  <c r="O308"/>
  <c r="H308"/>
  <c r="Q1271"/>
  <c r="Q1272"/>
  <c r="Q1273"/>
  <c r="W1238" i="2"/>
  <c r="W1239"/>
  <c r="W1240"/>
  <c r="W1237"/>
  <c r="D1236"/>
  <c r="E1236"/>
  <c r="F1236"/>
  <c r="G1236"/>
  <c r="H1236"/>
  <c r="I1236"/>
  <c r="J1236"/>
  <c r="K1236"/>
  <c r="L1236"/>
  <c r="M1236"/>
  <c r="N1236"/>
  <c r="O1236"/>
  <c r="P1236"/>
  <c r="Q1236"/>
  <c r="R1236"/>
  <c r="S1236"/>
  <c r="T1236"/>
  <c r="U1236"/>
  <c r="V1236"/>
  <c r="C1238"/>
  <c r="C1239"/>
  <c r="C1240"/>
  <c r="C1237"/>
  <c r="W749"/>
  <c r="W748"/>
  <c r="C749"/>
  <c r="C748"/>
  <c r="D747"/>
  <c r="E747"/>
  <c r="F747"/>
  <c r="G747"/>
  <c r="H747"/>
  <c r="I747"/>
  <c r="J747"/>
  <c r="K747"/>
  <c r="L747"/>
  <c r="M747"/>
  <c r="N747"/>
  <c r="O747"/>
  <c r="P747"/>
  <c r="Q747"/>
  <c r="R747"/>
  <c r="S747"/>
  <c r="T747"/>
  <c r="U747"/>
  <c r="W198"/>
  <c r="W199"/>
  <c r="W200"/>
  <c r="W201"/>
  <c r="W202"/>
  <c r="W203"/>
  <c r="W204"/>
  <c r="W205"/>
  <c r="W206"/>
  <c r="W207"/>
  <c r="W208"/>
  <c r="W197"/>
  <c r="D196"/>
  <c r="E196"/>
  <c r="F196"/>
  <c r="G196"/>
  <c r="H196"/>
  <c r="I196"/>
  <c r="J196"/>
  <c r="K196"/>
  <c r="L196"/>
  <c r="M196"/>
  <c r="N196"/>
  <c r="O196"/>
  <c r="P196"/>
  <c r="Q196"/>
  <c r="R196"/>
  <c r="S196"/>
  <c r="T196"/>
  <c r="U196"/>
  <c r="C198"/>
  <c r="C199"/>
  <c r="C200"/>
  <c r="C201"/>
  <c r="C202"/>
  <c r="C203"/>
  <c r="C204"/>
  <c r="C205"/>
  <c r="C206"/>
  <c r="C207"/>
  <c r="C208"/>
  <c r="C197"/>
  <c r="I1269" i="1"/>
  <c r="J1269"/>
  <c r="K1269"/>
  <c r="L1269"/>
  <c r="M1269"/>
  <c r="N1269"/>
  <c r="P1269"/>
  <c r="H1269"/>
  <c r="I770"/>
  <c r="J770"/>
  <c r="K770"/>
  <c r="D108" i="3" s="1"/>
  <c r="L770" i="1"/>
  <c r="M108" i="3" s="1"/>
  <c r="N108" s="1"/>
  <c r="M770" i="1"/>
  <c r="N770"/>
  <c r="P770"/>
  <c r="H770"/>
  <c r="C108" i="3" s="1"/>
  <c r="I207" i="1"/>
  <c r="J207"/>
  <c r="K207"/>
  <c r="L207"/>
  <c r="M207"/>
  <c r="N207"/>
  <c r="P207"/>
  <c r="H207"/>
  <c r="Q210"/>
  <c r="Q211"/>
  <c r="Q212"/>
  <c r="Q213"/>
  <c r="Q214"/>
  <c r="Q215"/>
  <c r="Q216"/>
  <c r="Q217"/>
  <c r="Q218"/>
  <c r="Q219"/>
  <c r="Q208"/>
  <c r="M10" i="3" l="1"/>
  <c r="N10" s="1"/>
  <c r="C201"/>
  <c r="M201"/>
  <c r="N201" s="1"/>
  <c r="C126"/>
  <c r="M126"/>
  <c r="D201"/>
  <c r="D126"/>
  <c r="W299" i="2"/>
  <c r="W303"/>
  <c r="D217" i="3"/>
  <c r="C217"/>
  <c r="M217"/>
  <c r="C1337" i="2"/>
  <c r="C845"/>
  <c r="C196"/>
  <c r="C1236"/>
  <c r="C747"/>
  <c r="W325"/>
  <c r="W324"/>
  <c r="C325"/>
  <c r="C324"/>
  <c r="D323"/>
  <c r="E323"/>
  <c r="F323"/>
  <c r="G323"/>
  <c r="H323"/>
  <c r="I323"/>
  <c r="J323"/>
  <c r="K323"/>
  <c r="L323"/>
  <c r="M323"/>
  <c r="N323"/>
  <c r="O323"/>
  <c r="P323"/>
  <c r="Q323"/>
  <c r="R323"/>
  <c r="S323"/>
  <c r="T323"/>
  <c r="U323"/>
  <c r="V323"/>
  <c r="AA868"/>
  <c r="W867"/>
  <c r="E866"/>
  <c r="F866"/>
  <c r="G866"/>
  <c r="H866"/>
  <c r="I866"/>
  <c r="J866"/>
  <c r="K866"/>
  <c r="L866"/>
  <c r="M866"/>
  <c r="N866"/>
  <c r="O866"/>
  <c r="P866"/>
  <c r="Q866"/>
  <c r="R866"/>
  <c r="S866"/>
  <c r="T866"/>
  <c r="U866"/>
  <c r="V866"/>
  <c r="D868"/>
  <c r="D867"/>
  <c r="C868"/>
  <c r="C867"/>
  <c r="D1355"/>
  <c r="E1355"/>
  <c r="F1355"/>
  <c r="G1355"/>
  <c r="H1355"/>
  <c r="I1355"/>
  <c r="J1355"/>
  <c r="K1355"/>
  <c r="L1355"/>
  <c r="M1355"/>
  <c r="N1355"/>
  <c r="O1355"/>
  <c r="P1355"/>
  <c r="Q1355"/>
  <c r="R1355"/>
  <c r="S1355"/>
  <c r="T1355"/>
  <c r="U1355"/>
  <c r="W1356"/>
  <c r="C1356"/>
  <c r="C1355" s="1"/>
  <c r="I1387" i="1"/>
  <c r="J1387"/>
  <c r="K1387"/>
  <c r="L1387"/>
  <c r="M1387"/>
  <c r="N1387"/>
  <c r="P1387"/>
  <c r="H1387"/>
  <c r="I890"/>
  <c r="J890"/>
  <c r="K890"/>
  <c r="L890"/>
  <c r="M890"/>
  <c r="N890"/>
  <c r="P890"/>
  <c r="H890"/>
  <c r="I332"/>
  <c r="J332"/>
  <c r="K332"/>
  <c r="L332"/>
  <c r="M332"/>
  <c r="N332"/>
  <c r="P332"/>
  <c r="H332"/>
  <c r="D117" i="3"/>
  <c r="C117"/>
  <c r="D819" i="2"/>
  <c r="E819"/>
  <c r="F819"/>
  <c r="G819"/>
  <c r="H819"/>
  <c r="I819"/>
  <c r="J819"/>
  <c r="K819"/>
  <c r="L819"/>
  <c r="M819"/>
  <c r="N819"/>
  <c r="O819"/>
  <c r="P819"/>
  <c r="Q819"/>
  <c r="R819"/>
  <c r="S819"/>
  <c r="T819"/>
  <c r="U819"/>
  <c r="V819"/>
  <c r="W820"/>
  <c r="C820"/>
  <c r="C819" s="1"/>
  <c r="Q843" i="1"/>
  <c r="C215" i="3"/>
  <c r="M122"/>
  <c r="D1329" i="2"/>
  <c r="D1328" s="1"/>
  <c r="E1329"/>
  <c r="E1328" s="1"/>
  <c r="F1329"/>
  <c r="F1328" s="1"/>
  <c r="G1329"/>
  <c r="G1328" s="1"/>
  <c r="H1329"/>
  <c r="H1328" s="1"/>
  <c r="I1329"/>
  <c r="I1328" s="1"/>
  <c r="J1329"/>
  <c r="J1328" s="1"/>
  <c r="K1329"/>
  <c r="K1328" s="1"/>
  <c r="L1329"/>
  <c r="L1328" s="1"/>
  <c r="M1329"/>
  <c r="M1328" s="1"/>
  <c r="N1329"/>
  <c r="N1328" s="1"/>
  <c r="O1329"/>
  <c r="O1328" s="1"/>
  <c r="P1329"/>
  <c r="P1328" s="1"/>
  <c r="Q1329"/>
  <c r="Q1328" s="1"/>
  <c r="R1329"/>
  <c r="R1328" s="1"/>
  <c r="S1329"/>
  <c r="S1328" s="1"/>
  <c r="T1329"/>
  <c r="T1328" s="1"/>
  <c r="U1329"/>
  <c r="U1328" s="1"/>
  <c r="V1329"/>
  <c r="W1330"/>
  <c r="C1330"/>
  <c r="C1329" s="1"/>
  <c r="C1328" s="1"/>
  <c r="W842"/>
  <c r="D841"/>
  <c r="E841"/>
  <c r="F841"/>
  <c r="G841"/>
  <c r="H841"/>
  <c r="I841"/>
  <c r="J841"/>
  <c r="K841"/>
  <c r="L841"/>
  <c r="M841"/>
  <c r="N841"/>
  <c r="O841"/>
  <c r="P841"/>
  <c r="Q841"/>
  <c r="R841"/>
  <c r="S841"/>
  <c r="T841"/>
  <c r="U841"/>
  <c r="C842"/>
  <c r="C841" s="1"/>
  <c r="X297"/>
  <c r="W297"/>
  <c r="W296"/>
  <c r="I1361" i="1"/>
  <c r="J1361"/>
  <c r="K1361"/>
  <c r="L1361"/>
  <c r="M1361"/>
  <c r="N1361"/>
  <c r="O1361"/>
  <c r="P1361"/>
  <c r="H1361"/>
  <c r="Q1362"/>
  <c r="I864"/>
  <c r="J864"/>
  <c r="K864"/>
  <c r="L864"/>
  <c r="M864"/>
  <c r="N864"/>
  <c r="O864"/>
  <c r="P864"/>
  <c r="H864"/>
  <c r="Q865"/>
  <c r="W1405" i="2"/>
  <c r="W1406"/>
  <c r="W1407"/>
  <c r="W1408"/>
  <c r="W1409"/>
  <c r="W1410"/>
  <c r="W1411"/>
  <c r="W1412"/>
  <c r="W1413"/>
  <c r="W1414"/>
  <c r="W1404"/>
  <c r="J1446" i="1"/>
  <c r="J1445"/>
  <c r="J1444"/>
  <c r="J1443"/>
  <c r="J1442"/>
  <c r="J1441"/>
  <c r="J1440"/>
  <c r="J1439"/>
  <c r="J944"/>
  <c r="J943"/>
  <c r="J941"/>
  <c r="J940"/>
  <c r="J939"/>
  <c r="D152" i="3"/>
  <c r="M152"/>
  <c r="I385" i="1"/>
  <c r="K385"/>
  <c r="M385"/>
  <c r="N385"/>
  <c r="P385"/>
  <c r="Q395"/>
  <c r="O394"/>
  <c r="O395"/>
  <c r="J395"/>
  <c r="J394"/>
  <c r="J392"/>
  <c r="L385"/>
  <c r="J389"/>
  <c r="J388"/>
  <c r="J387"/>
  <c r="J386"/>
  <c r="C56" i="3"/>
  <c r="AC1278" i="2"/>
  <c r="W1277"/>
  <c r="AD1276"/>
  <c r="V1275"/>
  <c r="D1276"/>
  <c r="D1277"/>
  <c r="D1278"/>
  <c r="C1277"/>
  <c r="C1278"/>
  <c r="C1276"/>
  <c r="W788"/>
  <c r="W789"/>
  <c r="W790"/>
  <c r="W791"/>
  <c r="W787"/>
  <c r="D786"/>
  <c r="E786"/>
  <c r="F786"/>
  <c r="G786"/>
  <c r="H786"/>
  <c r="I786"/>
  <c r="J786"/>
  <c r="K786"/>
  <c r="L786"/>
  <c r="M786"/>
  <c r="N786"/>
  <c r="O786"/>
  <c r="P786"/>
  <c r="Q786"/>
  <c r="R786"/>
  <c r="S786"/>
  <c r="T786"/>
  <c r="U786"/>
  <c r="C788"/>
  <c r="C789"/>
  <c r="C790"/>
  <c r="C791"/>
  <c r="C787"/>
  <c r="W238"/>
  <c r="W237"/>
  <c r="W236"/>
  <c r="C237"/>
  <c r="C238"/>
  <c r="C236"/>
  <c r="I1308" i="1"/>
  <c r="J1308"/>
  <c r="K1308"/>
  <c r="L1308"/>
  <c r="N1308"/>
  <c r="P1308"/>
  <c r="H1308"/>
  <c r="I809"/>
  <c r="J809"/>
  <c r="K809"/>
  <c r="L809"/>
  <c r="N809"/>
  <c r="P809"/>
  <c r="H809"/>
  <c r="M203" i="3" l="1"/>
  <c r="M110"/>
  <c r="C203"/>
  <c r="D203"/>
  <c r="D56"/>
  <c r="M215"/>
  <c r="C135"/>
  <c r="M135"/>
  <c r="C229"/>
  <c r="M229"/>
  <c r="C110"/>
  <c r="D110"/>
  <c r="C122"/>
  <c r="D122"/>
  <c r="D215"/>
  <c r="D135"/>
  <c r="D229"/>
  <c r="D1275" i="2"/>
  <c r="C235"/>
  <c r="C1275"/>
  <c r="D866"/>
  <c r="J1435" i="1"/>
  <c r="J938"/>
  <c r="C866" i="2"/>
  <c r="C323"/>
  <c r="J385" i="1"/>
  <c r="C786" i="2"/>
  <c r="D12" i="3" l="1"/>
  <c r="C12"/>
  <c r="D1423" i="2"/>
  <c r="E1423"/>
  <c r="F1423"/>
  <c r="G1423"/>
  <c r="H1423"/>
  <c r="I1423"/>
  <c r="J1423"/>
  <c r="K1423"/>
  <c r="L1423"/>
  <c r="M1423"/>
  <c r="N1423"/>
  <c r="O1423"/>
  <c r="P1423"/>
  <c r="Q1423"/>
  <c r="R1423"/>
  <c r="S1423"/>
  <c r="T1423"/>
  <c r="U1423"/>
  <c r="C1425"/>
  <c r="C1426"/>
  <c r="C1424"/>
  <c r="W936"/>
  <c r="W937"/>
  <c r="W938"/>
  <c r="W935"/>
  <c r="D934"/>
  <c r="E934"/>
  <c r="F934"/>
  <c r="G934"/>
  <c r="H934"/>
  <c r="I934"/>
  <c r="J934"/>
  <c r="K934"/>
  <c r="L934"/>
  <c r="M934"/>
  <c r="N934"/>
  <c r="O934"/>
  <c r="P934"/>
  <c r="Q934"/>
  <c r="R934"/>
  <c r="S934"/>
  <c r="T934"/>
  <c r="U934"/>
  <c r="V934"/>
  <c r="C936"/>
  <c r="C937"/>
  <c r="C938"/>
  <c r="C935"/>
  <c r="I405" i="1"/>
  <c r="J405"/>
  <c r="K405"/>
  <c r="L405"/>
  <c r="M405"/>
  <c r="N405"/>
  <c r="P405"/>
  <c r="H405"/>
  <c r="W402" i="2"/>
  <c r="W403"/>
  <c r="W404"/>
  <c r="W401"/>
  <c r="D402"/>
  <c r="D403"/>
  <c r="D404"/>
  <c r="D401"/>
  <c r="E400"/>
  <c r="F400"/>
  <c r="G400"/>
  <c r="H400"/>
  <c r="I400"/>
  <c r="J400"/>
  <c r="K400"/>
  <c r="L400"/>
  <c r="M400"/>
  <c r="N400"/>
  <c r="O400"/>
  <c r="P400"/>
  <c r="Q400"/>
  <c r="R400"/>
  <c r="S400"/>
  <c r="T400"/>
  <c r="U400"/>
  <c r="V400"/>
  <c r="C402"/>
  <c r="C403"/>
  <c r="C404"/>
  <c r="C401"/>
  <c r="C1423" l="1"/>
  <c r="C400"/>
  <c r="C934"/>
  <c r="D400"/>
  <c r="O1453" i="1" l="1"/>
  <c r="O1454"/>
  <c r="O1452"/>
  <c r="I1451"/>
  <c r="J1451"/>
  <c r="K1451"/>
  <c r="L1451"/>
  <c r="M1451"/>
  <c r="N1451"/>
  <c r="P1451"/>
  <c r="H1451"/>
  <c r="Q1454"/>
  <c r="Q1453"/>
  <c r="Q1452"/>
  <c r="O951"/>
  <c r="O952"/>
  <c r="O953"/>
  <c r="O950"/>
  <c r="I949"/>
  <c r="J949"/>
  <c r="K949"/>
  <c r="L949"/>
  <c r="M949"/>
  <c r="N949"/>
  <c r="P949"/>
  <c r="C155" i="3"/>
  <c r="Q953" i="1"/>
  <c r="Q952"/>
  <c r="Q951"/>
  <c r="Q950"/>
  <c r="O407"/>
  <c r="O408"/>
  <c r="O409"/>
  <c r="O406"/>
  <c r="Q409"/>
  <c r="Q408"/>
  <c r="Q407"/>
  <c r="Q406"/>
  <c r="D155" i="3" l="1"/>
  <c r="C249"/>
  <c r="M249"/>
  <c r="M155"/>
  <c r="D249"/>
  <c r="O1451" i="1"/>
  <c r="O405"/>
  <c r="O949"/>
  <c r="E1449" i="2" l="1"/>
  <c r="F1449"/>
  <c r="G1449"/>
  <c r="H1449"/>
  <c r="I1449"/>
  <c r="J1449"/>
  <c r="K1449"/>
  <c r="L1449"/>
  <c r="M1449"/>
  <c r="N1449"/>
  <c r="O1449"/>
  <c r="P1449"/>
  <c r="Q1449"/>
  <c r="R1449"/>
  <c r="S1449"/>
  <c r="T1449"/>
  <c r="U1449"/>
  <c r="V1449"/>
  <c r="W1454"/>
  <c r="W1453"/>
  <c r="AD1452"/>
  <c r="AB1452"/>
  <c r="Z1452"/>
  <c r="Y1452"/>
  <c r="W1451"/>
  <c r="Z1450"/>
  <c r="AA1450"/>
  <c r="Y1450"/>
  <c r="W1450"/>
  <c r="D1451"/>
  <c r="D1452"/>
  <c r="D1453"/>
  <c r="D1454"/>
  <c r="D1450"/>
  <c r="C1451"/>
  <c r="C1452"/>
  <c r="C1453"/>
  <c r="C1454"/>
  <c r="C1450"/>
  <c r="AD970"/>
  <c r="Y970"/>
  <c r="AD969"/>
  <c r="AC969"/>
  <c r="Z969"/>
  <c r="AD968"/>
  <c r="AA968"/>
  <c r="Z968"/>
  <c r="Y968"/>
  <c r="W967"/>
  <c r="AD966"/>
  <c r="AB966"/>
  <c r="Z966"/>
  <c r="W966"/>
  <c r="AD965"/>
  <c r="Z965"/>
  <c r="Y965"/>
  <c r="D966"/>
  <c r="D967"/>
  <c r="D968"/>
  <c r="D969"/>
  <c r="D970"/>
  <c r="D965"/>
  <c r="C966"/>
  <c r="C967"/>
  <c r="C968"/>
  <c r="C969"/>
  <c r="C970"/>
  <c r="C965"/>
  <c r="D964" l="1"/>
  <c r="D1449"/>
  <c r="C964"/>
  <c r="C1449"/>
  <c r="Z435"/>
  <c r="Y435"/>
  <c r="W435"/>
  <c r="Y433"/>
  <c r="Y434"/>
  <c r="W433"/>
  <c r="AD432"/>
  <c r="AC432"/>
  <c r="Z431"/>
  <c r="AE431"/>
  <c r="X431"/>
  <c r="D432"/>
  <c r="D433"/>
  <c r="D434"/>
  <c r="D435"/>
  <c r="D431"/>
  <c r="C432"/>
  <c r="C433"/>
  <c r="C434"/>
  <c r="C435"/>
  <c r="C431"/>
  <c r="I1477" i="1"/>
  <c r="J1477"/>
  <c r="K1477"/>
  <c r="D258" i="3" s="1"/>
  <c r="L1477" i="1"/>
  <c r="M258" i="3" s="1"/>
  <c r="M1477" i="1"/>
  <c r="N1477"/>
  <c r="O1477"/>
  <c r="P1477"/>
  <c r="H1477"/>
  <c r="C258" i="3" s="1"/>
  <c r="Q1482" i="1"/>
  <c r="Q1481"/>
  <c r="Q1480"/>
  <c r="Q1479"/>
  <c r="Q1478"/>
  <c r="I979"/>
  <c r="J979"/>
  <c r="K979"/>
  <c r="D165" i="3" s="1"/>
  <c r="L979" i="1"/>
  <c r="M165" i="3" s="1"/>
  <c r="M979" i="1"/>
  <c r="N979"/>
  <c r="O979"/>
  <c r="P979"/>
  <c r="C165" i="3"/>
  <c r="Q985" i="1"/>
  <c r="Q984"/>
  <c r="Q983"/>
  <c r="Q982"/>
  <c r="Q981"/>
  <c r="Q980"/>
  <c r="I435"/>
  <c r="J435"/>
  <c r="K435"/>
  <c r="L435"/>
  <c r="M435"/>
  <c r="N435"/>
  <c r="O435"/>
  <c r="P435"/>
  <c r="H435"/>
  <c r="Q437"/>
  <c r="Q438"/>
  <c r="Q439"/>
  <c r="Q440"/>
  <c r="Q436"/>
  <c r="D1418" i="2"/>
  <c r="E1418"/>
  <c r="F1418"/>
  <c r="G1418"/>
  <c r="H1418"/>
  <c r="I1418"/>
  <c r="J1418"/>
  <c r="K1418"/>
  <c r="L1418"/>
  <c r="M1418"/>
  <c r="N1418"/>
  <c r="O1418"/>
  <c r="P1418"/>
  <c r="Q1418"/>
  <c r="R1418"/>
  <c r="S1418"/>
  <c r="T1418"/>
  <c r="U1418"/>
  <c r="W1419"/>
  <c r="C1419"/>
  <c r="C1418" s="1"/>
  <c r="D929"/>
  <c r="E929"/>
  <c r="F929"/>
  <c r="G929"/>
  <c r="H929"/>
  <c r="I929"/>
  <c r="J929"/>
  <c r="K929"/>
  <c r="L929"/>
  <c r="M929"/>
  <c r="N929"/>
  <c r="O929"/>
  <c r="P929"/>
  <c r="Q929"/>
  <c r="R929"/>
  <c r="S929"/>
  <c r="T929"/>
  <c r="U929"/>
  <c r="X930"/>
  <c r="C930"/>
  <c r="C929" s="1"/>
  <c r="D391"/>
  <c r="E391"/>
  <c r="F391"/>
  <c r="G391"/>
  <c r="H391"/>
  <c r="I391"/>
  <c r="J391"/>
  <c r="K391"/>
  <c r="L391"/>
  <c r="M391"/>
  <c r="N391"/>
  <c r="O391"/>
  <c r="P391"/>
  <c r="Q391"/>
  <c r="R391"/>
  <c r="S391"/>
  <c r="T391"/>
  <c r="U391"/>
  <c r="V391"/>
  <c r="W394"/>
  <c r="X393"/>
  <c r="W393"/>
  <c r="X392"/>
  <c r="C394"/>
  <c r="C392"/>
  <c r="I397" i="1"/>
  <c r="J397"/>
  <c r="K397"/>
  <c r="M397"/>
  <c r="N397"/>
  <c r="O397"/>
  <c r="P397"/>
  <c r="H397"/>
  <c r="C393" i="2"/>
  <c r="Q398" i="1"/>
  <c r="Q400"/>
  <c r="C57" i="3" l="1"/>
  <c r="D57"/>
  <c r="D430" i="2"/>
  <c r="C430"/>
  <c r="Q399" i="1"/>
  <c r="L397"/>
  <c r="C391" i="2"/>
  <c r="M127" i="3"/>
  <c r="D127"/>
  <c r="C127"/>
  <c r="V1340" i="2"/>
  <c r="V1332" s="1"/>
  <c r="D853"/>
  <c r="E853"/>
  <c r="F853"/>
  <c r="G853"/>
  <c r="H853"/>
  <c r="I853"/>
  <c r="J853"/>
  <c r="K853"/>
  <c r="L853"/>
  <c r="M853"/>
  <c r="N853"/>
  <c r="O853"/>
  <c r="P853"/>
  <c r="Q853"/>
  <c r="R853"/>
  <c r="S853"/>
  <c r="T853"/>
  <c r="U853"/>
  <c r="C853"/>
  <c r="W854"/>
  <c r="D305"/>
  <c r="E305"/>
  <c r="F305"/>
  <c r="G305"/>
  <c r="H305"/>
  <c r="I305"/>
  <c r="J305"/>
  <c r="K305"/>
  <c r="L305"/>
  <c r="M305"/>
  <c r="N305"/>
  <c r="O305"/>
  <c r="P305"/>
  <c r="Q305"/>
  <c r="R305"/>
  <c r="S305"/>
  <c r="T305"/>
  <c r="U305"/>
  <c r="V305"/>
  <c r="C305"/>
  <c r="N218" i="3"/>
  <c r="D218"/>
  <c r="C218"/>
  <c r="E123"/>
  <c r="F123"/>
  <c r="G123"/>
  <c r="J123"/>
  <c r="K123"/>
  <c r="N125"/>
  <c r="D125"/>
  <c r="C125"/>
  <c r="N27"/>
  <c r="D27"/>
  <c r="C27"/>
  <c r="X1336" i="2"/>
  <c r="C1336"/>
  <c r="C1335" s="1"/>
  <c r="C1332" s="1"/>
  <c r="F1335"/>
  <c r="F1332" s="1"/>
  <c r="G1335"/>
  <c r="G1332" s="1"/>
  <c r="H1335"/>
  <c r="H1332" s="1"/>
  <c r="I1335"/>
  <c r="I1332" s="1"/>
  <c r="J1335"/>
  <c r="J1332" s="1"/>
  <c r="K1335"/>
  <c r="K1332" s="1"/>
  <c r="L1335"/>
  <c r="L1332" s="1"/>
  <c r="M1335"/>
  <c r="M1332" s="1"/>
  <c r="N1335"/>
  <c r="N1332" s="1"/>
  <c r="O1335"/>
  <c r="O1332" s="1"/>
  <c r="P1335"/>
  <c r="P1332" s="1"/>
  <c r="Q1335"/>
  <c r="Q1332" s="1"/>
  <c r="R1335"/>
  <c r="R1332" s="1"/>
  <c r="S1335"/>
  <c r="S1332" s="1"/>
  <c r="T1335"/>
  <c r="T1332" s="1"/>
  <c r="U1335"/>
  <c r="U1332" s="1"/>
  <c r="D1335"/>
  <c r="D1332" s="1"/>
  <c r="E1335"/>
  <c r="E1332" s="1"/>
  <c r="X850"/>
  <c r="C850"/>
  <c r="D849"/>
  <c r="E849"/>
  <c r="F849"/>
  <c r="G849"/>
  <c r="H849"/>
  <c r="I849"/>
  <c r="J849"/>
  <c r="K849"/>
  <c r="L849"/>
  <c r="M849"/>
  <c r="N849"/>
  <c r="O849"/>
  <c r="P849"/>
  <c r="Q849"/>
  <c r="R849"/>
  <c r="S849"/>
  <c r="T849"/>
  <c r="U849"/>
  <c r="V849"/>
  <c r="V844" s="1"/>
  <c r="C849"/>
  <c r="D301"/>
  <c r="D298" s="1"/>
  <c r="E301"/>
  <c r="E298" s="1"/>
  <c r="F301"/>
  <c r="F298" s="1"/>
  <c r="G301"/>
  <c r="G298" s="1"/>
  <c r="H301"/>
  <c r="H298" s="1"/>
  <c r="I301"/>
  <c r="I298" s="1"/>
  <c r="J301"/>
  <c r="J298" s="1"/>
  <c r="K301"/>
  <c r="K298" s="1"/>
  <c r="L301"/>
  <c r="L298" s="1"/>
  <c r="M301"/>
  <c r="M298" s="1"/>
  <c r="N301"/>
  <c r="N298" s="1"/>
  <c r="O301"/>
  <c r="P301"/>
  <c r="P298" s="1"/>
  <c r="Q301"/>
  <c r="Q298" s="1"/>
  <c r="R301"/>
  <c r="R298" s="1"/>
  <c r="S301"/>
  <c r="S298" s="1"/>
  <c r="T301"/>
  <c r="T298" s="1"/>
  <c r="U301"/>
  <c r="U298" s="1"/>
  <c r="V301"/>
  <c r="V298" s="1"/>
  <c r="C302"/>
  <c r="C301" s="1"/>
  <c r="C298" s="1"/>
  <c r="I1367" i="1"/>
  <c r="J1367"/>
  <c r="K1367"/>
  <c r="L1367"/>
  <c r="M1367"/>
  <c r="N1367"/>
  <c r="O1367"/>
  <c r="P1367"/>
  <c r="H1367"/>
  <c r="Q1368"/>
  <c r="I872"/>
  <c r="J872"/>
  <c r="K872"/>
  <c r="L872"/>
  <c r="M872"/>
  <c r="N872"/>
  <c r="O872"/>
  <c r="P872"/>
  <c r="H872"/>
  <c r="Q873"/>
  <c r="I310"/>
  <c r="J310"/>
  <c r="K310"/>
  <c r="L310"/>
  <c r="M310"/>
  <c r="N310"/>
  <c r="O310"/>
  <c r="P310"/>
  <c r="H310"/>
  <c r="Q311"/>
  <c r="D559" i="2"/>
  <c r="E559"/>
  <c r="F559"/>
  <c r="G559"/>
  <c r="H559"/>
  <c r="I559"/>
  <c r="J559"/>
  <c r="K559"/>
  <c r="L559"/>
  <c r="M559"/>
  <c r="N559"/>
  <c r="O559"/>
  <c r="P559"/>
  <c r="Q559"/>
  <c r="R559"/>
  <c r="S559"/>
  <c r="T559"/>
  <c r="U559"/>
  <c r="V559"/>
  <c r="C560"/>
  <c r="C559" s="1"/>
  <c r="X416"/>
  <c r="X415"/>
  <c r="D414"/>
  <c r="E414"/>
  <c r="F414"/>
  <c r="G414"/>
  <c r="H414"/>
  <c r="I414"/>
  <c r="J414"/>
  <c r="K414"/>
  <c r="L414"/>
  <c r="M414"/>
  <c r="N414"/>
  <c r="O414"/>
  <c r="P414"/>
  <c r="Q414"/>
  <c r="R414"/>
  <c r="S414"/>
  <c r="T414"/>
  <c r="U414"/>
  <c r="V414"/>
  <c r="C414"/>
  <c r="W949"/>
  <c r="D948"/>
  <c r="E948"/>
  <c r="F948"/>
  <c r="G948"/>
  <c r="H948"/>
  <c r="I948"/>
  <c r="J948"/>
  <c r="K948"/>
  <c r="L948"/>
  <c r="M948"/>
  <c r="N948"/>
  <c r="O948"/>
  <c r="P948"/>
  <c r="Q948"/>
  <c r="R948"/>
  <c r="S948"/>
  <c r="T948"/>
  <c r="U948"/>
  <c r="V948"/>
  <c r="C948"/>
  <c r="D1433"/>
  <c r="E1433"/>
  <c r="F1433"/>
  <c r="G1433"/>
  <c r="H1433"/>
  <c r="I1433"/>
  <c r="J1433"/>
  <c r="K1433"/>
  <c r="L1433"/>
  <c r="M1433"/>
  <c r="N1433"/>
  <c r="O1433"/>
  <c r="P1433"/>
  <c r="Q1433"/>
  <c r="R1433"/>
  <c r="S1433"/>
  <c r="T1433"/>
  <c r="U1433"/>
  <c r="C1433"/>
  <c r="W1434"/>
  <c r="I1461" i="1"/>
  <c r="J1461"/>
  <c r="K1461"/>
  <c r="L1461"/>
  <c r="M1461"/>
  <c r="N1461"/>
  <c r="O1461"/>
  <c r="P1461"/>
  <c r="H1461"/>
  <c r="I963"/>
  <c r="J963"/>
  <c r="K963"/>
  <c r="L963"/>
  <c r="M963"/>
  <c r="N963"/>
  <c r="O963"/>
  <c r="P963"/>
  <c r="H963"/>
  <c r="I419"/>
  <c r="J419"/>
  <c r="K419"/>
  <c r="L419"/>
  <c r="M419"/>
  <c r="N419"/>
  <c r="O419"/>
  <c r="P419"/>
  <c r="H419"/>
  <c r="W1500" i="2"/>
  <c r="C1500"/>
  <c r="C1499" s="1"/>
  <c r="D1498"/>
  <c r="E1498"/>
  <c r="F1498"/>
  <c r="G1498"/>
  <c r="H1498"/>
  <c r="I1498"/>
  <c r="J1498"/>
  <c r="K1498"/>
  <c r="L1498"/>
  <c r="M1498"/>
  <c r="N1498"/>
  <c r="O1498"/>
  <c r="P1498"/>
  <c r="Q1498"/>
  <c r="R1498"/>
  <c r="S1498"/>
  <c r="T1498"/>
  <c r="U1498"/>
  <c r="W1020"/>
  <c r="W1019"/>
  <c r="D1018"/>
  <c r="D1017" s="1"/>
  <c r="E1018"/>
  <c r="E1017" s="1"/>
  <c r="F1018"/>
  <c r="F1017" s="1"/>
  <c r="G1018"/>
  <c r="G1017" s="1"/>
  <c r="H1018"/>
  <c r="H1017" s="1"/>
  <c r="I1018"/>
  <c r="I1017" s="1"/>
  <c r="J1018"/>
  <c r="J1017" s="1"/>
  <c r="K1018"/>
  <c r="K1017" s="1"/>
  <c r="L1018"/>
  <c r="L1017" s="1"/>
  <c r="M1018"/>
  <c r="M1017" s="1"/>
  <c r="N1018"/>
  <c r="N1017" s="1"/>
  <c r="O1018"/>
  <c r="O1017" s="1"/>
  <c r="P1018"/>
  <c r="P1017" s="1"/>
  <c r="Q1018"/>
  <c r="Q1017" s="1"/>
  <c r="R1018"/>
  <c r="R1017" s="1"/>
  <c r="S1018"/>
  <c r="S1017" s="1"/>
  <c r="T1018"/>
  <c r="T1017" s="1"/>
  <c r="U1018"/>
  <c r="U1017" s="1"/>
  <c r="V1018"/>
  <c r="C1020"/>
  <c r="C1019"/>
  <c r="V519"/>
  <c r="D520"/>
  <c r="D519" s="1"/>
  <c r="E520"/>
  <c r="E519" s="1"/>
  <c r="F520"/>
  <c r="F519" s="1"/>
  <c r="G520"/>
  <c r="G519" s="1"/>
  <c r="H520"/>
  <c r="H519" s="1"/>
  <c r="I520"/>
  <c r="I519" s="1"/>
  <c r="J520"/>
  <c r="J519" s="1"/>
  <c r="K520"/>
  <c r="K519" s="1"/>
  <c r="L520"/>
  <c r="L519" s="1"/>
  <c r="M520"/>
  <c r="M519" s="1"/>
  <c r="N520"/>
  <c r="N519" s="1"/>
  <c r="O520"/>
  <c r="O519" s="1"/>
  <c r="P520"/>
  <c r="P519" s="1"/>
  <c r="Q520"/>
  <c r="Q519" s="1"/>
  <c r="R520"/>
  <c r="R519" s="1"/>
  <c r="S520"/>
  <c r="S519" s="1"/>
  <c r="T520"/>
  <c r="T519" s="1"/>
  <c r="U520"/>
  <c r="U519" s="1"/>
  <c r="W522"/>
  <c r="W521"/>
  <c r="C522"/>
  <c r="C521"/>
  <c r="D367"/>
  <c r="E367"/>
  <c r="F367"/>
  <c r="G367"/>
  <c r="H367"/>
  <c r="I367"/>
  <c r="J367"/>
  <c r="K367"/>
  <c r="L367"/>
  <c r="M367"/>
  <c r="N367"/>
  <c r="O367"/>
  <c r="P367"/>
  <c r="Q367"/>
  <c r="R367"/>
  <c r="S367"/>
  <c r="T367"/>
  <c r="U367"/>
  <c r="V367"/>
  <c r="C367"/>
  <c r="D905"/>
  <c r="E905"/>
  <c r="F905"/>
  <c r="G905"/>
  <c r="H905"/>
  <c r="I905"/>
  <c r="J905"/>
  <c r="K905"/>
  <c r="L905"/>
  <c r="M905"/>
  <c r="N905"/>
  <c r="O905"/>
  <c r="P905"/>
  <c r="Q905"/>
  <c r="R905"/>
  <c r="S905"/>
  <c r="T905"/>
  <c r="U905"/>
  <c r="V905"/>
  <c r="C905"/>
  <c r="D1395"/>
  <c r="E1395"/>
  <c r="F1395"/>
  <c r="G1395"/>
  <c r="H1395"/>
  <c r="I1395"/>
  <c r="J1395"/>
  <c r="K1395"/>
  <c r="L1395"/>
  <c r="M1395"/>
  <c r="N1395"/>
  <c r="O1395"/>
  <c r="P1395"/>
  <c r="Q1395"/>
  <c r="R1395"/>
  <c r="S1395"/>
  <c r="T1395"/>
  <c r="U1395"/>
  <c r="V1395"/>
  <c r="C1395"/>
  <c r="W1396"/>
  <c r="W906"/>
  <c r="W368"/>
  <c r="I1427" i="1"/>
  <c r="J1427"/>
  <c r="K1427"/>
  <c r="L1427"/>
  <c r="M1427"/>
  <c r="N1427"/>
  <c r="P1427"/>
  <c r="H1427"/>
  <c r="I930"/>
  <c r="J930"/>
  <c r="K930"/>
  <c r="L930"/>
  <c r="M930"/>
  <c r="N930"/>
  <c r="P930"/>
  <c r="H930"/>
  <c r="I377"/>
  <c r="J377"/>
  <c r="K377"/>
  <c r="L377"/>
  <c r="M377"/>
  <c r="N377"/>
  <c r="P377"/>
  <c r="H377"/>
  <c r="I156" i="3"/>
  <c r="D941" i="2"/>
  <c r="E941"/>
  <c r="F941"/>
  <c r="G941"/>
  <c r="H941"/>
  <c r="I941"/>
  <c r="J941"/>
  <c r="K941"/>
  <c r="L941"/>
  <c r="M941"/>
  <c r="N941"/>
  <c r="O941"/>
  <c r="P941"/>
  <c r="Q941"/>
  <c r="R941"/>
  <c r="S941"/>
  <c r="T941"/>
  <c r="U941"/>
  <c r="V941"/>
  <c r="C941"/>
  <c r="W942"/>
  <c r="W409"/>
  <c r="W408"/>
  <c r="D407"/>
  <c r="E407"/>
  <c r="F407"/>
  <c r="G407"/>
  <c r="H407"/>
  <c r="I407"/>
  <c r="J407"/>
  <c r="K407"/>
  <c r="L407"/>
  <c r="M407"/>
  <c r="N407"/>
  <c r="O407"/>
  <c r="P407"/>
  <c r="Q407"/>
  <c r="R407"/>
  <c r="S407"/>
  <c r="T407"/>
  <c r="U407"/>
  <c r="C407"/>
  <c r="I956" i="1"/>
  <c r="J956"/>
  <c r="K956"/>
  <c r="L956"/>
  <c r="M956"/>
  <c r="N956"/>
  <c r="O956"/>
  <c r="P956"/>
  <c r="H956"/>
  <c r="Q957"/>
  <c r="I412"/>
  <c r="J412"/>
  <c r="K412"/>
  <c r="L412"/>
  <c r="M412"/>
  <c r="N412"/>
  <c r="O412"/>
  <c r="P412"/>
  <c r="H412"/>
  <c r="Q413"/>
  <c r="Q414"/>
  <c r="E275" i="3"/>
  <c r="F275"/>
  <c r="G275"/>
  <c r="H275"/>
  <c r="I275"/>
  <c r="J275"/>
  <c r="K275"/>
  <c r="L275"/>
  <c r="M275"/>
  <c r="N275"/>
  <c r="D276"/>
  <c r="D275" s="1"/>
  <c r="C276"/>
  <c r="C275" s="1"/>
  <c r="E86"/>
  <c r="F86"/>
  <c r="G86"/>
  <c r="H86"/>
  <c r="I86"/>
  <c r="J86"/>
  <c r="K86"/>
  <c r="L86"/>
  <c r="M86"/>
  <c r="N86"/>
  <c r="D87"/>
  <c r="D86" s="1"/>
  <c r="C87"/>
  <c r="C86" s="1"/>
  <c r="D1501" i="2"/>
  <c r="E1501"/>
  <c r="F1501"/>
  <c r="G1501"/>
  <c r="H1501"/>
  <c r="I1501"/>
  <c r="J1501"/>
  <c r="K1501"/>
  <c r="L1501"/>
  <c r="M1501"/>
  <c r="N1501"/>
  <c r="O1501"/>
  <c r="P1501"/>
  <c r="Q1501"/>
  <c r="R1501"/>
  <c r="S1501"/>
  <c r="T1501"/>
  <c r="U1501"/>
  <c r="C1501"/>
  <c r="W1502"/>
  <c r="D523"/>
  <c r="E523"/>
  <c r="F523"/>
  <c r="G523"/>
  <c r="H523"/>
  <c r="I523"/>
  <c r="J523"/>
  <c r="K523"/>
  <c r="L523"/>
  <c r="M523"/>
  <c r="N523"/>
  <c r="O523"/>
  <c r="P523"/>
  <c r="Q523"/>
  <c r="R523"/>
  <c r="S523"/>
  <c r="T523"/>
  <c r="U523"/>
  <c r="V523"/>
  <c r="C523"/>
  <c r="I1525" i="1"/>
  <c r="J1525"/>
  <c r="K1525"/>
  <c r="L1525"/>
  <c r="M1525"/>
  <c r="N1525"/>
  <c r="O1525"/>
  <c r="P1525"/>
  <c r="H1525"/>
  <c r="Q1526"/>
  <c r="I483"/>
  <c r="J483"/>
  <c r="K483"/>
  <c r="L483"/>
  <c r="M483"/>
  <c r="N483"/>
  <c r="O483"/>
  <c r="P483"/>
  <c r="H483"/>
  <c r="Q484"/>
  <c r="D235" i="3"/>
  <c r="C235"/>
  <c r="D141"/>
  <c r="C141"/>
  <c r="D1368" i="2"/>
  <c r="E1368"/>
  <c r="F1368"/>
  <c r="G1368"/>
  <c r="H1368"/>
  <c r="I1368"/>
  <c r="J1368"/>
  <c r="K1368"/>
  <c r="L1368"/>
  <c r="M1368"/>
  <c r="N1368"/>
  <c r="O1368"/>
  <c r="P1368"/>
  <c r="Q1368"/>
  <c r="R1368"/>
  <c r="S1368"/>
  <c r="T1368"/>
  <c r="U1368"/>
  <c r="V1368"/>
  <c r="C1368"/>
  <c r="W1369"/>
  <c r="D880"/>
  <c r="E880"/>
  <c r="F880"/>
  <c r="G880"/>
  <c r="H880"/>
  <c r="I880"/>
  <c r="J880"/>
  <c r="K880"/>
  <c r="L880"/>
  <c r="M880"/>
  <c r="N880"/>
  <c r="O880"/>
  <c r="P880"/>
  <c r="Q880"/>
  <c r="R880"/>
  <c r="S880"/>
  <c r="T880"/>
  <c r="U880"/>
  <c r="C880"/>
  <c r="X881"/>
  <c r="D339"/>
  <c r="E339"/>
  <c r="F339"/>
  <c r="G339"/>
  <c r="H339"/>
  <c r="I339"/>
  <c r="J339"/>
  <c r="K339"/>
  <c r="L339"/>
  <c r="M339"/>
  <c r="N339"/>
  <c r="O339"/>
  <c r="P339"/>
  <c r="Q339"/>
  <c r="R339"/>
  <c r="S339"/>
  <c r="T339"/>
  <c r="U339"/>
  <c r="C339"/>
  <c r="W340"/>
  <c r="I1400" i="1"/>
  <c r="J1400"/>
  <c r="K1400"/>
  <c r="L1400"/>
  <c r="M1400"/>
  <c r="N1400"/>
  <c r="O1400"/>
  <c r="P1400"/>
  <c r="H1400"/>
  <c r="I905"/>
  <c r="J905"/>
  <c r="K905"/>
  <c r="L905"/>
  <c r="M905"/>
  <c r="N905"/>
  <c r="O905"/>
  <c r="P905"/>
  <c r="H905"/>
  <c r="I349"/>
  <c r="J349"/>
  <c r="K349"/>
  <c r="L349"/>
  <c r="M349"/>
  <c r="N349"/>
  <c r="O349"/>
  <c r="P349"/>
  <c r="H349"/>
  <c r="Q350"/>
  <c r="N178" i="3"/>
  <c r="L178"/>
  <c r="D178"/>
  <c r="C178"/>
  <c r="D1493" i="2"/>
  <c r="D1492" s="1"/>
  <c r="E1493"/>
  <c r="E1492" s="1"/>
  <c r="F1493"/>
  <c r="F1492" s="1"/>
  <c r="G1493"/>
  <c r="G1492" s="1"/>
  <c r="H1493"/>
  <c r="H1492" s="1"/>
  <c r="I1493"/>
  <c r="I1492" s="1"/>
  <c r="J1493"/>
  <c r="J1492" s="1"/>
  <c r="K1493"/>
  <c r="K1492" s="1"/>
  <c r="L1493"/>
  <c r="L1492" s="1"/>
  <c r="M1493"/>
  <c r="M1492" s="1"/>
  <c r="N1493"/>
  <c r="N1492" s="1"/>
  <c r="O1493"/>
  <c r="O1492" s="1"/>
  <c r="P1493"/>
  <c r="P1492" s="1"/>
  <c r="Q1493"/>
  <c r="Q1492" s="1"/>
  <c r="R1493"/>
  <c r="R1492" s="1"/>
  <c r="S1493"/>
  <c r="S1492" s="1"/>
  <c r="T1493"/>
  <c r="T1492" s="1"/>
  <c r="U1493"/>
  <c r="U1492" s="1"/>
  <c r="V1493"/>
  <c r="V1492" s="1"/>
  <c r="C1493"/>
  <c r="C1492" s="1"/>
  <c r="W1494"/>
  <c r="V1010"/>
  <c r="D1011"/>
  <c r="D1010" s="1"/>
  <c r="E1011"/>
  <c r="E1010" s="1"/>
  <c r="F1011"/>
  <c r="F1010" s="1"/>
  <c r="G1011"/>
  <c r="G1010" s="1"/>
  <c r="H1011"/>
  <c r="H1010" s="1"/>
  <c r="I1011"/>
  <c r="I1010" s="1"/>
  <c r="J1011"/>
  <c r="J1010" s="1"/>
  <c r="K1011"/>
  <c r="K1010" s="1"/>
  <c r="L1011"/>
  <c r="L1010" s="1"/>
  <c r="M1011"/>
  <c r="M1010" s="1"/>
  <c r="N1011"/>
  <c r="N1010" s="1"/>
  <c r="O1011"/>
  <c r="O1010" s="1"/>
  <c r="P1011"/>
  <c r="P1010" s="1"/>
  <c r="Q1011"/>
  <c r="Q1010" s="1"/>
  <c r="R1011"/>
  <c r="R1010" s="1"/>
  <c r="S1011"/>
  <c r="S1010" s="1"/>
  <c r="T1011"/>
  <c r="T1010" s="1"/>
  <c r="U1011"/>
  <c r="U1010" s="1"/>
  <c r="C1011"/>
  <c r="C1010" s="1"/>
  <c r="X1013"/>
  <c r="X1012"/>
  <c r="Y515"/>
  <c r="E514"/>
  <c r="E513" s="1"/>
  <c r="F514"/>
  <c r="F513" s="1"/>
  <c r="G514"/>
  <c r="G513" s="1"/>
  <c r="H514"/>
  <c r="H513" s="1"/>
  <c r="I514"/>
  <c r="I513" s="1"/>
  <c r="J514"/>
  <c r="J513" s="1"/>
  <c r="K514"/>
  <c r="K513" s="1"/>
  <c r="L514"/>
  <c r="L513" s="1"/>
  <c r="M514"/>
  <c r="M513" s="1"/>
  <c r="N514"/>
  <c r="N513" s="1"/>
  <c r="O514"/>
  <c r="O513" s="1"/>
  <c r="P514"/>
  <c r="P513" s="1"/>
  <c r="Q514"/>
  <c r="Q513" s="1"/>
  <c r="R514"/>
  <c r="R513" s="1"/>
  <c r="S514"/>
  <c r="S513" s="1"/>
  <c r="T514"/>
  <c r="T513" s="1"/>
  <c r="U514"/>
  <c r="U513" s="1"/>
  <c r="V514"/>
  <c r="D515"/>
  <c r="D514" s="1"/>
  <c r="D513" s="1"/>
  <c r="I1517" i="1"/>
  <c r="I1516" s="1"/>
  <c r="J1517"/>
  <c r="J1516" s="1"/>
  <c r="K1517"/>
  <c r="K1516" s="1"/>
  <c r="L1517"/>
  <c r="L1516" s="1"/>
  <c r="M1517"/>
  <c r="M1516" s="1"/>
  <c r="N1517"/>
  <c r="N1516" s="1"/>
  <c r="O1517"/>
  <c r="O1516" s="1"/>
  <c r="P1517"/>
  <c r="P1516" s="1"/>
  <c r="H1517"/>
  <c r="H1516" s="1"/>
  <c r="Q1518"/>
  <c r="I1022"/>
  <c r="I1021" s="1"/>
  <c r="J1022"/>
  <c r="J1021" s="1"/>
  <c r="K1022"/>
  <c r="K1021" s="1"/>
  <c r="L1022"/>
  <c r="L1021" s="1"/>
  <c r="M1022"/>
  <c r="M1021" s="1"/>
  <c r="N1022"/>
  <c r="N1021" s="1"/>
  <c r="O1022"/>
  <c r="O1021" s="1"/>
  <c r="P1022"/>
  <c r="P1021" s="1"/>
  <c r="H1022"/>
  <c r="H1021" s="1"/>
  <c r="Q1023"/>
  <c r="Q1024"/>
  <c r="I474"/>
  <c r="I473" s="1"/>
  <c r="J474"/>
  <c r="J473" s="1"/>
  <c r="K474"/>
  <c r="K473" s="1"/>
  <c r="L474"/>
  <c r="L473" s="1"/>
  <c r="M474"/>
  <c r="M473" s="1"/>
  <c r="N474"/>
  <c r="N473" s="1"/>
  <c r="O474"/>
  <c r="O473" s="1"/>
  <c r="P474"/>
  <c r="P473" s="1"/>
  <c r="H474"/>
  <c r="H473" s="1"/>
  <c r="Q475"/>
  <c r="D1234" i="2"/>
  <c r="E1234"/>
  <c r="F1234"/>
  <c r="G1234"/>
  <c r="H1234"/>
  <c r="I1234"/>
  <c r="J1234"/>
  <c r="K1234"/>
  <c r="L1234"/>
  <c r="M1234"/>
  <c r="N1234"/>
  <c r="O1234"/>
  <c r="P1234"/>
  <c r="Q1234"/>
  <c r="R1234"/>
  <c r="S1234"/>
  <c r="T1234"/>
  <c r="U1234"/>
  <c r="C1234"/>
  <c r="E744"/>
  <c r="F744"/>
  <c r="G744"/>
  <c r="H744"/>
  <c r="I744"/>
  <c r="J744"/>
  <c r="K744"/>
  <c r="L744"/>
  <c r="M744"/>
  <c r="N744"/>
  <c r="O744"/>
  <c r="P744"/>
  <c r="Q744"/>
  <c r="R744"/>
  <c r="S744"/>
  <c r="T744"/>
  <c r="U744"/>
  <c r="V744"/>
  <c r="C744"/>
  <c r="W746"/>
  <c r="AA745"/>
  <c r="D746"/>
  <c r="D745"/>
  <c r="E194"/>
  <c r="F194"/>
  <c r="G194"/>
  <c r="H194"/>
  <c r="I194"/>
  <c r="J194"/>
  <c r="K194"/>
  <c r="L194"/>
  <c r="M194"/>
  <c r="N194"/>
  <c r="O194"/>
  <c r="P194"/>
  <c r="Q194"/>
  <c r="R194"/>
  <c r="S194"/>
  <c r="T194"/>
  <c r="U194"/>
  <c r="C194"/>
  <c r="AA195"/>
  <c r="D195"/>
  <c r="D194" s="1"/>
  <c r="I1267" i="1"/>
  <c r="J1267"/>
  <c r="K1267"/>
  <c r="L1267"/>
  <c r="M1267"/>
  <c r="N1267"/>
  <c r="O1267"/>
  <c r="P1267"/>
  <c r="H1267"/>
  <c r="I767"/>
  <c r="J767"/>
  <c r="K767"/>
  <c r="L767"/>
  <c r="M767"/>
  <c r="N767"/>
  <c r="O767"/>
  <c r="P767"/>
  <c r="Q768"/>
  <c r="E279" i="3"/>
  <c r="F279"/>
  <c r="G279"/>
  <c r="H279"/>
  <c r="J279"/>
  <c r="K279"/>
  <c r="L279"/>
  <c r="M279"/>
  <c r="E90"/>
  <c r="F90"/>
  <c r="G90"/>
  <c r="H90"/>
  <c r="J90"/>
  <c r="K90"/>
  <c r="L90"/>
  <c r="M90"/>
  <c r="I91"/>
  <c r="AD539" i="2"/>
  <c r="AD1516"/>
  <c r="D1516"/>
  <c r="D1515" s="1"/>
  <c r="E538"/>
  <c r="F538"/>
  <c r="G538"/>
  <c r="H538"/>
  <c r="I538"/>
  <c r="J538"/>
  <c r="K538"/>
  <c r="L538"/>
  <c r="M538"/>
  <c r="N538"/>
  <c r="O538"/>
  <c r="P538"/>
  <c r="Q538"/>
  <c r="R538"/>
  <c r="S538"/>
  <c r="T538"/>
  <c r="U538"/>
  <c r="V538"/>
  <c r="V537" s="1"/>
  <c r="C538"/>
  <c r="D539"/>
  <c r="D538" s="1"/>
  <c r="I1539" i="1"/>
  <c r="J1539"/>
  <c r="K1539"/>
  <c r="L1539"/>
  <c r="M1539"/>
  <c r="N1539"/>
  <c r="O1539"/>
  <c r="P1539"/>
  <c r="H1539"/>
  <c r="Q1540"/>
  <c r="I497"/>
  <c r="J497"/>
  <c r="K497"/>
  <c r="L497"/>
  <c r="M497"/>
  <c r="N497"/>
  <c r="O497"/>
  <c r="P497"/>
  <c r="H497"/>
  <c r="Q498"/>
  <c r="D184" i="3"/>
  <c r="E184"/>
  <c r="F184"/>
  <c r="G184"/>
  <c r="H184"/>
  <c r="J184"/>
  <c r="K184"/>
  <c r="L184"/>
  <c r="M184"/>
  <c r="C184"/>
  <c r="V1032" i="2"/>
  <c r="D1512"/>
  <c r="E1512"/>
  <c r="F1512"/>
  <c r="G1512"/>
  <c r="H1512"/>
  <c r="I1512"/>
  <c r="J1512"/>
  <c r="K1512"/>
  <c r="L1512"/>
  <c r="M1512"/>
  <c r="N1512"/>
  <c r="O1512"/>
  <c r="P1512"/>
  <c r="Q1512"/>
  <c r="R1512"/>
  <c r="S1512"/>
  <c r="T1512"/>
  <c r="U1512"/>
  <c r="V1512"/>
  <c r="C1512"/>
  <c r="D1510"/>
  <c r="D1509" s="1"/>
  <c r="E1510"/>
  <c r="E1509" s="1"/>
  <c r="F1510"/>
  <c r="F1509" s="1"/>
  <c r="G1510"/>
  <c r="G1509" s="1"/>
  <c r="H1510"/>
  <c r="H1509" s="1"/>
  <c r="I1510"/>
  <c r="I1509" s="1"/>
  <c r="J1510"/>
  <c r="J1509" s="1"/>
  <c r="K1510"/>
  <c r="K1509" s="1"/>
  <c r="L1510"/>
  <c r="L1509" s="1"/>
  <c r="M1510"/>
  <c r="M1509" s="1"/>
  <c r="N1510"/>
  <c r="N1509" s="1"/>
  <c r="O1510"/>
  <c r="O1509" s="1"/>
  <c r="P1510"/>
  <c r="P1509" s="1"/>
  <c r="Q1510"/>
  <c r="Q1509" s="1"/>
  <c r="R1510"/>
  <c r="R1509" s="1"/>
  <c r="S1510"/>
  <c r="S1509" s="1"/>
  <c r="T1510"/>
  <c r="T1509" s="1"/>
  <c r="U1510"/>
  <c r="U1509" s="1"/>
  <c r="V1510"/>
  <c r="C1510"/>
  <c r="C1509" s="1"/>
  <c r="W1513"/>
  <c r="W1511"/>
  <c r="V1027"/>
  <c r="D1030"/>
  <c r="E1030"/>
  <c r="F1030"/>
  <c r="G1030"/>
  <c r="H1030"/>
  <c r="I1030"/>
  <c r="J1030"/>
  <c r="K1030"/>
  <c r="L1030"/>
  <c r="M1030"/>
  <c r="N1030"/>
  <c r="O1030"/>
  <c r="P1030"/>
  <c r="Q1030"/>
  <c r="R1030"/>
  <c r="S1030"/>
  <c r="T1030"/>
  <c r="U1030"/>
  <c r="C1030"/>
  <c r="W1031"/>
  <c r="D1028"/>
  <c r="D1027" s="1"/>
  <c r="E1028"/>
  <c r="E1027" s="1"/>
  <c r="F1028"/>
  <c r="F1027" s="1"/>
  <c r="G1028"/>
  <c r="G1027" s="1"/>
  <c r="H1028"/>
  <c r="H1027" s="1"/>
  <c r="I1028"/>
  <c r="I1027" s="1"/>
  <c r="J1028"/>
  <c r="J1027" s="1"/>
  <c r="K1028"/>
  <c r="K1027" s="1"/>
  <c r="L1028"/>
  <c r="L1027" s="1"/>
  <c r="M1028"/>
  <c r="M1027" s="1"/>
  <c r="N1028"/>
  <c r="N1027" s="1"/>
  <c r="O1028"/>
  <c r="O1027" s="1"/>
  <c r="P1028"/>
  <c r="P1027" s="1"/>
  <c r="Q1028"/>
  <c r="Q1027" s="1"/>
  <c r="R1028"/>
  <c r="R1027" s="1"/>
  <c r="S1028"/>
  <c r="S1027" s="1"/>
  <c r="T1028"/>
  <c r="T1027" s="1"/>
  <c r="U1028"/>
  <c r="U1027" s="1"/>
  <c r="C1028"/>
  <c r="C1027" s="1"/>
  <c r="W1029"/>
  <c r="L540"/>
  <c r="D535"/>
  <c r="E535"/>
  <c r="F535"/>
  <c r="G535"/>
  <c r="H535"/>
  <c r="I535"/>
  <c r="J535"/>
  <c r="K535"/>
  <c r="L535"/>
  <c r="M535"/>
  <c r="N535"/>
  <c r="O535"/>
  <c r="P535"/>
  <c r="Q535"/>
  <c r="R535"/>
  <c r="S535"/>
  <c r="T535"/>
  <c r="U535"/>
  <c r="V535"/>
  <c r="C535"/>
  <c r="W536"/>
  <c r="W534"/>
  <c r="D533"/>
  <c r="E533"/>
  <c r="F533"/>
  <c r="F532" s="1"/>
  <c r="G533"/>
  <c r="H533"/>
  <c r="I533"/>
  <c r="J533"/>
  <c r="J532" s="1"/>
  <c r="K533"/>
  <c r="L533"/>
  <c r="M533"/>
  <c r="N533"/>
  <c r="N532" s="1"/>
  <c r="O533"/>
  <c r="P533"/>
  <c r="Q533"/>
  <c r="R533"/>
  <c r="R532" s="1"/>
  <c r="S533"/>
  <c r="T533"/>
  <c r="U533"/>
  <c r="C533"/>
  <c r="X1293"/>
  <c r="X1294"/>
  <c r="X1295"/>
  <c r="X1292"/>
  <c r="W1292"/>
  <c r="X805"/>
  <c r="X804"/>
  <c r="W805"/>
  <c r="W804"/>
  <c r="X254"/>
  <c r="X255"/>
  <c r="X256"/>
  <c r="X257"/>
  <c r="X258"/>
  <c r="X259"/>
  <c r="X253"/>
  <c r="W256"/>
  <c r="D252"/>
  <c r="D251" s="1"/>
  <c r="E252"/>
  <c r="E251" s="1"/>
  <c r="F252"/>
  <c r="F251" s="1"/>
  <c r="G252"/>
  <c r="G251" s="1"/>
  <c r="H252"/>
  <c r="H251" s="1"/>
  <c r="I252"/>
  <c r="I251" s="1"/>
  <c r="J252"/>
  <c r="J251" s="1"/>
  <c r="K252"/>
  <c r="K251" s="1"/>
  <c r="L252"/>
  <c r="L251" s="1"/>
  <c r="M252"/>
  <c r="M251" s="1"/>
  <c r="N252"/>
  <c r="N251" s="1"/>
  <c r="O252"/>
  <c r="O251" s="1"/>
  <c r="P252"/>
  <c r="P251" s="1"/>
  <c r="Q252"/>
  <c r="Q251" s="1"/>
  <c r="R252"/>
  <c r="R251" s="1"/>
  <c r="S252"/>
  <c r="S251" s="1"/>
  <c r="T252"/>
  <c r="T251" s="1"/>
  <c r="U252"/>
  <c r="U251" s="1"/>
  <c r="V252"/>
  <c r="C252"/>
  <c r="C251" s="1"/>
  <c r="O268" i="1"/>
  <c r="Q268"/>
  <c r="I261"/>
  <c r="J261"/>
  <c r="K261"/>
  <c r="L261"/>
  <c r="M261"/>
  <c r="N261"/>
  <c r="P261"/>
  <c r="H261"/>
  <c r="E205" i="3"/>
  <c r="F205"/>
  <c r="G205"/>
  <c r="H205"/>
  <c r="J205"/>
  <c r="K205"/>
  <c r="L205"/>
  <c r="E112"/>
  <c r="F112"/>
  <c r="G112"/>
  <c r="H112"/>
  <c r="J112"/>
  <c r="K112"/>
  <c r="L112"/>
  <c r="E14"/>
  <c r="F14"/>
  <c r="G14"/>
  <c r="H14"/>
  <c r="J14"/>
  <c r="K14"/>
  <c r="L14"/>
  <c r="D1291" i="2"/>
  <c r="D1290" s="1"/>
  <c r="E1291"/>
  <c r="E1290" s="1"/>
  <c r="F1291"/>
  <c r="F1290" s="1"/>
  <c r="G1291"/>
  <c r="G1290" s="1"/>
  <c r="H1291"/>
  <c r="H1290" s="1"/>
  <c r="I1291"/>
  <c r="I1290" s="1"/>
  <c r="J1291"/>
  <c r="J1290" s="1"/>
  <c r="K1291"/>
  <c r="K1290" s="1"/>
  <c r="L1291"/>
  <c r="L1290" s="1"/>
  <c r="M1291"/>
  <c r="M1290" s="1"/>
  <c r="N1291"/>
  <c r="N1290" s="1"/>
  <c r="O1291"/>
  <c r="O1290" s="1"/>
  <c r="P1291"/>
  <c r="P1290" s="1"/>
  <c r="Q1291"/>
  <c r="Q1290" s="1"/>
  <c r="R1291"/>
  <c r="R1290" s="1"/>
  <c r="S1291"/>
  <c r="S1290" s="1"/>
  <c r="T1291"/>
  <c r="T1290" s="1"/>
  <c r="U1291"/>
  <c r="U1290" s="1"/>
  <c r="D803"/>
  <c r="D802" s="1"/>
  <c r="E803"/>
  <c r="E802" s="1"/>
  <c r="F803"/>
  <c r="F802" s="1"/>
  <c r="G803"/>
  <c r="G802" s="1"/>
  <c r="H803"/>
  <c r="H802" s="1"/>
  <c r="I803"/>
  <c r="I802" s="1"/>
  <c r="J803"/>
  <c r="J802" s="1"/>
  <c r="K803"/>
  <c r="K802" s="1"/>
  <c r="L803"/>
  <c r="L802" s="1"/>
  <c r="M803"/>
  <c r="M802" s="1"/>
  <c r="N803"/>
  <c r="N802" s="1"/>
  <c r="O803"/>
  <c r="O802" s="1"/>
  <c r="P803"/>
  <c r="P802" s="1"/>
  <c r="Q803"/>
  <c r="Q802" s="1"/>
  <c r="R803"/>
  <c r="R802" s="1"/>
  <c r="S803"/>
  <c r="S802" s="1"/>
  <c r="T803"/>
  <c r="T802" s="1"/>
  <c r="U803"/>
  <c r="U802" s="1"/>
  <c r="V803"/>
  <c r="C803"/>
  <c r="C802" s="1"/>
  <c r="O1325" i="1"/>
  <c r="O1326"/>
  <c r="O1327"/>
  <c r="I1323"/>
  <c r="J1323"/>
  <c r="K1323"/>
  <c r="L1323"/>
  <c r="M1323"/>
  <c r="N1323"/>
  <c r="P1323"/>
  <c r="H1323"/>
  <c r="I826"/>
  <c r="J826"/>
  <c r="K826"/>
  <c r="L826"/>
  <c r="M826"/>
  <c r="N826"/>
  <c r="P826"/>
  <c r="O827"/>
  <c r="H826"/>
  <c r="O265"/>
  <c r="O266"/>
  <c r="O267"/>
  <c r="O264"/>
  <c r="D277" i="3"/>
  <c r="E277"/>
  <c r="F277"/>
  <c r="G277"/>
  <c r="H277"/>
  <c r="J277"/>
  <c r="K277"/>
  <c r="L277"/>
  <c r="M277"/>
  <c r="C277"/>
  <c r="D182"/>
  <c r="E182"/>
  <c r="F182"/>
  <c r="G182"/>
  <c r="H182"/>
  <c r="J182"/>
  <c r="K182"/>
  <c r="L182"/>
  <c r="M182"/>
  <c r="C182"/>
  <c r="E88"/>
  <c r="F88"/>
  <c r="G88"/>
  <c r="H88"/>
  <c r="J88"/>
  <c r="K88"/>
  <c r="L88"/>
  <c r="W1506" i="2"/>
  <c r="W1505"/>
  <c r="D1504"/>
  <c r="E1504"/>
  <c r="F1504"/>
  <c r="G1504"/>
  <c r="H1504"/>
  <c r="I1504"/>
  <c r="J1504"/>
  <c r="K1504"/>
  <c r="L1504"/>
  <c r="M1504"/>
  <c r="N1504"/>
  <c r="O1504"/>
  <c r="P1504"/>
  <c r="Q1504"/>
  <c r="R1504"/>
  <c r="S1504"/>
  <c r="T1504"/>
  <c r="U1504"/>
  <c r="C1504"/>
  <c r="W1024"/>
  <c r="W1025"/>
  <c r="W1026"/>
  <c r="W1023"/>
  <c r="D1022"/>
  <c r="E1022"/>
  <c r="F1022"/>
  <c r="G1022"/>
  <c r="H1022"/>
  <c r="I1022"/>
  <c r="J1022"/>
  <c r="K1022"/>
  <c r="L1022"/>
  <c r="M1022"/>
  <c r="N1022"/>
  <c r="O1022"/>
  <c r="P1022"/>
  <c r="Q1022"/>
  <c r="R1022"/>
  <c r="S1022"/>
  <c r="T1022"/>
  <c r="U1022"/>
  <c r="C1022"/>
  <c r="C529"/>
  <c r="C530"/>
  <c r="C531"/>
  <c r="C528"/>
  <c r="Y529"/>
  <c r="Y528"/>
  <c r="X529"/>
  <c r="X528"/>
  <c r="W529"/>
  <c r="W530"/>
  <c r="W531"/>
  <c r="W528"/>
  <c r="D529"/>
  <c r="D530"/>
  <c r="D531"/>
  <c r="D528"/>
  <c r="E527"/>
  <c r="F527"/>
  <c r="G527"/>
  <c r="H527"/>
  <c r="I527"/>
  <c r="J527"/>
  <c r="K527"/>
  <c r="L527"/>
  <c r="M527"/>
  <c r="N527"/>
  <c r="O527"/>
  <c r="P527"/>
  <c r="Q527"/>
  <c r="R527"/>
  <c r="S527"/>
  <c r="T527"/>
  <c r="U527"/>
  <c r="I1528" i="1"/>
  <c r="J1528"/>
  <c r="K1528"/>
  <c r="L1528"/>
  <c r="M1528"/>
  <c r="N1528"/>
  <c r="P1528"/>
  <c r="H1528"/>
  <c r="D255" i="3"/>
  <c r="E255"/>
  <c r="F255"/>
  <c r="G255"/>
  <c r="H255"/>
  <c r="J255"/>
  <c r="K255"/>
  <c r="L255"/>
  <c r="M255"/>
  <c r="C255"/>
  <c r="N256"/>
  <c r="N255" s="1"/>
  <c r="D162"/>
  <c r="E162"/>
  <c r="F162"/>
  <c r="G162"/>
  <c r="H162"/>
  <c r="J162"/>
  <c r="K162"/>
  <c r="L162"/>
  <c r="M162"/>
  <c r="C162"/>
  <c r="N163"/>
  <c r="N162" s="1"/>
  <c r="E66"/>
  <c r="F66"/>
  <c r="G66"/>
  <c r="H66"/>
  <c r="J66"/>
  <c r="K66"/>
  <c r="L66"/>
  <c r="M66"/>
  <c r="N67"/>
  <c r="N66" s="1"/>
  <c r="W1445" i="2"/>
  <c r="D1444"/>
  <c r="D1443" s="1"/>
  <c r="E1444"/>
  <c r="E1443" s="1"/>
  <c r="F1444"/>
  <c r="F1443" s="1"/>
  <c r="G1444"/>
  <c r="G1443" s="1"/>
  <c r="H1444"/>
  <c r="H1443" s="1"/>
  <c r="I1444"/>
  <c r="I1443" s="1"/>
  <c r="J1444"/>
  <c r="J1443" s="1"/>
  <c r="K1444"/>
  <c r="K1443" s="1"/>
  <c r="L1444"/>
  <c r="L1443" s="1"/>
  <c r="M1444"/>
  <c r="M1443" s="1"/>
  <c r="N1444"/>
  <c r="N1443" s="1"/>
  <c r="O1444"/>
  <c r="O1443" s="1"/>
  <c r="P1444"/>
  <c r="P1443" s="1"/>
  <c r="Q1444"/>
  <c r="Q1443" s="1"/>
  <c r="R1444"/>
  <c r="R1443" s="1"/>
  <c r="S1444"/>
  <c r="S1443" s="1"/>
  <c r="T1444"/>
  <c r="T1443" s="1"/>
  <c r="U1444"/>
  <c r="U1443" s="1"/>
  <c r="V1444"/>
  <c r="C1444"/>
  <c r="C1443" s="1"/>
  <c r="AD960"/>
  <c r="W960"/>
  <c r="E959"/>
  <c r="E958" s="1"/>
  <c r="F959"/>
  <c r="F958" s="1"/>
  <c r="G959"/>
  <c r="G958" s="1"/>
  <c r="H959"/>
  <c r="H958" s="1"/>
  <c r="I959"/>
  <c r="I958" s="1"/>
  <c r="J959"/>
  <c r="J958" s="1"/>
  <c r="K959"/>
  <c r="K958" s="1"/>
  <c r="L959"/>
  <c r="L958" s="1"/>
  <c r="M959"/>
  <c r="M958" s="1"/>
  <c r="N959"/>
  <c r="N958" s="1"/>
  <c r="O959"/>
  <c r="O958" s="1"/>
  <c r="P959"/>
  <c r="P958" s="1"/>
  <c r="Q959"/>
  <c r="Q958" s="1"/>
  <c r="R959"/>
  <c r="R958" s="1"/>
  <c r="S959"/>
  <c r="S958" s="1"/>
  <c r="T959"/>
  <c r="T958" s="1"/>
  <c r="U959"/>
  <c r="U958" s="1"/>
  <c r="C959"/>
  <c r="C958" s="1"/>
  <c r="D960"/>
  <c r="D959" s="1"/>
  <c r="D958" s="1"/>
  <c r="AD427"/>
  <c r="AD426"/>
  <c r="W427"/>
  <c r="W426"/>
  <c r="D425"/>
  <c r="D424" s="1"/>
  <c r="E425"/>
  <c r="E424" s="1"/>
  <c r="F425"/>
  <c r="F424" s="1"/>
  <c r="G425"/>
  <c r="G424" s="1"/>
  <c r="H425"/>
  <c r="H424" s="1"/>
  <c r="I425"/>
  <c r="I424" s="1"/>
  <c r="J425"/>
  <c r="J424" s="1"/>
  <c r="K425"/>
  <c r="K424" s="1"/>
  <c r="L425"/>
  <c r="L424" s="1"/>
  <c r="M425"/>
  <c r="M424" s="1"/>
  <c r="N425"/>
  <c r="N424" s="1"/>
  <c r="O425"/>
  <c r="O424" s="1"/>
  <c r="P425"/>
  <c r="P424" s="1"/>
  <c r="Q425"/>
  <c r="Q424" s="1"/>
  <c r="R425"/>
  <c r="R424" s="1"/>
  <c r="S425"/>
  <c r="S424" s="1"/>
  <c r="T425"/>
  <c r="T424" s="1"/>
  <c r="U425"/>
  <c r="U424" s="1"/>
  <c r="V425"/>
  <c r="V424" s="1"/>
  <c r="C425"/>
  <c r="C424" s="1"/>
  <c r="I1472" i="1"/>
  <c r="J1472"/>
  <c r="K1472"/>
  <c r="L1472"/>
  <c r="M1472"/>
  <c r="N1472"/>
  <c r="O1472"/>
  <c r="P1472"/>
  <c r="H1472"/>
  <c r="I974"/>
  <c r="J974"/>
  <c r="K974"/>
  <c r="L974"/>
  <c r="M974"/>
  <c r="N974"/>
  <c r="O974"/>
  <c r="P974"/>
  <c r="H974"/>
  <c r="I430"/>
  <c r="J430"/>
  <c r="K430"/>
  <c r="L430"/>
  <c r="M430"/>
  <c r="N430"/>
  <c r="P430"/>
  <c r="H430"/>
  <c r="N270" i="3"/>
  <c r="I270"/>
  <c r="N177"/>
  <c r="N81"/>
  <c r="I80"/>
  <c r="I81"/>
  <c r="I83"/>
  <c r="Y1491" i="2"/>
  <c r="W1489"/>
  <c r="W1490"/>
  <c r="W1488"/>
  <c r="D1489"/>
  <c r="D1490"/>
  <c r="D1491"/>
  <c r="D1488"/>
  <c r="E1487"/>
  <c r="F1487"/>
  <c r="G1487"/>
  <c r="H1487"/>
  <c r="I1487"/>
  <c r="J1487"/>
  <c r="K1487"/>
  <c r="L1487"/>
  <c r="M1487"/>
  <c r="N1487"/>
  <c r="O1487"/>
  <c r="P1487"/>
  <c r="Q1487"/>
  <c r="R1487"/>
  <c r="S1487"/>
  <c r="T1487"/>
  <c r="U1487"/>
  <c r="V1487"/>
  <c r="C1487"/>
  <c r="W1008"/>
  <c r="W1009"/>
  <c r="W1007"/>
  <c r="D1006"/>
  <c r="E1006"/>
  <c r="F1006"/>
  <c r="G1006"/>
  <c r="H1006"/>
  <c r="I1006"/>
  <c r="J1006"/>
  <c r="K1006"/>
  <c r="L1006"/>
  <c r="M1006"/>
  <c r="N1006"/>
  <c r="O1006"/>
  <c r="P1006"/>
  <c r="Q1006"/>
  <c r="R1006"/>
  <c r="S1006"/>
  <c r="T1006"/>
  <c r="U1006"/>
  <c r="C1006"/>
  <c r="W512"/>
  <c r="W511"/>
  <c r="N185" i="3"/>
  <c r="N184" s="1"/>
  <c r="I185"/>
  <c r="I184" s="1"/>
  <c r="N281"/>
  <c r="N279" s="1"/>
  <c r="I281"/>
  <c r="I279" s="1"/>
  <c r="N92"/>
  <c r="N90" s="1"/>
  <c r="I92"/>
  <c r="W1519" i="2"/>
  <c r="W1518"/>
  <c r="D1517"/>
  <c r="D1514" s="1"/>
  <c r="E1517"/>
  <c r="E1514" s="1"/>
  <c r="F1517"/>
  <c r="F1514" s="1"/>
  <c r="G1517"/>
  <c r="G1514" s="1"/>
  <c r="H1517"/>
  <c r="H1514" s="1"/>
  <c r="I1517"/>
  <c r="I1514" s="1"/>
  <c r="J1517"/>
  <c r="J1514" s="1"/>
  <c r="K1517"/>
  <c r="K1514" s="1"/>
  <c r="L1517"/>
  <c r="L1514" s="1"/>
  <c r="M1517"/>
  <c r="M1514" s="1"/>
  <c r="N1517"/>
  <c r="N1514" s="1"/>
  <c r="O1517"/>
  <c r="O1514" s="1"/>
  <c r="P1517"/>
  <c r="P1514" s="1"/>
  <c r="Q1517"/>
  <c r="Q1514" s="1"/>
  <c r="R1517"/>
  <c r="R1514" s="1"/>
  <c r="S1517"/>
  <c r="S1514" s="1"/>
  <c r="T1517"/>
  <c r="T1514" s="1"/>
  <c r="U1517"/>
  <c r="U1514" s="1"/>
  <c r="V1517"/>
  <c r="C1517"/>
  <c r="C1514" s="1"/>
  <c r="D1033"/>
  <c r="D1032" s="1"/>
  <c r="E1033"/>
  <c r="E1032" s="1"/>
  <c r="F1033"/>
  <c r="F1032" s="1"/>
  <c r="G1033"/>
  <c r="G1032" s="1"/>
  <c r="H1033"/>
  <c r="H1032" s="1"/>
  <c r="I1033"/>
  <c r="I1032" s="1"/>
  <c r="J1033"/>
  <c r="J1032" s="1"/>
  <c r="K1033"/>
  <c r="K1032" s="1"/>
  <c r="L1033"/>
  <c r="L1032" s="1"/>
  <c r="M1033"/>
  <c r="M1032" s="1"/>
  <c r="N1033"/>
  <c r="N1032" s="1"/>
  <c r="O1033"/>
  <c r="O1032" s="1"/>
  <c r="P1033"/>
  <c r="P1032" s="1"/>
  <c r="Q1033"/>
  <c r="Q1032" s="1"/>
  <c r="R1033"/>
  <c r="R1032" s="1"/>
  <c r="S1033"/>
  <c r="S1032" s="1"/>
  <c r="T1033"/>
  <c r="T1032" s="1"/>
  <c r="U1033"/>
  <c r="U1032" s="1"/>
  <c r="C1033"/>
  <c r="C1032" s="1"/>
  <c r="W1034"/>
  <c r="I90" i="3" l="1"/>
  <c r="U532" i="2"/>
  <c r="Q532"/>
  <c r="M532"/>
  <c r="I532"/>
  <c r="E532"/>
  <c r="T532"/>
  <c r="P532"/>
  <c r="L532"/>
  <c r="H532"/>
  <c r="D532"/>
  <c r="S532"/>
  <c r="O532"/>
  <c r="K532"/>
  <c r="G532"/>
  <c r="M113" i="3"/>
  <c r="M112" s="1"/>
  <c r="C206"/>
  <c r="C205" s="1"/>
  <c r="M206"/>
  <c r="M205" s="1"/>
  <c r="C15"/>
  <c r="C91"/>
  <c r="C90" s="1"/>
  <c r="D91"/>
  <c r="D90" s="1"/>
  <c r="C280"/>
  <c r="C279" s="1"/>
  <c r="D280"/>
  <c r="D279" s="1"/>
  <c r="C60"/>
  <c r="D60"/>
  <c r="M63"/>
  <c r="C159"/>
  <c r="D159"/>
  <c r="M252"/>
  <c r="N252" s="1"/>
  <c r="M57"/>
  <c r="C113"/>
  <c r="C112" s="1"/>
  <c r="D113"/>
  <c r="D112" s="1"/>
  <c r="D206"/>
  <c r="D205" s="1"/>
  <c r="D15"/>
  <c r="D14" s="1"/>
  <c r="C63"/>
  <c r="D63"/>
  <c r="M159"/>
  <c r="N159" s="1"/>
  <c r="C252"/>
  <c r="D252"/>
  <c r="W301" i="2"/>
  <c r="O298"/>
  <c r="W305"/>
  <c r="T844"/>
  <c r="R844"/>
  <c r="P844"/>
  <c r="L844"/>
  <c r="J844"/>
  <c r="H844"/>
  <c r="F844"/>
  <c r="D844"/>
  <c r="C527"/>
  <c r="L537"/>
  <c r="C844"/>
  <c r="C532"/>
  <c r="V912"/>
  <c r="U844"/>
  <c r="S844"/>
  <c r="Q844"/>
  <c r="O844"/>
  <c r="M844"/>
  <c r="K844"/>
  <c r="I844"/>
  <c r="G844"/>
  <c r="E844"/>
  <c r="D744"/>
  <c r="C1018"/>
  <c r="C1017" s="1"/>
  <c r="C520"/>
  <c r="C519" s="1"/>
  <c r="C1498"/>
  <c r="D527"/>
  <c r="C1291"/>
  <c r="C1290" s="1"/>
  <c r="D1487"/>
  <c r="W313"/>
  <c r="W508"/>
  <c r="W542"/>
  <c r="W543"/>
  <c r="W545"/>
  <c r="W546"/>
  <c r="W547"/>
  <c r="W548"/>
  <c r="W549"/>
  <c r="W550"/>
  <c r="W551"/>
  <c r="W541"/>
  <c r="W1039"/>
  <c r="W1040"/>
  <c r="W1041"/>
  <c r="W1042"/>
  <c r="W1043"/>
  <c r="W1044"/>
  <c r="W1045"/>
  <c r="W1046"/>
  <c r="W1047"/>
  <c r="W1038"/>
  <c r="W1523"/>
  <c r="W1524"/>
  <c r="W1525"/>
  <c r="W1526"/>
  <c r="W1527"/>
  <c r="W1528"/>
  <c r="W1522"/>
  <c r="D1037"/>
  <c r="E1037"/>
  <c r="F1037"/>
  <c r="G1037"/>
  <c r="H1037"/>
  <c r="I1037"/>
  <c r="J1037"/>
  <c r="K1037"/>
  <c r="L1037"/>
  <c r="M1037"/>
  <c r="N1037"/>
  <c r="O1037"/>
  <c r="P1037"/>
  <c r="Q1037"/>
  <c r="R1037"/>
  <c r="S1037"/>
  <c r="T1037"/>
  <c r="U1037"/>
  <c r="V1037"/>
  <c r="C1037"/>
  <c r="Y274"/>
  <c r="D248" i="3"/>
  <c r="C248"/>
  <c r="D154"/>
  <c r="C154"/>
  <c r="W1421" i="2"/>
  <c r="W932"/>
  <c r="W398"/>
  <c r="X1349"/>
  <c r="X860"/>
  <c r="N269" i="3"/>
  <c r="I269"/>
  <c r="X1485" i="2"/>
  <c r="N176" i="3"/>
  <c r="I176"/>
  <c r="D176"/>
  <c r="X1004" i="2"/>
  <c r="N80" i="3"/>
  <c r="D232"/>
  <c r="C232"/>
  <c r="D138"/>
  <c r="C138"/>
  <c r="W330" i="2"/>
  <c r="W873"/>
  <c r="W1361"/>
  <c r="N272" i="3"/>
  <c r="N179"/>
  <c r="N83"/>
  <c r="W1497" i="2"/>
  <c r="I293" i="3"/>
  <c r="L292"/>
  <c r="N292" s="1"/>
  <c r="I292"/>
  <c r="D292"/>
  <c r="C292"/>
  <c r="H291"/>
  <c r="G291"/>
  <c r="D291"/>
  <c r="C291"/>
  <c r="N290"/>
  <c r="I290"/>
  <c r="M287"/>
  <c r="N287" s="1"/>
  <c r="I287"/>
  <c r="D287"/>
  <c r="C287"/>
  <c r="M286"/>
  <c r="N286" s="1"/>
  <c r="I286"/>
  <c r="D286"/>
  <c r="C286"/>
  <c r="A286"/>
  <c r="N278"/>
  <c r="N277" s="1"/>
  <c r="I278"/>
  <c r="I277" s="1"/>
  <c r="L273"/>
  <c r="K273"/>
  <c r="J273"/>
  <c r="G273"/>
  <c r="I273" s="1"/>
  <c r="F273"/>
  <c r="E273"/>
  <c r="I272"/>
  <c r="N268"/>
  <c r="M268"/>
  <c r="L268"/>
  <c r="K268"/>
  <c r="J268"/>
  <c r="H268"/>
  <c r="G268"/>
  <c r="F268"/>
  <c r="E268"/>
  <c r="D268"/>
  <c r="C268"/>
  <c r="N267"/>
  <c r="N266"/>
  <c r="M264"/>
  <c r="N264" s="1"/>
  <c r="N263" s="1"/>
  <c r="H264"/>
  <c r="I264" s="1"/>
  <c r="D264"/>
  <c r="C264"/>
  <c r="C263" s="1"/>
  <c r="L263"/>
  <c r="K263"/>
  <c r="J263"/>
  <c r="G263"/>
  <c r="F263"/>
  <c r="E263"/>
  <c r="D263"/>
  <c r="N262"/>
  <c r="N261" s="1"/>
  <c r="I262"/>
  <c r="M261"/>
  <c r="L261"/>
  <c r="K261"/>
  <c r="J261"/>
  <c r="H261"/>
  <c r="G261"/>
  <c r="F261"/>
  <c r="E261"/>
  <c r="D261"/>
  <c r="C261"/>
  <c r="I259"/>
  <c r="N258"/>
  <c r="I258"/>
  <c r="L257"/>
  <c r="K257"/>
  <c r="J257"/>
  <c r="G257"/>
  <c r="F257"/>
  <c r="E257"/>
  <c r="D257"/>
  <c r="C257"/>
  <c r="I256"/>
  <c r="I255" s="1"/>
  <c r="M254"/>
  <c r="N254" s="1"/>
  <c r="N253" s="1"/>
  <c r="H254"/>
  <c r="I254" s="1"/>
  <c r="L253"/>
  <c r="K253"/>
  <c r="J253"/>
  <c r="G253"/>
  <c r="F253"/>
  <c r="E253"/>
  <c r="I252"/>
  <c r="M251"/>
  <c r="N251" s="1"/>
  <c r="I251"/>
  <c r="D251"/>
  <c r="C251"/>
  <c r="N250"/>
  <c r="I250"/>
  <c r="N249"/>
  <c r="I249"/>
  <c r="N248"/>
  <c r="I248"/>
  <c r="I247"/>
  <c r="I246"/>
  <c r="L245"/>
  <c r="K245"/>
  <c r="J245"/>
  <c r="H245"/>
  <c r="G245"/>
  <c r="F245"/>
  <c r="E245"/>
  <c r="D245"/>
  <c r="C245"/>
  <c r="M244"/>
  <c r="N244" s="1"/>
  <c r="I244"/>
  <c r="D244"/>
  <c r="C244"/>
  <c r="N243"/>
  <c r="I243"/>
  <c r="D243"/>
  <c r="C243"/>
  <c r="I242"/>
  <c r="L241"/>
  <c r="K241"/>
  <c r="J241"/>
  <c r="H241"/>
  <c r="G241"/>
  <c r="F241"/>
  <c r="E241"/>
  <c r="I239"/>
  <c r="L238"/>
  <c r="K238"/>
  <c r="J238"/>
  <c r="H238"/>
  <c r="G238"/>
  <c r="F238"/>
  <c r="E238"/>
  <c r="I237"/>
  <c r="L236"/>
  <c r="K236"/>
  <c r="J236"/>
  <c r="H236"/>
  <c r="G236"/>
  <c r="F236"/>
  <c r="E236"/>
  <c r="M234"/>
  <c r="N234" s="1"/>
  <c r="I234"/>
  <c r="D234"/>
  <c r="I233"/>
  <c r="N232"/>
  <c r="I232"/>
  <c r="K231"/>
  <c r="J231"/>
  <c r="H231"/>
  <c r="G231"/>
  <c r="F231"/>
  <c r="E231"/>
  <c r="D231"/>
  <c r="C231"/>
  <c r="H230"/>
  <c r="I230" s="1"/>
  <c r="N229"/>
  <c r="I229"/>
  <c r="L228"/>
  <c r="K228"/>
  <c r="J228"/>
  <c r="G228"/>
  <c r="F228"/>
  <c r="E228"/>
  <c r="D228"/>
  <c r="C228"/>
  <c r="N227"/>
  <c r="N226" s="1"/>
  <c r="I227"/>
  <c r="I226" s="1"/>
  <c r="N225"/>
  <c r="N224" s="1"/>
  <c r="I225"/>
  <c r="I224" s="1"/>
  <c r="I222"/>
  <c r="I221"/>
  <c r="I220"/>
  <c r="I219"/>
  <c r="N215"/>
  <c r="N214" s="1"/>
  <c r="C214"/>
  <c r="A215"/>
  <c r="A217" s="1"/>
  <c r="A219" s="1"/>
  <c r="A220" s="1"/>
  <c r="A221" s="1"/>
  <c r="A222" s="1"/>
  <c r="A225" s="1"/>
  <c r="A227" s="1"/>
  <c r="A229" s="1"/>
  <c r="A230" s="1"/>
  <c r="A232" s="1"/>
  <c r="A233" s="1"/>
  <c r="A234" s="1"/>
  <c r="A235" s="1"/>
  <c r="A237" s="1"/>
  <c r="A239" s="1"/>
  <c r="A242" s="1"/>
  <c r="A243" s="1"/>
  <c r="A244" s="1"/>
  <c r="A246" s="1"/>
  <c r="A247" s="1"/>
  <c r="A248" s="1"/>
  <c r="A249" s="1"/>
  <c r="A250" s="1"/>
  <c r="A251" s="1"/>
  <c r="A252" s="1"/>
  <c r="A254" s="1"/>
  <c r="L214"/>
  <c r="K214"/>
  <c r="J214"/>
  <c r="H214"/>
  <c r="G214"/>
  <c r="F214"/>
  <c r="E214"/>
  <c r="D214"/>
  <c r="I213"/>
  <c r="H212"/>
  <c r="I212" s="1"/>
  <c r="D212"/>
  <c r="C212"/>
  <c r="L211"/>
  <c r="K211"/>
  <c r="J211"/>
  <c r="G211"/>
  <c r="F211"/>
  <c r="E211"/>
  <c r="N210"/>
  <c r="N209" s="1"/>
  <c r="I210"/>
  <c r="L209"/>
  <c r="K209"/>
  <c r="J209"/>
  <c r="H209"/>
  <c r="G209"/>
  <c r="F209"/>
  <c r="E209"/>
  <c r="D209"/>
  <c r="C209"/>
  <c r="N208"/>
  <c r="N207" s="1"/>
  <c r="I208"/>
  <c r="I207" s="1"/>
  <c r="C207"/>
  <c r="I206"/>
  <c r="I205" s="1"/>
  <c r="N203"/>
  <c r="I203"/>
  <c r="N202"/>
  <c r="I202"/>
  <c r="I201"/>
  <c r="N200"/>
  <c r="I200"/>
  <c r="I199"/>
  <c r="M198"/>
  <c r="N198" s="1"/>
  <c r="I198"/>
  <c r="D198"/>
  <c r="C198"/>
  <c r="L196"/>
  <c r="N196" s="1"/>
  <c r="I196"/>
  <c r="D196"/>
  <c r="C196"/>
  <c r="M195"/>
  <c r="H195"/>
  <c r="G195"/>
  <c r="D195"/>
  <c r="C195"/>
  <c r="N194"/>
  <c r="I194"/>
  <c r="M191"/>
  <c r="N191" s="1"/>
  <c r="I191"/>
  <c r="D191"/>
  <c r="C191"/>
  <c r="M190"/>
  <c r="N190" s="1"/>
  <c r="I190"/>
  <c r="D190"/>
  <c r="C190"/>
  <c r="A190"/>
  <c r="N183"/>
  <c r="I183"/>
  <c r="I182" s="1"/>
  <c r="L180"/>
  <c r="K180"/>
  <c r="J180"/>
  <c r="G180"/>
  <c r="I180" s="1"/>
  <c r="F180"/>
  <c r="E180"/>
  <c r="I179"/>
  <c r="I177"/>
  <c r="N175"/>
  <c r="M175"/>
  <c r="L175"/>
  <c r="K175"/>
  <c r="J175"/>
  <c r="H175"/>
  <c r="G175"/>
  <c r="F175"/>
  <c r="E175"/>
  <c r="D175"/>
  <c r="C175"/>
  <c r="N174"/>
  <c r="I174"/>
  <c r="I172" s="1"/>
  <c r="D174"/>
  <c r="C174"/>
  <c r="N173"/>
  <c r="N172" s="1"/>
  <c r="D173"/>
  <c r="C173"/>
  <c r="M171"/>
  <c r="N171" s="1"/>
  <c r="N170" s="1"/>
  <c r="H171"/>
  <c r="I171" s="1"/>
  <c r="D171"/>
  <c r="C171"/>
  <c r="C170" s="1"/>
  <c r="L170"/>
  <c r="K170"/>
  <c r="J170"/>
  <c r="G170"/>
  <c r="F170"/>
  <c r="E170"/>
  <c r="D170"/>
  <c r="I169"/>
  <c r="L168"/>
  <c r="K168"/>
  <c r="J168"/>
  <c r="H168"/>
  <c r="G168"/>
  <c r="F168"/>
  <c r="E168"/>
  <c r="H167"/>
  <c r="I167" s="1"/>
  <c r="N166"/>
  <c r="I166"/>
  <c r="I165"/>
  <c r="L164"/>
  <c r="K164"/>
  <c r="J164"/>
  <c r="G164"/>
  <c r="F164"/>
  <c r="E164"/>
  <c r="I163"/>
  <c r="I162" s="1"/>
  <c r="M161"/>
  <c r="N161" s="1"/>
  <c r="N160" s="1"/>
  <c r="H161"/>
  <c r="I161" s="1"/>
  <c r="D161"/>
  <c r="D160" s="1"/>
  <c r="C161"/>
  <c r="C160" s="1"/>
  <c r="L160"/>
  <c r="K160"/>
  <c r="J160"/>
  <c r="G160"/>
  <c r="F160"/>
  <c r="E160"/>
  <c r="I159"/>
  <c r="M158"/>
  <c r="N158" s="1"/>
  <c r="I158"/>
  <c r="D158"/>
  <c r="C158"/>
  <c r="N157"/>
  <c r="I157"/>
  <c r="N155"/>
  <c r="I155"/>
  <c r="N154"/>
  <c r="I154"/>
  <c r="I153"/>
  <c r="N152"/>
  <c r="I152"/>
  <c r="L151"/>
  <c r="K151"/>
  <c r="J151"/>
  <c r="G151"/>
  <c r="F151"/>
  <c r="E151"/>
  <c r="M150"/>
  <c r="N150" s="1"/>
  <c r="I150"/>
  <c r="D150"/>
  <c r="C150"/>
  <c r="N149"/>
  <c r="I149"/>
  <c r="L147"/>
  <c r="K147"/>
  <c r="J147"/>
  <c r="H147"/>
  <c r="G147"/>
  <c r="F147"/>
  <c r="E147"/>
  <c r="I145"/>
  <c r="L144"/>
  <c r="K144"/>
  <c r="J144"/>
  <c r="H144"/>
  <c r="G144"/>
  <c r="F144"/>
  <c r="E144"/>
  <c r="I143"/>
  <c r="C142"/>
  <c r="L142"/>
  <c r="K142"/>
  <c r="J142"/>
  <c r="H142"/>
  <c r="G142"/>
  <c r="F142"/>
  <c r="E142"/>
  <c r="I141"/>
  <c r="M140"/>
  <c r="N140" s="1"/>
  <c r="I140"/>
  <c r="D140"/>
  <c r="C140"/>
  <c r="I139"/>
  <c r="N138"/>
  <c r="I138"/>
  <c r="K137"/>
  <c r="J137"/>
  <c r="H137"/>
  <c r="G137"/>
  <c r="F137"/>
  <c r="E137"/>
  <c r="D137"/>
  <c r="C137"/>
  <c r="H136"/>
  <c r="I136" s="1"/>
  <c r="I135"/>
  <c r="L134"/>
  <c r="K134"/>
  <c r="J134"/>
  <c r="G134"/>
  <c r="F134"/>
  <c r="E134"/>
  <c r="I133"/>
  <c r="I132" s="1"/>
  <c r="N131"/>
  <c r="N130" s="1"/>
  <c r="I131"/>
  <c r="I130" s="1"/>
  <c r="N129"/>
  <c r="I129"/>
  <c r="I128"/>
  <c r="N127"/>
  <c r="I127"/>
  <c r="I126"/>
  <c r="N122"/>
  <c r="N121" s="1"/>
  <c r="I122"/>
  <c r="D121"/>
  <c r="A122"/>
  <c r="A124" s="1"/>
  <c r="A127" s="1"/>
  <c r="A128" s="1"/>
  <c r="A129" s="1"/>
  <c r="A131" s="1"/>
  <c r="A133" s="1"/>
  <c r="A135" s="1"/>
  <c r="A136" s="1"/>
  <c r="A138" s="1"/>
  <c r="A139" s="1"/>
  <c r="A140" s="1"/>
  <c r="A141" s="1"/>
  <c r="A143" s="1"/>
  <c r="A145" s="1"/>
  <c r="A148" s="1"/>
  <c r="A149" s="1"/>
  <c r="A150" s="1"/>
  <c r="A152" s="1"/>
  <c r="A153" s="1"/>
  <c r="A154" s="1"/>
  <c r="A155" s="1"/>
  <c r="A157" s="1"/>
  <c r="A158" s="1"/>
  <c r="A159" s="1"/>
  <c r="A161" s="1"/>
  <c r="M121"/>
  <c r="L121"/>
  <c r="K121"/>
  <c r="J121"/>
  <c r="H121"/>
  <c r="G121"/>
  <c r="F121"/>
  <c r="E121"/>
  <c r="C121"/>
  <c r="I120"/>
  <c r="M119"/>
  <c r="N119" s="1"/>
  <c r="H119"/>
  <c r="I119" s="1"/>
  <c r="D119"/>
  <c r="C119"/>
  <c r="L118"/>
  <c r="K118"/>
  <c r="J118"/>
  <c r="G118"/>
  <c r="F118"/>
  <c r="E118"/>
  <c r="I117"/>
  <c r="M116"/>
  <c r="L116"/>
  <c r="K116"/>
  <c r="J116"/>
  <c r="H116"/>
  <c r="G116"/>
  <c r="F116"/>
  <c r="E116"/>
  <c r="D116"/>
  <c r="C116"/>
  <c r="I115"/>
  <c r="I114" s="1"/>
  <c r="I113"/>
  <c r="I112" s="1"/>
  <c r="N110"/>
  <c r="I110"/>
  <c r="I109"/>
  <c r="I108"/>
  <c r="N107"/>
  <c r="I107"/>
  <c r="I106"/>
  <c r="M105"/>
  <c r="N105" s="1"/>
  <c r="I105"/>
  <c r="D105"/>
  <c r="C105"/>
  <c r="I89"/>
  <c r="I88" s="1"/>
  <c r="L84"/>
  <c r="K84"/>
  <c r="J84"/>
  <c r="G84"/>
  <c r="F84"/>
  <c r="E84"/>
  <c r="W1016" i="2"/>
  <c r="W518"/>
  <c r="Y777"/>
  <c r="AA226"/>
  <c r="AA225"/>
  <c r="W778"/>
  <c r="W779"/>
  <c r="W780"/>
  <c r="W782"/>
  <c r="W776"/>
  <c r="D776"/>
  <c r="D777"/>
  <c r="D778"/>
  <c r="D779"/>
  <c r="D780"/>
  <c r="D781"/>
  <c r="D782"/>
  <c r="W224"/>
  <c r="W228"/>
  <c r="W229"/>
  <c r="W230"/>
  <c r="W231"/>
  <c r="W223"/>
  <c r="W775"/>
  <c r="W774"/>
  <c r="V1521"/>
  <c r="U1521"/>
  <c r="T1521"/>
  <c r="S1521"/>
  <c r="R1521"/>
  <c r="Q1521"/>
  <c r="P1521"/>
  <c r="O1521"/>
  <c r="N1521"/>
  <c r="M1521"/>
  <c r="L1521"/>
  <c r="K1521"/>
  <c r="J1521"/>
  <c r="I1521"/>
  <c r="H1521"/>
  <c r="G1521"/>
  <c r="F1521"/>
  <c r="E1521"/>
  <c r="D1521"/>
  <c r="C1521"/>
  <c r="V1496"/>
  <c r="U1496"/>
  <c r="T1496"/>
  <c r="S1496"/>
  <c r="R1496"/>
  <c r="Q1496"/>
  <c r="P1496"/>
  <c r="O1496"/>
  <c r="N1496"/>
  <c r="M1496"/>
  <c r="L1496"/>
  <c r="K1496"/>
  <c r="J1496"/>
  <c r="I1496"/>
  <c r="H1496"/>
  <c r="G1496"/>
  <c r="F1496"/>
  <c r="E1496"/>
  <c r="D1496"/>
  <c r="C1496"/>
  <c r="U1484"/>
  <c r="T1484"/>
  <c r="S1484"/>
  <c r="R1484"/>
  <c r="Q1484"/>
  <c r="P1484"/>
  <c r="O1484"/>
  <c r="N1484"/>
  <c r="M1484"/>
  <c r="L1484"/>
  <c r="K1484"/>
  <c r="J1484"/>
  <c r="I1484"/>
  <c r="H1484"/>
  <c r="G1484"/>
  <c r="F1484"/>
  <c r="E1484"/>
  <c r="D1484"/>
  <c r="C1484"/>
  <c r="N1431"/>
  <c r="U1420"/>
  <c r="T1420"/>
  <c r="S1420"/>
  <c r="R1420"/>
  <c r="Q1420"/>
  <c r="P1420"/>
  <c r="O1420"/>
  <c r="O1402" s="1"/>
  <c r="N1420"/>
  <c r="N1402" s="1"/>
  <c r="M1420"/>
  <c r="M1402" s="1"/>
  <c r="L1420"/>
  <c r="K1420"/>
  <c r="J1420"/>
  <c r="I1420"/>
  <c r="H1420"/>
  <c r="G1420"/>
  <c r="F1420"/>
  <c r="E1420"/>
  <c r="D1420"/>
  <c r="C1420"/>
  <c r="U1360"/>
  <c r="T1360"/>
  <c r="S1360"/>
  <c r="R1360"/>
  <c r="Q1360"/>
  <c r="P1360"/>
  <c r="O1360"/>
  <c r="N1360"/>
  <c r="M1360"/>
  <c r="L1360"/>
  <c r="K1360"/>
  <c r="J1360"/>
  <c r="I1360"/>
  <c r="H1360"/>
  <c r="G1360"/>
  <c r="F1360"/>
  <c r="E1360"/>
  <c r="D1360"/>
  <c r="C1360"/>
  <c r="U1348"/>
  <c r="U1347" s="1"/>
  <c r="T1348"/>
  <c r="T1347" s="1"/>
  <c r="S1348"/>
  <c r="S1347" s="1"/>
  <c r="R1348"/>
  <c r="R1347" s="1"/>
  <c r="Q1348"/>
  <c r="Q1347" s="1"/>
  <c r="P1348"/>
  <c r="P1347" s="1"/>
  <c r="O1348"/>
  <c r="O1347" s="1"/>
  <c r="N1348"/>
  <c r="N1347" s="1"/>
  <c r="M1348"/>
  <c r="M1347" s="1"/>
  <c r="L1348"/>
  <c r="L1347" s="1"/>
  <c r="K1348"/>
  <c r="K1347" s="1"/>
  <c r="J1348"/>
  <c r="J1347" s="1"/>
  <c r="I1348"/>
  <c r="I1347" s="1"/>
  <c r="H1348"/>
  <c r="H1347" s="1"/>
  <c r="G1348"/>
  <c r="G1347" s="1"/>
  <c r="F1348"/>
  <c r="F1347" s="1"/>
  <c r="E1348"/>
  <c r="E1347" s="1"/>
  <c r="D1348"/>
  <c r="D1347" s="1"/>
  <c r="C1348"/>
  <c r="C1347" s="1"/>
  <c r="U1306"/>
  <c r="T1306"/>
  <c r="S1306"/>
  <c r="R1306"/>
  <c r="Q1306"/>
  <c r="P1306"/>
  <c r="O1306"/>
  <c r="N1306"/>
  <c r="M1306"/>
  <c r="L1306"/>
  <c r="K1306"/>
  <c r="J1306"/>
  <c r="I1306"/>
  <c r="H1306"/>
  <c r="G1306"/>
  <c r="F1306"/>
  <c r="E1306"/>
  <c r="D1306"/>
  <c r="C1306"/>
  <c r="V1221"/>
  <c r="V1220"/>
  <c r="V1219"/>
  <c r="V1218"/>
  <c r="V1217"/>
  <c r="V1216"/>
  <c r="K1216"/>
  <c r="V1215"/>
  <c r="V1214"/>
  <c r="V1213"/>
  <c r="V1212"/>
  <c r="V1211"/>
  <c r="V1210"/>
  <c r="V1209"/>
  <c r="V1208"/>
  <c r="V1207"/>
  <c r="V1206"/>
  <c r="V1205"/>
  <c r="V1204"/>
  <c r="K1204"/>
  <c r="V1203"/>
  <c r="V1202"/>
  <c r="V1201"/>
  <c r="V1200"/>
  <c r="K1200"/>
  <c r="V1199"/>
  <c r="V1198"/>
  <c r="V1197"/>
  <c r="V1196"/>
  <c r="V1195"/>
  <c r="V1194"/>
  <c r="V1193"/>
  <c r="V1192"/>
  <c r="V1191"/>
  <c r="V1190"/>
  <c r="V1189"/>
  <c r="V1188"/>
  <c r="K1188"/>
  <c r="V1187"/>
  <c r="V1186"/>
  <c r="V1185"/>
  <c r="V1184"/>
  <c r="V1183"/>
  <c r="V1182"/>
  <c r="V1181"/>
  <c r="V1180"/>
  <c r="V1179"/>
  <c r="V1178"/>
  <c r="V1177"/>
  <c r="V1176"/>
  <c r="V1175"/>
  <c r="V1174"/>
  <c r="V1173"/>
  <c r="V1172"/>
  <c r="V1171"/>
  <c r="V1170"/>
  <c r="V1169"/>
  <c r="V1168"/>
  <c r="V1167"/>
  <c r="V1166"/>
  <c r="K1165"/>
  <c r="V1165"/>
  <c r="V1164"/>
  <c r="V1163"/>
  <c r="V1162"/>
  <c r="V1161"/>
  <c r="V1160"/>
  <c r="K1159"/>
  <c r="V1159"/>
  <c r="V1158"/>
  <c r="V1157"/>
  <c r="V1156"/>
  <c r="V1155"/>
  <c r="V1154"/>
  <c r="V1153"/>
  <c r="K1153"/>
  <c r="V1152"/>
  <c r="V1151"/>
  <c r="V1150"/>
  <c r="V1149"/>
  <c r="V1148"/>
  <c r="V1147"/>
  <c r="V1146"/>
  <c r="V1145"/>
  <c r="V1144"/>
  <c r="V1143"/>
  <c r="V1142"/>
  <c r="V1141"/>
  <c r="V1140"/>
  <c r="V1139"/>
  <c r="V1138"/>
  <c r="V1137"/>
  <c r="V1136"/>
  <c r="V1135"/>
  <c r="V1134"/>
  <c r="V1133"/>
  <c r="V1132"/>
  <c r="V1131"/>
  <c r="V1130"/>
  <c r="V1129"/>
  <c r="V1128"/>
  <c r="V1127"/>
  <c r="V1126"/>
  <c r="K1126"/>
  <c r="V1125"/>
  <c r="V1124"/>
  <c r="V1123"/>
  <c r="V1122"/>
  <c r="V1121"/>
  <c r="V1120"/>
  <c r="V1119"/>
  <c r="V1118"/>
  <c r="V1117"/>
  <c r="V1116"/>
  <c r="V1115"/>
  <c r="V1114"/>
  <c r="V1113"/>
  <c r="V1112"/>
  <c r="V1111"/>
  <c r="V1110"/>
  <c r="V1109"/>
  <c r="V1108"/>
  <c r="V1107"/>
  <c r="V1106"/>
  <c r="V1105"/>
  <c r="V1104"/>
  <c r="V1103"/>
  <c r="K1102"/>
  <c r="V1102"/>
  <c r="V1101"/>
  <c r="V1100"/>
  <c r="O1100"/>
  <c r="V1099"/>
  <c r="O1099"/>
  <c r="V1098"/>
  <c r="V1097"/>
  <c r="V1096"/>
  <c r="V1095"/>
  <c r="V1094"/>
  <c r="V1093"/>
  <c r="V1092"/>
  <c r="V1091"/>
  <c r="V1090"/>
  <c r="V1089"/>
  <c r="V1088"/>
  <c r="V1087"/>
  <c r="V1086"/>
  <c r="V1085"/>
  <c r="V1084"/>
  <c r="V1083"/>
  <c r="V1082"/>
  <c r="V1081"/>
  <c r="V1080"/>
  <c r="V1079"/>
  <c r="V1078"/>
  <c r="K1078"/>
  <c r="V1076"/>
  <c r="V1075"/>
  <c r="V1074"/>
  <c r="V1073"/>
  <c r="V1072"/>
  <c r="V1071"/>
  <c r="V1070"/>
  <c r="Q1069"/>
  <c r="Q1053" s="1"/>
  <c r="V1068"/>
  <c r="V1067"/>
  <c r="V1066"/>
  <c r="V1065"/>
  <c r="V1064"/>
  <c r="V1063"/>
  <c r="V1062"/>
  <c r="K1062"/>
  <c r="V1061"/>
  <c r="O1061"/>
  <c r="V1060"/>
  <c r="M1060"/>
  <c r="M1053" s="1"/>
  <c r="V1059"/>
  <c r="V1058"/>
  <c r="V1057"/>
  <c r="V1056"/>
  <c r="V1055"/>
  <c r="V1054"/>
  <c r="S1053"/>
  <c r="R1053"/>
  <c r="P1053"/>
  <c r="N1053"/>
  <c r="C1053"/>
  <c r="V1015"/>
  <c r="U1015"/>
  <c r="T1015"/>
  <c r="S1015"/>
  <c r="R1015"/>
  <c r="Q1015"/>
  <c r="P1015"/>
  <c r="O1015"/>
  <c r="N1015"/>
  <c r="M1015"/>
  <c r="L1015"/>
  <c r="K1015"/>
  <c r="J1015"/>
  <c r="I1015"/>
  <c r="H1015"/>
  <c r="G1015"/>
  <c r="F1015"/>
  <c r="E1015"/>
  <c r="D1015"/>
  <c r="C1015"/>
  <c r="U1003"/>
  <c r="T1003"/>
  <c r="S1003"/>
  <c r="R1003"/>
  <c r="Q1003"/>
  <c r="P1003"/>
  <c r="O1003"/>
  <c r="N1003"/>
  <c r="M1003"/>
  <c r="L1003"/>
  <c r="K1003"/>
  <c r="J1003"/>
  <c r="I1003"/>
  <c r="H1003"/>
  <c r="G1003"/>
  <c r="F1003"/>
  <c r="E1003"/>
  <c r="D1003"/>
  <c r="C1003"/>
  <c r="N946"/>
  <c r="U931"/>
  <c r="U912" s="1"/>
  <c r="T931"/>
  <c r="T912" s="1"/>
  <c r="S931"/>
  <c r="S912" s="1"/>
  <c r="R931"/>
  <c r="R912" s="1"/>
  <c r="Q931"/>
  <c r="Q912" s="1"/>
  <c r="P931"/>
  <c r="P912" s="1"/>
  <c r="O931"/>
  <c r="O912" s="1"/>
  <c r="N931"/>
  <c r="N912" s="1"/>
  <c r="M931"/>
  <c r="M912" s="1"/>
  <c r="L931"/>
  <c r="L912" s="1"/>
  <c r="K931"/>
  <c r="K912" s="1"/>
  <c r="J931"/>
  <c r="J912" s="1"/>
  <c r="I931"/>
  <c r="I912" s="1"/>
  <c r="H931"/>
  <c r="H912" s="1"/>
  <c r="G931"/>
  <c r="G912" s="1"/>
  <c r="F931"/>
  <c r="F912" s="1"/>
  <c r="E931"/>
  <c r="E912" s="1"/>
  <c r="D931"/>
  <c r="D912" s="1"/>
  <c r="C931"/>
  <c r="C912" s="1"/>
  <c r="U872"/>
  <c r="T872"/>
  <c r="S872"/>
  <c r="R872"/>
  <c r="Q872"/>
  <c r="P872"/>
  <c r="O872"/>
  <c r="N872"/>
  <c r="M872"/>
  <c r="L872"/>
  <c r="K872"/>
  <c r="J872"/>
  <c r="I872"/>
  <c r="H872"/>
  <c r="G872"/>
  <c r="F872"/>
  <c r="E872"/>
  <c r="D872"/>
  <c r="C872"/>
  <c r="U859"/>
  <c r="U858" s="1"/>
  <c r="T859"/>
  <c r="T858" s="1"/>
  <c r="S859"/>
  <c r="S858" s="1"/>
  <c r="R859"/>
  <c r="R858" s="1"/>
  <c r="Q859"/>
  <c r="Q858" s="1"/>
  <c r="P859"/>
  <c r="P858" s="1"/>
  <c r="O859"/>
  <c r="O858" s="1"/>
  <c r="N859"/>
  <c r="N858" s="1"/>
  <c r="M859"/>
  <c r="M858" s="1"/>
  <c r="L859"/>
  <c r="L858" s="1"/>
  <c r="K859"/>
  <c r="K858" s="1"/>
  <c r="J859"/>
  <c r="J858" s="1"/>
  <c r="I859"/>
  <c r="I858" s="1"/>
  <c r="H859"/>
  <c r="H858" s="1"/>
  <c r="G859"/>
  <c r="G858" s="1"/>
  <c r="F859"/>
  <c r="F858" s="1"/>
  <c r="E859"/>
  <c r="E858" s="1"/>
  <c r="D859"/>
  <c r="D858" s="1"/>
  <c r="C859"/>
  <c r="C858" s="1"/>
  <c r="V841"/>
  <c r="U818"/>
  <c r="T818"/>
  <c r="S818"/>
  <c r="R818"/>
  <c r="Q818"/>
  <c r="P818"/>
  <c r="O818"/>
  <c r="N818"/>
  <c r="M818"/>
  <c r="L818"/>
  <c r="K818"/>
  <c r="J818"/>
  <c r="I818"/>
  <c r="H818"/>
  <c r="G818"/>
  <c r="F818"/>
  <c r="E818"/>
  <c r="D818"/>
  <c r="C818"/>
  <c r="N811"/>
  <c r="D775"/>
  <c r="D774"/>
  <c r="U773"/>
  <c r="T773"/>
  <c r="S773"/>
  <c r="R773"/>
  <c r="Q773"/>
  <c r="P773"/>
  <c r="O773"/>
  <c r="N773"/>
  <c r="M773"/>
  <c r="L773"/>
  <c r="K773"/>
  <c r="J773"/>
  <c r="I773"/>
  <c r="H773"/>
  <c r="G773"/>
  <c r="F773"/>
  <c r="E773"/>
  <c r="C773"/>
  <c r="V729"/>
  <c r="V728"/>
  <c r="V727"/>
  <c r="V726"/>
  <c r="V725"/>
  <c r="V724"/>
  <c r="K724"/>
  <c r="V723"/>
  <c r="V722"/>
  <c r="V721"/>
  <c r="V720"/>
  <c r="V719"/>
  <c r="V718"/>
  <c r="V717"/>
  <c r="V716"/>
  <c r="V715"/>
  <c r="V714"/>
  <c r="V713"/>
  <c r="K712"/>
  <c r="V712"/>
  <c r="V711"/>
  <c r="V710"/>
  <c r="V709"/>
  <c r="V708"/>
  <c r="K708"/>
  <c r="V707"/>
  <c r="V706"/>
  <c r="V705"/>
  <c r="V704"/>
  <c r="V703"/>
  <c r="V702"/>
  <c r="V701"/>
  <c r="V700"/>
  <c r="V699"/>
  <c r="V698"/>
  <c r="V697"/>
  <c r="V696"/>
  <c r="K696"/>
  <c r="V695"/>
  <c r="V694"/>
  <c r="V693"/>
  <c r="V692"/>
  <c r="V691"/>
  <c r="V690"/>
  <c r="V689"/>
  <c r="V688"/>
  <c r="V687"/>
  <c r="V686"/>
  <c r="V685"/>
  <c r="V684"/>
  <c r="V683"/>
  <c r="V682"/>
  <c r="V681"/>
  <c r="V680"/>
  <c r="V679"/>
  <c r="V678"/>
  <c r="V677"/>
  <c r="V676"/>
  <c r="V675"/>
  <c r="V674"/>
  <c r="K673"/>
  <c r="V673"/>
  <c r="V672"/>
  <c r="V671"/>
  <c r="V670"/>
  <c r="V669"/>
  <c r="V668"/>
  <c r="V667"/>
  <c r="K667"/>
  <c r="V666"/>
  <c r="V665"/>
  <c r="V664"/>
  <c r="V663"/>
  <c r="V662"/>
  <c r="K661"/>
  <c r="V661"/>
  <c r="V660"/>
  <c r="V659"/>
  <c r="V658"/>
  <c r="V657"/>
  <c r="V656"/>
  <c r="V655"/>
  <c r="V654"/>
  <c r="V653"/>
  <c r="V652"/>
  <c r="V651"/>
  <c r="V650"/>
  <c r="V649"/>
  <c r="V648"/>
  <c r="V647"/>
  <c r="V646"/>
  <c r="V645"/>
  <c r="V644"/>
  <c r="V643"/>
  <c r="V642"/>
  <c r="V641"/>
  <c r="V640"/>
  <c r="V639"/>
  <c r="V638"/>
  <c r="V637"/>
  <c r="V636"/>
  <c r="V635"/>
  <c r="V634"/>
  <c r="K634"/>
  <c r="V633"/>
  <c r="V632"/>
  <c r="V631"/>
  <c r="V630"/>
  <c r="V629"/>
  <c r="V628"/>
  <c r="V627"/>
  <c r="V626"/>
  <c r="V625"/>
  <c r="V624"/>
  <c r="V623"/>
  <c r="V622"/>
  <c r="V621"/>
  <c r="V620"/>
  <c r="V619"/>
  <c r="V618"/>
  <c r="V617"/>
  <c r="V616"/>
  <c r="V615"/>
  <c r="V614"/>
  <c r="V613"/>
  <c r="V612"/>
  <c r="V611"/>
  <c r="K610"/>
  <c r="V610"/>
  <c r="V609"/>
  <c r="V608"/>
  <c r="O608"/>
  <c r="V607"/>
  <c r="O607"/>
  <c r="V606"/>
  <c r="V605"/>
  <c r="V604"/>
  <c r="V603"/>
  <c r="V602"/>
  <c r="V601"/>
  <c r="V600"/>
  <c r="V599"/>
  <c r="V598"/>
  <c r="V597"/>
  <c r="V596"/>
  <c r="V595"/>
  <c r="V594"/>
  <c r="V593"/>
  <c r="V592"/>
  <c r="V591"/>
  <c r="V590"/>
  <c r="V589"/>
  <c r="V588"/>
  <c r="V587"/>
  <c r="V586"/>
  <c r="K586"/>
  <c r="V585"/>
  <c r="V584"/>
  <c r="V583"/>
  <c r="V582"/>
  <c r="V581"/>
  <c r="V580"/>
  <c r="V579"/>
  <c r="V578"/>
  <c r="V577"/>
  <c r="Q577"/>
  <c r="Q561" s="1"/>
  <c r="V576"/>
  <c r="V575"/>
  <c r="V574"/>
  <c r="V573"/>
  <c r="V571"/>
  <c r="V570"/>
  <c r="K570"/>
  <c r="V569"/>
  <c r="O569"/>
  <c r="V568"/>
  <c r="M568"/>
  <c r="M561" s="1"/>
  <c r="V567"/>
  <c r="V566"/>
  <c r="V565"/>
  <c r="V563"/>
  <c r="V562"/>
  <c r="S561"/>
  <c r="R561"/>
  <c r="P561"/>
  <c r="N561"/>
  <c r="C561"/>
  <c r="D540"/>
  <c r="D537" s="1"/>
  <c r="E540"/>
  <c r="E537" s="1"/>
  <c r="F540"/>
  <c r="F537" s="1"/>
  <c r="G540"/>
  <c r="G537" s="1"/>
  <c r="H540"/>
  <c r="H537" s="1"/>
  <c r="I540"/>
  <c r="I537" s="1"/>
  <c r="J540"/>
  <c r="J537" s="1"/>
  <c r="K540"/>
  <c r="K537" s="1"/>
  <c r="M540"/>
  <c r="M537" s="1"/>
  <c r="N540"/>
  <c r="N537" s="1"/>
  <c r="O540"/>
  <c r="O537" s="1"/>
  <c r="P540"/>
  <c r="P537" s="1"/>
  <c r="Q540"/>
  <c r="Q537" s="1"/>
  <c r="R540"/>
  <c r="R537" s="1"/>
  <c r="S540"/>
  <c r="S537" s="1"/>
  <c r="T540"/>
  <c r="T537" s="1"/>
  <c r="U540"/>
  <c r="U537" s="1"/>
  <c r="C540"/>
  <c r="C537" s="1"/>
  <c r="D510"/>
  <c r="E510"/>
  <c r="F510"/>
  <c r="G510"/>
  <c r="H510"/>
  <c r="I510"/>
  <c r="J510"/>
  <c r="K510"/>
  <c r="L510"/>
  <c r="M510"/>
  <c r="N510"/>
  <c r="O510"/>
  <c r="P510"/>
  <c r="Q510"/>
  <c r="R510"/>
  <c r="S510"/>
  <c r="T510"/>
  <c r="U510"/>
  <c r="C510"/>
  <c r="E222"/>
  <c r="F222"/>
  <c r="G222"/>
  <c r="H222"/>
  <c r="I222"/>
  <c r="J222"/>
  <c r="K222"/>
  <c r="L222"/>
  <c r="M222"/>
  <c r="N222"/>
  <c r="O222"/>
  <c r="P222"/>
  <c r="Q222"/>
  <c r="R222"/>
  <c r="S222"/>
  <c r="T222"/>
  <c r="U222"/>
  <c r="D223"/>
  <c r="D517"/>
  <c r="E517"/>
  <c r="F517"/>
  <c r="G517"/>
  <c r="H517"/>
  <c r="I517"/>
  <c r="J517"/>
  <c r="K517"/>
  <c r="L517"/>
  <c r="M517"/>
  <c r="N517"/>
  <c r="O517"/>
  <c r="P517"/>
  <c r="Q517"/>
  <c r="R517"/>
  <c r="S517"/>
  <c r="T517"/>
  <c r="U517"/>
  <c r="V517"/>
  <c r="C517"/>
  <c r="D329"/>
  <c r="E329"/>
  <c r="F329"/>
  <c r="G329"/>
  <c r="H329"/>
  <c r="I329"/>
  <c r="J329"/>
  <c r="K329"/>
  <c r="L329"/>
  <c r="M329"/>
  <c r="N329"/>
  <c r="O329"/>
  <c r="P329"/>
  <c r="Q329"/>
  <c r="R329"/>
  <c r="S329"/>
  <c r="T329"/>
  <c r="U329"/>
  <c r="C329"/>
  <c r="D507"/>
  <c r="E507"/>
  <c r="F507"/>
  <c r="G507"/>
  <c r="H507"/>
  <c r="I507"/>
  <c r="J507"/>
  <c r="K507"/>
  <c r="L507"/>
  <c r="M507"/>
  <c r="N507"/>
  <c r="O507"/>
  <c r="P507"/>
  <c r="Q507"/>
  <c r="R507"/>
  <c r="S507"/>
  <c r="T507"/>
  <c r="U507"/>
  <c r="C507"/>
  <c r="D312"/>
  <c r="D311" s="1"/>
  <c r="E312"/>
  <c r="E311" s="1"/>
  <c r="F312"/>
  <c r="F311" s="1"/>
  <c r="G312"/>
  <c r="G311" s="1"/>
  <c r="H312"/>
  <c r="H311" s="1"/>
  <c r="I312"/>
  <c r="I311" s="1"/>
  <c r="J312"/>
  <c r="J311" s="1"/>
  <c r="K312"/>
  <c r="K311" s="1"/>
  <c r="L312"/>
  <c r="L311" s="1"/>
  <c r="M312"/>
  <c r="M311" s="1"/>
  <c r="N312"/>
  <c r="N311" s="1"/>
  <c r="O312"/>
  <c r="O311" s="1"/>
  <c r="P312"/>
  <c r="P311" s="1"/>
  <c r="Q312"/>
  <c r="Q311" s="1"/>
  <c r="R312"/>
  <c r="R311" s="1"/>
  <c r="S312"/>
  <c r="S311" s="1"/>
  <c r="T312"/>
  <c r="T311" s="1"/>
  <c r="U312"/>
  <c r="U311" s="1"/>
  <c r="C312"/>
  <c r="C311" s="1"/>
  <c r="D397"/>
  <c r="E397"/>
  <c r="F397"/>
  <c r="G397"/>
  <c r="H397"/>
  <c r="I397"/>
  <c r="J397"/>
  <c r="K397"/>
  <c r="L397"/>
  <c r="M397"/>
  <c r="N397"/>
  <c r="O397"/>
  <c r="P397"/>
  <c r="Q397"/>
  <c r="R397"/>
  <c r="S397"/>
  <c r="T397"/>
  <c r="U397"/>
  <c r="C397"/>
  <c r="D272"/>
  <c r="E272"/>
  <c r="F272"/>
  <c r="G272"/>
  <c r="H272"/>
  <c r="I272"/>
  <c r="J272"/>
  <c r="K272"/>
  <c r="L272"/>
  <c r="M272"/>
  <c r="N272"/>
  <c r="O272"/>
  <c r="P272"/>
  <c r="Q272"/>
  <c r="R272"/>
  <c r="S272"/>
  <c r="T272"/>
  <c r="U272"/>
  <c r="C272"/>
  <c r="D544"/>
  <c r="E544"/>
  <c r="F544"/>
  <c r="G544"/>
  <c r="H544"/>
  <c r="I544"/>
  <c r="J544"/>
  <c r="K544"/>
  <c r="L544"/>
  <c r="M544"/>
  <c r="N544"/>
  <c r="O544"/>
  <c r="P544"/>
  <c r="Q544"/>
  <c r="R544"/>
  <c r="S544"/>
  <c r="T544"/>
  <c r="U544"/>
  <c r="V544"/>
  <c r="C544"/>
  <c r="D295"/>
  <c r="E295"/>
  <c r="F295"/>
  <c r="G295"/>
  <c r="H295"/>
  <c r="I295"/>
  <c r="J295"/>
  <c r="K295"/>
  <c r="L295"/>
  <c r="M295"/>
  <c r="N295"/>
  <c r="O295"/>
  <c r="P295"/>
  <c r="Q295"/>
  <c r="R295"/>
  <c r="S295"/>
  <c r="T295"/>
  <c r="U295"/>
  <c r="V295"/>
  <c r="C295"/>
  <c r="C222"/>
  <c r="J796" i="1"/>
  <c r="K796"/>
  <c r="L796"/>
  <c r="M796"/>
  <c r="N796"/>
  <c r="P796"/>
  <c r="H796"/>
  <c r="I804"/>
  <c r="I231"/>
  <c r="J231"/>
  <c r="K231"/>
  <c r="L231"/>
  <c r="M231"/>
  <c r="N231"/>
  <c r="P231"/>
  <c r="H231"/>
  <c r="M263" i="3" l="1"/>
  <c r="M170"/>
  <c r="O1053" i="2"/>
  <c r="I168" i="3"/>
  <c r="H228"/>
  <c r="I228" s="1"/>
  <c r="N113"/>
  <c r="N112" s="1"/>
  <c r="N206"/>
  <c r="N205" s="1"/>
  <c r="C109"/>
  <c r="I236"/>
  <c r="I261"/>
  <c r="N265"/>
  <c r="I291"/>
  <c r="M109"/>
  <c r="AA781" i="2"/>
  <c r="D109" i="3"/>
  <c r="M89"/>
  <c r="M88" s="1"/>
  <c r="M253"/>
  <c r="C172"/>
  <c r="D172"/>
  <c r="N195"/>
  <c r="D773" i="2"/>
  <c r="I116" i="3"/>
  <c r="I195"/>
  <c r="M241"/>
  <c r="N241" s="1"/>
  <c r="N844" i="2"/>
  <c r="I124" i="3"/>
  <c r="I123" s="1"/>
  <c r="H123"/>
  <c r="I217"/>
  <c r="I216" s="1"/>
  <c r="N217"/>
  <c r="I142"/>
  <c r="I144"/>
  <c r="I245"/>
  <c r="H263"/>
  <c r="I263" s="1"/>
  <c r="I231"/>
  <c r="I241"/>
  <c r="H151"/>
  <c r="I151" s="1"/>
  <c r="H170"/>
  <c r="I170" s="1"/>
  <c r="W544" i="2"/>
  <c r="H253" i="3"/>
  <c r="I253" s="1"/>
  <c r="H257"/>
  <c r="I257" s="1"/>
  <c r="M231"/>
  <c r="M137"/>
  <c r="L291"/>
  <c r="I796" i="1"/>
  <c r="N182" i="3"/>
  <c r="I84"/>
  <c r="I175"/>
  <c r="H118"/>
  <c r="I118" s="1"/>
  <c r="O561" i="2"/>
  <c r="K561"/>
  <c r="K1053"/>
  <c r="I214" i="3"/>
  <c r="H134"/>
  <c r="I134" s="1"/>
  <c r="C241"/>
  <c r="I137"/>
  <c r="I147"/>
  <c r="H164"/>
  <c r="I164" s="1"/>
  <c r="H211"/>
  <c r="I211" s="1"/>
  <c r="I238"/>
  <c r="I268"/>
  <c r="D241"/>
  <c r="H160"/>
  <c r="I160" s="1"/>
  <c r="M160"/>
  <c r="I209"/>
  <c r="I121"/>
  <c r="L195"/>
  <c r="D222" i="2"/>
  <c r="I1048" i="1"/>
  <c r="J1048"/>
  <c r="K1048"/>
  <c r="L1048"/>
  <c r="M1048"/>
  <c r="N1048"/>
  <c r="P1048"/>
  <c r="H1048"/>
  <c r="K503"/>
  <c r="L503"/>
  <c r="M503"/>
  <c r="N503"/>
  <c r="P503"/>
  <c r="I503"/>
  <c r="J503"/>
  <c r="H503"/>
  <c r="I1545"/>
  <c r="J1545"/>
  <c r="K1545"/>
  <c r="L1545"/>
  <c r="M1545"/>
  <c r="N1545"/>
  <c r="P1545"/>
  <c r="H1545"/>
  <c r="N89" i="3" l="1"/>
  <c r="N88" s="1"/>
  <c r="O1546" i="1"/>
  <c r="Q1546"/>
  <c r="O1547"/>
  <c r="Q1547"/>
  <c r="O1548"/>
  <c r="Q1548"/>
  <c r="O1549"/>
  <c r="Q1549"/>
  <c r="O1550"/>
  <c r="Q1550"/>
  <c r="O1551"/>
  <c r="Q1551"/>
  <c r="O1552"/>
  <c r="Q1552"/>
  <c r="O1545" l="1"/>
  <c r="I1541"/>
  <c r="I1538" s="1"/>
  <c r="J1541"/>
  <c r="J1538" s="1"/>
  <c r="K1541"/>
  <c r="K1538" s="1"/>
  <c r="L1541"/>
  <c r="L1538" s="1"/>
  <c r="M1541"/>
  <c r="M1538" s="1"/>
  <c r="N1541"/>
  <c r="N1538" s="1"/>
  <c r="O1541"/>
  <c r="O1538" s="1"/>
  <c r="P1541"/>
  <c r="P1538" s="1"/>
  <c r="H1541"/>
  <c r="H1538" s="1"/>
  <c r="I1044"/>
  <c r="I1043" s="1"/>
  <c r="J1044"/>
  <c r="J1043" s="1"/>
  <c r="K1044"/>
  <c r="K1043" s="1"/>
  <c r="L1044"/>
  <c r="L1043" s="1"/>
  <c r="M1044"/>
  <c r="M1043" s="1"/>
  <c r="N1044"/>
  <c r="N1043" s="1"/>
  <c r="O1044"/>
  <c r="P1044"/>
  <c r="P1043" s="1"/>
  <c r="H1044"/>
  <c r="H1043" s="1"/>
  <c r="I470"/>
  <c r="J470"/>
  <c r="K470"/>
  <c r="D149" i="3" s="1"/>
  <c r="L470" i="1"/>
  <c r="M470"/>
  <c r="N470"/>
  <c r="O470"/>
  <c r="H470"/>
  <c r="C149" i="3" s="1"/>
  <c r="Q471" i="1"/>
  <c r="I1017"/>
  <c r="J1017"/>
  <c r="J1016" s="1"/>
  <c r="K1017"/>
  <c r="K1016" s="1"/>
  <c r="L1017"/>
  <c r="L1016" s="1"/>
  <c r="M1017"/>
  <c r="M1016" s="1"/>
  <c r="N1017"/>
  <c r="N1016" s="1"/>
  <c r="O1017"/>
  <c r="O1016" s="1"/>
  <c r="P1017"/>
  <c r="P1016" s="1"/>
  <c r="H1017"/>
  <c r="H1016" s="1"/>
  <c r="Q1018"/>
  <c r="Q1019"/>
  <c r="I1511"/>
  <c r="I1510" s="1"/>
  <c r="J1511"/>
  <c r="J1510" s="1"/>
  <c r="K1511"/>
  <c r="K1510" s="1"/>
  <c r="L1511"/>
  <c r="L1510" s="1"/>
  <c r="M1511"/>
  <c r="M1510" s="1"/>
  <c r="N1511"/>
  <c r="N1510" s="1"/>
  <c r="O1511"/>
  <c r="O1510" s="1"/>
  <c r="H1511"/>
  <c r="H1510" s="1"/>
  <c r="Q1512"/>
  <c r="Q1513"/>
  <c r="Q1514"/>
  <c r="P1514"/>
  <c r="O1578"/>
  <c r="M1578"/>
  <c r="K1578"/>
  <c r="I1578"/>
  <c r="R1578"/>
  <c r="Q1578"/>
  <c r="P1578"/>
  <c r="Q1577"/>
  <c r="O1577"/>
  <c r="J1577"/>
  <c r="J1576" s="1"/>
  <c r="J1575" s="1"/>
  <c r="N1576"/>
  <c r="N1575" s="1"/>
  <c r="M1576"/>
  <c r="M1575" s="1"/>
  <c r="L1576"/>
  <c r="O1576" s="1"/>
  <c r="O1575" s="1"/>
  <c r="K1576"/>
  <c r="K1575" s="1"/>
  <c r="I1576"/>
  <c r="I1575" s="1"/>
  <c r="H1576"/>
  <c r="H1575" s="1"/>
  <c r="R1575"/>
  <c r="Q1575"/>
  <c r="P1575"/>
  <c r="Q1572"/>
  <c r="O1572"/>
  <c r="Q1571"/>
  <c r="O1571"/>
  <c r="H1571"/>
  <c r="Q1570"/>
  <c r="O1570"/>
  <c r="Q1569"/>
  <c r="O1569"/>
  <c r="H1569"/>
  <c r="Q1568"/>
  <c r="O1568"/>
  <c r="H1568"/>
  <c r="P1567"/>
  <c r="P1566" s="1"/>
  <c r="P1565" s="1"/>
  <c r="N1567"/>
  <c r="N1566" s="1"/>
  <c r="N1565" s="1"/>
  <c r="M1567"/>
  <c r="M1566" s="1"/>
  <c r="M1565" s="1"/>
  <c r="L1567"/>
  <c r="L1566" s="1"/>
  <c r="L1565" s="1"/>
  <c r="K1567"/>
  <c r="K1566" s="1"/>
  <c r="K1565" s="1"/>
  <c r="J1567"/>
  <c r="J1566" s="1"/>
  <c r="J1565" s="1"/>
  <c r="I1567"/>
  <c r="I1566" s="1"/>
  <c r="I1565" s="1"/>
  <c r="Q1561"/>
  <c r="O1561"/>
  <c r="O1560" s="1"/>
  <c r="P1560"/>
  <c r="N1560"/>
  <c r="M1560"/>
  <c r="L1560"/>
  <c r="K1560"/>
  <c r="J1560"/>
  <c r="I1560"/>
  <c r="H1560"/>
  <c r="Q1559"/>
  <c r="P1558"/>
  <c r="O1558"/>
  <c r="N1558"/>
  <c r="M1558"/>
  <c r="L1558"/>
  <c r="K1558"/>
  <c r="J1558"/>
  <c r="I1558"/>
  <c r="H1558"/>
  <c r="Q1543"/>
  <c r="Q1542"/>
  <c r="Q1537"/>
  <c r="P1536"/>
  <c r="O1536"/>
  <c r="N1536"/>
  <c r="M1536"/>
  <c r="L1536"/>
  <c r="K1536"/>
  <c r="J1536"/>
  <c r="I1536"/>
  <c r="H1536"/>
  <c r="Q1535"/>
  <c r="P1534"/>
  <c r="O1534"/>
  <c r="N1534"/>
  <c r="M1534"/>
  <c r="L1534"/>
  <c r="K1534"/>
  <c r="J1534"/>
  <c r="I1534"/>
  <c r="H1534"/>
  <c r="Q1530"/>
  <c r="O1530"/>
  <c r="Q1529"/>
  <c r="O1529"/>
  <c r="P1527"/>
  <c r="M1527"/>
  <c r="L1527"/>
  <c r="K1527"/>
  <c r="I1527"/>
  <c r="H1527"/>
  <c r="N1527"/>
  <c r="J1527"/>
  <c r="O1522"/>
  <c r="N1522"/>
  <c r="M1522"/>
  <c r="K1522"/>
  <c r="J1522"/>
  <c r="I1522"/>
  <c r="H1522"/>
  <c r="P1522"/>
  <c r="Q1521"/>
  <c r="O1521"/>
  <c r="O1520" s="1"/>
  <c r="O1519" s="1"/>
  <c r="P1520"/>
  <c r="P1519" s="1"/>
  <c r="P1512" s="1"/>
  <c r="N1520"/>
  <c r="N1519" s="1"/>
  <c r="M1520"/>
  <c r="M1519" s="1"/>
  <c r="L1520"/>
  <c r="L1519" s="1"/>
  <c r="K1520"/>
  <c r="K1519" s="1"/>
  <c r="J1520"/>
  <c r="J1519" s="1"/>
  <c r="I1520"/>
  <c r="I1519" s="1"/>
  <c r="H1520"/>
  <c r="Q1515"/>
  <c r="Q1509"/>
  <c r="P1508"/>
  <c r="P1507" s="1"/>
  <c r="O1508"/>
  <c r="N1508"/>
  <c r="N1507" s="1"/>
  <c r="M1508"/>
  <c r="M1507" s="1"/>
  <c r="L1508"/>
  <c r="L1507" s="1"/>
  <c r="K1508"/>
  <c r="K1507" s="1"/>
  <c r="J1508"/>
  <c r="J1507" s="1"/>
  <c r="I1508"/>
  <c r="I1507" s="1"/>
  <c r="H1508"/>
  <c r="H1507" s="1"/>
  <c r="O1507"/>
  <c r="Q1506"/>
  <c r="O1506"/>
  <c r="Q1505"/>
  <c r="O1505"/>
  <c r="Q1504"/>
  <c r="O1504"/>
  <c r="Q1503"/>
  <c r="O1503"/>
  <c r="P1502"/>
  <c r="P1501" s="1"/>
  <c r="N1502"/>
  <c r="N1501" s="1"/>
  <c r="M1502"/>
  <c r="M1501" s="1"/>
  <c r="L1502"/>
  <c r="L1501" s="1"/>
  <c r="K1502"/>
  <c r="K1501" s="1"/>
  <c r="J1502"/>
  <c r="J1501" s="1"/>
  <c r="I1502"/>
  <c r="I1501" s="1"/>
  <c r="H1502"/>
  <c r="H1501" s="1"/>
  <c r="L1500"/>
  <c r="Q1500" s="1"/>
  <c r="L1499"/>
  <c r="Q1499" s="1"/>
  <c r="J1499"/>
  <c r="L1498"/>
  <c r="Q1498" s="1"/>
  <c r="L1497"/>
  <c r="Q1497" s="1"/>
  <c r="J1497"/>
  <c r="L1496"/>
  <c r="Q1496" s="1"/>
  <c r="L1495"/>
  <c r="Q1495" s="1"/>
  <c r="L1494"/>
  <c r="Q1494" s="1"/>
  <c r="J1494"/>
  <c r="L1493"/>
  <c r="Q1493" s="1"/>
  <c r="L1492"/>
  <c r="O1491"/>
  <c r="O1490" s="1"/>
  <c r="N1491"/>
  <c r="N1490" s="1"/>
  <c r="M1491"/>
  <c r="M1490" s="1"/>
  <c r="K1491"/>
  <c r="K1490" s="1"/>
  <c r="I1491"/>
  <c r="I1490" s="1"/>
  <c r="H1491"/>
  <c r="H1490" s="1"/>
  <c r="P1490"/>
  <c r="Q1489"/>
  <c r="O1489"/>
  <c r="O1488" s="1"/>
  <c r="O1487" s="1"/>
  <c r="P1487"/>
  <c r="N1487"/>
  <c r="M1487"/>
  <c r="L1487"/>
  <c r="K1487"/>
  <c r="J1487"/>
  <c r="I1487"/>
  <c r="H1487"/>
  <c r="O1486"/>
  <c r="O1485" s="1"/>
  <c r="Q1486"/>
  <c r="P1485"/>
  <c r="N1485"/>
  <c r="M1485"/>
  <c r="L1485"/>
  <c r="K1485"/>
  <c r="D260" i="3" s="1"/>
  <c r="J1485" i="1"/>
  <c r="H1485"/>
  <c r="C260" i="3" s="1"/>
  <c r="Q1484" i="1"/>
  <c r="O1484"/>
  <c r="O1483" s="1"/>
  <c r="P1483"/>
  <c r="N1483"/>
  <c r="M1483"/>
  <c r="L1483"/>
  <c r="K1483"/>
  <c r="J1483"/>
  <c r="I1483"/>
  <c r="H1483"/>
  <c r="R1476"/>
  <c r="Q1476"/>
  <c r="O1471"/>
  <c r="Q1473"/>
  <c r="P1471"/>
  <c r="N1471"/>
  <c r="L1471"/>
  <c r="K1471"/>
  <c r="J1471"/>
  <c r="I1471"/>
  <c r="H1471"/>
  <c r="R1471"/>
  <c r="Q1471"/>
  <c r="M1471"/>
  <c r="Q1470"/>
  <c r="O1470"/>
  <c r="Q1469"/>
  <c r="O1469"/>
  <c r="Q1468"/>
  <c r="O1468"/>
  <c r="P1467"/>
  <c r="P1466" s="1"/>
  <c r="N1467"/>
  <c r="N1466" s="1"/>
  <c r="M1467"/>
  <c r="M1466" s="1"/>
  <c r="L1467"/>
  <c r="L1466" s="1"/>
  <c r="K1467"/>
  <c r="K1466" s="1"/>
  <c r="J1467"/>
  <c r="J1466" s="1"/>
  <c r="I1467"/>
  <c r="I1466" s="1"/>
  <c r="H1467"/>
  <c r="H1466" s="1"/>
  <c r="Q1462"/>
  <c r="P1459"/>
  <c r="O1459"/>
  <c r="N1459"/>
  <c r="M1459"/>
  <c r="L1459"/>
  <c r="Q1460" s="1"/>
  <c r="K1459"/>
  <c r="J1459"/>
  <c r="I1459"/>
  <c r="H1459"/>
  <c r="A1460"/>
  <c r="A1462" s="1"/>
  <c r="A1468" s="1"/>
  <c r="A1469" s="1"/>
  <c r="A1470" s="1"/>
  <c r="A1478" s="1"/>
  <c r="A1479" s="1"/>
  <c r="A1480" s="1"/>
  <c r="A1481" s="1"/>
  <c r="A1482" s="1"/>
  <c r="A1484" s="1"/>
  <c r="A1486" s="1"/>
  <c r="A1492" s="1"/>
  <c r="A1493" s="1"/>
  <c r="A1494" s="1"/>
  <c r="A1495" s="1"/>
  <c r="A1496" s="1"/>
  <c r="A1497" s="1"/>
  <c r="A1498" s="1"/>
  <c r="A1499" s="1"/>
  <c r="A1500" s="1"/>
  <c r="A1503" s="1"/>
  <c r="A1504" s="1"/>
  <c r="A1505" s="1"/>
  <c r="A1506" s="1"/>
  <c r="A1509" s="1"/>
  <c r="A1515" s="1"/>
  <c r="A1521" s="1"/>
  <c r="A1529" s="1"/>
  <c r="A1530" s="1"/>
  <c r="A1535" s="1"/>
  <c r="A1537" s="1"/>
  <c r="A1542" s="1"/>
  <c r="A1543" s="1"/>
  <c r="A1546" s="1"/>
  <c r="A1547" s="1"/>
  <c r="A1548" s="1"/>
  <c r="A1549" s="1"/>
  <c r="A1550" s="1"/>
  <c r="A1551" s="1"/>
  <c r="A1552" s="1"/>
  <c r="A1559" s="1"/>
  <c r="A1561" s="1"/>
  <c r="A1568" s="1"/>
  <c r="A1569" s="1"/>
  <c r="A1570" s="1"/>
  <c r="A1571" s="1"/>
  <c r="A1572" s="1"/>
  <c r="A1577" s="1"/>
  <c r="Q1450"/>
  <c r="O1449"/>
  <c r="N1449"/>
  <c r="M1449"/>
  <c r="L1449"/>
  <c r="K1449"/>
  <c r="J1449"/>
  <c r="I1449"/>
  <c r="H1449"/>
  <c r="Q1448"/>
  <c r="O1448"/>
  <c r="O1447" s="1"/>
  <c r="P1447"/>
  <c r="N1447"/>
  <c r="M1447"/>
  <c r="L1447"/>
  <c r="K1447"/>
  <c r="J1447"/>
  <c r="I1447"/>
  <c r="H1447"/>
  <c r="Q1444"/>
  <c r="O1444"/>
  <c r="Q1443"/>
  <c r="O1443"/>
  <c r="Q1442"/>
  <c r="O1442"/>
  <c r="Q1441"/>
  <c r="O1441"/>
  <c r="Q1440"/>
  <c r="O1440"/>
  <c r="Q1439"/>
  <c r="O1439"/>
  <c r="Q1438"/>
  <c r="O1438"/>
  <c r="Q1437"/>
  <c r="O1437"/>
  <c r="Q1436"/>
  <c r="O1436"/>
  <c r="M246" i="3"/>
  <c r="N246" s="1"/>
  <c r="D246"/>
  <c r="C246"/>
  <c r="Q1433" i="1"/>
  <c r="O1433"/>
  <c r="O1432" s="1"/>
  <c r="P1432"/>
  <c r="N1432"/>
  <c r="M1432"/>
  <c r="L1432"/>
  <c r="K1432"/>
  <c r="J1432"/>
  <c r="I1432"/>
  <c r="H1432"/>
  <c r="Q1431"/>
  <c r="P1430"/>
  <c r="O1430"/>
  <c r="N1430"/>
  <c r="M1430"/>
  <c r="K1430"/>
  <c r="J1430"/>
  <c r="I1430"/>
  <c r="H1430"/>
  <c r="Q1428"/>
  <c r="O1428"/>
  <c r="Q1422"/>
  <c r="Q1421"/>
  <c r="Q1420"/>
  <c r="Q1419"/>
  <c r="Q1418"/>
  <c r="Q1417"/>
  <c r="Q1416"/>
  <c r="P1415"/>
  <c r="P1414" s="1"/>
  <c r="P1413" s="1"/>
  <c r="P1412" s="1"/>
  <c r="P1410" s="1"/>
  <c r="N1415"/>
  <c r="N1414" s="1"/>
  <c r="N1413" s="1"/>
  <c r="N1412" s="1"/>
  <c r="N1410" s="1"/>
  <c r="M1415"/>
  <c r="M1414" s="1"/>
  <c r="M1413" s="1"/>
  <c r="M1412" s="1"/>
  <c r="L1415"/>
  <c r="K1415"/>
  <c r="J1415"/>
  <c r="J1414" s="1"/>
  <c r="I1415"/>
  <c r="I1414" s="1"/>
  <c r="H1415"/>
  <c r="Q1413"/>
  <c r="O1413"/>
  <c r="Q1412"/>
  <c r="O1412"/>
  <c r="Q1411"/>
  <c r="O1411"/>
  <c r="Q1410"/>
  <c r="O1410"/>
  <c r="Q1409"/>
  <c r="O1409"/>
  <c r="Q1408"/>
  <c r="O1408"/>
  <c r="Q1407"/>
  <c r="O1407"/>
  <c r="Q1406"/>
  <c r="O1406"/>
  <c r="Q1405"/>
  <c r="O1405"/>
  <c r="L1404"/>
  <c r="K1404"/>
  <c r="J1404"/>
  <c r="J1403" s="1"/>
  <c r="I1404"/>
  <c r="I1403" s="1"/>
  <c r="H1404"/>
  <c r="C181" i="7" s="1"/>
  <c r="C154" s="1"/>
  <c r="Q1401" i="1"/>
  <c r="Q1399"/>
  <c r="O1399"/>
  <c r="O1398" s="1"/>
  <c r="P1398"/>
  <c r="N1398"/>
  <c r="M1398"/>
  <c r="L1398"/>
  <c r="K1398"/>
  <c r="J1398"/>
  <c r="I1398"/>
  <c r="H1398"/>
  <c r="Q1397"/>
  <c r="Q1396"/>
  <c r="P1395"/>
  <c r="O1395"/>
  <c r="N1395"/>
  <c r="M1395"/>
  <c r="L1395"/>
  <c r="K1395"/>
  <c r="J1395"/>
  <c r="I1395"/>
  <c r="H1395"/>
  <c r="Q1393"/>
  <c r="O1393"/>
  <c r="O1392" s="1"/>
  <c r="P1392"/>
  <c r="N1392"/>
  <c r="M1392"/>
  <c r="L1392"/>
  <c r="K1392"/>
  <c r="J1392"/>
  <c r="I1392"/>
  <c r="H1392"/>
  <c r="L1390"/>
  <c r="Q1390" s="1"/>
  <c r="P1389"/>
  <c r="P1386" s="1"/>
  <c r="O1389"/>
  <c r="N1389"/>
  <c r="N1386" s="1"/>
  <c r="M1389"/>
  <c r="K1389"/>
  <c r="J1389"/>
  <c r="I1389"/>
  <c r="H1389"/>
  <c r="Q1388"/>
  <c r="O1388"/>
  <c r="O1387" s="1"/>
  <c r="Q1385"/>
  <c r="O1383"/>
  <c r="N1383"/>
  <c r="M1383"/>
  <c r="L1383"/>
  <c r="K1383"/>
  <c r="J1383"/>
  <c r="I1383"/>
  <c r="H1383"/>
  <c r="O1380"/>
  <c r="O1379" s="1"/>
  <c r="Q1381"/>
  <c r="P1380"/>
  <c r="P1379" s="1"/>
  <c r="N1380"/>
  <c r="N1379" s="1"/>
  <c r="M1380"/>
  <c r="M1379" s="1"/>
  <c r="L1380"/>
  <c r="L1379" s="1"/>
  <c r="K1380"/>
  <c r="K1379" s="1"/>
  <c r="J1380"/>
  <c r="J1379" s="1"/>
  <c r="I1380"/>
  <c r="I1379" s="1"/>
  <c r="H1380"/>
  <c r="H1379" s="1"/>
  <c r="Q1376"/>
  <c r="N1375"/>
  <c r="P1375"/>
  <c r="O1375"/>
  <c r="M1375"/>
  <c r="L1375"/>
  <c r="M222" i="3" s="1"/>
  <c r="N222" s="1"/>
  <c r="K1375" i="1"/>
  <c r="D222" i="3" s="1"/>
  <c r="J1375" i="1"/>
  <c r="I1375"/>
  <c r="H1375"/>
  <c r="C222" i="3" s="1"/>
  <c r="Q1374" i="1"/>
  <c r="O1374"/>
  <c r="O1373" s="1"/>
  <c r="P1366"/>
  <c r="P1365" s="1"/>
  <c r="Q1371"/>
  <c r="O1371"/>
  <c r="Q1370"/>
  <c r="O1370"/>
  <c r="P1369"/>
  <c r="N1369"/>
  <c r="M1369"/>
  <c r="L1369"/>
  <c r="K1369"/>
  <c r="J1369"/>
  <c r="I1369"/>
  <c r="H1369"/>
  <c r="Q1366"/>
  <c r="P1360"/>
  <c r="O1360"/>
  <c r="N1360"/>
  <c r="M1360"/>
  <c r="K1360"/>
  <c r="J1360"/>
  <c r="I1360"/>
  <c r="H1360"/>
  <c r="L1359"/>
  <c r="Q1359" s="1"/>
  <c r="L1358"/>
  <c r="Q1358" s="1"/>
  <c r="P1357"/>
  <c r="P1342" s="1"/>
  <c r="P1341" s="1"/>
  <c r="O1357"/>
  <c r="N1357"/>
  <c r="M1357"/>
  <c r="K1357"/>
  <c r="J1357"/>
  <c r="I1357"/>
  <c r="H1357"/>
  <c r="Q1356"/>
  <c r="O1356"/>
  <c r="Q1355"/>
  <c r="O1355"/>
  <c r="Q1354"/>
  <c r="O1354"/>
  <c r="Q1353"/>
  <c r="O1353"/>
  <c r="J1353"/>
  <c r="J1342" s="1"/>
  <c r="Q1352"/>
  <c r="O1352"/>
  <c r="Q1351"/>
  <c r="O1351"/>
  <c r="Q1350"/>
  <c r="O1350"/>
  <c r="Q1349"/>
  <c r="O1349"/>
  <c r="Q1348"/>
  <c r="O1348"/>
  <c r="Q1347"/>
  <c r="O1347"/>
  <c r="Q1346"/>
  <c r="O1346"/>
  <c r="Q1345"/>
  <c r="O1345"/>
  <c r="Q1344"/>
  <c r="O1344"/>
  <c r="Q1343"/>
  <c r="O1343"/>
  <c r="N1342"/>
  <c r="M1342"/>
  <c r="L1342"/>
  <c r="K1342"/>
  <c r="I1342"/>
  <c r="H1342"/>
  <c r="P1339"/>
  <c r="P1338" s="1"/>
  <c r="O1339"/>
  <c r="O1338" s="1"/>
  <c r="N1339"/>
  <c r="N1338" s="1"/>
  <c r="M1339"/>
  <c r="M1338" s="1"/>
  <c r="L1339"/>
  <c r="L1338" s="1"/>
  <c r="K1339"/>
  <c r="K1338" s="1"/>
  <c r="J1339"/>
  <c r="J1338" s="1"/>
  <c r="I1339"/>
  <c r="I1338" s="1"/>
  <c r="H1339"/>
  <c r="H1338" s="1"/>
  <c r="Q1335"/>
  <c r="Q1334"/>
  <c r="Q1333"/>
  <c r="O1333"/>
  <c r="O1332" s="1"/>
  <c r="P1331"/>
  <c r="N1331"/>
  <c r="M1331"/>
  <c r="L1331"/>
  <c r="K1331"/>
  <c r="J1331"/>
  <c r="I1331"/>
  <c r="H1331"/>
  <c r="Q1327"/>
  <c r="Q1326"/>
  <c r="Q1325"/>
  <c r="Q1324"/>
  <c r="O1324"/>
  <c r="O1323" s="1"/>
  <c r="O1322" s="1"/>
  <c r="P1322"/>
  <c r="N1322"/>
  <c r="M1322"/>
  <c r="L1322"/>
  <c r="J1322"/>
  <c r="I1322"/>
  <c r="H1322"/>
  <c r="R1322"/>
  <c r="Q1322"/>
  <c r="K1322"/>
  <c r="Q1311"/>
  <c r="O1311"/>
  <c r="Q1310"/>
  <c r="O1310"/>
  <c r="Q1309"/>
  <c r="O1309"/>
  <c r="O1273"/>
  <c r="O1272"/>
  <c r="O1271"/>
  <c r="Q1270"/>
  <c r="O1270"/>
  <c r="Q1257"/>
  <c r="Q1256"/>
  <c r="P1255"/>
  <c r="O1255"/>
  <c r="N1255"/>
  <c r="M1255"/>
  <c r="L1255"/>
  <c r="M199" i="3" s="1"/>
  <c r="N199" s="1"/>
  <c r="K1255" i="1"/>
  <c r="D199" i="3" s="1"/>
  <c r="J1255" i="1"/>
  <c r="I1255"/>
  <c r="Q1254"/>
  <c r="O1254"/>
  <c r="Q1253"/>
  <c r="O1253"/>
  <c r="Q1252"/>
  <c r="O1252"/>
  <c r="Q1251"/>
  <c r="O1251"/>
  <c r="Q1250"/>
  <c r="O1250"/>
  <c r="Q1249"/>
  <c r="O1249"/>
  <c r="Q1248"/>
  <c r="O1248"/>
  <c r="Q1247"/>
  <c r="O1247"/>
  <c r="Q1246"/>
  <c r="O1246"/>
  <c r="Q1245"/>
  <c r="O1245"/>
  <c r="Q1244"/>
  <c r="O1244"/>
  <c r="Q1243"/>
  <c r="O1243"/>
  <c r="Q1242"/>
  <c r="O1242"/>
  <c r="Q1241"/>
  <c r="O1241"/>
  <c r="Q1240"/>
  <c r="O1240"/>
  <c r="Q1239"/>
  <c r="O1239"/>
  <c r="Q1238"/>
  <c r="O1238"/>
  <c r="Q1237"/>
  <c r="O1237"/>
  <c r="Q1236"/>
  <c r="O1236"/>
  <c r="Q1235"/>
  <c r="O1235"/>
  <c r="Q1234"/>
  <c r="O1234"/>
  <c r="Q1233"/>
  <c r="O1233"/>
  <c r="Q1232"/>
  <c r="O1232"/>
  <c r="Q1231"/>
  <c r="O1231"/>
  <c r="Q1230"/>
  <c r="O1230"/>
  <c r="Q1229"/>
  <c r="O1229"/>
  <c r="Q1228"/>
  <c r="O1228"/>
  <c r="Q1227"/>
  <c r="O1227"/>
  <c r="Q1226"/>
  <c r="O1226"/>
  <c r="Q1225"/>
  <c r="O1225"/>
  <c r="Q1224"/>
  <c r="O1224"/>
  <c r="Q1223"/>
  <c r="O1223"/>
  <c r="Q1222"/>
  <c r="O1222"/>
  <c r="Q1221"/>
  <c r="O1221"/>
  <c r="Q1220"/>
  <c r="O1220"/>
  <c r="Q1219"/>
  <c r="O1219"/>
  <c r="Q1218"/>
  <c r="O1218"/>
  <c r="Q1217"/>
  <c r="O1217"/>
  <c r="Q1216"/>
  <c r="O1216"/>
  <c r="Q1215"/>
  <c r="O1215"/>
  <c r="Q1214"/>
  <c r="O1214"/>
  <c r="Q1213"/>
  <c r="O1213"/>
  <c r="Q1212"/>
  <c r="O1212"/>
  <c r="Q1211"/>
  <c r="O1211"/>
  <c r="Q1210"/>
  <c r="O1210"/>
  <c r="Q1209"/>
  <c r="O1209"/>
  <c r="Q1208"/>
  <c r="O1208"/>
  <c r="Q1207"/>
  <c r="O1207"/>
  <c r="Q1206"/>
  <c r="O1206"/>
  <c r="Q1205"/>
  <c r="O1205"/>
  <c r="Q1204"/>
  <c r="O1204"/>
  <c r="Q1203"/>
  <c r="O1203"/>
  <c r="Q1202"/>
  <c r="O1202"/>
  <c r="Q1201"/>
  <c r="O1201"/>
  <c r="Q1200"/>
  <c r="O1200"/>
  <c r="Q1199"/>
  <c r="O1199"/>
  <c r="Q1198"/>
  <c r="O1198"/>
  <c r="Q1197"/>
  <c r="O1197"/>
  <c r="Q1196"/>
  <c r="O1196"/>
  <c r="Q1195"/>
  <c r="O1195"/>
  <c r="Q1194"/>
  <c r="O1194"/>
  <c r="Q1193"/>
  <c r="O1193"/>
  <c r="Q1192"/>
  <c r="O1192"/>
  <c r="Q1191"/>
  <c r="O1191"/>
  <c r="Q1190"/>
  <c r="O1190"/>
  <c r="Q1189"/>
  <c r="O1189"/>
  <c r="Q1188"/>
  <c r="O1188"/>
  <c r="Q1187"/>
  <c r="O1187"/>
  <c r="Q1186"/>
  <c r="O1186"/>
  <c r="Q1185"/>
  <c r="O1185"/>
  <c r="Q1184"/>
  <c r="O1184"/>
  <c r="Q1183"/>
  <c r="O1183"/>
  <c r="Q1182"/>
  <c r="O1182"/>
  <c r="Q1181"/>
  <c r="O1181"/>
  <c r="Q1180"/>
  <c r="O1180"/>
  <c r="Q1179"/>
  <c r="O1179"/>
  <c r="Q1178"/>
  <c r="O1178"/>
  <c r="Q1177"/>
  <c r="O1177"/>
  <c r="Q1176"/>
  <c r="O1176"/>
  <c r="Q1175"/>
  <c r="O1175"/>
  <c r="Q1174"/>
  <c r="O1174"/>
  <c r="Q1173"/>
  <c r="O1173"/>
  <c r="Q1172"/>
  <c r="O1172"/>
  <c r="Q1171"/>
  <c r="O1171"/>
  <c r="Q1170"/>
  <c r="O1170"/>
  <c r="Q1169"/>
  <c r="O1169"/>
  <c r="Q1168"/>
  <c r="O1168"/>
  <c r="Q1167"/>
  <c r="O1167"/>
  <c r="Q1166"/>
  <c r="O1166"/>
  <c r="Q1165"/>
  <c r="O1165"/>
  <c r="Q1164"/>
  <c r="O1164"/>
  <c r="Q1163"/>
  <c r="O1163"/>
  <c r="Q1162"/>
  <c r="O1162"/>
  <c r="Q1161"/>
  <c r="O1161"/>
  <c r="Q1160"/>
  <c r="O1160"/>
  <c r="Q1159"/>
  <c r="O1159"/>
  <c r="Q1158"/>
  <c r="O1158"/>
  <c r="Q1157"/>
  <c r="O1157"/>
  <c r="Q1156"/>
  <c r="O1156"/>
  <c r="Q1155"/>
  <c r="O1155"/>
  <c r="Q1154"/>
  <c r="O1154"/>
  <c r="Q1153"/>
  <c r="O1153"/>
  <c r="Q1152"/>
  <c r="O1152"/>
  <c r="Q1151"/>
  <c r="O1151"/>
  <c r="Q1150"/>
  <c r="O1150"/>
  <c r="Q1149"/>
  <c r="O1149"/>
  <c r="Q1148"/>
  <c r="O1148"/>
  <c r="Q1147"/>
  <c r="O1147"/>
  <c r="Q1146"/>
  <c r="O1146"/>
  <c r="Q1145"/>
  <c r="O1145"/>
  <c r="Q1144"/>
  <c r="O1144"/>
  <c r="Q1143"/>
  <c r="O1143"/>
  <c r="Q1142"/>
  <c r="O1142"/>
  <c r="Q1141"/>
  <c r="O1141"/>
  <c r="Q1140"/>
  <c r="O1140"/>
  <c r="Q1139"/>
  <c r="O1139"/>
  <c r="Q1138"/>
  <c r="O1138"/>
  <c r="Q1137"/>
  <c r="O1137"/>
  <c r="Q1136"/>
  <c r="O1136"/>
  <c r="Q1135"/>
  <c r="O1135"/>
  <c r="Q1134"/>
  <c r="O1134"/>
  <c r="Q1133"/>
  <c r="O1133"/>
  <c r="Q1132"/>
  <c r="O1132"/>
  <c r="Q1131"/>
  <c r="O1131"/>
  <c r="Q1130"/>
  <c r="O1130"/>
  <c r="Q1129"/>
  <c r="O1129"/>
  <c r="Q1128"/>
  <c r="O1128"/>
  <c r="Q1127"/>
  <c r="O1127"/>
  <c r="Q1126"/>
  <c r="O1126"/>
  <c r="Q1125"/>
  <c r="O1125"/>
  <c r="Q1124"/>
  <c r="O1124"/>
  <c r="Q1123"/>
  <c r="O1123"/>
  <c r="Q1122"/>
  <c r="O1122"/>
  <c r="Q1121"/>
  <c r="O1121"/>
  <c r="Q1120"/>
  <c r="O1120"/>
  <c r="Q1119"/>
  <c r="O1119"/>
  <c r="Q1118"/>
  <c r="O1118"/>
  <c r="Q1117"/>
  <c r="O1117"/>
  <c r="Q1116"/>
  <c r="O1116"/>
  <c r="Q1115"/>
  <c r="O1115"/>
  <c r="Q1114"/>
  <c r="O1114"/>
  <c r="Q1113"/>
  <c r="O1113"/>
  <c r="Q1112"/>
  <c r="O1112"/>
  <c r="Q1111"/>
  <c r="O1111"/>
  <c r="Q1110"/>
  <c r="O1110"/>
  <c r="Q1109"/>
  <c r="O1109"/>
  <c r="Q1108"/>
  <c r="O1108"/>
  <c r="Q1107"/>
  <c r="O1107"/>
  <c r="Q1106"/>
  <c r="O1106"/>
  <c r="Q1105"/>
  <c r="O1105"/>
  <c r="Q1104"/>
  <c r="O1104"/>
  <c r="Q1103"/>
  <c r="O1103"/>
  <c r="Q1102"/>
  <c r="O1102"/>
  <c r="Q1101"/>
  <c r="O1101"/>
  <c r="Q1100"/>
  <c r="O1100"/>
  <c r="Q1099"/>
  <c r="O1099"/>
  <c r="Q1098"/>
  <c r="O1098"/>
  <c r="Q1097"/>
  <c r="O1097"/>
  <c r="Q1096"/>
  <c r="O1096"/>
  <c r="Q1095"/>
  <c r="O1095"/>
  <c r="Q1094"/>
  <c r="O1094"/>
  <c r="Q1093"/>
  <c r="O1093"/>
  <c r="Q1092"/>
  <c r="O1092"/>
  <c r="Q1091"/>
  <c r="O1091"/>
  <c r="Q1090"/>
  <c r="O1090"/>
  <c r="Q1089"/>
  <c r="O1089"/>
  <c r="Q1088"/>
  <c r="O1088"/>
  <c r="A1088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70" s="1"/>
  <c r="A1271" s="1"/>
  <c r="A1272" s="1"/>
  <c r="A1273" s="1"/>
  <c r="A1309" s="1"/>
  <c r="A1310" s="1"/>
  <c r="A1324" s="1"/>
  <c r="A1325" s="1"/>
  <c r="A1326" s="1"/>
  <c r="A1327" s="1"/>
  <c r="A1333" s="1"/>
  <c r="A1334" s="1"/>
  <c r="A1335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8" s="1"/>
  <c r="A1359" s="1"/>
  <c r="A1366" s="1"/>
  <c r="A1370" s="1"/>
  <c r="A1371" s="1"/>
  <c r="A1374" s="1"/>
  <c r="A1376" s="1"/>
  <c r="A1381" s="1"/>
  <c r="A1385" s="1"/>
  <c r="A1388" s="1"/>
  <c r="A1390" s="1"/>
  <c r="A1393" s="1"/>
  <c r="A1396" s="1"/>
  <c r="A1397" s="1"/>
  <c r="A1399" s="1"/>
  <c r="A1401" s="1"/>
  <c r="A1405" s="1"/>
  <c r="A1406" s="1"/>
  <c r="A1407" s="1"/>
  <c r="A1408" s="1"/>
  <c r="A1409" s="1"/>
  <c r="A1410" s="1"/>
  <c r="A1411" s="1"/>
  <c r="A1412" s="1"/>
  <c r="A1416" s="1"/>
  <c r="A1417" s="1"/>
  <c r="A1418" s="1"/>
  <c r="A1419" s="1"/>
  <c r="A1420" s="1"/>
  <c r="A1421" s="1"/>
  <c r="A1422" s="1"/>
  <c r="A1428" s="1"/>
  <c r="A1431" s="1"/>
  <c r="A1433" s="1"/>
  <c r="A1437" s="1"/>
  <c r="A1438" s="1"/>
  <c r="A1439" s="1"/>
  <c r="A1440" s="1"/>
  <c r="A1441" s="1"/>
  <c r="A1442" s="1"/>
  <c r="A1443" s="1"/>
  <c r="A1444" s="1"/>
  <c r="A1448" s="1"/>
  <c r="A1450" s="1"/>
  <c r="Q1087"/>
  <c r="O1087"/>
  <c r="P1086"/>
  <c r="N1086"/>
  <c r="M1086"/>
  <c r="K1086"/>
  <c r="J1086"/>
  <c r="I1086"/>
  <c r="H1086"/>
  <c r="P1080"/>
  <c r="V1069" i="2"/>
  <c r="R1080" i="1"/>
  <c r="Q1080"/>
  <c r="Q1079"/>
  <c r="O1079"/>
  <c r="J1079"/>
  <c r="J1078" s="1"/>
  <c r="J1077" s="1"/>
  <c r="N1078"/>
  <c r="N1077" s="1"/>
  <c r="M1078"/>
  <c r="M1077" s="1"/>
  <c r="L1078"/>
  <c r="O1078" s="1"/>
  <c r="O1077" s="1"/>
  <c r="K1078"/>
  <c r="K1077" s="1"/>
  <c r="I1078"/>
  <c r="I1077" s="1"/>
  <c r="H1078"/>
  <c r="R1077"/>
  <c r="Q1077"/>
  <c r="P1077"/>
  <c r="H1077"/>
  <c r="Q1074"/>
  <c r="O1074"/>
  <c r="Q1073"/>
  <c r="O1073"/>
  <c r="H1073"/>
  <c r="Q1072"/>
  <c r="O1072"/>
  <c r="Q1071"/>
  <c r="O1071"/>
  <c r="H1071"/>
  <c r="Q1070"/>
  <c r="O1070"/>
  <c r="H1070"/>
  <c r="P1069"/>
  <c r="P1068" s="1"/>
  <c r="P1067" s="1"/>
  <c r="N1069"/>
  <c r="N1068" s="1"/>
  <c r="N1067" s="1"/>
  <c r="M1069"/>
  <c r="M1068" s="1"/>
  <c r="M1067" s="1"/>
  <c r="L1069"/>
  <c r="L1068" s="1"/>
  <c r="L1067" s="1"/>
  <c r="K1069"/>
  <c r="K1068" s="1"/>
  <c r="K1067" s="1"/>
  <c r="J1069"/>
  <c r="J1068" s="1"/>
  <c r="J1067" s="1"/>
  <c r="I1069"/>
  <c r="I1068" s="1"/>
  <c r="I1067" s="1"/>
  <c r="Q1062"/>
  <c r="P1061"/>
  <c r="P1060" s="1"/>
  <c r="O1061"/>
  <c r="O1060" s="1"/>
  <c r="N1061"/>
  <c r="N1060" s="1"/>
  <c r="M1061"/>
  <c r="M1060" s="1"/>
  <c r="L1061"/>
  <c r="L1060" s="1"/>
  <c r="K1061"/>
  <c r="K1060" s="1"/>
  <c r="J1061"/>
  <c r="I1061"/>
  <c r="I1060" s="1"/>
  <c r="H1061"/>
  <c r="H1060" s="1"/>
  <c r="Q1058"/>
  <c r="O1058"/>
  <c r="Q1057"/>
  <c r="O1057"/>
  <c r="Q1056"/>
  <c r="O1056"/>
  <c r="Q1055"/>
  <c r="O1055"/>
  <c r="Q1054"/>
  <c r="O1054"/>
  <c r="Q1053"/>
  <c r="O1053"/>
  <c r="Q1052"/>
  <c r="O1052"/>
  <c r="Q1051"/>
  <c r="O1051"/>
  <c r="Q1050"/>
  <c r="O1050"/>
  <c r="Q1049"/>
  <c r="O1049"/>
  <c r="Q1045"/>
  <c r="O1043"/>
  <c r="Q1042"/>
  <c r="P1041"/>
  <c r="O1041"/>
  <c r="N1041"/>
  <c r="M1041"/>
  <c r="L1041"/>
  <c r="K1041"/>
  <c r="J1041"/>
  <c r="I1041"/>
  <c r="H1041"/>
  <c r="Q1040"/>
  <c r="P1039"/>
  <c r="O1039"/>
  <c r="N1039"/>
  <c r="M1039"/>
  <c r="M1038" s="1"/>
  <c r="L1039"/>
  <c r="K1039"/>
  <c r="J1039"/>
  <c r="I1039"/>
  <c r="I1038" s="1"/>
  <c r="H1039"/>
  <c r="Q1037"/>
  <c r="O1037"/>
  <c r="Q1036"/>
  <c r="O1036"/>
  <c r="Q1035"/>
  <c r="O1035"/>
  <c r="Q1034"/>
  <c r="O1034"/>
  <c r="P1033"/>
  <c r="P1032" s="1"/>
  <c r="N1033"/>
  <c r="N1032" s="1"/>
  <c r="M1033"/>
  <c r="M1032" s="1"/>
  <c r="L1033"/>
  <c r="L1032" s="1"/>
  <c r="K1033"/>
  <c r="K1032" s="1"/>
  <c r="J1033"/>
  <c r="J1032" s="1"/>
  <c r="I1033"/>
  <c r="I1032" s="1"/>
  <c r="H1033"/>
  <c r="H1032" s="1"/>
  <c r="Q1031"/>
  <c r="Q1030"/>
  <c r="P1029"/>
  <c r="P1028" s="1"/>
  <c r="O1029"/>
  <c r="O1028" s="1"/>
  <c r="N1029"/>
  <c r="N1028" s="1"/>
  <c r="M1029"/>
  <c r="M1028" s="1"/>
  <c r="K1029"/>
  <c r="K1028" s="1"/>
  <c r="J1029"/>
  <c r="J1028" s="1"/>
  <c r="I1029"/>
  <c r="I1028" s="1"/>
  <c r="H1029"/>
  <c r="H1028" s="1"/>
  <c r="Q1027"/>
  <c r="O1027"/>
  <c r="O1026" s="1"/>
  <c r="O1025" s="1"/>
  <c r="P1026"/>
  <c r="P1025" s="1"/>
  <c r="N1026"/>
  <c r="N1025" s="1"/>
  <c r="M1026"/>
  <c r="M1025" s="1"/>
  <c r="L1026"/>
  <c r="L1025" s="1"/>
  <c r="K1026"/>
  <c r="K1025" s="1"/>
  <c r="J1026"/>
  <c r="J1025" s="1"/>
  <c r="I1026"/>
  <c r="I1025" s="1"/>
  <c r="H1026"/>
  <c r="Q1020"/>
  <c r="I1016"/>
  <c r="Q1015"/>
  <c r="P1014"/>
  <c r="P1013" s="1"/>
  <c r="O1014"/>
  <c r="O1013" s="1"/>
  <c r="N1014"/>
  <c r="N1013" s="1"/>
  <c r="M1014"/>
  <c r="M1013" s="1"/>
  <c r="L1014"/>
  <c r="L1013" s="1"/>
  <c r="K1014"/>
  <c r="K1013" s="1"/>
  <c r="J1014"/>
  <c r="J1013" s="1"/>
  <c r="I1014"/>
  <c r="I1013" s="1"/>
  <c r="H1014"/>
  <c r="H1013" s="1"/>
  <c r="Q1012"/>
  <c r="O1012"/>
  <c r="Q1011"/>
  <c r="O1011"/>
  <c r="Q1010"/>
  <c r="O1010"/>
  <c r="Q1009"/>
  <c r="O1009"/>
  <c r="P1008"/>
  <c r="P1007" s="1"/>
  <c r="N1008"/>
  <c r="N1007" s="1"/>
  <c r="M1008"/>
  <c r="M1007" s="1"/>
  <c r="L1008"/>
  <c r="L1007" s="1"/>
  <c r="K1008"/>
  <c r="K1007" s="1"/>
  <c r="J1008"/>
  <c r="J1007" s="1"/>
  <c r="I1008"/>
  <c r="I1007" s="1"/>
  <c r="H1008"/>
  <c r="H1007" s="1"/>
  <c r="L1006"/>
  <c r="Q1006" s="1"/>
  <c r="L1005"/>
  <c r="Q1005" s="1"/>
  <c r="J1005"/>
  <c r="L1004"/>
  <c r="Q1004" s="1"/>
  <c r="L1003"/>
  <c r="Q1003" s="1"/>
  <c r="J1003"/>
  <c r="L1002"/>
  <c r="Q1002" s="1"/>
  <c r="L1001"/>
  <c r="Q1001" s="1"/>
  <c r="L1000"/>
  <c r="Q1000" s="1"/>
  <c r="J1000"/>
  <c r="L999"/>
  <c r="Q999" s="1"/>
  <c r="L998"/>
  <c r="Q998" s="1"/>
  <c r="O997"/>
  <c r="O996" s="1"/>
  <c r="N997"/>
  <c r="N996" s="1"/>
  <c r="M997"/>
  <c r="M996" s="1"/>
  <c r="K997"/>
  <c r="K996" s="1"/>
  <c r="I997"/>
  <c r="I996" s="1"/>
  <c r="H997"/>
  <c r="H996" s="1"/>
  <c r="P996"/>
  <c r="Q995"/>
  <c r="O995"/>
  <c r="Q994"/>
  <c r="O994"/>
  <c r="P993"/>
  <c r="P992" s="1"/>
  <c r="N993"/>
  <c r="N992" s="1"/>
  <c r="M993"/>
  <c r="M992" s="1"/>
  <c r="L993"/>
  <c r="K993"/>
  <c r="J993"/>
  <c r="J992" s="1"/>
  <c r="I993"/>
  <c r="I992" s="1"/>
  <c r="H993"/>
  <c r="O991"/>
  <c r="O990" s="1"/>
  <c r="I991"/>
  <c r="Q991" s="1"/>
  <c r="P990"/>
  <c r="N990"/>
  <c r="M990"/>
  <c r="L990"/>
  <c r="K990"/>
  <c r="J990"/>
  <c r="H990"/>
  <c r="Q989"/>
  <c r="O989"/>
  <c r="O986" s="1"/>
  <c r="R978"/>
  <c r="Q978"/>
  <c r="O973"/>
  <c r="Q975"/>
  <c r="R973"/>
  <c r="Q973"/>
  <c r="P973"/>
  <c r="N973"/>
  <c r="M973"/>
  <c r="L973"/>
  <c r="K973"/>
  <c r="J973"/>
  <c r="I973"/>
  <c r="H973"/>
  <c r="Q972"/>
  <c r="O972"/>
  <c r="Q971"/>
  <c r="O971"/>
  <c r="Q970"/>
  <c r="O970"/>
  <c r="P969"/>
  <c r="P968" s="1"/>
  <c r="N969"/>
  <c r="N968" s="1"/>
  <c r="M969"/>
  <c r="M968" s="1"/>
  <c r="L969"/>
  <c r="L968" s="1"/>
  <c r="K969"/>
  <c r="K968" s="1"/>
  <c r="J969"/>
  <c r="J968" s="1"/>
  <c r="I969"/>
  <c r="I968" s="1"/>
  <c r="H969"/>
  <c r="H968" s="1"/>
  <c r="Q964"/>
  <c r="P961"/>
  <c r="O961"/>
  <c r="N961"/>
  <c r="M961"/>
  <c r="L961"/>
  <c r="Q962" s="1"/>
  <c r="K961"/>
  <c r="J961"/>
  <c r="I961"/>
  <c r="H961"/>
  <c r="A1049"/>
  <c r="A1050" s="1"/>
  <c r="A1051" s="1"/>
  <c r="A1052" s="1"/>
  <c r="A1053" s="1"/>
  <c r="A1054" s="1"/>
  <c r="A1055" s="1"/>
  <c r="A1056" s="1"/>
  <c r="A1057" s="1"/>
  <c r="A1058" s="1"/>
  <c r="A1062" s="1"/>
  <c r="A1070" s="1"/>
  <c r="A1071" s="1"/>
  <c r="A1072" s="1"/>
  <c r="A1073" s="1"/>
  <c r="A1074" s="1"/>
  <c r="A1079" s="1"/>
  <c r="Q948"/>
  <c r="O947"/>
  <c r="N947"/>
  <c r="M947"/>
  <c r="L947"/>
  <c r="K947"/>
  <c r="J947"/>
  <c r="I947"/>
  <c r="H947"/>
  <c r="Q946"/>
  <c r="O946"/>
  <c r="O945" s="1"/>
  <c r="P945"/>
  <c r="N945"/>
  <c r="M945"/>
  <c r="L945"/>
  <c r="K945"/>
  <c r="J945"/>
  <c r="I945"/>
  <c r="H945"/>
  <c r="Q944"/>
  <c r="O944"/>
  <c r="Q943"/>
  <c r="O943"/>
  <c r="Q942"/>
  <c r="O942"/>
  <c r="Q941"/>
  <c r="O941"/>
  <c r="Q940"/>
  <c r="O940"/>
  <c r="Q939"/>
  <c r="C152" i="3"/>
  <c r="Q936" i="1"/>
  <c r="O936"/>
  <c r="O935" s="1"/>
  <c r="P935"/>
  <c r="N935"/>
  <c r="M935"/>
  <c r="L935"/>
  <c r="K935"/>
  <c r="J935"/>
  <c r="I935"/>
  <c r="H935"/>
  <c r="Q934"/>
  <c r="P933"/>
  <c r="O933"/>
  <c r="N933"/>
  <c r="M933"/>
  <c r="K933"/>
  <c r="J933"/>
  <c r="I933"/>
  <c r="H933"/>
  <c r="Q931"/>
  <c r="O931"/>
  <c r="O930" s="1"/>
  <c r="L929"/>
  <c r="Q925"/>
  <c r="Q924"/>
  <c r="Q923"/>
  <c r="Q922"/>
  <c r="Q921"/>
  <c r="Q920"/>
  <c r="Q919"/>
  <c r="Q918"/>
  <c r="P917"/>
  <c r="P916" s="1"/>
  <c r="P915" s="1"/>
  <c r="N917"/>
  <c r="N916" s="1"/>
  <c r="N915" s="1"/>
  <c r="M917"/>
  <c r="M916" s="1"/>
  <c r="M915" s="1"/>
  <c r="L917"/>
  <c r="K917"/>
  <c r="J917"/>
  <c r="J916" s="1"/>
  <c r="I917"/>
  <c r="I916" s="1"/>
  <c r="H917"/>
  <c r="Q915"/>
  <c r="O915"/>
  <c r="Q914"/>
  <c r="O914"/>
  <c r="Q913"/>
  <c r="O913"/>
  <c r="Q912"/>
  <c r="O912"/>
  <c r="Q911"/>
  <c r="O911"/>
  <c r="Q910"/>
  <c r="O910"/>
  <c r="L909"/>
  <c r="K909"/>
  <c r="J909"/>
  <c r="J908" s="1"/>
  <c r="I909"/>
  <c r="I908" s="1"/>
  <c r="H908"/>
  <c r="Q906"/>
  <c r="Q904"/>
  <c r="O904"/>
  <c r="O903" s="1"/>
  <c r="P903"/>
  <c r="N903"/>
  <c r="M903"/>
  <c r="L903"/>
  <c r="K903"/>
  <c r="J903"/>
  <c r="I903"/>
  <c r="H903"/>
  <c r="Q902"/>
  <c r="Q901"/>
  <c r="P900"/>
  <c r="O900"/>
  <c r="N900"/>
  <c r="M900"/>
  <c r="L900"/>
  <c r="K900"/>
  <c r="J900"/>
  <c r="I900"/>
  <c r="H900"/>
  <c r="Q898"/>
  <c r="O898"/>
  <c r="O897" s="1"/>
  <c r="P897"/>
  <c r="N897"/>
  <c r="M897"/>
  <c r="L897"/>
  <c r="K897"/>
  <c r="J897"/>
  <c r="I897"/>
  <c r="H897"/>
  <c r="L895"/>
  <c r="Q895" s="1"/>
  <c r="P894"/>
  <c r="O894"/>
  <c r="N894"/>
  <c r="N889" s="1"/>
  <c r="M894"/>
  <c r="K894"/>
  <c r="J894"/>
  <c r="I894"/>
  <c r="H894"/>
  <c r="Q892"/>
  <c r="O892"/>
  <c r="Q891"/>
  <c r="O891"/>
  <c r="P889"/>
  <c r="Q888"/>
  <c r="O886"/>
  <c r="N886"/>
  <c r="M886"/>
  <c r="L886"/>
  <c r="K886"/>
  <c r="J886"/>
  <c r="I886"/>
  <c r="H886"/>
  <c r="O883"/>
  <c r="O882" s="1"/>
  <c r="Q884"/>
  <c r="P883"/>
  <c r="P882" s="1"/>
  <c r="N883"/>
  <c r="N882" s="1"/>
  <c r="M883"/>
  <c r="M882" s="1"/>
  <c r="L883"/>
  <c r="L882" s="1"/>
  <c r="K883"/>
  <c r="K882" s="1"/>
  <c r="J883"/>
  <c r="J882" s="1"/>
  <c r="I883"/>
  <c r="I882" s="1"/>
  <c r="H883"/>
  <c r="H882" s="1"/>
  <c r="N880"/>
  <c r="P880"/>
  <c r="O880"/>
  <c r="M880"/>
  <c r="L880"/>
  <c r="K880"/>
  <c r="J880"/>
  <c r="I880"/>
  <c r="H880"/>
  <c r="Q879"/>
  <c r="O879"/>
  <c r="O878" s="1"/>
  <c r="L128" i="3"/>
  <c r="D128"/>
  <c r="C128"/>
  <c r="Q877" i="1"/>
  <c r="N876"/>
  <c r="P876"/>
  <c r="P869" s="1"/>
  <c r="O876"/>
  <c r="M876"/>
  <c r="L876"/>
  <c r="K876"/>
  <c r="J876"/>
  <c r="I876"/>
  <c r="H876"/>
  <c r="Q875"/>
  <c r="O875"/>
  <c r="O874" s="1"/>
  <c r="Q871"/>
  <c r="O871"/>
  <c r="Q870"/>
  <c r="O870"/>
  <c r="Q869"/>
  <c r="N868"/>
  <c r="M868"/>
  <c r="L868"/>
  <c r="K868"/>
  <c r="J868"/>
  <c r="I868"/>
  <c r="H868"/>
  <c r="O863"/>
  <c r="N863"/>
  <c r="K863"/>
  <c r="J863"/>
  <c r="H863"/>
  <c r="P863"/>
  <c r="M863"/>
  <c r="I863"/>
  <c r="L862"/>
  <c r="Q862" s="1"/>
  <c r="L861"/>
  <c r="Q861" s="1"/>
  <c r="P860"/>
  <c r="P845" s="1"/>
  <c r="P844" s="1"/>
  <c r="O860"/>
  <c r="N860"/>
  <c r="M860"/>
  <c r="K860"/>
  <c r="J860"/>
  <c r="I860"/>
  <c r="H860"/>
  <c r="Q859"/>
  <c r="O859"/>
  <c r="Q858"/>
  <c r="O858"/>
  <c r="Q857"/>
  <c r="O857"/>
  <c r="Q856"/>
  <c r="O856"/>
  <c r="J856"/>
  <c r="J845" s="1"/>
  <c r="Q855"/>
  <c r="O855"/>
  <c r="Q854"/>
  <c r="O854"/>
  <c r="Q853"/>
  <c r="O853"/>
  <c r="Q852"/>
  <c r="O852"/>
  <c r="Q851"/>
  <c r="O851"/>
  <c r="Q850"/>
  <c r="O850"/>
  <c r="Q849"/>
  <c r="O849"/>
  <c r="Q848"/>
  <c r="O848"/>
  <c r="Q847"/>
  <c r="O847"/>
  <c r="Q846"/>
  <c r="O846"/>
  <c r="N845"/>
  <c r="M845"/>
  <c r="L845"/>
  <c r="K845"/>
  <c r="I845"/>
  <c r="H845"/>
  <c r="P842"/>
  <c r="P841" s="1"/>
  <c r="O842"/>
  <c r="O841" s="1"/>
  <c r="N842"/>
  <c r="N841" s="1"/>
  <c r="M842"/>
  <c r="M841" s="1"/>
  <c r="L842"/>
  <c r="K842"/>
  <c r="K841" s="1"/>
  <c r="J842"/>
  <c r="J841" s="1"/>
  <c r="I842"/>
  <c r="I841" s="1"/>
  <c r="H842"/>
  <c r="H841" s="1"/>
  <c r="Q840"/>
  <c r="Q839"/>
  <c r="Q838"/>
  <c r="Q837"/>
  <c r="Q836"/>
  <c r="O836"/>
  <c r="P835"/>
  <c r="P834" s="1"/>
  <c r="N835"/>
  <c r="N834" s="1"/>
  <c r="M835"/>
  <c r="M834" s="1"/>
  <c r="L835"/>
  <c r="L834" s="1"/>
  <c r="K835"/>
  <c r="K834" s="1"/>
  <c r="J835"/>
  <c r="J834" s="1"/>
  <c r="I835"/>
  <c r="I834" s="1"/>
  <c r="H835"/>
  <c r="Q828"/>
  <c r="O828"/>
  <c r="O826" s="1"/>
  <c r="O825" s="1"/>
  <c r="Q827"/>
  <c r="M825"/>
  <c r="K825"/>
  <c r="I825"/>
  <c r="H825"/>
  <c r="R825"/>
  <c r="Q825"/>
  <c r="P825"/>
  <c r="N825"/>
  <c r="L825"/>
  <c r="J825"/>
  <c r="Q814"/>
  <c r="O814"/>
  <c r="Q813"/>
  <c r="O813"/>
  <c r="Q812"/>
  <c r="O812"/>
  <c r="Q811"/>
  <c r="O811"/>
  <c r="Q810"/>
  <c r="O810"/>
  <c r="Q805"/>
  <c r="O805"/>
  <c r="Q804"/>
  <c r="O804"/>
  <c r="Q803"/>
  <c r="O803"/>
  <c r="Q802"/>
  <c r="O802"/>
  <c r="Q801"/>
  <c r="O801"/>
  <c r="Q800"/>
  <c r="O800"/>
  <c r="Q799"/>
  <c r="O799"/>
  <c r="Q798"/>
  <c r="O798"/>
  <c r="Q797"/>
  <c r="O797"/>
  <c r="Q772"/>
  <c r="O772"/>
  <c r="Q771"/>
  <c r="O771"/>
  <c r="Q769"/>
  <c r="Q766"/>
  <c r="Q759"/>
  <c r="Q758"/>
  <c r="Q757"/>
  <c r="Q756"/>
  <c r="Q755"/>
  <c r="Q754"/>
  <c r="P753"/>
  <c r="O753"/>
  <c r="N753"/>
  <c r="M753"/>
  <c r="L753"/>
  <c r="M106" i="3" s="1"/>
  <c r="K753" i="1"/>
  <c r="D106" i="3" s="1"/>
  <c r="J753" i="1"/>
  <c r="I753"/>
  <c r="H753"/>
  <c r="C106" i="3" s="1"/>
  <c r="Q752" i="1"/>
  <c r="O752"/>
  <c r="Q751"/>
  <c r="O751"/>
  <c r="Q750"/>
  <c r="O750"/>
  <c r="Q749"/>
  <c r="O749"/>
  <c r="Q748"/>
  <c r="O748"/>
  <c r="Q747"/>
  <c r="O747"/>
  <c r="Q746"/>
  <c r="O746"/>
  <c r="Q745"/>
  <c r="O745"/>
  <c r="Q744"/>
  <c r="O744"/>
  <c r="Q743"/>
  <c r="O743"/>
  <c r="Q742"/>
  <c r="O742"/>
  <c r="Q741"/>
  <c r="O741"/>
  <c r="Q740"/>
  <c r="O740"/>
  <c r="Q739"/>
  <c r="O739"/>
  <c r="Q738"/>
  <c r="O738"/>
  <c r="Q737"/>
  <c r="O737"/>
  <c r="Q736"/>
  <c r="O736"/>
  <c r="Q735"/>
  <c r="O735"/>
  <c r="Q734"/>
  <c r="O734"/>
  <c r="Q733"/>
  <c r="O733"/>
  <c r="Q732"/>
  <c r="O732"/>
  <c r="Q731"/>
  <c r="O731"/>
  <c r="Q730"/>
  <c r="O730"/>
  <c r="Q729"/>
  <c r="O729"/>
  <c r="Q728"/>
  <c r="O728"/>
  <c r="Q727"/>
  <c r="O727"/>
  <c r="Q726"/>
  <c r="O726"/>
  <c r="Q725"/>
  <c r="O725"/>
  <c r="Q724"/>
  <c r="O724"/>
  <c r="Q723"/>
  <c r="O723"/>
  <c r="Q722"/>
  <c r="O722"/>
  <c r="Q721"/>
  <c r="O721"/>
  <c r="Q720"/>
  <c r="O720"/>
  <c r="Q719"/>
  <c r="O719"/>
  <c r="Q718"/>
  <c r="O718"/>
  <c r="Q717"/>
  <c r="O717"/>
  <c r="Q716"/>
  <c r="O716"/>
  <c r="Q715"/>
  <c r="O715"/>
  <c r="Q714"/>
  <c r="O714"/>
  <c r="Q713"/>
  <c r="O713"/>
  <c r="Q712"/>
  <c r="O712"/>
  <c r="Q711"/>
  <c r="O711"/>
  <c r="Q710"/>
  <c r="O710"/>
  <c r="Q709"/>
  <c r="O709"/>
  <c r="Q708"/>
  <c r="O708"/>
  <c r="Q707"/>
  <c r="O707"/>
  <c r="Q706"/>
  <c r="O706"/>
  <c r="Q705"/>
  <c r="O705"/>
  <c r="Q704"/>
  <c r="O704"/>
  <c r="Q703"/>
  <c r="O703"/>
  <c r="Q702"/>
  <c r="O702"/>
  <c r="Q701"/>
  <c r="O701"/>
  <c r="Q700"/>
  <c r="O700"/>
  <c r="Q699"/>
  <c r="O699"/>
  <c r="Q698"/>
  <c r="O698"/>
  <c r="Q697"/>
  <c r="O697"/>
  <c r="Q696"/>
  <c r="O696"/>
  <c r="Q695"/>
  <c r="O695"/>
  <c r="Q694"/>
  <c r="O694"/>
  <c r="Q693"/>
  <c r="O693"/>
  <c r="Q692"/>
  <c r="O692"/>
  <c r="Q691"/>
  <c r="O691"/>
  <c r="Q690"/>
  <c r="O690"/>
  <c r="Q689"/>
  <c r="O689"/>
  <c r="Q688"/>
  <c r="O688"/>
  <c r="Q687"/>
  <c r="O687"/>
  <c r="Q686"/>
  <c r="O686"/>
  <c r="Q685"/>
  <c r="O685"/>
  <c r="Q684"/>
  <c r="O684"/>
  <c r="Q683"/>
  <c r="O683"/>
  <c r="Q682"/>
  <c r="O682"/>
  <c r="Q681"/>
  <c r="O681"/>
  <c r="Q680"/>
  <c r="O680"/>
  <c r="Q679"/>
  <c r="O679"/>
  <c r="Q678"/>
  <c r="O678"/>
  <c r="Q677"/>
  <c r="O677"/>
  <c r="Q676"/>
  <c r="O676"/>
  <c r="Q675"/>
  <c r="O675"/>
  <c r="Q674"/>
  <c r="O674"/>
  <c r="Q673"/>
  <c r="O673"/>
  <c r="Q672"/>
  <c r="O672"/>
  <c r="Q671"/>
  <c r="O671"/>
  <c r="Q670"/>
  <c r="O670"/>
  <c r="Q669"/>
  <c r="O669"/>
  <c r="Q668"/>
  <c r="O668"/>
  <c r="Q667"/>
  <c r="O667"/>
  <c r="Q666"/>
  <c r="O666"/>
  <c r="Q665"/>
  <c r="O665"/>
  <c r="Q664"/>
  <c r="O664"/>
  <c r="Q663"/>
  <c r="O663"/>
  <c r="Q662"/>
  <c r="O662"/>
  <c r="Q661"/>
  <c r="O661"/>
  <c r="Q660"/>
  <c r="O660"/>
  <c r="Q659"/>
  <c r="O659"/>
  <c r="Q658"/>
  <c r="O658"/>
  <c r="Q657"/>
  <c r="O657"/>
  <c r="Q656"/>
  <c r="O656"/>
  <c r="Q655"/>
  <c r="O655"/>
  <c r="Q654"/>
  <c r="O654"/>
  <c r="Q653"/>
  <c r="O653"/>
  <c r="Q652"/>
  <c r="O652"/>
  <c r="Q651"/>
  <c r="O651"/>
  <c r="Q650"/>
  <c r="O650"/>
  <c r="Q649"/>
  <c r="O649"/>
  <c r="Q648"/>
  <c r="O648"/>
  <c r="Q647"/>
  <c r="O647"/>
  <c r="Q646"/>
  <c r="O646"/>
  <c r="Q645"/>
  <c r="O645"/>
  <c r="Q644"/>
  <c r="O644"/>
  <c r="Q643"/>
  <c r="O643"/>
  <c r="Q642"/>
  <c r="O642"/>
  <c r="Q641"/>
  <c r="O641"/>
  <c r="Q640"/>
  <c r="O640"/>
  <c r="Q639"/>
  <c r="O639"/>
  <c r="Q638"/>
  <c r="O638"/>
  <c r="Q637"/>
  <c r="O637"/>
  <c r="Q636"/>
  <c r="O636"/>
  <c r="Q635"/>
  <c r="O635"/>
  <c r="Q634"/>
  <c r="O634"/>
  <c r="Q633"/>
  <c r="O633"/>
  <c r="Q632"/>
  <c r="O632"/>
  <c r="Q631"/>
  <c r="O631"/>
  <c r="Q630"/>
  <c r="O630"/>
  <c r="Q629"/>
  <c r="O629"/>
  <c r="Q628"/>
  <c r="O628"/>
  <c r="Q627"/>
  <c r="O627"/>
  <c r="Q626"/>
  <c r="O626"/>
  <c r="Q625"/>
  <c r="O625"/>
  <c r="Q624"/>
  <c r="O624"/>
  <c r="Q623"/>
  <c r="O623"/>
  <c r="Q622"/>
  <c r="O622"/>
  <c r="Q621"/>
  <c r="O621"/>
  <c r="Q620"/>
  <c r="O620"/>
  <c r="Q619"/>
  <c r="O619"/>
  <c r="Q618"/>
  <c r="O618"/>
  <c r="Q617"/>
  <c r="O617"/>
  <c r="Q616"/>
  <c r="O616"/>
  <c r="Q615"/>
  <c r="O615"/>
  <c r="Q614"/>
  <c r="O614"/>
  <c r="Q613"/>
  <c r="O613"/>
  <c r="Q612"/>
  <c r="O612"/>
  <c r="Q611"/>
  <c r="O611"/>
  <c r="Q610"/>
  <c r="O610"/>
  <c r="Q609"/>
  <c r="O609"/>
  <c r="Q608"/>
  <c r="O608"/>
  <c r="Q607"/>
  <c r="O607"/>
  <c r="Q606"/>
  <c r="O606"/>
  <c r="Q605"/>
  <c r="O605"/>
  <c r="Q604"/>
  <c r="O604"/>
  <c r="Q603"/>
  <c r="O603"/>
  <c r="Q602"/>
  <c r="O602"/>
  <c r="Q601"/>
  <c r="O601"/>
  <c r="Q600"/>
  <c r="O600"/>
  <c r="Q599"/>
  <c r="O599"/>
  <c r="Q598"/>
  <c r="O598"/>
  <c r="Q597"/>
  <c r="O597"/>
  <c r="Q596"/>
  <c r="O596"/>
  <c r="Q595"/>
  <c r="O595"/>
  <c r="Q594"/>
  <c r="O594"/>
  <c r="Q593"/>
  <c r="O593"/>
  <c r="Q592"/>
  <c r="O592"/>
  <c r="Q591"/>
  <c r="O591"/>
  <c r="Q590"/>
  <c r="O590"/>
  <c r="Q589"/>
  <c r="O589"/>
  <c r="Q588"/>
  <c r="O588"/>
  <c r="Q587"/>
  <c r="O587"/>
  <c r="Q586"/>
  <c r="O586"/>
  <c r="A586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5" s="1"/>
  <c r="A756" s="1"/>
  <c r="A758" s="1"/>
  <c r="A759" s="1"/>
  <c r="A769" s="1"/>
  <c r="A771" s="1"/>
  <c r="A772" s="1"/>
  <c r="A797" s="1"/>
  <c r="A798" s="1"/>
  <c r="A799" s="1"/>
  <c r="A800" s="1"/>
  <c r="A801" s="1"/>
  <c r="A802" s="1"/>
  <c r="A803" s="1"/>
  <c r="A804" s="1"/>
  <c r="A805" s="1"/>
  <c r="A810" s="1"/>
  <c r="A811" s="1"/>
  <c r="A812" s="1"/>
  <c r="A813" s="1"/>
  <c r="A814" s="1"/>
  <c r="A827" s="1"/>
  <c r="A828" s="1"/>
  <c r="A836" s="1"/>
  <c r="A837" s="1"/>
  <c r="A838" s="1"/>
  <c r="A839" s="1"/>
  <c r="A840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1" s="1"/>
  <c r="A862" s="1"/>
  <c r="A869" s="1"/>
  <c r="A870" s="1"/>
  <c r="A871" s="1"/>
  <c r="A875" s="1"/>
  <c r="A877" s="1"/>
  <c r="A879" s="1"/>
  <c r="A884" s="1"/>
  <c r="A888" s="1"/>
  <c r="A891" s="1"/>
  <c r="A892" s="1"/>
  <c r="A895" s="1"/>
  <c r="A898" s="1"/>
  <c r="A901" s="1"/>
  <c r="A902" s="1"/>
  <c r="A904" s="1"/>
  <c r="A906" s="1"/>
  <c r="A910" s="1"/>
  <c r="A911" s="1"/>
  <c r="A912" s="1"/>
  <c r="A913" s="1"/>
  <c r="A919" s="1"/>
  <c r="A920" s="1"/>
  <c r="A921" s="1"/>
  <c r="A922" s="1"/>
  <c r="A923" s="1"/>
  <c r="A924" s="1"/>
  <c r="A925" s="1"/>
  <c r="A931" s="1"/>
  <c r="A934" s="1"/>
  <c r="A936" s="1"/>
  <c r="A940" s="1"/>
  <c r="A941" s="1"/>
  <c r="A942" s="1"/>
  <c r="A943" s="1"/>
  <c r="A944" s="1"/>
  <c r="A946" s="1"/>
  <c r="A948" s="1"/>
  <c r="Q585"/>
  <c r="O585"/>
  <c r="P584"/>
  <c r="N584"/>
  <c r="M584"/>
  <c r="K584"/>
  <c r="D254" i="3" s="1"/>
  <c r="D253" s="1"/>
  <c r="J584" i="1"/>
  <c r="I584"/>
  <c r="H584"/>
  <c r="C254" i="3" s="1"/>
  <c r="C253" s="1"/>
  <c r="O1048" i="1" l="1"/>
  <c r="P1557"/>
  <c r="O1528"/>
  <c r="O1527" s="1"/>
  <c r="H1533"/>
  <c r="O993"/>
  <c r="O992" s="1"/>
  <c r="O938"/>
  <c r="O937" s="1"/>
  <c r="O969"/>
  <c r="O968" s="1"/>
  <c r="O1033"/>
  <c r="O1032" s="1"/>
  <c r="K1533"/>
  <c r="D273" i="3" s="1"/>
  <c r="O1533" i="1"/>
  <c r="L1533"/>
  <c r="M273" i="3" s="1"/>
  <c r="N273" s="1"/>
  <c r="J1364" i="1"/>
  <c r="H1557"/>
  <c r="L1557"/>
  <c r="O1369"/>
  <c r="O1364" s="1"/>
  <c r="P1533"/>
  <c r="O1038"/>
  <c r="O809"/>
  <c r="O929"/>
  <c r="O1008"/>
  <c r="O1007" s="1"/>
  <c r="J1038"/>
  <c r="N1038"/>
  <c r="O1557"/>
  <c r="I1364"/>
  <c r="M1364"/>
  <c r="O890"/>
  <c r="O889" s="1"/>
  <c r="O1308"/>
  <c r="O770"/>
  <c r="O796"/>
  <c r="I867"/>
  <c r="M867"/>
  <c r="O909"/>
  <c r="O908" s="1"/>
  <c r="K1038"/>
  <c r="D180" i="3" s="1"/>
  <c r="K1557" i="1"/>
  <c r="I1533"/>
  <c r="M1533"/>
  <c r="J1557"/>
  <c r="N1557"/>
  <c r="N1364"/>
  <c r="O1435"/>
  <c r="O1434" s="1"/>
  <c r="L1575"/>
  <c r="H1038"/>
  <c r="C180" i="3" s="1"/>
  <c r="L1038" i="1"/>
  <c r="M180" i="3" s="1"/>
  <c r="N180" s="1"/>
  <c r="P1038" i="1"/>
  <c r="O868"/>
  <c r="O867" s="1"/>
  <c r="D115" i="3"/>
  <c r="D114" s="1"/>
  <c r="D153"/>
  <c r="C176"/>
  <c r="C181"/>
  <c r="H1364" i="1"/>
  <c r="L1364"/>
  <c r="C247" i="3"/>
  <c r="M247"/>
  <c r="N247" s="1"/>
  <c r="C259"/>
  <c r="M259"/>
  <c r="M257" s="1"/>
  <c r="D269"/>
  <c r="C274"/>
  <c r="D293"/>
  <c r="M115"/>
  <c r="N115" s="1"/>
  <c r="N114" s="1"/>
  <c r="C153"/>
  <c r="M153"/>
  <c r="D181"/>
  <c r="K1364" i="1"/>
  <c r="D247" i="3"/>
  <c r="D259"/>
  <c r="C269"/>
  <c r="D274"/>
  <c r="C293"/>
  <c r="M293"/>
  <c r="M291" s="1"/>
  <c r="H916" i="1"/>
  <c r="C145" i="3"/>
  <c r="L916" i="1"/>
  <c r="C891" i="2" s="1"/>
  <c r="M145" i="3"/>
  <c r="H1414" i="1"/>
  <c r="C239" i="3"/>
  <c r="C238" s="1"/>
  <c r="L1414" i="1"/>
  <c r="M239" i="3"/>
  <c r="K916" i="1"/>
  <c r="D145" i="3"/>
  <c r="K1414" i="1"/>
  <c r="D239" i="3"/>
  <c r="D238" s="1"/>
  <c r="P1364" i="1"/>
  <c r="D124" i="3"/>
  <c r="K867" i="1"/>
  <c r="C124" i="3"/>
  <c r="H867" i="1"/>
  <c r="M124" i="3"/>
  <c r="N124" s="1"/>
  <c r="L867" i="1"/>
  <c r="J867"/>
  <c r="N867"/>
  <c r="O917"/>
  <c r="O916" s="1"/>
  <c r="D219" i="3"/>
  <c r="D216" s="1"/>
  <c r="C219"/>
  <c r="C216" s="1"/>
  <c r="M219"/>
  <c r="M216" s="1"/>
  <c r="K992" i="1"/>
  <c r="D169" i="3"/>
  <c r="D168" s="1"/>
  <c r="H992" i="1"/>
  <c r="C169" i="3"/>
  <c r="C168" s="1"/>
  <c r="L992" i="1"/>
  <c r="M169" i="3"/>
  <c r="L908" i="1"/>
  <c r="M143" i="3"/>
  <c r="H1403" i="1"/>
  <c r="C237" i="3"/>
  <c r="L1403" i="1"/>
  <c r="M237" i="3"/>
  <c r="K908" i="1"/>
  <c r="D143" i="3"/>
  <c r="D142" s="1"/>
  <c r="K1403" i="1"/>
  <c r="D237" i="3"/>
  <c r="I937" i="1"/>
  <c r="P887"/>
  <c r="P886" s="1"/>
  <c r="P1384"/>
  <c r="P1383" s="1"/>
  <c r="N128" i="3"/>
  <c r="L123"/>
  <c r="H834" i="1"/>
  <c r="C115" i="3"/>
  <c r="C114" s="1"/>
  <c r="O1269" i="1"/>
  <c r="H1578"/>
  <c r="H1574" s="1"/>
  <c r="L841"/>
  <c r="M117" i="3"/>
  <c r="N117" s="1"/>
  <c r="N116" s="1"/>
  <c r="H937" i="1"/>
  <c r="K937"/>
  <c r="M937"/>
  <c r="P937"/>
  <c r="L937"/>
  <c r="N937"/>
  <c r="O584"/>
  <c r="L1578"/>
  <c r="O1427"/>
  <c r="O1426" s="1"/>
  <c r="J1060"/>
  <c r="J1434"/>
  <c r="H1476"/>
  <c r="J1476"/>
  <c r="L1476"/>
  <c r="N1476"/>
  <c r="I1485"/>
  <c r="I1476" s="1"/>
  <c r="J1491"/>
  <c r="J1490" s="1"/>
  <c r="J937"/>
  <c r="I990"/>
  <c r="H1567"/>
  <c r="H1566" s="1"/>
  <c r="H1565" s="1"/>
  <c r="O1086"/>
  <c r="J1578"/>
  <c r="J1574" s="1"/>
  <c r="J1563" s="1"/>
  <c r="N1578"/>
  <c r="N1574" s="1"/>
  <c r="N1563" s="1"/>
  <c r="O978"/>
  <c r="H844"/>
  <c r="M844"/>
  <c r="O845"/>
  <c r="O844" s="1"/>
  <c r="I844"/>
  <c r="N844"/>
  <c r="I929"/>
  <c r="I978"/>
  <c r="K978"/>
  <c r="M978"/>
  <c r="H978"/>
  <c r="J978"/>
  <c r="L978"/>
  <c r="N978"/>
  <c r="P978"/>
  <c r="J997"/>
  <c r="J996" s="1"/>
  <c r="I1080"/>
  <c r="I1076" s="1"/>
  <c r="I1065" s="1"/>
  <c r="K1080"/>
  <c r="K1076" s="1"/>
  <c r="K1065" s="1"/>
  <c r="M1080"/>
  <c r="M1076" s="1"/>
  <c r="M1065" s="1"/>
  <c r="O1080"/>
  <c r="O1076" s="1"/>
  <c r="K844"/>
  <c r="M929"/>
  <c r="O1331"/>
  <c r="H1341"/>
  <c r="J1341"/>
  <c r="N1409"/>
  <c r="N1408" s="1"/>
  <c r="N1407" s="1"/>
  <c r="N1406" s="1"/>
  <c r="N1405" s="1"/>
  <c r="N1404" s="1"/>
  <c r="N1403" s="1"/>
  <c r="N896"/>
  <c r="H1025"/>
  <c r="C179" i="3"/>
  <c r="H1519" i="1"/>
  <c r="C272" i="3"/>
  <c r="P1476" i="1"/>
  <c r="J844"/>
  <c r="P871"/>
  <c r="P870" s="1"/>
  <c r="P868" s="1"/>
  <c r="P867" s="1"/>
  <c r="J889"/>
  <c r="H929"/>
  <c r="J929"/>
  <c r="K929"/>
  <c r="H1069"/>
  <c r="H1068" s="1"/>
  <c r="H1067" s="1"/>
  <c r="N1341"/>
  <c r="P1574"/>
  <c r="P1563" s="1"/>
  <c r="I1574"/>
  <c r="I1563" s="1"/>
  <c r="K1574"/>
  <c r="K1563" s="1"/>
  <c r="J896"/>
  <c r="I1341"/>
  <c r="K1341"/>
  <c r="I1391"/>
  <c r="I1426"/>
  <c r="M1574"/>
  <c r="M1563" s="1"/>
  <c r="O1574"/>
  <c r="L860"/>
  <c r="L844" s="1"/>
  <c r="L863"/>
  <c r="H889"/>
  <c r="H896"/>
  <c r="P896"/>
  <c r="M1341"/>
  <c r="L1360"/>
  <c r="H1386"/>
  <c r="J1386"/>
  <c r="O1404"/>
  <c r="O1403" s="1"/>
  <c r="P1409"/>
  <c r="P1408" s="1"/>
  <c r="P1407" s="1"/>
  <c r="P1406" s="1"/>
  <c r="P1405" s="1"/>
  <c r="P1404" s="1"/>
  <c r="P1403" s="1"/>
  <c r="O835"/>
  <c r="O834" s="1"/>
  <c r="M1434"/>
  <c r="P1513"/>
  <c r="P1511" s="1"/>
  <c r="P1510" s="1"/>
  <c r="L1357"/>
  <c r="L1341" s="1"/>
  <c r="I1434"/>
  <c r="M814"/>
  <c r="M813" s="1"/>
  <c r="M812" s="1"/>
  <c r="M811" s="1"/>
  <c r="M810" s="1"/>
  <c r="M809" s="1"/>
  <c r="I889"/>
  <c r="K889"/>
  <c r="M889"/>
  <c r="L894"/>
  <c r="L889" s="1"/>
  <c r="I896"/>
  <c r="K896"/>
  <c r="M896"/>
  <c r="O896"/>
  <c r="L896"/>
  <c r="N929"/>
  <c r="P929"/>
  <c r="L1077"/>
  <c r="L1029"/>
  <c r="L1028" s="1"/>
  <c r="N181" i="3" s="1"/>
  <c r="O1069" i="1"/>
  <c r="O1068" s="1"/>
  <c r="O1067" s="1"/>
  <c r="H1076"/>
  <c r="J1080"/>
  <c r="J1076" s="1"/>
  <c r="J1065" s="1"/>
  <c r="L1080"/>
  <c r="N1080"/>
  <c r="N1076" s="1"/>
  <c r="N1065" s="1"/>
  <c r="P1076"/>
  <c r="P1065" s="1"/>
  <c r="M1311"/>
  <c r="M1310" s="1"/>
  <c r="M1309" s="1"/>
  <c r="M1308" s="1"/>
  <c r="K1434"/>
  <c r="O1342"/>
  <c r="O1341" s="1"/>
  <c r="H1391"/>
  <c r="J1391"/>
  <c r="N1391"/>
  <c r="O1391"/>
  <c r="M1391"/>
  <c r="H1426"/>
  <c r="J1426"/>
  <c r="L1426"/>
  <c r="M1426"/>
  <c r="H1434"/>
  <c r="N914"/>
  <c r="P914"/>
  <c r="M914"/>
  <c r="L997"/>
  <c r="L996" s="1"/>
  <c r="J1533"/>
  <c r="N1533"/>
  <c r="O1567"/>
  <c r="O1566" s="1"/>
  <c r="O1565" s="1"/>
  <c r="I1386"/>
  <c r="K1386"/>
  <c r="M1386"/>
  <c r="O1386"/>
  <c r="L1389"/>
  <c r="L1386" s="1"/>
  <c r="P1391"/>
  <c r="K1391"/>
  <c r="K1426"/>
  <c r="P1426"/>
  <c r="K1476"/>
  <c r="M1476"/>
  <c r="I1557"/>
  <c r="M1557"/>
  <c r="M1410"/>
  <c r="M1409"/>
  <c r="Q1492"/>
  <c r="L1491"/>
  <c r="L1490" s="1"/>
  <c r="N1426"/>
  <c r="P1434"/>
  <c r="Q1524"/>
  <c r="L1522"/>
  <c r="N274" i="3" s="1"/>
  <c r="L1391" i="1"/>
  <c r="O1415"/>
  <c r="O1414" s="1"/>
  <c r="L1434"/>
  <c r="N1434"/>
  <c r="O1467"/>
  <c r="O1466" s="1"/>
  <c r="O1476"/>
  <c r="O1502"/>
  <c r="O1501" s="1"/>
  <c r="G40" i="3"/>
  <c r="I8"/>
  <c r="I10"/>
  <c r="I11"/>
  <c r="I17"/>
  <c r="I22"/>
  <c r="I30"/>
  <c r="I41"/>
  <c r="I43"/>
  <c r="I44"/>
  <c r="I45"/>
  <c r="I49"/>
  <c r="I52"/>
  <c r="I53"/>
  <c r="I54"/>
  <c r="I57"/>
  <c r="I59"/>
  <c r="I62"/>
  <c r="I63"/>
  <c r="I73"/>
  <c r="I97"/>
  <c r="I98"/>
  <c r="I101"/>
  <c r="I103"/>
  <c r="I104"/>
  <c r="I7"/>
  <c r="M374" i="2"/>
  <c r="O374"/>
  <c r="N412"/>
  <c r="N374" s="1"/>
  <c r="N260"/>
  <c r="C273" i="3" l="1"/>
  <c r="L1574" i="1"/>
  <c r="L1563" s="1"/>
  <c r="O1065"/>
  <c r="N293" i="3"/>
  <c r="N291" s="1"/>
  <c r="M245"/>
  <c r="N245" s="1"/>
  <c r="N259"/>
  <c r="N257" s="1"/>
  <c r="M114"/>
  <c r="N239"/>
  <c r="N238" s="1"/>
  <c r="M238"/>
  <c r="O1563" i="1"/>
  <c r="N169" i="3"/>
  <c r="N168" s="1"/>
  <c r="M168"/>
  <c r="N143"/>
  <c r="N142" s="1"/>
  <c r="M142"/>
  <c r="H1065" i="1"/>
  <c r="J583"/>
  <c r="H583"/>
  <c r="H1563"/>
  <c r="I583"/>
  <c r="K583"/>
  <c r="J1085"/>
  <c r="O583"/>
  <c r="H1085"/>
  <c r="L583"/>
  <c r="V572" i="2" s="1"/>
  <c r="L1076" i="1"/>
  <c r="L1065" s="1"/>
  <c r="N1085"/>
  <c r="P913"/>
  <c r="P912" s="1"/>
  <c r="P911" s="1"/>
  <c r="P910" s="1"/>
  <c r="P909" s="1"/>
  <c r="P908" s="1"/>
  <c r="P583" s="1"/>
  <c r="N913"/>
  <c r="N912" s="1"/>
  <c r="N911" s="1"/>
  <c r="N910" s="1"/>
  <c r="N909" s="1"/>
  <c r="N908" s="1"/>
  <c r="N583" s="1"/>
  <c r="I1085"/>
  <c r="K1085"/>
  <c r="O1085"/>
  <c r="P1085"/>
  <c r="M913"/>
  <c r="M912" s="1"/>
  <c r="M911" s="1"/>
  <c r="M910" s="1"/>
  <c r="M909" s="1"/>
  <c r="M908" s="1"/>
  <c r="M583" s="1"/>
  <c r="L1085"/>
  <c r="V1077" i="2" s="1"/>
  <c r="M1408" i="1"/>
  <c r="M1407" s="1"/>
  <c r="M1406" s="1"/>
  <c r="M1405" s="1"/>
  <c r="M1404" s="1"/>
  <c r="M1403" s="1"/>
  <c r="M1085" s="1"/>
  <c r="S8" i="2"/>
  <c r="K143" l="1"/>
  <c r="V10" l="1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4"/>
  <c r="V145"/>
  <c r="V146"/>
  <c r="V147"/>
  <c r="V148"/>
  <c r="V149"/>
  <c r="V150"/>
  <c r="V151"/>
  <c r="V152"/>
  <c r="V153"/>
  <c r="V154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9"/>
  <c r="K57"/>
  <c r="K159" l="1"/>
  <c r="K114"/>
  <c r="K33"/>
  <c r="K171"/>
  <c r="K81"/>
  <c r="K108"/>
  <c r="K120"/>
  <c r="V120" s="1"/>
  <c r="V143"/>
  <c r="K17"/>
  <c r="U7" l="1"/>
  <c r="N8"/>
  <c r="N7" s="1"/>
  <c r="P8"/>
  <c r="R8"/>
  <c r="S7"/>
  <c r="M15"/>
  <c r="Q24"/>
  <c r="K155"/>
  <c r="K8" s="1"/>
  <c r="O55"/>
  <c r="O54"/>
  <c r="O16"/>
  <c r="O8" l="1"/>
  <c r="O7" s="1"/>
  <c r="M8"/>
  <c r="M7" s="1"/>
  <c r="Q8"/>
  <c r="Q7" s="1"/>
  <c r="K7"/>
  <c r="C8"/>
  <c r="C7" s="1"/>
  <c r="V155"/>
  <c r="C139" i="3" l="1"/>
  <c r="H16" l="1"/>
  <c r="H270" i="1"/>
  <c r="I270"/>
  <c r="J270"/>
  <c r="K270"/>
  <c r="M270"/>
  <c r="N270"/>
  <c r="P270"/>
  <c r="L270"/>
  <c r="Q272"/>
  <c r="Q280"/>
  <c r="I494"/>
  <c r="J494"/>
  <c r="K494"/>
  <c r="L494"/>
  <c r="M494"/>
  <c r="N494"/>
  <c r="O494"/>
  <c r="P494"/>
  <c r="H494"/>
  <c r="I492"/>
  <c r="J492"/>
  <c r="K492"/>
  <c r="D97" i="3" s="1"/>
  <c r="L492" i="1"/>
  <c r="M97" i="3" s="1"/>
  <c r="M492" i="1"/>
  <c r="N492"/>
  <c r="O492"/>
  <c r="P492"/>
  <c r="H492"/>
  <c r="C97" i="3" s="1"/>
  <c r="Q495" i="1"/>
  <c r="Q493"/>
  <c r="A24" i="3"/>
  <c r="A26" s="1"/>
  <c r="A28" s="1"/>
  <c r="A29" s="1"/>
  <c r="A30" s="1"/>
  <c r="A31" s="1"/>
  <c r="A34" s="1"/>
  <c r="A36" s="1"/>
  <c r="A38" s="1"/>
  <c r="A39" s="1"/>
  <c r="A41" s="1"/>
  <c r="A43" s="1"/>
  <c r="A44" s="1"/>
  <c r="A45" s="1"/>
  <c r="A47" s="1"/>
  <c r="A49" s="1"/>
  <c r="A52" s="1"/>
  <c r="A53" s="1"/>
  <c r="A54" s="1"/>
  <c r="A56" s="1"/>
  <c r="A57" s="1"/>
  <c r="A58" s="1"/>
  <c r="A59" s="1"/>
  <c r="A61" s="1"/>
  <c r="A62" s="1"/>
  <c r="A63" s="1"/>
  <c r="A65" s="1"/>
  <c r="K20"/>
  <c r="L20"/>
  <c r="J20"/>
  <c r="F20"/>
  <c r="G20"/>
  <c r="E20"/>
  <c r="N285" i="1"/>
  <c r="M285"/>
  <c r="L285"/>
  <c r="N106" i="3" s="1"/>
  <c r="K285" i="1"/>
  <c r="I285"/>
  <c r="L302"/>
  <c r="L301"/>
  <c r="M300"/>
  <c r="N300"/>
  <c r="O300"/>
  <c r="P300"/>
  <c r="P285" s="1"/>
  <c r="P284" s="1"/>
  <c r="I300"/>
  <c r="J300"/>
  <c r="K300"/>
  <c r="D22" i="3" s="1"/>
  <c r="H300" i="1"/>
  <c r="C22" i="3" s="1"/>
  <c r="H285" i="1"/>
  <c r="A97" i="3"/>
  <c r="H467" i="1"/>
  <c r="I467"/>
  <c r="I466" s="1"/>
  <c r="J467"/>
  <c r="J466" s="1"/>
  <c r="K467"/>
  <c r="L467"/>
  <c r="M467"/>
  <c r="M466" s="1"/>
  <c r="N467"/>
  <c r="N466" s="1"/>
  <c r="O467"/>
  <c r="O466" s="1"/>
  <c r="P467"/>
  <c r="P466" s="1"/>
  <c r="Q468"/>
  <c r="H188"/>
  <c r="I188"/>
  <c r="J188"/>
  <c r="K188"/>
  <c r="L188"/>
  <c r="M188"/>
  <c r="N188"/>
  <c r="Q192"/>
  <c r="M101" i="3"/>
  <c r="N101" s="1"/>
  <c r="P449" i="1"/>
  <c r="K19"/>
  <c r="M19"/>
  <c r="N19"/>
  <c r="P19"/>
  <c r="H401"/>
  <c r="C123" i="3" s="1"/>
  <c r="I401" i="1"/>
  <c r="J401"/>
  <c r="K401"/>
  <c r="D123" i="3" s="1"/>
  <c r="L401" i="1"/>
  <c r="M123" i="3" s="1"/>
  <c r="M401" i="1"/>
  <c r="N401"/>
  <c r="P401"/>
  <c r="O417"/>
  <c r="P417"/>
  <c r="M417"/>
  <c r="N417"/>
  <c r="L417"/>
  <c r="Q418" s="1"/>
  <c r="K417"/>
  <c r="I417"/>
  <c r="J417"/>
  <c r="H417"/>
  <c r="A21"/>
  <c r="O297"/>
  <c r="O298"/>
  <c r="O299"/>
  <c r="O290"/>
  <c r="O291"/>
  <c r="O292"/>
  <c r="O295"/>
  <c r="O296"/>
  <c r="O289"/>
  <c r="O293"/>
  <c r="O294"/>
  <c r="O286"/>
  <c r="O288"/>
  <c r="O287"/>
  <c r="O360"/>
  <c r="Q360"/>
  <c r="H364"/>
  <c r="L466" l="1"/>
  <c r="H466"/>
  <c r="C80" i="3" s="1"/>
  <c r="C147"/>
  <c r="C98"/>
  <c r="D98"/>
  <c r="K466" i="1"/>
  <c r="D80" i="3" s="1"/>
  <c r="D147"/>
  <c r="M98"/>
  <c r="N98" s="1"/>
  <c r="N220"/>
  <c r="N126"/>
  <c r="N123" s="1"/>
  <c r="P491" i="1"/>
  <c r="L491"/>
  <c r="M7" i="3"/>
  <c r="N97"/>
  <c r="M491" i="1"/>
  <c r="I491"/>
  <c r="N491"/>
  <c r="J491"/>
  <c r="O491"/>
  <c r="K491"/>
  <c r="H491"/>
  <c r="Q302"/>
  <c r="O285"/>
  <c r="O284" s="1"/>
  <c r="M284"/>
  <c r="N284"/>
  <c r="Q301"/>
  <c r="I284"/>
  <c r="K284"/>
  <c r="L300"/>
  <c r="H284"/>
  <c r="Q442"/>
  <c r="O442"/>
  <c r="C84" i="3" l="1"/>
  <c r="D84"/>
  <c r="M84"/>
  <c r="N84" s="1"/>
  <c r="M147"/>
  <c r="N147" s="1"/>
  <c r="M22"/>
  <c r="N22" s="1"/>
  <c r="L284" i="1"/>
  <c r="H51" i="3"/>
  <c r="I382" i="1"/>
  <c r="J382"/>
  <c r="K382"/>
  <c r="D54" i="3" s="1"/>
  <c r="L382" i="1"/>
  <c r="M382"/>
  <c r="N382"/>
  <c r="P382"/>
  <c r="H382"/>
  <c r="C54" i="3" s="1"/>
  <c r="Q383" i="1"/>
  <c r="O383"/>
  <c r="O382" s="1"/>
  <c r="A22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H446"/>
  <c r="Q186"/>
  <c r="Q28"/>
  <c r="Q69"/>
  <c r="Q43"/>
  <c r="Q89"/>
  <c r="Q83"/>
  <c r="Q154"/>
  <c r="Q166"/>
  <c r="Q123"/>
  <c r="Q160"/>
  <c r="Q156"/>
  <c r="Q168"/>
  <c r="Q109"/>
  <c r="Q94"/>
  <c r="Q35"/>
  <c r="Q56"/>
  <c r="Q38"/>
  <c r="Q153"/>
  <c r="Q131"/>
  <c r="Q133"/>
  <c r="Q149"/>
  <c r="Q91"/>
  <c r="Q42"/>
  <c r="Q70"/>
  <c r="Q184"/>
  <c r="Q127"/>
  <c r="Q108"/>
  <c r="Q47"/>
  <c r="Q178"/>
  <c r="Q128"/>
  <c r="Q117"/>
  <c r="Q143"/>
  <c r="Q79"/>
  <c r="Q71"/>
  <c r="Q115"/>
  <c r="Q187"/>
  <c r="Q48"/>
  <c r="Q34"/>
  <c r="Q119"/>
  <c r="Q136"/>
  <c r="Q82"/>
  <c r="Q141"/>
  <c r="Q37"/>
  <c r="Q164"/>
  <c r="Q173"/>
  <c r="Q100"/>
  <c r="Q142"/>
  <c r="Q52"/>
  <c r="Q140"/>
  <c r="Q76"/>
  <c r="Q146"/>
  <c r="Q92"/>
  <c r="Q135"/>
  <c r="Q87"/>
  <c r="Q39"/>
  <c r="Q174"/>
  <c r="Q90"/>
  <c r="Q148"/>
  <c r="Q75"/>
  <c r="Q180"/>
  <c r="Q152"/>
  <c r="Q134"/>
  <c r="Q65"/>
  <c r="Q120"/>
  <c r="Q112"/>
  <c r="Q138"/>
  <c r="Q78"/>
  <c r="Q73"/>
  <c r="Q32"/>
  <c r="Q129"/>
  <c r="Q62"/>
  <c r="Q147"/>
  <c r="Q163"/>
  <c r="Q84"/>
  <c r="Q155"/>
  <c r="Q74"/>
  <c r="Q49"/>
  <c r="Q99"/>
  <c r="Q150"/>
  <c r="Q72"/>
  <c r="Q169"/>
  <c r="Q122"/>
  <c r="Q95"/>
  <c r="Q183"/>
  <c r="Q177"/>
  <c r="Q171"/>
  <c r="Q159"/>
  <c r="Q110"/>
  <c r="Q101"/>
  <c r="Q179"/>
  <c r="Q145"/>
  <c r="Q137"/>
  <c r="Q98"/>
  <c r="Q158"/>
  <c r="Q63"/>
  <c r="Q25"/>
  <c r="Q185"/>
  <c r="Q59"/>
  <c r="Q67"/>
  <c r="Q139"/>
  <c r="Q41"/>
  <c r="Q170"/>
  <c r="Q103"/>
  <c r="Q57"/>
  <c r="Q85"/>
  <c r="Q60"/>
  <c r="Q80"/>
  <c r="Q118"/>
  <c r="Q53"/>
  <c r="Q86"/>
  <c r="Q181"/>
  <c r="Q33"/>
  <c r="Q104"/>
  <c r="Q23"/>
  <c r="Q88"/>
  <c r="Q121"/>
  <c r="Q66"/>
  <c r="Q46"/>
  <c r="Q24"/>
  <c r="Q97"/>
  <c r="Q27"/>
  <c r="Q182"/>
  <c r="Q162"/>
  <c r="Q54"/>
  <c r="Q61"/>
  <c r="Q58"/>
  <c r="Q161"/>
  <c r="Q20"/>
  <c r="Q111"/>
  <c r="Q126"/>
  <c r="Q106"/>
  <c r="Q151"/>
  <c r="Q172"/>
  <c r="Q130"/>
  <c r="Q157"/>
  <c r="Q116"/>
  <c r="Q50"/>
  <c r="Q176"/>
  <c r="Q30"/>
  <c r="Q165"/>
  <c r="Q64"/>
  <c r="Q21"/>
  <c r="Q44"/>
  <c r="Q175"/>
  <c r="Q68"/>
  <c r="Q51"/>
  <c r="Q29"/>
  <c r="Q102"/>
  <c r="Q40"/>
  <c r="Q45"/>
  <c r="Q77"/>
  <c r="Q125"/>
  <c r="Q124"/>
  <c r="Q26"/>
  <c r="Q36"/>
  <c r="Q107"/>
  <c r="Q81"/>
  <c r="Q144"/>
  <c r="Q55"/>
  <c r="Q113"/>
  <c r="Q105"/>
  <c r="O186"/>
  <c r="O28"/>
  <c r="O69"/>
  <c r="O43"/>
  <c r="O89"/>
  <c r="O167"/>
  <c r="O83"/>
  <c r="O154"/>
  <c r="O166"/>
  <c r="O123"/>
  <c r="O160"/>
  <c r="O156"/>
  <c r="O168"/>
  <c r="O109"/>
  <c r="O94"/>
  <c r="O35"/>
  <c r="O56"/>
  <c r="O38"/>
  <c r="O153"/>
  <c r="O131"/>
  <c r="O133"/>
  <c r="O149"/>
  <c r="O91"/>
  <c r="O42"/>
  <c r="O70"/>
  <c r="O184"/>
  <c r="O127"/>
  <c r="O108"/>
  <c r="O47"/>
  <c r="O178"/>
  <c r="O128"/>
  <c r="O117"/>
  <c r="O143"/>
  <c r="O79"/>
  <c r="O71"/>
  <c r="O115"/>
  <c r="O187"/>
  <c r="O48"/>
  <c r="O34"/>
  <c r="O119"/>
  <c r="O136"/>
  <c r="O82"/>
  <c r="O141"/>
  <c r="O37"/>
  <c r="O164"/>
  <c r="O173"/>
  <c r="O100"/>
  <c r="O142"/>
  <c r="O52"/>
  <c r="O140"/>
  <c r="O76"/>
  <c r="O146"/>
  <c r="O92"/>
  <c r="O135"/>
  <c r="O87"/>
  <c r="O39"/>
  <c r="O174"/>
  <c r="O90"/>
  <c r="O148"/>
  <c r="O75"/>
  <c r="O180"/>
  <c r="O152"/>
  <c r="O134"/>
  <c r="O65"/>
  <c r="O120"/>
  <c r="O112"/>
  <c r="O138"/>
  <c r="O78"/>
  <c r="O73"/>
  <c r="O32"/>
  <c r="O129"/>
  <c r="O62"/>
  <c r="O147"/>
  <c r="O163"/>
  <c r="O84"/>
  <c r="O155"/>
  <c r="O74"/>
  <c r="O49"/>
  <c r="O99"/>
  <c r="O150"/>
  <c r="O72"/>
  <c r="O169"/>
  <c r="O122"/>
  <c r="O95"/>
  <c r="O183"/>
  <c r="O177"/>
  <c r="O171"/>
  <c r="O159"/>
  <c r="O110"/>
  <c r="O101"/>
  <c r="O179"/>
  <c r="O145"/>
  <c r="O114"/>
  <c r="O137"/>
  <c r="O98"/>
  <c r="O158"/>
  <c r="O63"/>
  <c r="O25"/>
  <c r="O185"/>
  <c r="O59"/>
  <c r="O67"/>
  <c r="O31"/>
  <c r="O139"/>
  <c r="O41"/>
  <c r="O132"/>
  <c r="O170"/>
  <c r="O103"/>
  <c r="O57"/>
  <c r="O85"/>
  <c r="O60"/>
  <c r="O80"/>
  <c r="O118"/>
  <c r="O53"/>
  <c r="O86"/>
  <c r="O181"/>
  <c r="O33"/>
  <c r="O104"/>
  <c r="O23"/>
  <c r="O88"/>
  <c r="O22"/>
  <c r="O121"/>
  <c r="O66"/>
  <c r="O46"/>
  <c r="O24"/>
  <c r="O97"/>
  <c r="O27"/>
  <c r="O182"/>
  <c r="O162"/>
  <c r="O54"/>
  <c r="O61"/>
  <c r="O58"/>
  <c r="O161"/>
  <c r="O20"/>
  <c r="O111"/>
  <c r="O126"/>
  <c r="O106"/>
  <c r="O151"/>
  <c r="O172"/>
  <c r="O130"/>
  <c r="O157"/>
  <c r="O116"/>
  <c r="O50"/>
  <c r="O176"/>
  <c r="O96"/>
  <c r="O30"/>
  <c r="O165"/>
  <c r="O64"/>
  <c r="O21"/>
  <c r="O44"/>
  <c r="O175"/>
  <c r="O68"/>
  <c r="O51"/>
  <c r="O29"/>
  <c r="O102"/>
  <c r="O40"/>
  <c r="O93"/>
  <c r="O45"/>
  <c r="O77"/>
  <c r="O125"/>
  <c r="O124"/>
  <c r="O26"/>
  <c r="O36"/>
  <c r="O107"/>
  <c r="O81"/>
  <c r="O144"/>
  <c r="O55"/>
  <c r="O113"/>
  <c r="O105"/>
  <c r="D52" i="3"/>
  <c r="Q93" i="1"/>
  <c r="Q96"/>
  <c r="Q22"/>
  <c r="Q132"/>
  <c r="Q31"/>
  <c r="Q114"/>
  <c r="N219" i="3" l="1"/>
  <c r="N216" s="1"/>
  <c r="N153"/>
  <c r="M151"/>
  <c r="N151" s="1"/>
  <c r="M54"/>
  <c r="N54" s="1"/>
  <c r="H19" i="1"/>
  <c r="O19"/>
  <c r="J19"/>
  <c r="I19"/>
  <c r="Q167"/>
  <c r="A190" l="1"/>
  <c r="A191" s="1"/>
  <c r="A192" s="1"/>
  <c r="A193" s="1"/>
  <c r="A203" s="1"/>
  <c r="A204" s="1"/>
  <c r="H40" i="3"/>
  <c r="I40" s="1"/>
  <c r="I347" i="1"/>
  <c r="J347"/>
  <c r="K347"/>
  <c r="D44" i="3" s="1"/>
  <c r="L347" i="1"/>
  <c r="M347"/>
  <c r="N347"/>
  <c r="P347"/>
  <c r="H347"/>
  <c r="C44" i="3" s="1"/>
  <c r="Q348" i="1"/>
  <c r="O348"/>
  <c r="O347" s="1"/>
  <c r="K344"/>
  <c r="D43" i="3" s="1"/>
  <c r="I344" i="1"/>
  <c r="J344"/>
  <c r="L344"/>
  <c r="M344"/>
  <c r="N344"/>
  <c r="O344"/>
  <c r="P344"/>
  <c r="H344"/>
  <c r="C43" i="3" s="1"/>
  <c r="Q346" i="1"/>
  <c r="Q345"/>
  <c r="L43" i="3" l="1"/>
  <c r="M44"/>
  <c r="N44" s="1"/>
  <c r="A210" i="1"/>
  <c r="A211" s="1"/>
  <c r="A212" s="1"/>
  <c r="A214" s="1"/>
  <c r="A215" s="1"/>
  <c r="A216" s="1"/>
  <c r="A217" s="1"/>
  <c r="A218" s="1"/>
  <c r="A219" s="1"/>
  <c r="N43" i="3" l="1"/>
  <c r="L40"/>
  <c r="A233" i="1"/>
  <c r="A234" s="1"/>
  <c r="A235" s="1"/>
  <c r="A236" s="1"/>
  <c r="A237" s="1"/>
  <c r="A238" s="1"/>
  <c r="A239" s="1"/>
  <c r="A240" s="1"/>
  <c r="N57" i="3"/>
  <c r="Q402" i="1"/>
  <c r="O402"/>
  <c r="O401" s="1"/>
  <c r="A246" l="1"/>
  <c r="A247" s="1"/>
  <c r="D139" i="3"/>
  <c r="L139"/>
  <c r="N139" l="1"/>
  <c r="N137" s="1"/>
  <c r="L137"/>
  <c r="A263" i="1"/>
  <c r="A264" s="1"/>
  <c r="A265" s="1"/>
  <c r="A266" s="1"/>
  <c r="A267" s="1"/>
  <c r="D45" i="3"/>
  <c r="C45"/>
  <c r="F51"/>
  <c r="G51"/>
  <c r="I51" s="1"/>
  <c r="E51"/>
  <c r="C52"/>
  <c r="Q378" i="1"/>
  <c r="O378"/>
  <c r="O377" s="1"/>
  <c r="L376" l="1"/>
  <c r="A272"/>
  <c r="A273" s="1"/>
  <c r="A283" s="1"/>
  <c r="M51" i="3"/>
  <c r="N51" s="1"/>
  <c r="Q421" i="1"/>
  <c r="Q420"/>
  <c r="D59" i="3"/>
  <c r="C59"/>
  <c r="M446" i="1"/>
  <c r="N446"/>
  <c r="P446"/>
  <c r="L446"/>
  <c r="K446"/>
  <c r="J446"/>
  <c r="I446"/>
  <c r="Q448"/>
  <c r="O448"/>
  <c r="K339"/>
  <c r="K338" s="1"/>
  <c r="I339"/>
  <c r="I338" s="1"/>
  <c r="J339"/>
  <c r="J338" s="1"/>
  <c r="L339"/>
  <c r="M339"/>
  <c r="M338" s="1"/>
  <c r="N339"/>
  <c r="N338" s="1"/>
  <c r="P339"/>
  <c r="P338" s="1"/>
  <c r="H339"/>
  <c r="H338" s="1"/>
  <c r="N63" i="3" l="1"/>
  <c r="L338" i="1"/>
  <c r="D41" i="3"/>
  <c r="D40"/>
  <c r="C41"/>
  <c r="M41"/>
  <c r="M59"/>
  <c r="N59" s="1"/>
  <c r="L516" i="1"/>
  <c r="L103" i="3" s="1"/>
  <c r="N518" i="1"/>
  <c r="P518"/>
  <c r="M518"/>
  <c r="L518"/>
  <c r="K518"/>
  <c r="J518"/>
  <c r="I518"/>
  <c r="H518"/>
  <c r="Q519"/>
  <c r="O519"/>
  <c r="O518" s="1"/>
  <c r="M230" i="3" l="1"/>
  <c r="M228" s="1"/>
  <c r="D104"/>
  <c r="D230"/>
  <c r="C104"/>
  <c r="C230"/>
  <c r="N133"/>
  <c r="N132" s="1"/>
  <c r="M40"/>
  <c r="N103"/>
  <c r="L102"/>
  <c r="L515" i="1"/>
  <c r="M104" i="3"/>
  <c r="H102"/>
  <c r="H75"/>
  <c r="I75" s="1"/>
  <c r="I71"/>
  <c r="I61"/>
  <c r="I58"/>
  <c r="I56"/>
  <c r="I38"/>
  <c r="I24"/>
  <c r="H21"/>
  <c r="I12"/>
  <c r="I9"/>
  <c r="N230" l="1"/>
  <c r="N228" s="1"/>
  <c r="H20"/>
  <c r="I20" s="1"/>
  <c r="I21"/>
  <c r="N104"/>
  <c r="N102" s="1"/>
  <c r="M102"/>
  <c r="A306" i="1"/>
  <c r="A309" s="1"/>
  <c r="H55" i="3"/>
  <c r="J296" i="1"/>
  <c r="J285" s="1"/>
  <c r="J284" s="1"/>
  <c r="A327" l="1"/>
  <c r="I364"/>
  <c r="J364"/>
  <c r="K364"/>
  <c r="L364"/>
  <c r="M364"/>
  <c r="N364"/>
  <c r="P364"/>
  <c r="H363"/>
  <c r="Q366"/>
  <c r="Q367"/>
  <c r="Q370"/>
  <c r="Q371"/>
  <c r="Q372"/>
  <c r="Q365"/>
  <c r="Q369"/>
  <c r="A328" l="1"/>
  <c r="A330" s="1"/>
  <c r="A333" s="1"/>
  <c r="A334" s="1"/>
  <c r="A329"/>
  <c r="C49" i="3"/>
  <c r="Q193" i="1"/>
  <c r="Q204"/>
  <c r="Q189"/>
  <c r="Q202"/>
  <c r="Q191"/>
  <c r="Q190"/>
  <c r="Q203"/>
  <c r="Q237" l="1"/>
  <c r="Q234"/>
  <c r="Q235"/>
  <c r="Q232"/>
  <c r="Q238"/>
  <c r="Q239"/>
  <c r="Q236"/>
  <c r="Q233"/>
  <c r="Q240"/>
  <c r="O237"/>
  <c r="O234"/>
  <c r="O235"/>
  <c r="O232"/>
  <c r="O238"/>
  <c r="O239"/>
  <c r="O236"/>
  <c r="O233"/>
  <c r="O240"/>
  <c r="D11" i="3"/>
  <c r="O231" i="1" l="1"/>
  <c r="C11" i="3"/>
  <c r="O271" i="1"/>
  <c r="D17" i="3"/>
  <c r="Q273" i="1"/>
  <c r="Q271"/>
  <c r="Q279"/>
  <c r="M38" i="3" l="1"/>
  <c r="Q206" i="1"/>
  <c r="R434"/>
  <c r="Q434"/>
  <c r="Q472" l="1"/>
  <c r="G102" i="3" l="1"/>
  <c r="I102" s="1"/>
  <c r="I516" i="1"/>
  <c r="I515" s="1"/>
  <c r="J516"/>
  <c r="J515" s="1"/>
  <c r="K516"/>
  <c r="M516"/>
  <c r="M515" s="1"/>
  <c r="N516"/>
  <c r="N515" s="1"/>
  <c r="O516"/>
  <c r="O515" s="1"/>
  <c r="P516"/>
  <c r="P515" s="1"/>
  <c r="H516"/>
  <c r="Q517"/>
  <c r="M325"/>
  <c r="M324" s="1"/>
  <c r="R536"/>
  <c r="Q536"/>
  <c r="I78" i="3"/>
  <c r="I77"/>
  <c r="I70"/>
  <c r="I69"/>
  <c r="I67"/>
  <c r="I66" s="1"/>
  <c r="H65"/>
  <c r="I65" s="1"/>
  <c r="I47"/>
  <c r="H39"/>
  <c r="I34"/>
  <c r="I31"/>
  <c r="I29"/>
  <c r="I28"/>
  <c r="I19"/>
  <c r="I18" s="1"/>
  <c r="I15"/>
  <c r="I14" s="1"/>
  <c r="Q262" i="1"/>
  <c r="O263"/>
  <c r="Q263"/>
  <c r="O262"/>
  <c r="O261" l="1"/>
  <c r="I76" i="3"/>
  <c r="I26"/>
  <c r="I25" s="1"/>
  <c r="H37"/>
  <c r="I39"/>
  <c r="H35"/>
  <c r="I36"/>
  <c r="H260" i="1"/>
  <c r="C103" i="3"/>
  <c r="H515" i="1"/>
  <c r="K515"/>
  <c r="D102" i="3" s="1"/>
  <c r="D103"/>
  <c r="C102" l="1"/>
  <c r="A404" i="1"/>
  <c r="D7" i="3"/>
  <c r="Q264" i="1" l="1"/>
  <c r="E64" i="3"/>
  <c r="F64"/>
  <c r="G64"/>
  <c r="H64"/>
  <c r="J64"/>
  <c r="K64"/>
  <c r="L64"/>
  <c r="I425" i="1"/>
  <c r="I424" s="1"/>
  <c r="J425"/>
  <c r="J424" s="1"/>
  <c r="K425"/>
  <c r="L425"/>
  <c r="M425"/>
  <c r="M424" s="1"/>
  <c r="N425"/>
  <c r="N424" s="1"/>
  <c r="P425"/>
  <c r="P424" s="1"/>
  <c r="H425"/>
  <c r="Q426"/>
  <c r="Q428"/>
  <c r="Q427"/>
  <c r="O426"/>
  <c r="O428"/>
  <c r="O427"/>
  <c r="D65" i="3" l="1"/>
  <c r="D64" s="1"/>
  <c r="C65"/>
  <c r="C64" s="1"/>
  <c r="M65"/>
  <c r="M64" s="1"/>
  <c r="N135"/>
  <c r="I64"/>
  <c r="O425" i="1"/>
  <c r="O424" s="1"/>
  <c r="H424"/>
  <c r="C134" i="3" s="1"/>
  <c r="K424" i="1"/>
  <c r="D134" i="3" s="1"/>
  <c r="L424" i="1"/>
  <c r="E23" i="3" l="1"/>
  <c r="F23"/>
  <c r="G23"/>
  <c r="H23"/>
  <c r="J23"/>
  <c r="K23"/>
  <c r="L23"/>
  <c r="I304" i="1"/>
  <c r="I303" s="1"/>
  <c r="J304"/>
  <c r="J303" s="1"/>
  <c r="K304"/>
  <c r="M304"/>
  <c r="M303" s="1"/>
  <c r="N304"/>
  <c r="N303" s="1"/>
  <c r="P304"/>
  <c r="P303" s="1"/>
  <c r="H304"/>
  <c r="Q306"/>
  <c r="C24" i="3" l="1"/>
  <c r="C23" s="1"/>
  <c r="D24"/>
  <c r="D23" s="1"/>
  <c r="I23"/>
  <c r="H303" i="1"/>
  <c r="K303"/>
  <c r="H450"/>
  <c r="Q387"/>
  <c r="Q388"/>
  <c r="Q394"/>
  <c r="Q386"/>
  <c r="O387"/>
  <c r="O388"/>
  <c r="O386"/>
  <c r="H449" l="1"/>
  <c r="C144" i="3"/>
  <c r="I269" i="1"/>
  <c r="J269"/>
  <c r="K269"/>
  <c r="M269"/>
  <c r="N269"/>
  <c r="P269"/>
  <c r="O270"/>
  <c r="E79" i="3"/>
  <c r="F79"/>
  <c r="G79"/>
  <c r="H79"/>
  <c r="J79"/>
  <c r="K79"/>
  <c r="Q462" i="1"/>
  <c r="Q464"/>
  <c r="Q463"/>
  <c r="I461"/>
  <c r="I460" s="1"/>
  <c r="J461"/>
  <c r="J460" s="1"/>
  <c r="K461"/>
  <c r="L461"/>
  <c r="M461"/>
  <c r="M460" s="1"/>
  <c r="N461"/>
  <c r="N460" s="1"/>
  <c r="P461"/>
  <c r="P460" s="1"/>
  <c r="H461"/>
  <c r="H460" s="1"/>
  <c r="O462"/>
  <c r="O464"/>
  <c r="O463"/>
  <c r="I79" i="3" l="1"/>
  <c r="C79"/>
  <c r="L460" i="1"/>
  <c r="L79" i="3" s="1"/>
  <c r="O269" i="1"/>
  <c r="K460"/>
  <c r="D79" i="3" s="1"/>
  <c r="O461" i="1"/>
  <c r="O460" s="1"/>
  <c r="L269"/>
  <c r="H269"/>
  <c r="A517" l="1"/>
  <c r="A519" s="1"/>
  <c r="A526" s="1"/>
  <c r="A527" s="1"/>
  <c r="A528" s="1"/>
  <c r="A529" s="1"/>
  <c r="A530" s="1"/>
  <c r="A535" s="1"/>
  <c r="A539" s="1"/>
  <c r="A540" s="1"/>
  <c r="A541" s="1"/>
  <c r="A542" s="1"/>
  <c r="A543" s="1"/>
  <c r="A544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C17" i="3"/>
  <c r="M17"/>
  <c r="M16"/>
  <c r="M79"/>
  <c r="N79"/>
  <c r="E55"/>
  <c r="F55"/>
  <c r="G55"/>
  <c r="I55" s="1"/>
  <c r="J55"/>
  <c r="K55"/>
  <c r="L55"/>
  <c r="O450" i="1"/>
  <c r="O449" s="1"/>
  <c r="L452"/>
  <c r="L451"/>
  <c r="L454"/>
  <c r="L455"/>
  <c r="M209" i="3" s="1"/>
  <c r="L456" i="1"/>
  <c r="L457"/>
  <c r="L458"/>
  <c r="L459"/>
  <c r="M212" i="3" s="1"/>
  <c r="L453" i="1"/>
  <c r="Q535"/>
  <c r="O535"/>
  <c r="Q530"/>
  <c r="Q528"/>
  <c r="Q526"/>
  <c r="Q527"/>
  <c r="Q529"/>
  <c r="O530"/>
  <c r="O528"/>
  <c r="O526"/>
  <c r="O527"/>
  <c r="O529"/>
  <c r="N212" i="3" l="1"/>
  <c r="N145"/>
  <c r="N144" s="1"/>
  <c r="M144"/>
  <c r="I525" i="1"/>
  <c r="I524" s="1"/>
  <c r="I523" s="1"/>
  <c r="J525"/>
  <c r="J524" s="1"/>
  <c r="J523" s="1"/>
  <c r="K525"/>
  <c r="K524" s="1"/>
  <c r="L525"/>
  <c r="M525"/>
  <c r="M524" s="1"/>
  <c r="M523" s="1"/>
  <c r="N525"/>
  <c r="N524" s="1"/>
  <c r="N523" s="1"/>
  <c r="O525"/>
  <c r="O524" s="1"/>
  <c r="O523" s="1"/>
  <c r="P525"/>
  <c r="P524" s="1"/>
  <c r="P523" s="1"/>
  <c r="H527"/>
  <c r="C234" i="3" s="1"/>
  <c r="H526" i="1"/>
  <c r="H529"/>
  <c r="K523" l="1"/>
  <c r="D164" i="3" s="1"/>
  <c r="D233"/>
  <c r="L524" i="1"/>
  <c r="N65" i="3"/>
  <c r="N64" s="1"/>
  <c r="H525" i="1"/>
  <c r="H403"/>
  <c r="I403"/>
  <c r="J403"/>
  <c r="K403"/>
  <c r="L403"/>
  <c r="M403"/>
  <c r="N403"/>
  <c r="O403"/>
  <c r="Q404"/>
  <c r="H415"/>
  <c r="I415"/>
  <c r="J415"/>
  <c r="K415"/>
  <c r="L415"/>
  <c r="M415"/>
  <c r="N415"/>
  <c r="O415"/>
  <c r="M62" i="3"/>
  <c r="M61" l="1"/>
  <c r="L384" i="1"/>
  <c r="M120" i="3" s="1"/>
  <c r="H384" i="1"/>
  <c r="C120" i="3" s="1"/>
  <c r="C118" s="1"/>
  <c r="M384" i="1"/>
  <c r="I384"/>
  <c r="N384"/>
  <c r="K384"/>
  <c r="L523"/>
  <c r="L233" i="3"/>
  <c r="H524" i="1"/>
  <c r="M58" i="3"/>
  <c r="N62"/>
  <c r="J384" i="1"/>
  <c r="Q393"/>
  <c r="O393"/>
  <c r="Q390"/>
  <c r="O390"/>
  <c r="Q392"/>
  <c r="O392"/>
  <c r="Q389"/>
  <c r="O389"/>
  <c r="P384"/>
  <c r="O385" l="1"/>
  <c r="O384" s="1"/>
  <c r="N233" i="3"/>
  <c r="N231" s="1"/>
  <c r="L231"/>
  <c r="H523" i="1"/>
  <c r="C164" i="3" s="1"/>
  <c r="C233"/>
  <c r="N165"/>
  <c r="N120"/>
  <c r="N118" s="1"/>
  <c r="M118"/>
  <c r="D55"/>
  <c r="D120"/>
  <c r="D118" s="1"/>
  <c r="C55"/>
  <c r="M56"/>
  <c r="M55" s="1"/>
  <c r="N61"/>
  <c r="C67"/>
  <c r="C66" s="1"/>
  <c r="Q432" i="1"/>
  <c r="O432"/>
  <c r="O430" s="1"/>
  <c r="E74" i="3"/>
  <c r="F74"/>
  <c r="G74"/>
  <c r="H74"/>
  <c r="J74"/>
  <c r="K74"/>
  <c r="L74"/>
  <c r="Q533" i="1"/>
  <c r="R533"/>
  <c r="S533"/>
  <c r="I534"/>
  <c r="I533" s="1"/>
  <c r="K534"/>
  <c r="M534"/>
  <c r="M533" s="1"/>
  <c r="N534"/>
  <c r="N533" s="1"/>
  <c r="P533"/>
  <c r="H534"/>
  <c r="J535"/>
  <c r="J534" s="1"/>
  <c r="J533" s="1"/>
  <c r="I450"/>
  <c r="I449" s="1"/>
  <c r="K450"/>
  <c r="M450"/>
  <c r="M449" s="1"/>
  <c r="N450"/>
  <c r="N449" s="1"/>
  <c r="Q459"/>
  <c r="Q458"/>
  <c r="J458"/>
  <c r="Q457"/>
  <c r="Q456"/>
  <c r="J456"/>
  <c r="Q455"/>
  <c r="Q454"/>
  <c r="Q451"/>
  <c r="Q452"/>
  <c r="L450"/>
  <c r="L449" s="1"/>
  <c r="J453"/>
  <c r="K449" l="1"/>
  <c r="D144" i="3"/>
  <c r="I74"/>
  <c r="H533" i="1"/>
  <c r="C236" i="3" s="1"/>
  <c r="C75"/>
  <c r="N55"/>
  <c r="N58"/>
  <c r="D75"/>
  <c r="J450" i="1"/>
  <c r="J449" s="1"/>
  <c r="K533"/>
  <c r="Q453"/>
  <c r="D74" i="3" l="1"/>
  <c r="D236"/>
  <c r="C74"/>
  <c r="M75"/>
  <c r="N75" s="1"/>
  <c r="N74" s="1"/>
  <c r="N56"/>
  <c r="I205" i="1"/>
  <c r="J205"/>
  <c r="K205"/>
  <c r="L205"/>
  <c r="M205"/>
  <c r="N205"/>
  <c r="O205"/>
  <c r="P205"/>
  <c r="H205"/>
  <c r="Q488"/>
  <c r="O488"/>
  <c r="I486"/>
  <c r="I485" s="1"/>
  <c r="J486"/>
  <c r="J485" s="1"/>
  <c r="K486"/>
  <c r="L486"/>
  <c r="M486"/>
  <c r="M485" s="1"/>
  <c r="N486"/>
  <c r="N485" s="1"/>
  <c r="H486"/>
  <c r="P486"/>
  <c r="P485" s="1"/>
  <c r="Q489"/>
  <c r="Q490"/>
  <c r="Q487"/>
  <c r="O490"/>
  <c r="O487"/>
  <c r="O489"/>
  <c r="D89" i="3" l="1"/>
  <c r="H485" i="1"/>
  <c r="C89" i="3"/>
  <c r="D9"/>
  <c r="M74"/>
  <c r="M9"/>
  <c r="K485" i="1"/>
  <c r="L485"/>
  <c r="N53" i="3"/>
  <c r="C9"/>
  <c r="O486" i="1"/>
  <c r="O485" s="1"/>
  <c r="C88" i="3" l="1"/>
  <c r="D88"/>
  <c r="Q355" i="1"/>
  <c r="Q354"/>
  <c r="Q359"/>
  <c r="Q356"/>
  <c r="Q358"/>
  <c r="Q361"/>
  <c r="Q357"/>
  <c r="Q362"/>
  <c r="O355"/>
  <c r="O354"/>
  <c r="O359"/>
  <c r="O356"/>
  <c r="O358"/>
  <c r="O361"/>
  <c r="O357"/>
  <c r="O362"/>
  <c r="L353"/>
  <c r="N41" i="3" l="1"/>
  <c r="N40" s="1"/>
  <c r="Q431" i="1"/>
  <c r="Q429"/>
  <c r="R429"/>
  <c r="I429"/>
  <c r="J429"/>
  <c r="D67" i="3"/>
  <c r="D66" s="1"/>
  <c r="M429" i="1"/>
  <c r="N429"/>
  <c r="O429"/>
  <c r="P429"/>
  <c r="Q265"/>
  <c r="Q266"/>
  <c r="Q267"/>
  <c r="Q260"/>
  <c r="R260"/>
  <c r="I260"/>
  <c r="J260"/>
  <c r="K260"/>
  <c r="M260"/>
  <c r="N260"/>
  <c r="O260"/>
  <c r="P260"/>
  <c r="C14" i="3"/>
  <c r="L260" i="1" l="1"/>
  <c r="H429"/>
  <c r="C136" i="3" s="1"/>
  <c r="L429" i="1"/>
  <c r="M136" i="3" s="1"/>
  <c r="K429" i="1"/>
  <c r="D136" i="3" s="1"/>
  <c r="D167"/>
  <c r="C167"/>
  <c r="N136" l="1"/>
  <c r="N134" s="1"/>
  <c r="M134"/>
  <c r="M15"/>
  <c r="M14" s="1"/>
  <c r="N38"/>
  <c r="D77"/>
  <c r="D76" s="1"/>
  <c r="C77"/>
  <c r="C76" s="1"/>
  <c r="I532" i="1"/>
  <c r="I521" s="1"/>
  <c r="J532"/>
  <c r="J521" s="1"/>
  <c r="N532"/>
  <c r="N521" s="1"/>
  <c r="P532"/>
  <c r="P521" s="1"/>
  <c r="M8" i="3"/>
  <c r="P188" i="1"/>
  <c r="C8" i="3"/>
  <c r="N78" l="1"/>
  <c r="V564" i="2"/>
  <c r="M532" i="1"/>
  <c r="M521" s="1"/>
  <c r="D8" i="3"/>
  <c r="Q334" i="1"/>
  <c r="Q333"/>
  <c r="D38" i="3"/>
  <c r="C38"/>
  <c r="O333" i="1"/>
  <c r="O216"/>
  <c r="Q481"/>
  <c r="I480"/>
  <c r="I479" s="1"/>
  <c r="J480"/>
  <c r="J479" s="1"/>
  <c r="K480"/>
  <c r="M480"/>
  <c r="M479" s="1"/>
  <c r="N480"/>
  <c r="N479" s="1"/>
  <c r="O480"/>
  <c r="O479" s="1"/>
  <c r="P480"/>
  <c r="P479" s="1"/>
  <c r="H480"/>
  <c r="H479" s="1"/>
  <c r="Q381"/>
  <c r="Q327"/>
  <c r="Q328"/>
  <c r="Q330"/>
  <c r="Q326"/>
  <c r="Q322"/>
  <c r="C85" i="3" l="1"/>
  <c r="M77"/>
  <c r="M76" s="1"/>
  <c r="M167"/>
  <c r="H532" i="1"/>
  <c r="H521" s="1"/>
  <c r="K532"/>
  <c r="K521" s="1"/>
  <c r="D10" i="3"/>
  <c r="K479" i="1"/>
  <c r="L480"/>
  <c r="M214" i="3" s="1"/>
  <c r="Q482" i="1"/>
  <c r="C10" i="3"/>
  <c r="Q315" i="1"/>
  <c r="Q313"/>
  <c r="Q309"/>
  <c r="Q283"/>
  <c r="Q245"/>
  <c r="Q246"/>
  <c r="Q247"/>
  <c r="Q507"/>
  <c r="Q508"/>
  <c r="Q509"/>
  <c r="Q510"/>
  <c r="Q505"/>
  <c r="Q504"/>
  <c r="Q506"/>
  <c r="Q500"/>
  <c r="Q502"/>
  <c r="Q501"/>
  <c r="Q478"/>
  <c r="Q447"/>
  <c r="Q368"/>
  <c r="Q340"/>
  <c r="D85" i="3" l="1"/>
  <c r="N77"/>
  <c r="N76" s="1"/>
  <c r="N167"/>
  <c r="N164" s="1"/>
  <c r="M164"/>
  <c r="L479" i="1"/>
  <c r="N85" i="3" s="1"/>
  <c r="D31" l="1"/>
  <c r="C31"/>
  <c r="E37"/>
  <c r="F37"/>
  <c r="G37"/>
  <c r="I37" s="1"/>
  <c r="J37"/>
  <c r="K37"/>
  <c r="L37"/>
  <c r="I336" i="1"/>
  <c r="J336"/>
  <c r="K336"/>
  <c r="D39" i="3" s="1"/>
  <c r="M336" i="1"/>
  <c r="N336"/>
  <c r="O336"/>
  <c r="P336"/>
  <c r="H336"/>
  <c r="L337"/>
  <c r="H321"/>
  <c r="M31" i="3" l="1"/>
  <c r="N31" s="1"/>
  <c r="L336" i="1"/>
  <c r="Q337"/>
  <c r="C39" i="3"/>
  <c r="H331" i="1"/>
  <c r="I321"/>
  <c r="J321"/>
  <c r="K321"/>
  <c r="L321"/>
  <c r="M321"/>
  <c r="N321"/>
  <c r="P321"/>
  <c r="C34" i="3"/>
  <c r="O321" i="1"/>
  <c r="M34" i="3" l="1"/>
  <c r="N34" s="1"/>
  <c r="N33" s="1"/>
  <c r="M39"/>
  <c r="M37" s="1"/>
  <c r="C37"/>
  <c r="D30"/>
  <c r="C30"/>
  <c r="I314" i="1"/>
  <c r="I307" s="1"/>
  <c r="J314"/>
  <c r="J307" s="1"/>
  <c r="K314"/>
  <c r="L314"/>
  <c r="M314"/>
  <c r="M307" s="1"/>
  <c r="O314"/>
  <c r="P314"/>
  <c r="H314"/>
  <c r="N314"/>
  <c r="N307" s="1"/>
  <c r="D26" i="3"/>
  <c r="C26"/>
  <c r="O313" i="1"/>
  <c r="O312" s="1"/>
  <c r="O307" l="1"/>
  <c r="L307"/>
  <c r="C29" i="3"/>
  <c r="H307" i="1"/>
  <c r="D29" i="3"/>
  <c r="K307" i="1"/>
  <c r="N39" i="3"/>
  <c r="N37" s="1"/>
  <c r="M33"/>
  <c r="M29"/>
  <c r="N29" s="1"/>
  <c r="M28"/>
  <c r="N28" s="1"/>
  <c r="M26"/>
  <c r="M30"/>
  <c r="N30" s="1"/>
  <c r="P309" i="1"/>
  <c r="P308" s="1"/>
  <c r="P307" s="1"/>
  <c r="M11" i="3"/>
  <c r="D28"/>
  <c r="C28"/>
  <c r="D25" l="1"/>
  <c r="C25"/>
  <c r="M25"/>
  <c r="N26"/>
  <c r="N25" s="1"/>
  <c r="D21"/>
  <c r="D20" s="1"/>
  <c r="N17" l="1"/>
  <c r="N16" s="1"/>
  <c r="E46"/>
  <c r="F46"/>
  <c r="G46"/>
  <c r="H46"/>
  <c r="J46"/>
  <c r="K46"/>
  <c r="E48"/>
  <c r="F48"/>
  <c r="G48"/>
  <c r="H48"/>
  <c r="J48"/>
  <c r="K48"/>
  <c r="L48"/>
  <c r="I363" i="1"/>
  <c r="K363"/>
  <c r="M49" i="3"/>
  <c r="M363" i="1"/>
  <c r="M362" s="1"/>
  <c r="N363"/>
  <c r="N362" s="1"/>
  <c r="P363"/>
  <c r="P362" s="1"/>
  <c r="J363"/>
  <c r="I46" i="3" l="1"/>
  <c r="I48"/>
  <c r="D49"/>
  <c r="D48" s="1"/>
  <c r="O364" i="1"/>
  <c r="O363" s="1"/>
  <c r="M48" i="3"/>
  <c r="N49"/>
  <c r="N48" s="1"/>
  <c r="N15"/>
  <c r="N14" s="1"/>
  <c r="L363" i="1"/>
  <c r="C48" i="3"/>
  <c r="E33"/>
  <c r="F33"/>
  <c r="G33"/>
  <c r="H33"/>
  <c r="J33"/>
  <c r="K33"/>
  <c r="L33"/>
  <c r="I320" i="1"/>
  <c r="J320"/>
  <c r="K320"/>
  <c r="M320"/>
  <c r="N320"/>
  <c r="O320"/>
  <c r="P320"/>
  <c r="H320"/>
  <c r="D33" i="3" l="1"/>
  <c r="I33"/>
  <c r="C33"/>
  <c r="D34"/>
  <c r="L320" i="1"/>
  <c r="N109" i="3" s="1"/>
  <c r="O507" i="1"/>
  <c r="O508"/>
  <c r="O509"/>
  <c r="O510"/>
  <c r="O505"/>
  <c r="O504"/>
  <c r="O506"/>
  <c r="O503" l="1"/>
  <c r="N11" i="3"/>
  <c r="C101"/>
  <c r="D101"/>
  <c r="I353" i="1"/>
  <c r="I352" s="1"/>
  <c r="J353"/>
  <c r="J352" s="1"/>
  <c r="K353"/>
  <c r="L352"/>
  <c r="H353"/>
  <c r="C35" i="7" s="1"/>
  <c r="C9" s="1"/>
  <c r="C7" l="1"/>
  <c r="K352" i="1"/>
  <c r="D35" i="7"/>
  <c r="D9" s="1"/>
  <c r="M47" i="3"/>
  <c r="N47" s="1"/>
  <c r="N46" s="1"/>
  <c r="H352" i="1"/>
  <c r="C47" i="3"/>
  <c r="O353" i="1"/>
  <c r="O352" s="1"/>
  <c r="D47" i="3"/>
  <c r="D7" i="7" l="1"/>
  <c r="M46" i="3"/>
  <c r="N9"/>
  <c r="L46"/>
  <c r="D46"/>
  <c r="C46"/>
  <c r="E35"/>
  <c r="F35"/>
  <c r="G35"/>
  <c r="I35" s="1"/>
  <c r="J35"/>
  <c r="K35"/>
  <c r="L35"/>
  <c r="N8" l="1"/>
  <c r="N7"/>
  <c r="I325" i="1"/>
  <c r="I324" s="1"/>
  <c r="J325"/>
  <c r="J324" s="1"/>
  <c r="K325"/>
  <c r="L325"/>
  <c r="N325"/>
  <c r="N324" s="1"/>
  <c r="O325"/>
  <c r="O324" s="1"/>
  <c r="H325"/>
  <c r="M36" i="3" l="1"/>
  <c r="N36" s="1"/>
  <c r="N35" s="1"/>
  <c r="L324" i="1"/>
  <c r="C36" i="3"/>
  <c r="H324" i="1"/>
  <c r="D36" i="3"/>
  <c r="K324" i="1"/>
  <c r="E68" i="3"/>
  <c r="F68"/>
  <c r="G68"/>
  <c r="H68"/>
  <c r="J68"/>
  <c r="K68"/>
  <c r="D69"/>
  <c r="M69"/>
  <c r="C69"/>
  <c r="J443" i="1"/>
  <c r="K443"/>
  <c r="D71" i="3" s="1"/>
  <c r="L443" i="1"/>
  <c r="M443"/>
  <c r="N443"/>
  <c r="P443"/>
  <c r="H443"/>
  <c r="C71" i="3" s="1"/>
  <c r="O443" i="1"/>
  <c r="D35" i="3" l="1"/>
  <c r="I68"/>
  <c r="M35"/>
  <c r="C35"/>
  <c r="N69"/>
  <c r="I443" i="1"/>
  <c r="Q444"/>
  <c r="L68" i="3"/>
  <c r="I441" i="1"/>
  <c r="J441"/>
  <c r="J434" s="1"/>
  <c r="K441"/>
  <c r="L441"/>
  <c r="M441"/>
  <c r="M434" s="1"/>
  <c r="N441"/>
  <c r="O441"/>
  <c r="P441"/>
  <c r="P434" s="1"/>
  <c r="H434"/>
  <c r="M70" i="3" l="1"/>
  <c r="N70" s="1"/>
  <c r="N68" s="1"/>
  <c r="I434" i="1"/>
  <c r="C68" i="3"/>
  <c r="O434" i="1"/>
  <c r="L434"/>
  <c r="C70" i="3"/>
  <c r="D70"/>
  <c r="K434" i="1"/>
  <c r="D68" i="3" s="1"/>
  <c r="M68" l="1"/>
  <c r="J51"/>
  <c r="K51"/>
  <c r="I380" i="1"/>
  <c r="I376" s="1"/>
  <c r="J380"/>
  <c r="J376" s="1"/>
  <c r="K380"/>
  <c r="M380"/>
  <c r="M376" s="1"/>
  <c r="N380"/>
  <c r="N376" s="1"/>
  <c r="O380"/>
  <c r="O376" s="1"/>
  <c r="P380"/>
  <c r="P376" s="1"/>
  <c r="H380"/>
  <c r="K376" l="1"/>
  <c r="H376"/>
  <c r="C53" i="3"/>
  <c r="D53"/>
  <c r="D51" s="1"/>
  <c r="L51"/>
  <c r="C51" l="1"/>
  <c r="O245" i="1"/>
  <c r="O246"/>
  <c r="O247"/>
  <c r="N499"/>
  <c r="N496" s="1"/>
  <c r="J499"/>
  <c r="J496" s="1"/>
  <c r="I499"/>
  <c r="I496" s="1"/>
  <c r="K499"/>
  <c r="K496" s="1"/>
  <c r="L499"/>
  <c r="L496" s="1"/>
  <c r="M499"/>
  <c r="M496" s="1"/>
  <c r="O499"/>
  <c r="O496" s="1"/>
  <c r="P499"/>
  <c r="P496" s="1"/>
  <c r="H499"/>
  <c r="H496" s="1"/>
  <c r="E72" i="3"/>
  <c r="F72"/>
  <c r="G72"/>
  <c r="H72"/>
  <c r="J72"/>
  <c r="K72"/>
  <c r="L72"/>
  <c r="I445" i="1"/>
  <c r="J445"/>
  <c r="D73" i="3"/>
  <c r="D72" s="1"/>
  <c r="M445" i="1"/>
  <c r="N445"/>
  <c r="P445"/>
  <c r="H445"/>
  <c r="O447"/>
  <c r="D62" i="3"/>
  <c r="C62"/>
  <c r="I282" i="1"/>
  <c r="I281" s="1"/>
  <c r="J282"/>
  <c r="J281" s="1"/>
  <c r="K282"/>
  <c r="L282"/>
  <c r="M282"/>
  <c r="M281" s="1"/>
  <c r="N282"/>
  <c r="N281" s="1"/>
  <c r="O282"/>
  <c r="O281" s="1"/>
  <c r="P282"/>
  <c r="P281" s="1"/>
  <c r="H282"/>
  <c r="I477"/>
  <c r="I476" s="1"/>
  <c r="J477"/>
  <c r="J476" s="1"/>
  <c r="K477"/>
  <c r="L477"/>
  <c r="M213" i="3" s="1"/>
  <c r="M477" i="1"/>
  <c r="M476" s="1"/>
  <c r="N477"/>
  <c r="N476" s="1"/>
  <c r="P477"/>
  <c r="P476" s="1"/>
  <c r="P471" s="1"/>
  <c r="P470" s="1"/>
  <c r="H477"/>
  <c r="O478"/>
  <c r="O477" s="1"/>
  <c r="O476" s="1"/>
  <c r="D61" i="3"/>
  <c r="C61"/>
  <c r="C40"/>
  <c r="E40"/>
  <c r="F40"/>
  <c r="J40"/>
  <c r="K40"/>
  <c r="O340" i="1"/>
  <c r="I331"/>
  <c r="J331"/>
  <c r="K331"/>
  <c r="D37" i="3" s="1"/>
  <c r="L331" i="1"/>
  <c r="N331"/>
  <c r="O334"/>
  <c r="O332" s="1"/>
  <c r="D16" i="3"/>
  <c r="E16"/>
  <c r="F16"/>
  <c r="G16"/>
  <c r="J16"/>
  <c r="K16"/>
  <c r="L16"/>
  <c r="C16"/>
  <c r="C19" l="1"/>
  <c r="C18" s="1"/>
  <c r="D19"/>
  <c r="D18" s="1"/>
  <c r="O244" i="1"/>
  <c r="C213" i="3"/>
  <c r="C211" s="1"/>
  <c r="C151"/>
  <c r="N213"/>
  <c r="N211" s="1"/>
  <c r="M211"/>
  <c r="K476" i="1"/>
  <c r="D213" i="3"/>
  <c r="D211" s="1"/>
  <c r="D151"/>
  <c r="K6"/>
  <c r="I16"/>
  <c r="G6"/>
  <c r="I72"/>
  <c r="H6"/>
  <c r="J6"/>
  <c r="E6"/>
  <c r="F6"/>
  <c r="O339" i="1"/>
  <c r="O338" s="1"/>
  <c r="O446"/>
  <c r="O445" s="1"/>
  <c r="L281"/>
  <c r="M19" i="3"/>
  <c r="M18" s="1"/>
  <c r="O331" i="1"/>
  <c r="P331"/>
  <c r="P330" s="1"/>
  <c r="M331"/>
  <c r="L445"/>
  <c r="C73" i="3"/>
  <c r="K445" i="1"/>
  <c r="K281"/>
  <c r="H281"/>
  <c r="L476"/>
  <c r="H476"/>
  <c r="C83" i="3" l="1"/>
  <c r="M73"/>
  <c r="M72" s="1"/>
  <c r="D83"/>
  <c r="P328" i="1"/>
  <c r="P329"/>
  <c r="I6" i="3"/>
  <c r="C72"/>
  <c r="N19"/>
  <c r="N18" s="1"/>
  <c r="N73" l="1"/>
  <c r="N72" s="1"/>
  <c r="P327" i="1"/>
  <c r="P326" s="1"/>
  <c r="P325" s="1"/>
  <c r="P324" s="1"/>
  <c r="I469"/>
  <c r="J469"/>
  <c r="K469"/>
  <c r="L469"/>
  <c r="M469"/>
  <c r="N469"/>
  <c r="P469"/>
  <c r="H469"/>
  <c r="D58" i="3"/>
  <c r="J18" i="1"/>
  <c r="J16" s="1"/>
  <c r="K18"/>
  <c r="K16" s="1"/>
  <c r="C81" i="3" l="1"/>
  <c r="D81"/>
  <c r="I18" i="1"/>
  <c r="I16" s="1"/>
  <c r="H18"/>
  <c r="H16" s="1"/>
  <c r="M12" i="3"/>
  <c r="C58"/>
  <c r="O469" i="1"/>
  <c r="N12" i="3" l="1"/>
  <c r="D6" l="1"/>
  <c r="L534" i="1" l="1"/>
  <c r="L533" l="1"/>
  <c r="O534"/>
  <c r="O533" s="1"/>
  <c r="Q297"/>
  <c r="C7" i="3"/>
  <c r="Q298" i="1"/>
  <c r="Q290"/>
  <c r="Q292"/>
  <c r="Q296"/>
  <c r="Q293"/>
  <c r="Q286"/>
  <c r="Q289"/>
  <c r="Q294"/>
  <c r="L532" l="1"/>
  <c r="O532"/>
  <c r="O521" s="1"/>
  <c r="Q288"/>
  <c r="Q295"/>
  <c r="Q291"/>
  <c r="Q299"/>
  <c r="L521" l="1"/>
  <c r="Q287"/>
  <c r="N237" i="3" l="1"/>
  <c r="N236" s="1"/>
  <c r="M236"/>
  <c r="Q305" i="1"/>
  <c r="L304"/>
  <c r="O304"/>
  <c r="O303" s="1"/>
  <c r="L303" l="1"/>
  <c r="M23" i="3" l="1"/>
  <c r="M24"/>
  <c r="N24" s="1"/>
  <c r="N23" s="1"/>
  <c r="M21" l="1"/>
  <c r="N21" l="1"/>
  <c r="N20" s="1"/>
  <c r="M20"/>
  <c r="M6" s="1"/>
  <c r="C21" l="1"/>
  <c r="C20" l="1"/>
  <c r="C6" l="1"/>
  <c r="M247" i="1"/>
  <c r="M246" s="1"/>
  <c r="M245" s="1"/>
  <c r="M244" s="1"/>
  <c r="M361"/>
  <c r="P361"/>
  <c r="N361"/>
  <c r="M358" l="1"/>
  <c r="M359"/>
  <c r="N359"/>
  <c r="N358"/>
  <c r="P359"/>
  <c r="P358"/>
  <c r="M357" l="1"/>
  <c r="M356" s="1"/>
  <c r="M355" s="1"/>
  <c r="M354" s="1"/>
  <c r="M353" s="1"/>
  <c r="M352" s="1"/>
  <c r="M18" s="1"/>
  <c r="M16" s="1"/>
  <c r="P357"/>
  <c r="P356" s="1"/>
  <c r="P355" s="1"/>
  <c r="P354" s="1"/>
  <c r="P353" s="1"/>
  <c r="P352" s="1"/>
  <c r="N357"/>
  <c r="N356" s="1"/>
  <c r="N355" s="1"/>
  <c r="N354" s="1"/>
  <c r="N353" s="1"/>
  <c r="N352" s="1"/>
  <c r="P16" l="1"/>
  <c r="P18"/>
  <c r="N434"/>
  <c r="N18" s="1"/>
  <c r="N16" s="1"/>
  <c r="O208"/>
  <c r="Q209"/>
  <c r="O209"/>
  <c r="O210"/>
  <c r="O211"/>
  <c r="O212"/>
  <c r="O213"/>
  <c r="O214"/>
  <c r="O215"/>
  <c r="O217"/>
  <c r="O218"/>
  <c r="O219"/>
  <c r="L18"/>
  <c r="L16" s="1"/>
  <c r="N6" i="3"/>
  <c r="O207" i="1" l="1"/>
  <c r="O18" s="1"/>
  <c r="O16" s="1"/>
  <c r="L6" i="3"/>
  <c r="F93" i="7" l="1"/>
  <c r="F90" s="1"/>
  <c r="M220" i="5"/>
  <c r="M16" s="1"/>
  <c r="M614"/>
  <c r="M451" s="1"/>
  <c r="N614"/>
  <c r="N451" s="1"/>
  <c r="M14" l="1"/>
  <c r="F7" i="7"/>
  <c r="Q614" i="5"/>
  <c r="N905"/>
  <c r="N765" s="1"/>
  <c r="M905"/>
  <c r="M765" s="1"/>
  <c r="Q905"/>
  <c r="Q765" s="1"/>
  <c r="Q762" l="1"/>
  <c r="Q761" s="1"/>
  <c r="Q760" s="1"/>
  <c r="Q759" s="1"/>
  <c r="Q758" s="1"/>
  <c r="Q757" s="1"/>
  <c r="Q756" s="1"/>
  <c r="Q755" s="1"/>
  <c r="Q753" s="1"/>
  <c r="Q752" s="1"/>
  <c r="Q751" s="1"/>
  <c r="Q750" s="1"/>
  <c r="Q749" s="1"/>
  <c r="Q748" s="1"/>
  <c r="Q747" s="1"/>
  <c r="Q746" s="1"/>
  <c r="Q745" s="1"/>
  <c r="Q744" s="1"/>
  <c r="Q743" s="1"/>
  <c r="Q742" s="1"/>
  <c r="Q728" s="1"/>
  <c r="Q451" s="1"/>
  <c r="C1208" i="6"/>
  <c r="C1205" s="1"/>
  <c r="C1024" s="1"/>
  <c r="R1403" i="5"/>
  <c r="O1403"/>
  <c r="R1404"/>
  <c r="O1404"/>
  <c r="R1405"/>
  <c r="O1407"/>
  <c r="R1407"/>
  <c r="O1408"/>
  <c r="R1408"/>
  <c r="O1411"/>
  <c r="L1050"/>
  <c r="O1412"/>
  <c r="O1405"/>
  <c r="O1400" l="1"/>
  <c r="O1399" l="1"/>
  <c r="O1052" s="1"/>
  <c r="O1050" l="1"/>
</calcChain>
</file>

<file path=xl/sharedStrings.xml><?xml version="1.0" encoding="utf-8"?>
<sst xmlns="http://schemas.openxmlformats.org/spreadsheetml/2006/main" count="11152" uniqueCount="3068">
  <si>
    <t>№ п/п</t>
  </si>
  <si>
    <t>Год</t>
  </si>
  <si>
    <t>Материал стен</t>
  </si>
  <si>
    <t>Количество этажей</t>
  </si>
  <si>
    <t>Количество подъездов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</si>
  <si>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</si>
  <si>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</si>
  <si>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</si>
  <si>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</si>
  <si>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</si>
  <si>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</si>
  <si>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</si>
  <si>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всего:</t>
  </si>
  <si>
    <t>в том числе жилых помещений, находящихся в собственности граждан</t>
  </si>
  <si>
    <t>за счет средств местного бюджета</t>
  </si>
  <si>
    <t>за счет средств собственников помещений в МКД</t>
  </si>
  <si>
    <t>чел.</t>
  </si>
  <si>
    <t>руб.</t>
  </si>
  <si>
    <t>в том числе</t>
  </si>
  <si>
    <t>за счет привлеченных средств</t>
  </si>
  <si>
    <t>Всего</t>
  </si>
  <si>
    <t>кв. м</t>
  </si>
  <si>
    <t>Адрес МКД</t>
  </si>
  <si>
    <t>ед.</t>
  </si>
  <si>
    <t>куб. м</t>
  </si>
  <si>
    <t>Наименование муниципального образования</t>
  </si>
  <si>
    <t>Количество МКД</t>
  </si>
  <si>
    <t>I квартал</t>
  </si>
  <si>
    <t>II квартал</t>
  </si>
  <si>
    <t>III квартал</t>
  </si>
  <si>
    <t>IV квартал</t>
  </si>
  <si>
    <t xml:space="preserve">Приложение </t>
  </si>
  <si>
    <t>завершения последнего капитального ремонта</t>
  </si>
  <si>
    <t>Общая площадь МКД, всего</t>
  </si>
  <si>
    <t>Формирование фонда капитального ремонта многоквартирного дома на счете некоммерческой организации - Фонд капитального ремонта многоквартирных домов Тверской области (далее - региональный оператор)</t>
  </si>
  <si>
    <t>Формирование фонда капитального ремонта многоквартирного дома на специальном счете, владельцем которого является региональный оператор</t>
  </si>
  <si>
    <t>Стоимость капитального ремонта: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</si>
  <si>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иной специализированный потребительский кооператив, управляющая компания</t>
  </si>
  <si>
    <t>I. Перечень многоквартирных домов, которые подлежат капитальному ремонту</t>
  </si>
  <si>
    <t xml:space="preserve">II. Реестр многоквартирных домов, которые подлежат капитальному ремонту по видам ремонта </t>
  </si>
  <si>
    <t>Х</t>
  </si>
  <si>
    <t>Бежецкий район</t>
  </si>
  <si>
    <t>Итого по Тверской области</t>
  </si>
  <si>
    <t>Бологовский район</t>
  </si>
  <si>
    <t>Весьегонский район</t>
  </si>
  <si>
    <t>Вышневолоцкий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</si>
  <si>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</si>
  <si>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</si>
  <si>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</si>
  <si>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</si>
  <si>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</si>
  <si>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</si>
  <si>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Кимрский район</t>
  </si>
  <si>
    <t>Конаковский район</t>
  </si>
  <si>
    <t>Краснохолмский район</t>
  </si>
  <si>
    <t>Кувшиновский район</t>
  </si>
  <si>
    <t xml:space="preserve">Лихославльский район </t>
  </si>
  <si>
    <t>Максатихинский район</t>
  </si>
  <si>
    <t>Нелидовский район</t>
  </si>
  <si>
    <t>Оленинский район</t>
  </si>
  <si>
    <t>Осташковский район</t>
  </si>
  <si>
    <t>Рамешковский район</t>
  </si>
  <si>
    <t>Сандовский район</t>
  </si>
  <si>
    <t>Селижаровский район</t>
  </si>
  <si>
    <t>Старицкий район</t>
  </si>
  <si>
    <t>Торжокской район</t>
  </si>
  <si>
    <t>Торопецкий район</t>
  </si>
  <si>
    <t>Фировский район</t>
  </si>
  <si>
    <t>Бельский район</t>
  </si>
  <si>
    <t>электрика</t>
  </si>
  <si>
    <t>2 </t>
  </si>
  <si>
    <t> 2</t>
  </si>
  <si>
    <t>Андреапольский район</t>
  </si>
  <si>
    <t>3</t>
  </si>
  <si>
    <t>4</t>
  </si>
  <si>
    <t>пер. Адрианова, д. 19</t>
  </si>
  <si>
    <t>пер. 1-й Путейский, д. 21</t>
  </si>
  <si>
    <t>ул. Володарского, д. 27</t>
  </si>
  <si>
    <t>ул. Дзержинского, д. 5</t>
  </si>
  <si>
    <t>ул. Дзержинского, д. 14</t>
  </si>
  <si>
    <t>ул. Матросова, д. 23</t>
  </si>
  <si>
    <t>ул. Нахимова, д. 21</t>
  </si>
  <si>
    <t>ул. Пионерская, д. 8</t>
  </si>
  <si>
    <t>ул. Шменкеля, д. 14/12</t>
  </si>
  <si>
    <t>ул. Матросова, д. 32</t>
  </si>
  <si>
    <t>Итого по Мостовское сельское поселение</t>
  </si>
  <si>
    <t>Итого по городское поселение поселок Оленино</t>
  </si>
  <si>
    <t>Итого по городское поселение город Нелидово</t>
  </si>
  <si>
    <t>Итого по городское поселение город Конаково</t>
  </si>
  <si>
    <t>Итого по город Тверь</t>
  </si>
  <si>
    <t>Итого по городское поселение поселок Фирово</t>
  </si>
  <si>
    <t>Итого по город Вышний Волочек</t>
  </si>
  <si>
    <t>Итого по город Кимры</t>
  </si>
  <si>
    <t>Итого по город Ржев</t>
  </si>
  <si>
    <t>Итого по город Торжок</t>
  </si>
  <si>
    <t>Итого по городское поселение город Андреаполь</t>
  </si>
  <si>
    <t>Итого по городское поселение город Бежецк</t>
  </si>
  <si>
    <t>Итого по городское поселение город Белый</t>
  </si>
  <si>
    <t>Итого по городское поселение поселок Красномайский</t>
  </si>
  <si>
    <t>Итого по Коломенское сельское поселение</t>
  </si>
  <si>
    <t>Итого по Солнечное сельское поселение</t>
  </si>
  <si>
    <t>Итого по Сорокинское сельское поселение</t>
  </si>
  <si>
    <t>Итого по Городское поселение поселок Жарковский</t>
  </si>
  <si>
    <t>Итого по городское поселение город Западная Двина</t>
  </si>
  <si>
    <t>Итого по Погорельское сельское поселение</t>
  </si>
  <si>
    <t>Итого по городское поселение поселок Орша</t>
  </si>
  <si>
    <t>Итого по городское поселение город Калязин</t>
  </si>
  <si>
    <t>Итого по городское поселение город Зубцов</t>
  </si>
  <si>
    <t>Итого по городское поселение город Кашин</t>
  </si>
  <si>
    <t>Итого по Быковское сельское поселение</t>
  </si>
  <si>
    <t>Итого по городское поселение поселок Козлово</t>
  </si>
  <si>
    <t>Итого по Дмитровогорское сельское поселение</t>
  </si>
  <si>
    <t>Итого по городское поселение город Красный Холм</t>
  </si>
  <si>
    <t xml:space="preserve">Итого по городское поселение город Осташков </t>
  </si>
  <si>
    <t>Итого по городское поселение город Торопец</t>
  </si>
  <si>
    <t>Итого по городское поселение город Старица</t>
  </si>
  <si>
    <t>Итого по городское поселение поселок Селижарово</t>
  </si>
  <si>
    <t>Итого по городское поселение поселок Сандово</t>
  </si>
  <si>
    <t>Итого по городское поселение поселок Рамешки</t>
  </si>
  <si>
    <t>Итого по городское поселение поселок Максатиха</t>
  </si>
  <si>
    <t>Итого по Ильинское сельское поселение</t>
  </si>
  <si>
    <t>Итого по городское поселение поселок Калашниково</t>
  </si>
  <si>
    <t>Итого по городское поселение город Кувшиново</t>
  </si>
  <si>
    <t>Итого по ЗАТО Озерный</t>
  </si>
  <si>
    <t>III. Планируемые показатели выполнения работ по капитальному ремонту многоквартирных домов</t>
  </si>
  <si>
    <t>Итого по городскому поселению город Бологое</t>
  </si>
  <si>
    <t>Итого по Терелесовское  сельское поселение</t>
  </si>
  <si>
    <t>Итого по городское поселение поселок Великооктябрьский</t>
  </si>
  <si>
    <t>Итого по городское поселение поселок Редкино</t>
  </si>
  <si>
    <t>Итого по сельское поселение "Завидово"</t>
  </si>
  <si>
    <t>Итого по городское поселение поселок Белый Городок</t>
  </si>
  <si>
    <t>Итого по Эммаусское сельское поселение</t>
  </si>
  <si>
    <t>Итого по городское поселение поселок Изоплит</t>
  </si>
  <si>
    <t>г.Андреаполь</t>
  </si>
  <si>
    <t>г.Бежецк</t>
  </si>
  <si>
    <t xml:space="preserve">г.Белый </t>
  </si>
  <si>
    <t>г.Бологое</t>
  </si>
  <si>
    <t>г.Весьегонск</t>
  </si>
  <si>
    <t>г.В.Волочек</t>
  </si>
  <si>
    <t>пгт.Красномайский</t>
  </si>
  <si>
    <t>Коломенское с/п</t>
  </si>
  <si>
    <t>Солнечное с/п</t>
  </si>
  <si>
    <t>Сорокинское с/п</t>
  </si>
  <si>
    <t>Терелесовское с/п</t>
  </si>
  <si>
    <t>пгт.Жарковский</t>
  </si>
  <si>
    <t xml:space="preserve">г.Западная Двина </t>
  </si>
  <si>
    <t xml:space="preserve">Зубцовский район </t>
  </si>
  <si>
    <t xml:space="preserve">г.Зубцов </t>
  </si>
  <si>
    <t>Погорельское с/п</t>
  </si>
  <si>
    <t xml:space="preserve">Калининский район </t>
  </si>
  <si>
    <t xml:space="preserve">пгт.Орша </t>
  </si>
  <si>
    <t>Эммаусское с/п</t>
  </si>
  <si>
    <t xml:space="preserve">г.Калязин </t>
  </si>
  <si>
    <t xml:space="preserve">г.Кашин </t>
  </si>
  <si>
    <t xml:space="preserve">Кимрский район </t>
  </si>
  <si>
    <t>г.Кимры</t>
  </si>
  <si>
    <t>пгт.Белый Городок</t>
  </si>
  <si>
    <t>Быковское с/п</t>
  </si>
  <si>
    <t xml:space="preserve">Конаковский район </t>
  </si>
  <si>
    <t>г.Конаково</t>
  </si>
  <si>
    <t xml:space="preserve">пгт.Изоплит </t>
  </si>
  <si>
    <t>пгт.Козлово</t>
  </si>
  <si>
    <t>пгт.Редкино</t>
  </si>
  <si>
    <t>Козловское с/п</t>
  </si>
  <si>
    <t>Дмитровогорское с/п</t>
  </si>
  <si>
    <t>"Завидово" с/п</t>
  </si>
  <si>
    <t>г.Красный Холм</t>
  </si>
  <si>
    <t>г.Кувшиново</t>
  </si>
  <si>
    <t>Лихославльский район</t>
  </si>
  <si>
    <t>г.Лихославль</t>
  </si>
  <si>
    <t>пгт.Калашниково</t>
  </si>
  <si>
    <t>Ильинское с/п</t>
  </si>
  <si>
    <t>пгт.Максатиха</t>
  </si>
  <si>
    <t>г.Нелидово</t>
  </si>
  <si>
    <t xml:space="preserve">Оленинский район </t>
  </si>
  <si>
    <t>пгт.Оленино</t>
  </si>
  <si>
    <t>Мостовское с/п</t>
  </si>
  <si>
    <t>г.Осташков</t>
  </si>
  <si>
    <t>ЗАТО "ОЗЕРНЫЙ"</t>
  </si>
  <si>
    <t>г.Ржев</t>
  </si>
  <si>
    <t>пгт.Сандово</t>
  </si>
  <si>
    <t xml:space="preserve">пгт.Селижарово </t>
  </si>
  <si>
    <t xml:space="preserve">г.Старица </t>
  </si>
  <si>
    <t>г.Торопец</t>
  </si>
  <si>
    <t xml:space="preserve">г.Удомля </t>
  </si>
  <si>
    <t xml:space="preserve">Фировский район </t>
  </si>
  <si>
    <t>пгт.Фирово</t>
  </si>
  <si>
    <t>пгт.Великооктябрьский</t>
  </si>
  <si>
    <t>Итого по Верхневолжское сельское поселение</t>
  </si>
  <si>
    <t>Итого по Щербининское сельское поселение</t>
  </si>
  <si>
    <t>до 1917</t>
  </si>
  <si>
    <t>4-5</t>
  </si>
  <si>
    <t>"Вышневолоцкий район"</t>
  </si>
  <si>
    <t>Верхневолжское с/п</t>
  </si>
  <si>
    <t>Щербининское с/п</t>
  </si>
  <si>
    <t>г.ТВЕРЬ</t>
  </si>
  <si>
    <t>г.Торжок</t>
  </si>
  <si>
    <t>КП  2016 г</t>
  </si>
  <si>
    <t>Итого по Приволжское сельское поселение</t>
  </si>
  <si>
    <t>№ 1</t>
  </si>
  <si>
    <t>№ 2</t>
  </si>
  <si>
    <t>№ 3</t>
  </si>
  <si>
    <t>№ 4</t>
  </si>
  <si>
    <t>№ 5</t>
  </si>
  <si>
    <t>Приволжское с/п</t>
  </si>
  <si>
    <t>Всего по Тверской области</t>
  </si>
  <si>
    <t>Формирование фонда капитального ремонта многоквартирного дома на специальном счете</t>
  </si>
  <si>
    <t>Удомельский городской округ</t>
  </si>
  <si>
    <t>Пеновский район</t>
  </si>
  <si>
    <t>Итого по городское поселение поселок Пено</t>
  </si>
  <si>
    <t>Итого по Валдайскому сельскому поселению</t>
  </si>
  <si>
    <t>Торжокский район</t>
  </si>
  <si>
    <t>Итого по Мирновское сельское поселение</t>
  </si>
  <si>
    <t>Итого по Рудниковское сельское поселение</t>
  </si>
  <si>
    <t>к постановлению Правительства Тверской области 
Тверской области
от 24.02.2016 № 82-пп</t>
  </si>
  <si>
    <t>ремонт или замена лифтового оборудования, признанного непригодным для эксплуатации, ремонт лифтовых шахт</t>
  </si>
  <si>
    <t xml:space="preserve">ремонт крыши, в том числе устройство выходов на кровлю
</t>
  </si>
  <si>
    <t>ремонт подвальных помещений, относящихся к общему имуществу в многоквартирном доме</t>
  </si>
  <si>
    <t>Каменные, кирпичные</t>
  </si>
  <si>
    <t>Панельные</t>
  </si>
  <si>
    <t>Блочные</t>
  </si>
  <si>
    <t>Деревянные</t>
  </si>
  <si>
    <t>Прочие</t>
  </si>
  <si>
    <t>ул. Екатерины Фарафоновой, д. 37</t>
  </si>
  <si>
    <t>ул. Вагжанова, д. 4</t>
  </si>
  <si>
    <t>ул. Советская, д. 60</t>
  </si>
  <si>
    <t>ул. Бобкова, д. 2</t>
  </si>
  <si>
    <t>ул. Румянцева, д. 24/40</t>
  </si>
  <si>
    <t>ул. Советская, д. 24</t>
  </si>
  <si>
    <t xml:space="preserve">ул. Маршала Буденого, д. 4 </t>
  </si>
  <si>
    <t>ул. Скворцова-Степанова, д. 16</t>
  </si>
  <si>
    <t>ул. Седова, д. 120А</t>
  </si>
  <si>
    <t>ул. Советская, д. 8</t>
  </si>
  <si>
    <t>ул. Ипподромная, д. 22</t>
  </si>
  <si>
    <t>ул. Горького, д. 106</t>
  </si>
  <si>
    <t>ул. Ротмистрова, д. 20</t>
  </si>
  <si>
    <t>ул. Мусоргского, д. 38/33</t>
  </si>
  <si>
    <t>ул. Озерная, д. 23</t>
  </si>
  <si>
    <t xml:space="preserve">ул. Прядильная, д. 13 </t>
  </si>
  <si>
    <t>ул. Гвардейская, д. 5</t>
  </si>
  <si>
    <t>ул. Мичурина, д. 37/23</t>
  </si>
  <si>
    <t>ул. Ипподромная, д. 10</t>
  </si>
  <si>
    <t>ул. Хромова, д. 16</t>
  </si>
  <si>
    <t xml:space="preserve">ул. Можайского, д. 51 </t>
  </si>
  <si>
    <t>ул. Королева, д. 24</t>
  </si>
  <si>
    <t>ул. Орджоникидзе, д. 8</t>
  </si>
  <si>
    <t>ул. Академическая, д. 22</t>
  </si>
  <si>
    <t>ул. 15 лет Октября, д. 47</t>
  </si>
  <si>
    <t>ул. Коробкова, д. 18</t>
  </si>
  <si>
    <t>ул. Крылова, д. 5</t>
  </si>
  <si>
    <t>ул. Орджоникидзе, д. 12/1</t>
  </si>
  <si>
    <t>ул. Благоева, д. 6А</t>
  </si>
  <si>
    <t>ул. Склизкова, д. 88</t>
  </si>
  <si>
    <t>ул. Терещенко, д. 28</t>
  </si>
  <si>
    <t>ул. Громова, д. 30</t>
  </si>
  <si>
    <t>ул. Орджоникидзе, д. 5</t>
  </si>
  <si>
    <t>ул. Орджоникидзе, д. 4/2</t>
  </si>
  <si>
    <t>ул. 15 лет Октября, д. 64/23</t>
  </si>
  <si>
    <t>ул. Орджоникидзе, д. 11</t>
  </si>
  <si>
    <t>ул. Бориса Полевого, д. 10/11</t>
  </si>
  <si>
    <t>ул. Терещенко, д. 35</t>
  </si>
  <si>
    <t>ул. Веселова, д. 34/28</t>
  </si>
  <si>
    <t>ул. Чудова, д. 14</t>
  </si>
  <si>
    <t>ул. Ротмистрова, д. 17</t>
  </si>
  <si>
    <t>ул. Орджоникидзе, д. 1</t>
  </si>
  <si>
    <t>ул. Лукина, д. 14</t>
  </si>
  <si>
    <t>ул. Кайкова, д. 4А</t>
  </si>
  <si>
    <t>ул. Орджоникидзе, д. 14</t>
  </si>
  <si>
    <t>ул. Академическая, д. 16</t>
  </si>
  <si>
    <t>ул. Московская, д. 78</t>
  </si>
  <si>
    <t>ул. Склизкова, д. 80</t>
  </si>
  <si>
    <t>ул. Богданова, д. 26/17</t>
  </si>
  <si>
    <t>ул. 15 лет Октября, д. 60</t>
  </si>
  <si>
    <t>ул. Резинстроя, д. 2/7</t>
  </si>
  <si>
    <t>ул. 15 лет Октября, д. 56</t>
  </si>
  <si>
    <t>ул. Спартака, д. 4/2</t>
  </si>
  <si>
    <t>ул. Маршала Буденого, д. 19/1</t>
  </si>
  <si>
    <t>ул. Горького, д. 4А</t>
  </si>
  <si>
    <t>ул. Ипподромная, д. 6Б</t>
  </si>
  <si>
    <t>ул. Хромова, д. 8</t>
  </si>
  <si>
    <t>ул. Паши Савельевой, д. 7</t>
  </si>
  <si>
    <t>ул. Кирова, д. 3А</t>
  </si>
  <si>
    <t>ул. Орджоникидзе, д. 13/26</t>
  </si>
  <si>
    <t>ул. Седова, д. 1Б</t>
  </si>
  <si>
    <t>ул. Орджоникидзе, д. 3</t>
  </si>
  <si>
    <t xml:space="preserve">ул. Новоторжская, д. 7 </t>
  </si>
  <si>
    <t>ул. Строителей, д. 12</t>
  </si>
  <si>
    <t>ул. Богданова, д. 29</t>
  </si>
  <si>
    <t>ул. Королева, д. 4</t>
  </si>
  <si>
    <t>ул. Богданова, д. 33/15</t>
  </si>
  <si>
    <t>ул. Чудова, д. 19</t>
  </si>
  <si>
    <t>ул. Брагина, д. 44</t>
  </si>
  <si>
    <t>ул. Лукина, д. 8</t>
  </si>
  <si>
    <t>ул. Горького, д. 89</t>
  </si>
  <si>
    <t>ул. Склизкова, д. 60</t>
  </si>
  <si>
    <t>ул. Склизкова, д. 54/25</t>
  </si>
  <si>
    <t>ул. Машинистов, д. 3</t>
  </si>
  <si>
    <t>ул. Ржевская, д. 14</t>
  </si>
  <si>
    <t>ул. Тамары Ильиной, д. 9/19</t>
  </si>
  <si>
    <t>ул. Мусоргского, д. 32/32</t>
  </si>
  <si>
    <t>ул. Седова, д. 120Б</t>
  </si>
  <si>
    <t>ул. Королева, д. 16/1</t>
  </si>
  <si>
    <t>ул. Учительская, д. 39</t>
  </si>
  <si>
    <t>ул. Горького, д. 70</t>
  </si>
  <si>
    <t>ул. Склизкова, д. 94</t>
  </si>
  <si>
    <t>ул. Дарвина, д. 2</t>
  </si>
  <si>
    <t>ул. Горького, д. 10</t>
  </si>
  <si>
    <t>ул. Академика Туполева, д. 112/24</t>
  </si>
  <si>
    <t>ул. Маршала Василевского, д. 20</t>
  </si>
  <si>
    <t>ул. Маршала Василевского, д. 18</t>
  </si>
  <si>
    <t>ул. Карла Маркса, д. 5</t>
  </si>
  <si>
    <t>пер. Перекопский, д. 11А</t>
  </si>
  <si>
    <t>пер. Никитина, д. 5</t>
  </si>
  <si>
    <t>пер. Коллективный, д. 6</t>
  </si>
  <si>
    <t>пер. Университетский, д. 3</t>
  </si>
  <si>
    <t>пер. Перекопский, д. 15</t>
  </si>
  <si>
    <t>пер. Артиллерийский, д. 12</t>
  </si>
  <si>
    <t>тер. Двор Пролетарки, д. 43</t>
  </si>
  <si>
    <t>ш. Петербургское, д. 7А</t>
  </si>
  <si>
    <t>б-р Радищева, д. 26</t>
  </si>
  <si>
    <t>б-р Ногина, д. 2</t>
  </si>
  <si>
    <t>б-р Гусева, д. 41</t>
  </si>
  <si>
    <t>б-р Гусева, д. 9</t>
  </si>
  <si>
    <t>б-р Профсоюзов, д. 21</t>
  </si>
  <si>
    <t>б-р Гусева, д. 25</t>
  </si>
  <si>
    <t>б-р Гусева, д. 39</t>
  </si>
  <si>
    <t>б-р Цанова, д. 10</t>
  </si>
  <si>
    <t>б-р Ногина, д. 4</t>
  </si>
  <si>
    <t>п. Химинститута, д. 20</t>
  </si>
  <si>
    <t>п. Химинститута, д. 7</t>
  </si>
  <si>
    <t>п. Химинститута, д. 13</t>
  </si>
  <si>
    <t>п. Химинститута, д. 38</t>
  </si>
  <si>
    <t>п. Химинститута, д. 9</t>
  </si>
  <si>
    <t>п. Химинститута, д. 32</t>
  </si>
  <si>
    <t>п. Литвинки, д. 27</t>
  </si>
  <si>
    <t>ул. Орджоникидзе, д. 46, корп. 4</t>
  </si>
  <si>
    <t>ул. Гвардейская, д. 9, корп. 1</t>
  </si>
  <si>
    <t>ул. 15 лет Октября, д. 62, корп. 1</t>
  </si>
  <si>
    <t>ул. 15 лет Октября, д. 58, корп. 1</t>
  </si>
  <si>
    <t>ул. Севастьянова, д. 7, корп. 1</t>
  </si>
  <si>
    <t>ул. Громова, д. 28, корп. 2</t>
  </si>
  <si>
    <t>ул. Фадеева, д. 34, корп. 1</t>
  </si>
  <si>
    <t>ул. Тамары Ильиной, д. 7, корп. 1</t>
  </si>
  <si>
    <t>ул. Громова, д. 36, корп. 2</t>
  </si>
  <si>
    <t xml:space="preserve">проезд Зеленый, д. 47, корп. 1 </t>
  </si>
  <si>
    <t>ул. Дарвина, д. 4, корп. 1</t>
  </si>
  <si>
    <t>б-р Гусева, д. 45, корп. 1</t>
  </si>
  <si>
    <t>ул. Ипподромная, д. 7, корп. 1</t>
  </si>
  <si>
    <t>проезд Зеленый, д. 47, корп. 2</t>
  </si>
  <si>
    <t>ул. Терещенко, д. 41, корп. 1</t>
  </si>
  <si>
    <t>ул. Благоева, д. 4, корп. 2</t>
  </si>
  <si>
    <t>пер. Смоленский, д. 8, корп. 1</t>
  </si>
  <si>
    <t>ш. Петербургское, д. 50</t>
  </si>
  <si>
    <t>ш. Петербургское, д. 86</t>
  </si>
  <si>
    <t>ш. Петербургское, д. 14, корп. 1</t>
  </si>
  <si>
    <t>ш. Петербургское, д. 60</t>
  </si>
  <si>
    <t>ш. Московское, д. 13</t>
  </si>
  <si>
    <t>ул. Советская, д. 4</t>
  </si>
  <si>
    <t>ул. Энергетиков, д. 31</t>
  </si>
  <si>
    <t>п. Энергетик, д. 2</t>
  </si>
  <si>
    <t>п. Энергетик, д. 4</t>
  </si>
  <si>
    <t>ул. Чехова, д. 11</t>
  </si>
  <si>
    <t>ул. Ленина, д. 54</t>
  </si>
  <si>
    <t>ул. Строителей, д. 7</t>
  </si>
  <si>
    <t>ул. Кузьмина, д. 83</t>
  </si>
  <si>
    <t>ул. Кузьмина, д. 85</t>
  </si>
  <si>
    <t>ул. Чехова, д. 21</t>
  </si>
  <si>
    <t>ул. Пролетарская 6-я, д. 16</t>
  </si>
  <si>
    <t>пр-кт Победы, д. 32/3</t>
  </si>
  <si>
    <t>пр-кт 50 лет Октября, д. 2/19</t>
  </si>
  <si>
    <t>пр-кт Калинина, д. 9</t>
  </si>
  <si>
    <t>пр-кт Ленина, д. 43А</t>
  </si>
  <si>
    <t>пр-кт Чайковского, д. 37</t>
  </si>
  <si>
    <t>пр-кт Ленина, д. 14, корп. 2</t>
  </si>
  <si>
    <t>пр-кт Победы, д. 4А</t>
  </si>
  <si>
    <t>пр-кт Победы, д. 36/46</t>
  </si>
  <si>
    <t>пр-кт Победы, до 22/15</t>
  </si>
  <si>
    <t>пр-кт Октябрьский, д. 69</t>
  </si>
  <si>
    <t>пр-кт Победы, д. 28, корп. 1</t>
  </si>
  <si>
    <t>пр-кт Чайковского, д. 24/2Б</t>
  </si>
  <si>
    <t>пр-кт Победы, д. 38/45</t>
  </si>
  <si>
    <t>пр-кт Ленина, д. 40</t>
  </si>
  <si>
    <t>пр-кт Ленина, д. 43</t>
  </si>
  <si>
    <t>пр-кт Победы, д. 2А</t>
  </si>
  <si>
    <t>тер. Товарный двор, д. 483А</t>
  </si>
  <si>
    <t>ул. Пролетарская 6-я, д. 19</t>
  </si>
  <si>
    <t>проезд Карпинского 1-й, д. 2/60</t>
  </si>
  <si>
    <t>наб. Мигаловская, д. 10А</t>
  </si>
  <si>
    <t>наб. Афанасия Никитина, д. 24</t>
  </si>
  <si>
    <t>тер. Двор Пролетарки, д. 119</t>
  </si>
  <si>
    <t>ул. Советская, д. 3</t>
  </si>
  <si>
    <t>ул. Октябрьская, д. 60</t>
  </si>
  <si>
    <t>ул. Половчени, д. 8</t>
  </si>
  <si>
    <t>мкр. Заозерный, д. 15</t>
  </si>
  <si>
    <t>ш. Куженкинское, д. 47</t>
  </si>
  <si>
    <t>ш. Куженкинское, д. 48</t>
  </si>
  <si>
    <t>ш. Куженкинское, д. 49</t>
  </si>
  <si>
    <t>ул. Дзержинского, д. 44</t>
  </si>
  <si>
    <t>ул. Дзержинского, д. 46</t>
  </si>
  <si>
    <t>ул. Кирова, д. 2</t>
  </si>
  <si>
    <t>ул. Народная, д. 2</t>
  </si>
  <si>
    <t>ул. Народная, д. 3</t>
  </si>
  <si>
    <t>ул. 1-я Социалистическая, д. 1</t>
  </si>
  <si>
    <t>ул. Кирова, д. 53</t>
  </si>
  <si>
    <t>ул. Ленинская, д. 1</t>
  </si>
  <si>
    <t>мкр. Заводской, д. 4</t>
  </si>
  <si>
    <t>мкр. Западный, д. 5</t>
  </si>
  <si>
    <t>д. Корыхново, ул. Советская, д. 1</t>
  </si>
  <si>
    <t>д. Корыхново, ул. Советская, д. 2</t>
  </si>
  <si>
    <t>ул. Комсомолькая, д. 14</t>
  </si>
  <si>
    <t>д. Квакшино, д. 9</t>
  </si>
  <si>
    <t>д. Квакшино, д. 12</t>
  </si>
  <si>
    <t>ж/д ст. Кузьминка, д.  3</t>
  </si>
  <si>
    <t>ул. Декабристов, д. 9</t>
  </si>
  <si>
    <t>д. Радомино, д. 3</t>
  </si>
  <si>
    <t>п. Приволжский, ул. Песочная, д. 2</t>
  </si>
  <si>
    <t>ул. Васильковского, д. 29</t>
  </si>
  <si>
    <t>ул. Баскакова, д. 17</t>
  </si>
  <si>
    <t>ул. Баскакова, д. 19</t>
  </si>
  <si>
    <t>наб. Афанасия Никитина, д. 24А</t>
  </si>
  <si>
    <t>с. Дмитрова Гора, ул. Новая, д. 2</t>
  </si>
  <si>
    <t>ул. Мясникова, д. 36А</t>
  </si>
  <si>
    <t>ул. Базарная, д. 67</t>
  </si>
  <si>
    <t>ул. Октябрьская, д. 11</t>
  </si>
  <si>
    <t>Итого по городское поселение город Лихославль</t>
  </si>
  <si>
    <t>пр-кт Ленина, д. 4</t>
  </si>
  <si>
    <t>ул. Лесная, д. 6А</t>
  </si>
  <si>
    <t>ул. Рябочкина, д. 38А</t>
  </si>
  <si>
    <t>г. Удомля, ул. Автодорожная, д. 2/1</t>
  </si>
  <si>
    <t>ул. Советская, д. 17</t>
  </si>
  <si>
    <t>ул. Кооперативная, д. 7</t>
  </si>
  <si>
    <t>пр-кт Ленина, д. 9</t>
  </si>
  <si>
    <t>пр-кт Ленина, д. 13</t>
  </si>
  <si>
    <t>пр-кт Ленина, д. 7/15</t>
  </si>
  <si>
    <t>ул. Ленина, д. 50/2</t>
  </si>
  <si>
    <t>Итого по городское поселение город Весьегонск</t>
  </si>
  <si>
    <t xml:space="preserve">ремонт фасада
</t>
  </si>
  <si>
    <t>от                       №</t>
  </si>
  <si>
    <t>Краткосрочный план</t>
  </si>
  <si>
    <t>руб/кв. м</t>
  </si>
  <si>
    <t>всего</t>
  </si>
  <si>
    <t>Количество жителей, зарегистрированных в МКД 
на дату утверждения краткосрочного плана</t>
  </si>
  <si>
    <t>Адрес многоквартирного дома 
(далее - МКД)</t>
  </si>
  <si>
    <t>ул. Октябрьская, д. 59</t>
  </si>
  <si>
    <r>
      <t>п. Приволжский, ул. Песочная, д.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Times New Roman"/>
        <family val="1"/>
        <charset val="204"/>
      </rPr>
      <t>2</t>
    </r>
  </si>
  <si>
    <t>с. Ильинское, ул. Мира, д. 1</t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</si>
  <si>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14</t>
    </r>
  </si>
  <si>
    <r>
      <t>ул. Евгения Пичугина, д. 21,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</si>
  <si>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19, корп. 2</t>
    </r>
  </si>
  <si>
    <r>
      <t>ул. Паши Савельевой, д. 39,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</si>
  <si>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t>ул. Скворцова-Степанова, д. 10</t>
  </si>
  <si>
    <t>ул. Паши Савельевой, д. 39, корп. 3</t>
  </si>
  <si>
    <t>с. Погорелое Городище, ул. Советская, д. 6</t>
  </si>
  <si>
    <t>с. Дмитрова Гора, ул. Новая, д. 2</t>
  </si>
  <si>
    <r>
      <t>ул. Евгения Пичугина, д. 21, корп.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</t>
    </r>
  </si>
  <si>
    <r>
      <t>ул. Екатерины Фарафоновой,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37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</si>
  <si>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14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</si>
  <si>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19, корп. 2</t>
    </r>
  </si>
  <si>
    <r>
      <t>с. Погорелое Городище, ул.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Советская, д. 6</t>
    </r>
  </si>
  <si>
    <t>Стоимость капитального ремонта,
всего</t>
  </si>
  <si>
    <t>Общая площадь МКД, 
всего</t>
  </si>
  <si>
    <t>проезд Карпинского 1-й, д. 4</t>
  </si>
  <si>
    <t>проезд Розы Люксембург 1-й, д. 6</t>
  </si>
  <si>
    <t>ул. Грибоедова 2-я, д. 8/1</t>
  </si>
  <si>
    <t>ул. Пролетарская 6-я, д. 17</t>
  </si>
  <si>
    <t>реализации в 2016 году региональной программы по проведению капитального ремонта общего имущества</t>
  </si>
  <si>
    <t>в многоквартирных домах на территории Тверской области на 2014-2043 годы</t>
  </si>
  <si>
    <t>хвс</t>
  </si>
  <si>
    <t>гвс</t>
  </si>
  <si>
    <t>пр-кт Победы, д. 22/15</t>
  </si>
  <si>
    <t>ул. Артюхиной, д. 7</t>
  </si>
  <si>
    <t>за счет средств областного бюджета Тверской области</t>
  </si>
  <si>
    <t>ул. Прядильщиков, д. 2а</t>
  </si>
  <si>
    <t>Кирпичные</t>
  </si>
  <si>
    <t xml:space="preserve">2018 год </t>
  </si>
  <si>
    <t>Дачный пер., д. 2</t>
  </si>
  <si>
    <t xml:space="preserve">2019 год </t>
  </si>
  <si>
    <t>ул. Прядильщиков, д. 4а</t>
  </si>
  <si>
    <t>ул. Красноармейская, д. 11</t>
  </si>
  <si>
    <t>ул. Лизы Чайкиной, д. 32Б</t>
  </si>
  <si>
    <t>ул. Парковая, д. 3</t>
  </si>
  <si>
    <t>ул. Ленина, д. 13</t>
  </si>
  <si>
    <t>ул. Октябрьская, д. 10/5</t>
  </si>
  <si>
    <t>ул. Октябрьская, д. 4</t>
  </si>
  <si>
    <t>ул. Доватора, д. 8</t>
  </si>
  <si>
    <t>ул. Доватора, д. 11</t>
  </si>
  <si>
    <t>ул. Заводская, д. 8</t>
  </si>
  <si>
    <t>ул. 50 лет Октября, д. 1</t>
  </si>
  <si>
    <t>ул. Заречная, д. 3</t>
  </si>
  <si>
    <t>ул. Бежецкая, д. 18</t>
  </si>
  <si>
    <t>ул. Советская, д. 68</t>
  </si>
  <si>
    <t>ул. Пионерская, д. 30</t>
  </si>
  <si>
    <t>ул. Бежецкая, д. 20</t>
  </si>
  <si>
    <t>ул. Комсомольская, д. 86</t>
  </si>
  <si>
    <t>ул. Бежецкая, д. 32</t>
  </si>
  <si>
    <t>ул. Советская, д. 20А</t>
  </si>
  <si>
    <t>ул. Советская, д. 62</t>
  </si>
  <si>
    <t xml:space="preserve"> ул. Советская, д. 20</t>
  </si>
  <si>
    <t xml:space="preserve"> ул. Октябрьская, д. 52</t>
  </si>
  <si>
    <t xml:space="preserve"> ул. Комсомольская, д. 121</t>
  </si>
  <si>
    <t>пл. 1 Мая, д. 1</t>
  </si>
  <si>
    <t>ул. Гоголя, д. 4</t>
  </si>
  <si>
    <t>ул. Ст. Торопец, д. 20</t>
  </si>
  <si>
    <t>пер. Строителей, д. 1</t>
  </si>
  <si>
    <t>ул. Правды, д. 8</t>
  </si>
  <si>
    <t>ул. Ленина, д. 50</t>
  </si>
  <si>
    <t>г. Удомля, пр-кт Энергетиков, д. 10</t>
  </si>
  <si>
    <t>г. Удомля, ул. Автодорожная, д. 7</t>
  </si>
  <si>
    <t>г. Удомля, ул. Левитана, д. 5</t>
  </si>
  <si>
    <t>г. Удомля, ул. Автодорожная, д. 9</t>
  </si>
  <si>
    <t>г. Удомля, ул. Венецианова, д. 5а</t>
  </si>
  <si>
    <t>г. Удомля, ул. Александрова, д. 9</t>
  </si>
  <si>
    <t>г. Удомля, пр-т Энергетиков, д. 3</t>
  </si>
  <si>
    <t>г. Удомля, пр-т Энергетиков, д. 4а</t>
  </si>
  <si>
    <t>г. Удомля, ул. Энтузиастов, д. 28</t>
  </si>
  <si>
    <t>г. Удомля, ул. Автодорожная, д. 7а</t>
  </si>
  <si>
    <t>г. Удомля, ул. Попова, д. 17</t>
  </si>
  <si>
    <t>г. Удомля, ул. Левитана, д. 3</t>
  </si>
  <si>
    <t>г. Удомля, ул. Энтузиастов, д. 6/3</t>
  </si>
  <si>
    <t>г. Удомля, ул. Энтузиастов, д. 10</t>
  </si>
  <si>
    <t>г. Удомля, ул. Венецианова, д. 7а</t>
  </si>
  <si>
    <t>г. Удомля, ул. Энтузиастов, д. 8</t>
  </si>
  <si>
    <t>г. Удомля, пр-т Энергетиков, д. 5а</t>
  </si>
  <si>
    <t>г. Удомля, пер. Автодорожный, д. 3а</t>
  </si>
  <si>
    <t>г. Удомля, пр-т Энергетиков, д. 8</t>
  </si>
  <si>
    <t>г. Удомля, ул. Энтузиастов, д. 6/1</t>
  </si>
  <si>
    <t>г. Удомля, пр-т Энергетиков, д. 6</t>
  </si>
  <si>
    <t>г. Удомля, пр-т Энергетиков, д. 4</t>
  </si>
  <si>
    <t>г. Удомля, пр-т Энергетиков, д. 12</t>
  </si>
  <si>
    <t>г. Торжок, ул. Красноармейская, д.44</t>
  </si>
  <si>
    <t>г. Торжок, ул. М.Горького, д.59</t>
  </si>
  <si>
    <t>г. Торжок, Ленинградское шоссе, д.16</t>
  </si>
  <si>
    <t>г. Торжок, Ленинградское шоссе, д.87б</t>
  </si>
  <si>
    <t>г. Торжок, Ленинградское шоссе, д.87в</t>
  </si>
  <si>
    <t>г. Торжок, ул. Падерина, д.3</t>
  </si>
  <si>
    <t>г. Торжок, пер. Железнодорожный, д. 9</t>
  </si>
  <si>
    <t>г. Торжок, ул. М. Горького, д.38</t>
  </si>
  <si>
    <t>г. Торжок, ул. М.Горького, д.45</t>
  </si>
  <si>
    <t>шлак</t>
  </si>
  <si>
    <t>г. Торжок, ул. Дзержинского, д.52</t>
  </si>
  <si>
    <t>г. Торжок, ул. Красноармейская, д.48</t>
  </si>
  <si>
    <t>г. Торжок, ул. Падерина, д.5</t>
  </si>
  <si>
    <t>г. Торжок, ул. Володарского, д.49а</t>
  </si>
  <si>
    <t>г. Торжок, Ленинградское шоссе, д.41</t>
  </si>
  <si>
    <t>г. Торжок, Зеленый городок, д.7б</t>
  </si>
  <si>
    <t>г. Торжок, Ленинградское шоссе, д.85б</t>
  </si>
  <si>
    <t>г. Торжок, ул. Мира, д.46</t>
  </si>
  <si>
    <t>г. Торжок, ул. Энгельса, д.8</t>
  </si>
  <si>
    <t>Деревянные, кирпичные</t>
  </si>
  <si>
    <t>электроснабжения</t>
  </si>
  <si>
    <t>теплоснабжения</t>
  </si>
  <si>
    <t>газоснабжения</t>
  </si>
  <si>
    <t>холодного водоснабжения</t>
  </si>
  <si>
    <t>горячего водоснабжения</t>
  </si>
  <si>
    <t>водоотведения</t>
  </si>
  <si>
    <t>установка коллективных (общедомовых) приборов учета и узлов управления</t>
  </si>
  <si>
    <t>Итого</t>
  </si>
  <si>
    <t>ремонт фундамента</t>
  </si>
  <si>
    <t>Виды, установленные нормативным правовым актом субъекта РФ:</t>
  </si>
  <si>
    <t>ремонт внутридомовых инженерных систем</t>
  </si>
  <si>
    <t>Ленинградское шоссе, д.87в</t>
  </si>
  <si>
    <t>ул. Красноармейская, д.44</t>
  </si>
  <si>
    <t>ул. М.Горького, д.59</t>
  </si>
  <si>
    <t>Ленинградское шоссе, д.16</t>
  </si>
  <si>
    <t>Ленинградское шоссе, д.87б</t>
  </si>
  <si>
    <t>ул. Падерина, д.3</t>
  </si>
  <si>
    <t>пер. Железнодорожный, д. 9</t>
  </si>
  <si>
    <t>ул. М. Горького, д.38</t>
  </si>
  <si>
    <t>ул. М.Горького, д.45</t>
  </si>
  <si>
    <t>пр-т Энергетиков, д. 5а</t>
  </si>
  <si>
    <t>пер. Автодорожный, д. 3а</t>
  </si>
  <si>
    <t>пр-т Энергетиков, д. 8</t>
  </si>
  <si>
    <t>ул. Энтузиастов, д. 6/1</t>
  </si>
  <si>
    <t>пр-т Энергетиков, д. 6</t>
  </si>
  <si>
    <t>пр-т Энергетиков, д. 4</t>
  </si>
  <si>
    <t>пр-т Энергетиков, д. 12</t>
  </si>
  <si>
    <t>кровля 3342,75</t>
  </si>
  <si>
    <t>ул. Дзержинского, д.52</t>
  </si>
  <si>
    <t>ул. Красноармейская, д.48</t>
  </si>
  <si>
    <t>ул. Падерина, д.5</t>
  </si>
  <si>
    <t>ул. Володарского, д.49а</t>
  </si>
  <si>
    <t>Ленинградское шоссе, д.41</t>
  </si>
  <si>
    <t>Зеленый городок, д.7б</t>
  </si>
  <si>
    <t>Ленинградское шоссе, д.85б</t>
  </si>
  <si>
    <t>ул. Мира, д.46</t>
  </si>
  <si>
    <t>ул. Энгельса, д.8</t>
  </si>
  <si>
    <t>Итого пр Терелесовское сельское поселение</t>
  </si>
  <si>
    <t>Итого по городское поселение поселок Жарковский</t>
  </si>
  <si>
    <t>Итого пео городское поселение поселок Орша</t>
  </si>
  <si>
    <t>Итого по Эмаусское сельское поселение</t>
  </si>
  <si>
    <t>Итого по тгородское поселение город Кувшиново</t>
  </si>
  <si>
    <t>фасад  1600,33</t>
  </si>
  <si>
    <t>ул. Комсомольская, д. 14</t>
  </si>
  <si>
    <t>Итого по городское поселение поселок Новозавидовский</t>
  </si>
  <si>
    <t>ул. Юбилейная, д. 8</t>
  </si>
  <si>
    <t xml:space="preserve"> ул. Гоголя, д. 4</t>
  </si>
  <si>
    <t xml:space="preserve"> ул. Ст. Торопец, д. 20</t>
  </si>
  <si>
    <t>ул. Бежецкая. Д.20</t>
  </si>
  <si>
    <t>пер. Маяковского, д. 7</t>
  </si>
  <si>
    <t>пер. Маяковского, д. 8</t>
  </si>
  <si>
    <t>1971</t>
  </si>
  <si>
    <t>1969</t>
  </si>
  <si>
    <t>пер. Маяковского, д. 5</t>
  </si>
  <si>
    <t>1973</t>
  </si>
  <si>
    <t>1956</t>
  </si>
  <si>
    <t>газоснабжение</t>
  </si>
  <si>
    <t>тепло</t>
  </si>
  <si>
    <t>водоотв.</t>
  </si>
  <si>
    <t>ул. Городище, д. 1</t>
  </si>
  <si>
    <t>ул. Адмирала Октябрьского, д. 61</t>
  </si>
  <si>
    <t>ул. Карла Маркса, д. 61</t>
  </si>
  <si>
    <t>ул. Карла Маркса, д. 63</t>
  </si>
  <si>
    <t>ул. Адмирала Октябрьского, д. 70</t>
  </si>
  <si>
    <t>ул. Адмирала Октябрьского, д. 70а</t>
  </si>
  <si>
    <t>ул. Ленина, д. 14</t>
  </si>
  <si>
    <t>ул. Ленина, д. 14а</t>
  </si>
  <si>
    <t>ул. Пушкина, д. 12</t>
  </si>
  <si>
    <t>ул. Карла Маркса, д. 79</t>
  </si>
  <si>
    <t>ул. Пушкина, д. 5</t>
  </si>
  <si>
    <t>ул. Советская, д. 65а</t>
  </si>
  <si>
    <t>ул. Театральная, д. 3</t>
  </si>
  <si>
    <t>ул. Театральная, д. 11</t>
  </si>
  <si>
    <t>ул. Гагарина, д. 17</t>
  </si>
  <si>
    <t>ул. Театральная, д. 8</t>
  </si>
  <si>
    <t>ул. Октябрьская, д. 56</t>
  </si>
  <si>
    <t>ул. Кленовая, д. 19</t>
  </si>
  <si>
    <t>ул. Кленовая, д. 4</t>
  </si>
  <si>
    <t>пл. Гвардейская, д. 9</t>
  </si>
  <si>
    <t>ул. Половчени, д. 5а</t>
  </si>
  <si>
    <t>Итого по Мошковское сельское поселение</t>
  </si>
  <si>
    <t>д. Мошки, д. 36</t>
  </si>
  <si>
    <t>Итого по Яконовское сельское поселение</t>
  </si>
  <si>
    <t>с. Яконово, ул. Поселковая, д. 1</t>
  </si>
  <si>
    <t>Итого по Высоковское сельское поселение</t>
  </si>
  <si>
    <t>п. Высокое, ул. Советская, д. 16</t>
  </si>
  <si>
    <t>Итого по Пироговское сельское поселение</t>
  </si>
  <si>
    <t>д. Пирогово, ул. Надежды, д. 1</t>
  </si>
  <si>
    <t>Итого по Марьинское сельское поселение</t>
  </si>
  <si>
    <t>п. Зеленый, д. 19</t>
  </si>
  <si>
    <t>Итого по Масловское сельское поселение</t>
  </si>
  <si>
    <t>д. Селихово, ул. Новая, д. 2</t>
  </si>
  <si>
    <t>Итого по Речанское сельское поселение</t>
  </si>
  <si>
    <t>д. Лесная, д. 3</t>
  </si>
  <si>
    <t>д. Лесная, д. 2</t>
  </si>
  <si>
    <t>д. Лесная, л. 2</t>
  </si>
  <si>
    <t>ул. Кириллова, д. 14</t>
  </si>
  <si>
    <t>щитовые</t>
  </si>
  <si>
    <t>ул. Кириллова, д. 2</t>
  </si>
  <si>
    <t>ул. Кропоткина, д. 10</t>
  </si>
  <si>
    <t>Ржевский район</t>
  </si>
  <si>
    <t>Итого по сельское поселение  "Победа"</t>
  </si>
  <si>
    <t>д. Леонтьево, д. 26</t>
  </si>
  <si>
    <t>Итого по сельское поселение "Итомля"</t>
  </si>
  <si>
    <t>д. Итомля, ул. Школьная, д. 40</t>
  </si>
  <si>
    <t>д. Итомля, ул. Школьная, д. 41</t>
  </si>
  <si>
    <t>Итого по сельское поселение "Есинка"</t>
  </si>
  <si>
    <t>д. Домашино, Библиотечный пер., д. 112</t>
  </si>
  <si>
    <t>д. Домашино, Библиотечный пер.,      д. 112</t>
  </si>
  <si>
    <t>Итого по сельское поселение "Победа"</t>
  </si>
  <si>
    <t>п. Эммаусс, д. 7</t>
  </si>
  <si>
    <t>п. Эммаусс, д. 18</t>
  </si>
  <si>
    <t>блочные</t>
  </si>
  <si>
    <t>п. Эммаусс, д. 33</t>
  </si>
  <si>
    <t>Сонковский район</t>
  </si>
  <si>
    <t>пгт Сонково, ул. Красноармейская, д. 35</t>
  </si>
  <si>
    <t>брусчатые</t>
  </si>
  <si>
    <t>пгт Сонково, ул. Сельхозтехника, д. 1а</t>
  </si>
  <si>
    <t>Итого по городское поселение поселок Сонково</t>
  </si>
  <si>
    <t>Итого по городское поселение поселок Радченко</t>
  </si>
  <si>
    <t>п. Радченко, д. 12</t>
  </si>
  <si>
    <t>п. Радченко, д. 49</t>
  </si>
  <si>
    <t>п. Радченко, д. 48</t>
  </si>
  <si>
    <t>ул. Лесная, д. 9</t>
  </si>
  <si>
    <t>ул. Лесная, д. 18</t>
  </si>
  <si>
    <t>ул. Лесная, д. 6</t>
  </si>
  <si>
    <t xml:space="preserve">ул. Пионерская, д. 14 </t>
  </si>
  <si>
    <t>ул. Микрорайон, д. 6</t>
  </si>
  <si>
    <t xml:space="preserve">ул. Ст. Разина, д. 2а </t>
  </si>
  <si>
    <t>ул. Пушкина, д. 52</t>
  </si>
  <si>
    <t xml:space="preserve">ул. Пушкина, д. 52 </t>
  </si>
  <si>
    <t>с. Завидово, ул. Школьная, д. 4</t>
  </si>
  <si>
    <t>с. Завидово, ул. Школьная, д. 5</t>
  </si>
  <si>
    <t>д. Мокшино, ул. Солнечная, д. 3</t>
  </si>
  <si>
    <t>д. Мокшино, ул. Ленинградская д. 2</t>
  </si>
  <si>
    <t>д. Мокшино, ул. Ленинградская д. 2</t>
  </si>
  <si>
    <t>д. Мокшино, ул. Солнечная, д. 3</t>
  </si>
  <si>
    <t>ул. Кооперативная, д. 22</t>
  </si>
  <si>
    <t>ул. Кооперативная, д. 5</t>
  </si>
  <si>
    <t>Итого по Горняцкое сельское поселение</t>
  </si>
  <si>
    <t>п. Белый Омут, ул. Советская, д. 3</t>
  </si>
  <si>
    <t>п. Белый Омут,  ул. Советская, д. 2</t>
  </si>
  <si>
    <t>п. Белый Омут, ул. Советская, д. 1</t>
  </si>
  <si>
    <t>п. Белый Омут, ул. Советская, д. 2</t>
  </si>
  <si>
    <t>п. Солнечный, ул. Центральная, д. 5</t>
  </si>
  <si>
    <t>п. Солнечный, ул. Молодежная, д. 4</t>
  </si>
  <si>
    <r>
      <t>п. Солнечный, ул. Центральная, д.</t>
    </r>
    <r>
      <rPr>
        <sz val="11"/>
        <color theme="1"/>
        <rFont val="Calibri"/>
        <family val="2"/>
        <charset val="204"/>
      </rPr>
      <t> 5</t>
    </r>
  </si>
  <si>
    <r>
      <t>п. Солнечный, ул. Молодежная, д.</t>
    </r>
    <r>
      <rPr>
        <sz val="11"/>
        <color theme="1"/>
        <rFont val="Calibri"/>
        <family val="2"/>
        <charset val="204"/>
      </rPr>
      <t> 4</t>
    </r>
  </si>
  <si>
    <t xml:space="preserve">п. Озерки, ул. Локомотивная, д. 5 </t>
  </si>
  <si>
    <t>п. Озерки, ул. Школьная, д. 3</t>
  </si>
  <si>
    <t>п. Изоплит, ул. Пионерская, д. 2</t>
  </si>
  <si>
    <t>каркасно-засыпные</t>
  </si>
  <si>
    <t>п. Озерки, проезд Железнодорожный, д. 3</t>
  </si>
  <si>
    <t>п. Изоплит, ул. Пионерская, д. 12</t>
  </si>
  <si>
    <t>ул. Гагарина, д. 37</t>
  </si>
  <si>
    <t xml:space="preserve">ул. Карла Маркса, д. 25 </t>
  </si>
  <si>
    <t>ул. Лихославльская, дом тяговой подстанции</t>
  </si>
  <si>
    <t>ул. Лихославльская, д. 30 МПС</t>
  </si>
  <si>
    <t xml:space="preserve">ул. Разъезжая, д. 12 </t>
  </si>
  <si>
    <t>ул. Бежецкая, д. 25</t>
  </si>
  <si>
    <t xml:space="preserve">ул. Красноармейская, д. 4А </t>
  </si>
  <si>
    <t xml:space="preserve">ул. Первомайская, д. 14 </t>
  </si>
  <si>
    <t>пер. Привокзальный, д. 5</t>
  </si>
  <si>
    <t>пер. Театральный, д. 1</t>
  </si>
  <si>
    <t xml:space="preserve">ул. Школьная, д. 4 </t>
  </si>
  <si>
    <t>до 1918</t>
  </si>
  <si>
    <t>пос. Льнозавод, д. 26</t>
  </si>
  <si>
    <t>ул. Первомайская, д. 27</t>
  </si>
  <si>
    <t>ул. Советская, д. 33 МПС</t>
  </si>
  <si>
    <t>ул. Юбилейная, д. 2</t>
  </si>
  <si>
    <t>ул. Юбилейная, д. РСУ</t>
  </si>
  <si>
    <t>подвал   1012,19</t>
  </si>
  <si>
    <t>ул. Академическая, д. 5</t>
  </si>
  <si>
    <t>ул. Диева, д. 25</t>
  </si>
  <si>
    <t>ул. Фадеева, д. 3</t>
  </si>
  <si>
    <t>ул. Гагарина, д. 7</t>
  </si>
  <si>
    <t>ул. Академическая, дом 9</t>
  </si>
  <si>
    <t>ул. Академическая, дом 10</t>
  </si>
  <si>
    <t>ул. Геофизиков, дом 7</t>
  </si>
  <si>
    <t>ул. Геофизиков, дом 2</t>
  </si>
  <si>
    <t>пр-кт Химиков, д. 41</t>
  </si>
  <si>
    <t>ул. Гагарина, д. 11</t>
  </si>
  <si>
    <t>ул. Гагарина, д. 12</t>
  </si>
  <si>
    <t>ул. Ленинградская, д. 21</t>
  </si>
  <si>
    <t>ул. Труда, д. 10</t>
  </si>
  <si>
    <t>панельные</t>
  </si>
  <si>
    <t>монолитные</t>
  </si>
  <si>
    <t>ул. Московская, д. 15</t>
  </si>
  <si>
    <t>ул. Московская, д. 17</t>
  </si>
  <si>
    <t>ул. Александрова, д. 10</t>
  </si>
  <si>
    <t>ул. Ленинградская, д. 16</t>
  </si>
  <si>
    <t>ул. Киевская, д. 13</t>
  </si>
  <si>
    <t>ул. Ленинградская, д. 20</t>
  </si>
  <si>
    <t>ул. Труда, д. 6</t>
  </si>
  <si>
    <t>ул. Горького, д. 3а</t>
  </si>
  <si>
    <t>ул. Энергетиков, д. 16</t>
  </si>
  <si>
    <t>ул. Энергетиков, д. 18</t>
  </si>
  <si>
    <t>ул. Горького, д. 8</t>
  </si>
  <si>
    <t>пр. Ленина, д. 38</t>
  </si>
  <si>
    <t>ул. Учебная, д. 5</t>
  </si>
  <si>
    <t>ул. Баскакова, д. 31</t>
  </si>
  <si>
    <t>ул. Баскакова, д. 21</t>
  </si>
  <si>
    <t>ул. Баскакова, д. 11</t>
  </si>
  <si>
    <t>ул. Гагарина, д. 33</t>
  </si>
  <si>
    <t>ул. Набережная Волги, д. 40</t>
  </si>
  <si>
    <t>Торговый проезд, д. 1</t>
  </si>
  <si>
    <t>Торговый проезд, д. 2</t>
  </si>
  <si>
    <t>ул. Баскакова, д. 1</t>
  </si>
  <si>
    <t>ул. Гагарина, д. 5</t>
  </si>
  <si>
    <t>ул. Гагарина, д. 6</t>
  </si>
  <si>
    <t>ул. Гагарина, д. 16</t>
  </si>
  <si>
    <t>ул. Энергетиков, д. 8</t>
  </si>
  <si>
    <t>ул. Энергетиков, д. 10</t>
  </si>
  <si>
    <t>ул. Энергетиков, д. 11</t>
  </si>
  <si>
    <t>ул. Энергетиков, д. 27</t>
  </si>
  <si>
    <t>ул. Энергетиков, д. 34</t>
  </si>
  <si>
    <t>пр. Ленина, д. 4</t>
  </si>
  <si>
    <t>пр. Ленина, д. 12</t>
  </si>
  <si>
    <t>ул. Радищева, д. 1</t>
  </si>
  <si>
    <t>ул. П. Морозова, д. 28</t>
  </si>
  <si>
    <t>ул. Кирова, д. 8</t>
  </si>
  <si>
    <t>ул. Садово-Набережная, д. 3</t>
  </si>
  <si>
    <t>ул. Советская, д. 11</t>
  </si>
  <si>
    <t>ул. Советская, д. 19</t>
  </si>
  <si>
    <t>ул. Мира, д. 9</t>
  </si>
  <si>
    <t>ул. Советская, д. 22</t>
  </si>
  <si>
    <t>Селижаровский проезд, 8</t>
  </si>
  <si>
    <t>Осташковский проезд, 3</t>
  </si>
  <si>
    <t>шлакозаливные</t>
  </si>
  <si>
    <t>ул. Тертия Филиппова, 86а</t>
  </si>
  <si>
    <t>ул. Карла Маркса, 20/16</t>
  </si>
  <si>
    <t>ул. Садовая, 20/30</t>
  </si>
  <si>
    <t>ул. Большая Спасская, 18/50</t>
  </si>
  <si>
    <t>ул. Чернышевского, 19</t>
  </si>
  <si>
    <t>ул. Большая Спасская, 15</t>
  </si>
  <si>
    <t>ул. Садовая, 18а</t>
  </si>
  <si>
    <t>ул. Карла Маркса, 14</t>
  </si>
  <si>
    <t>пос. Нижний Бор,7</t>
  </si>
  <si>
    <t>ул. Мира, 2</t>
  </si>
  <si>
    <t>ул. Торопецкий тракт, д. 5</t>
  </si>
  <si>
    <t>ул. Чернышевского, 10а</t>
  </si>
  <si>
    <t>ул. Большевистская, д. 9/16</t>
  </si>
  <si>
    <t>ул. Тимирязева, д. 32</t>
  </si>
  <si>
    <t>ул. Челюскинцев, д. 17</t>
  </si>
  <si>
    <t>ул. Гагарина, д. 160</t>
  </si>
  <si>
    <t>ул. Кирова, д. 39а</t>
  </si>
  <si>
    <t>ул. Школьная, д. 6</t>
  </si>
  <si>
    <t>Рабочая пл., д. 8</t>
  </si>
  <si>
    <t>ул. Железнодорожная, д.11</t>
  </si>
  <si>
    <t>ул. Кирова, д. 25</t>
  </si>
  <si>
    <t>п. Академический, ул. Пионерская, д. 4 </t>
  </si>
  <si>
    <t>п. Академический, ул. Фабричная, д. 3 </t>
  </si>
  <si>
    <t>п. Академический, ул. Пионерская, д. 11 </t>
  </si>
  <si>
    <t>п. Академический, ул. Пионерская, д. 3</t>
  </si>
  <si>
    <t>п. Академический, ул. Пионерская, д. 11 </t>
  </si>
  <si>
    <t>п. Академический, ул. Пионерская, д. 3</t>
  </si>
  <si>
    <t>п. Академический, ул. Фабричная, д. 3 </t>
  </si>
  <si>
    <t>п. Академический, ул. Пионерская, д. 4 </t>
  </si>
  <si>
    <t>Итого по Вескинское сельское поселение</t>
  </si>
  <si>
    <t>д. Вески, ул. Боровикова, д. 3</t>
  </si>
  <si>
    <t>п. Осиновая Гряда, д. 14</t>
  </si>
  <si>
    <t>д. Вески, ул. Боровикова, д.3</t>
  </si>
  <si>
    <t>п. Терелесовский, ул. Центральная, д. 11/8</t>
  </si>
  <si>
    <t>п. Терелесовский, ул. Центральная, д. 11/8</t>
  </si>
  <si>
    <t>г. Бежецк, наб. рядового Николаева, д. 13</t>
  </si>
  <si>
    <t>г. Бежецк, пер. Остречинский, д. 15</t>
  </si>
  <si>
    <t>г. Бежецк, ул. М.И. Кузнецова, д. 8</t>
  </si>
  <si>
    <t>г. Бежецк, ул. Нечаева, д. 30</t>
  </si>
  <si>
    <t>городское поселение - г. Бежецк, д. Ивановское, ул. 1-ая, д. 39а</t>
  </si>
  <si>
    <t>г. Бежецк, ул. Нечаева, д. 2/7</t>
  </si>
  <si>
    <t>г. Бежецк, ул. Песочная, д. 4</t>
  </si>
  <si>
    <t>г. Бежецк, ул. Чехова, д. 7</t>
  </si>
  <si>
    <t>г. Бежецк, пер. Остречинский, д. 17</t>
  </si>
  <si>
    <t>г. Бежецк, ул. Энергетическая, д. 3</t>
  </si>
  <si>
    <t>Шлакоблочные</t>
  </si>
  <si>
    <t>Бревенчатые</t>
  </si>
  <si>
    <t>г. Бежецк, ул. Заводская, д. 4</t>
  </si>
  <si>
    <t>г. Бежецк, ул. М.И. Кузнецова, д. 16</t>
  </si>
  <si>
    <t>г. Бежецк, ул. Инженерная, д. 3</t>
  </si>
  <si>
    <t>г. Бежецк, ул. Инженерная, д. 6</t>
  </si>
  <si>
    <t>г. Бежецк, ул. Л. Толстого, д. 18</t>
  </si>
  <si>
    <t>каркасно-щитовые</t>
  </si>
  <si>
    <t>г. Бежецк, ул. Л. Толстого, д. 4</t>
  </si>
  <si>
    <t>г. Бежецк, ул. Остречинская, д. 4</t>
  </si>
  <si>
    <t>г. Бежецк, ул. Песочная, д. 10</t>
  </si>
  <si>
    <t>Крупнопанельные</t>
  </si>
  <si>
    <t>ул. Красноармейская, д. 35</t>
  </si>
  <si>
    <t>ул. Тургенева, д. 19</t>
  </si>
  <si>
    <t>ул. Ленина, д. 39а</t>
  </si>
  <si>
    <t>ул. Коминтерна, д. 47/21</t>
  </si>
  <si>
    <t>ул. Декабристов, д. 3а</t>
  </si>
  <si>
    <t>ул. Школьная, д. 39</t>
  </si>
  <si>
    <t>ул. Володарского, д. 7</t>
  </si>
  <si>
    <t>ул. Коминтерна, д. 2/26</t>
  </si>
  <si>
    <t>ул. Дзержинского, д. 17а</t>
  </si>
  <si>
    <t>ул. Шорина, д. 20а</t>
  </si>
  <si>
    <t>ул. Декабристов, д. 7</t>
  </si>
  <si>
    <t>ул. Коммунистическая, д. 18</t>
  </si>
  <si>
    <t>ул. Володарского, д. 8</t>
  </si>
  <si>
    <t>ул. Центральная, д. 5</t>
  </si>
  <si>
    <t>ул. Коминтерна, д. 39</t>
  </si>
  <si>
    <t>ул. Коминтерна, д. 69/26</t>
  </si>
  <si>
    <t>ул. Коминтерна, д. 63/15</t>
  </si>
  <si>
    <t>ул. Школьная, д. 40</t>
  </si>
  <si>
    <t>ул. Школьная, д. 44</t>
  </si>
  <si>
    <t>ул. Коминтерна, д. 62/26</t>
  </si>
  <si>
    <t>ул. Коминтерна, д. 65/14</t>
  </si>
  <si>
    <t>ул. Студенческая, д. 12а</t>
  </si>
  <si>
    <t>ул. Волжская, д. 41</t>
  </si>
  <si>
    <t>лифт</t>
  </si>
  <si>
    <t>д. Афимьино, ул. Мира, д. 2</t>
  </si>
  <si>
    <t>бетонные</t>
  </si>
  <si>
    <t>Итого по Холохоленское сельское поселение</t>
  </si>
  <si>
    <t>д. Афимьино, ул. Мира, д. 1</t>
  </si>
  <si>
    <t>Итого по Терелесовское сельское поселение</t>
  </si>
  <si>
    <t>Итого по ЗАТО Солнечный</t>
  </si>
  <si>
    <t>ул. Новая, д. 26</t>
  </si>
  <si>
    <t>ул. Новая, д. 27</t>
  </si>
  <si>
    <t>ул. Новая, д. 28</t>
  </si>
  <si>
    <t>ул. Новая, д. 29</t>
  </si>
  <si>
    <t>ул. Новая, д. 30</t>
  </si>
  <si>
    <t>ул. Кирова, д. 29</t>
  </si>
  <si>
    <t>ул. Фадеева, д. 29</t>
  </si>
  <si>
    <t>Типографский пер., д. 5</t>
  </si>
  <si>
    <t>Садовый пер., д. 5</t>
  </si>
  <si>
    <t>1997</t>
  </si>
  <si>
    <t>1963</t>
  </si>
  <si>
    <t>1977</t>
  </si>
  <si>
    <t>1962</t>
  </si>
  <si>
    <t>ул. Горького, д. 6</t>
  </si>
  <si>
    <t>1974</t>
  </si>
  <si>
    <t>ул. Мира, д. 70</t>
  </si>
  <si>
    <t>1989</t>
  </si>
  <si>
    <t>Итого по Верхнетроицкое сельское поселение</t>
  </si>
  <si>
    <t>д. Верхняя Троица, ул. Молодежная, д. 3</t>
  </si>
  <si>
    <t>д. Тетьково, д. 63</t>
  </si>
  <si>
    <t>д. Тетьково, д. 39</t>
  </si>
  <si>
    <t>д. Верхняя Троица, ул. Мира, д. 2</t>
  </si>
  <si>
    <t>пер. 1-й Путейский, д. 24</t>
  </si>
  <si>
    <t>ул. Володарского, д. 177</t>
  </si>
  <si>
    <t>ул. Загородная, д. 16</t>
  </si>
  <si>
    <t>ул. Ленина, д. 3</t>
  </si>
  <si>
    <t>ул. Ленина, д. 5</t>
  </si>
  <si>
    <t>ул. Ленина, д. 7</t>
  </si>
  <si>
    <t>ул. Ленина, д. 8</t>
  </si>
  <si>
    <t>ул. Ленина, д. 9</t>
  </si>
  <si>
    <t>ул. Ленина, д. 10</t>
  </si>
  <si>
    <t>ул. Ленина, д. 11</t>
  </si>
  <si>
    <t>ул. Ленина, д. 12</t>
  </si>
  <si>
    <t>ул. Ленина, д. 16</t>
  </si>
  <si>
    <t>ул. Строителей, д. 8</t>
  </si>
  <si>
    <t>ул. Строителей, д. 14</t>
  </si>
  <si>
    <t>ул. Строителей, д. 18</t>
  </si>
  <si>
    <t>ул. Строителей, д. 22</t>
  </si>
  <si>
    <t>ул. Строителей, д. 26</t>
  </si>
  <si>
    <t>ул.С. Козлова, д. 1</t>
  </si>
  <si>
    <t>ул.С. Козлова, д. 3</t>
  </si>
  <si>
    <t>ул.С. Козлова, д. 5</t>
  </si>
  <si>
    <t>ул. Советская, д. 1</t>
  </si>
  <si>
    <t>ул. Советская, д. 2</t>
  </si>
  <si>
    <t>ул. Советская, д. 6</t>
  </si>
  <si>
    <t>ул. Солнечная, д. 1</t>
  </si>
  <si>
    <t>ул. Солнечная, д. 2</t>
  </si>
  <si>
    <t>ул. Солнечная, д. 3</t>
  </si>
  <si>
    <t>ул. Солнечная, д. 6</t>
  </si>
  <si>
    <t>ул. Г. Кольцова, д. 1</t>
  </si>
  <si>
    <t>ул. Г. Кольцова, д. 2</t>
  </si>
  <si>
    <t>ул. Г. Кольцова, д. 6</t>
  </si>
  <si>
    <t>ул. Озерная, д. 4</t>
  </si>
  <si>
    <t>ул. Озерная, д. 6</t>
  </si>
  <si>
    <t>ул. Озерная, д. 8</t>
  </si>
  <si>
    <t>ул. Озерная, д. 10</t>
  </si>
  <si>
    <t>ул. Озерная, д. 12</t>
  </si>
  <si>
    <t>ул. Юбилейная, д. 11</t>
  </si>
  <si>
    <t>п. Пригородный, ул. Гагарина, д. 22</t>
  </si>
  <si>
    <t>п. Пригородный, ул. Гагарина, д. 20</t>
  </si>
  <si>
    <t>п. Пригородный, ул. Гагарина, д. 20</t>
  </si>
  <si>
    <t>п. Пригородный, ул. Гагарина, д. 22</t>
  </si>
  <si>
    <t>ул. Баумана, д. 13</t>
  </si>
  <si>
    <t>ул. Б. Садовая, д. 29</t>
  </si>
  <si>
    <t>ул. Правды, д. 27</t>
  </si>
  <si>
    <t>ул. Правды, д. 31/33</t>
  </si>
  <si>
    <t>ул. Правды, д. 27а</t>
  </si>
  <si>
    <t>Казанский пр-т, д. 105</t>
  </si>
  <si>
    <t>ул. Ст. Разина, д. 41</t>
  </si>
  <si>
    <t>ул. Московская, д. 1/49</t>
  </si>
  <si>
    <t>ул. Екатерининская, д. 4-6</t>
  </si>
  <si>
    <t>Казанский пр-т, д. 93</t>
  </si>
  <si>
    <t>Ржевский тракт, д. 44</t>
  </si>
  <si>
    <t>ул. Шмидта, д. 79/4</t>
  </si>
  <si>
    <t>ул. Новгородская, д. 4</t>
  </si>
  <si>
    <t>Лермонтовский пер., д. 16</t>
  </si>
  <si>
    <t>ул. 4-я Пролетарская, д. 98/2</t>
  </si>
  <si>
    <t>ул. Московская, д. 1</t>
  </si>
  <si>
    <t>ул. Киевская, д. 3</t>
  </si>
  <si>
    <t>Горняцкое с/п</t>
  </si>
  <si>
    <t>Холохоленское с/п</t>
  </si>
  <si>
    <t>п. Пено</t>
  </si>
  <si>
    <t>пгт. Сонково</t>
  </si>
  <si>
    <t>г. Бежецк, ул. Нечаева, д. 5</t>
  </si>
  <si>
    <t>ул. Баумана, д. 25</t>
  </si>
  <si>
    <t>ул. Правды,  д. 26</t>
  </si>
  <si>
    <t>ул. Правды,  д. 28</t>
  </si>
  <si>
    <t>ул. Баумана, д. 9</t>
  </si>
  <si>
    <t>Ванчакова линия, д. 5</t>
  </si>
  <si>
    <t>Ванчакова линия, д. 7</t>
  </si>
  <si>
    <t>Ванчакова линия, д. 9</t>
  </si>
  <si>
    <t>Ванчакова линия, д. 25</t>
  </si>
  <si>
    <t>Ванчакова линия, д. 29</t>
  </si>
  <si>
    <t>Ванчакова линия, д. 43</t>
  </si>
  <si>
    <t>Ванчакова линия, д. 53</t>
  </si>
  <si>
    <t>Ванчакова линия, д. 69а</t>
  </si>
  <si>
    <t>Ванчакова линия, д. 77/1</t>
  </si>
  <si>
    <t>бревенчатые</t>
  </si>
  <si>
    <t>ул. Цюрупы, д. 4</t>
  </si>
  <si>
    <t>Тургеневский пер., д. 7</t>
  </si>
  <si>
    <t>Бейшлотская наб., д. 127</t>
  </si>
  <si>
    <t>Бейшлотская наб., д. 127а</t>
  </si>
  <si>
    <t>ул. Мичурина, д. 3</t>
  </si>
  <si>
    <t>Тверской пер., д. 11/2</t>
  </si>
  <si>
    <t>ул. М. Расковой, д. 79/82</t>
  </si>
  <si>
    <t>Казанский пр-т, д. 66/57</t>
  </si>
  <si>
    <t>Казанский пр-т, д. 86</t>
  </si>
  <si>
    <t>Казанский пр-т, д. 39-45</t>
  </si>
  <si>
    <t>ул. Сиверсова, д. 5-9</t>
  </si>
  <si>
    <t>шлакоблочные</t>
  </si>
  <si>
    <t>фундам.</t>
  </si>
  <si>
    <t>ул. Старицкая, д. 100</t>
  </si>
  <si>
    <t>ул. Падерина, д. 1</t>
  </si>
  <si>
    <t>ул. Школьная, д. 42</t>
  </si>
  <si>
    <t>ул. Зеленая, д. 2</t>
  </si>
  <si>
    <t>ул. Восточная, д. 1</t>
  </si>
  <si>
    <t>ул. Северная, д. 5а</t>
  </si>
  <si>
    <t>ул. Восточная, д. 25</t>
  </si>
  <si>
    <t>ул. им. Василенкова, д. 3</t>
  </si>
  <si>
    <t>ул. им Смирнова, д. 20</t>
  </si>
  <si>
    <t>Итого по Бурашевское сельское поселение</t>
  </si>
  <si>
    <t>д. Езвино, д. 7</t>
  </si>
  <si>
    <t>д. Езвино, д. 9</t>
  </si>
  <si>
    <t>керамзитовые блоки</t>
  </si>
  <si>
    <t>ул. Ленина, д. 36</t>
  </si>
  <si>
    <t>ул. Ленина, д. 28</t>
  </si>
  <si>
    <t>ул. Ленина, д. 34</t>
  </si>
  <si>
    <t>ул. Ленина, д. 39</t>
  </si>
  <si>
    <t>ул. Речная, д. 1</t>
  </si>
  <si>
    <t>Итого по Городенское сельское поселение</t>
  </si>
  <si>
    <r>
      <t>с. Городня, ул. Садовая, д.</t>
    </r>
    <r>
      <rPr>
        <sz val="12"/>
        <color theme="1"/>
        <rFont val="Calibri"/>
        <family val="2"/>
        <charset val="204"/>
      </rPr>
      <t> 2</t>
    </r>
  </si>
  <si>
    <t>д. Заполок, д. 1</t>
  </si>
  <si>
    <t>д. Заполок, д. 2</t>
  </si>
  <si>
    <t>ул. Михаила Калинина, д. 8/3</t>
  </si>
  <si>
    <t>ул. Ивана Тургенева, д. 3а</t>
  </si>
  <si>
    <t>ул. Карла Маркса, д. 21а</t>
  </si>
  <si>
    <t>ул. Ленина, д. 49б</t>
  </si>
  <si>
    <t>ул. Ленина,д. 60</t>
  </si>
  <si>
    <t>пл. Пролетарская, д. 13</t>
  </si>
  <si>
    <t>ул. Профсоюзов, д. 8</t>
  </si>
  <si>
    <t>ул. Республиканская, д. 3</t>
  </si>
  <si>
    <t>ул. Вонжинская, д. 15</t>
  </si>
  <si>
    <t>ул. Карла Маркса, д. 38</t>
  </si>
  <si>
    <t>ул. Ленина, д. 49а</t>
  </si>
  <si>
    <t>ул. Ленина, д. 52а</t>
  </si>
  <si>
    <t>ул. Ленина, д. 54а</t>
  </si>
  <si>
    <t>ул. Песочная, д. 8</t>
  </si>
  <si>
    <t>пл. Петровой, д. 7</t>
  </si>
  <si>
    <t>ул. Чистопрудная, д. 23</t>
  </si>
  <si>
    <t>ул. Заводская, д. 6</t>
  </si>
  <si>
    <t>ул. Николая Гоголя, д. 2а</t>
  </si>
  <si>
    <t>ул. Песочная, д. 9</t>
  </si>
  <si>
    <t>ул. Строителей, д. 20</t>
  </si>
  <si>
    <t>пл. Республиканская, д. 2а</t>
  </si>
  <si>
    <t>ул. Московская, д. 18</t>
  </si>
  <si>
    <t>мкр. Заозерный, д. 2</t>
  </si>
  <si>
    <t>мкр. Заозерный, д. 22</t>
  </si>
  <si>
    <t>ул. Луначарского, д. 35</t>
  </si>
  <si>
    <t>ул. Мира, д. 195</t>
  </si>
  <si>
    <t>мкр. Заозерный, д. 1</t>
  </si>
  <si>
    <t>ул. Дачная, д. 13</t>
  </si>
  <si>
    <t>ул. Октябрьская, д. 15</t>
  </si>
  <si>
    <t>ул. Кирова, д. 1</t>
  </si>
  <si>
    <t>ул. Кирова, д. 20</t>
  </si>
  <si>
    <t>ул. Луначарского, д. 43</t>
  </si>
  <si>
    <t>мкр. Заводской, д. 2</t>
  </si>
  <si>
    <t>ул. Северная, д. 15</t>
  </si>
  <si>
    <t>ул. Дружбы, д. 2</t>
  </si>
  <si>
    <t>ул. Кирова, д. 24</t>
  </si>
  <si>
    <t>пос. Межа, ул. Ленина, д. 15</t>
  </si>
  <si>
    <t>ул. Баумана, д. 10</t>
  </si>
  <si>
    <t>наб. О. Матвеева, д. 17</t>
  </si>
  <si>
    <t>ул. Лесозаводская, д. 14</t>
  </si>
  <si>
    <t>ул. Урицкого, д. 97</t>
  </si>
  <si>
    <t>ул. Фабричная, д. 7</t>
  </si>
  <si>
    <t>ул. Фабричная, д. 9</t>
  </si>
  <si>
    <t>ул. Фадеева, д. 4</t>
  </si>
  <si>
    <t>ул. Нечаева, д. 2/7</t>
  </si>
  <si>
    <t>ул. Песочная, д. 4</t>
  </si>
  <si>
    <t>ул. Энергетическая, д. 3</t>
  </si>
  <si>
    <t>ул. М.И. Кузнецова, д. 16</t>
  </si>
  <si>
    <t>ул. Инженерная, д. 3</t>
  </si>
  <si>
    <t>ул. Инженерная, д. 6</t>
  </si>
  <si>
    <t>ул. Садовая, д. 20/30</t>
  </si>
  <si>
    <t>ул. Карла Маркса, д. 14</t>
  </si>
  <si>
    <t>ул. Мира, д. 2</t>
  </si>
  <si>
    <t xml:space="preserve">  пгт. Рамешки</t>
  </si>
  <si>
    <t>Нелидовское с/п</t>
  </si>
  <si>
    <t>ул. Робеспьера, д. 5</t>
  </si>
  <si>
    <t>ул. Смольная, д. 46</t>
  </si>
  <si>
    <t>Бетонные</t>
  </si>
  <si>
    <t>ул. Садовая, д. 18А</t>
  </si>
  <si>
    <t>ул. Ленинская, д. 8А</t>
  </si>
  <si>
    <t>с. Городня, ул. Садовая, д. 2</t>
  </si>
  <si>
    <t>Итого по МО город Вышний Волочек</t>
  </si>
  <si>
    <t>Итого по МО город Кимры</t>
  </si>
  <si>
    <t>Итого по МО город Ржев</t>
  </si>
  <si>
    <t>Итого по МО город Торжок</t>
  </si>
  <si>
    <t>Итого по МО городское поселение город Бежецк</t>
  </si>
  <si>
    <t>Итого по МО Городское поселение пос. Жарковский</t>
  </si>
  <si>
    <t>Итого по МО городское поселение пос. Орша</t>
  </si>
  <si>
    <t>Итого по МО Каблуковское сельское поселение</t>
  </si>
  <si>
    <t>Итого по МО городское поселение город Калязин</t>
  </si>
  <si>
    <t>Итого по МО городское поселение пос. Белый Городок</t>
  </si>
  <si>
    <t>Итого по МО городское поселение город Конаково</t>
  </si>
  <si>
    <t>Итого по МО городское поселение пос. Изоплит</t>
  </si>
  <si>
    <t>Итого по МО городское поселение пос. Новозавидовский</t>
  </si>
  <si>
    <t>Итого по МО городское поселение пос. Козлово</t>
  </si>
  <si>
    <t>Итого по МО городское поселение пос. Редкино</t>
  </si>
  <si>
    <t>Итого по МО городское поселение пос. Радченко</t>
  </si>
  <si>
    <t>Итого по МО Городенское сельское поселение</t>
  </si>
  <si>
    <t>Итого по МО городское поселение город Кувшиново</t>
  </si>
  <si>
    <t>Итого по МО городское поселение город Старица</t>
  </si>
  <si>
    <t>Итого по МО Мошковское сельское поселение</t>
  </si>
  <si>
    <t>Итого по МО Яконовское сельское поселение</t>
  </si>
  <si>
    <t>Итого по МО Речанское сельское поселение</t>
  </si>
  <si>
    <t>Итого по МО городское поселение город Торопец</t>
  </si>
  <si>
    <t>Итого по МО городское поселение пос. Фирово</t>
  </si>
  <si>
    <t>Итого по МО город Тверь</t>
  </si>
  <si>
    <t>Итого по МО Приволжское сельское поселение</t>
  </si>
  <si>
    <t>Итого по МО городское поселение поселок Жарковский</t>
  </si>
  <si>
    <t>Итого по МО городское поселение поселок Белый Городок</t>
  </si>
  <si>
    <t>Итого по МО городское поселение поселок Изоплит</t>
  </si>
  <si>
    <t>Итого по МО городское поселение поселок Козлово</t>
  </si>
  <si>
    <t>Итого по МО городское поселение поселок Радченко</t>
  </si>
  <si>
    <t>Итого по МО городское поселение город Бологое</t>
  </si>
  <si>
    <t>Формирование фонда капитального ремонта многоквартирного дома на счете регионального оператора</t>
  </si>
  <si>
    <t>ул. Падерина, д. 3</t>
  </si>
  <si>
    <t>ш. Ленинградское, д. 87В</t>
  </si>
  <si>
    <t>ул. Мира, д. 46</t>
  </si>
  <si>
    <t>Итого по МО городское поселение поселок Орша</t>
  </si>
  <si>
    <t>№ 
п/п</t>
  </si>
  <si>
    <t>ул. Садовая, д. 17/11</t>
  </si>
  <si>
    <t>ул. Советская, д. 2/1</t>
  </si>
  <si>
    <t>ул. Красноармейская, д. 2</t>
  </si>
  <si>
    <t>ул. Красноармейская, д. 3</t>
  </si>
  <si>
    <t>ул. Мира, д. 4</t>
  </si>
  <si>
    <t>ш. Калининское, д. 16Б</t>
  </si>
  <si>
    <t>ш. Калининское, д. 35</t>
  </si>
  <si>
    <t>ул. Труда, д. 5</t>
  </si>
  <si>
    <t>Итого по МО Верхневолжское сельское поселение</t>
  </si>
  <si>
    <t>Итого по МО Щербининское сельское поселение</t>
  </si>
  <si>
    <t>Итого по МО Эммаусское сельское поселение</t>
  </si>
  <si>
    <t>ул. Центральная, д. 10</t>
  </si>
  <si>
    <t>Итого по МО сельское поселение «Завидово»</t>
  </si>
  <si>
    <t>с. Завидово, ул. Школьная, д. 3</t>
  </si>
  <si>
    <t>ул. Бумажников, д. 4</t>
  </si>
  <si>
    <t>ул. Бумажников, д. 10</t>
  </si>
  <si>
    <t>ул. Экономическая, д. 11</t>
  </si>
  <si>
    <t xml:space="preserve">Количество МКД </t>
  </si>
  <si>
    <t>за счет привлеченных средств (кредит)</t>
  </si>
  <si>
    <t>за счет привлеченных средств (рассрочка)</t>
  </si>
  <si>
    <t>Удельная стоимость капитального ремонта 
1 кв. м общей площади помещений МКД</t>
  </si>
  <si>
    <t>Итого по МО сельское поселение «Победа»</t>
  </si>
  <si>
    <t>Итого по МО Осташковский городской округ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</si>
  <si>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
иной специализированный потребительский кооператив, управляющая компания</t>
  </si>
  <si>
    <t>Виды услуг и (или) работ по капитальному ремонту:</t>
  </si>
  <si>
    <t>Итого по МО Удомельский городской округ</t>
  </si>
  <si>
    <t>Итого по МО ЗАТО Солнечный</t>
  </si>
  <si>
    <t>Итого по МО ЗАТО Озерный</t>
  </si>
  <si>
    <t xml:space="preserve">Итого по МО Верхневолжское сельское поселение </t>
  </si>
  <si>
    <t>д. Рязаново, д. 11</t>
  </si>
  <si>
    <t>ул. Рижская, д. 4</t>
  </si>
  <si>
    <t xml:space="preserve">Итого по МО Щербининское сельское поселение </t>
  </si>
  <si>
    <t>ж/д ст. Кузьминка, д. 2</t>
  </si>
  <si>
    <t>ул. Шевченко, д. 99В</t>
  </si>
  <si>
    <t>ул. Энергетиков, д. 4</t>
  </si>
  <si>
    <t>выполнения работ по капитальному ремонту</t>
  </si>
  <si>
    <t>ул. Советская, д. 18</t>
  </si>
  <si>
    <t>ул. Фадеева, д. 8</t>
  </si>
  <si>
    <t>ул. Центральная, д. 14</t>
  </si>
  <si>
    <t>ул. Пионерская, д. 1/10</t>
  </si>
  <si>
    <t>ул. Елисеева, д. 10/75</t>
  </si>
  <si>
    <t>ул. Робеспьера, д. 7</t>
  </si>
  <si>
    <t>Итого по МО Выползовское сельское поселение</t>
  </si>
  <si>
    <t xml:space="preserve">Итого по МО Красногорское сельское поселение </t>
  </si>
  <si>
    <t>Итого по МО сельское поселение Застолбье</t>
  </si>
  <si>
    <t>Наименование муниципального образования 
Тверской области</t>
  </si>
  <si>
    <t>ул. Красноармейская, д. 37</t>
  </si>
  <si>
    <t>ул. Бакунина, д. 8</t>
  </si>
  <si>
    <t>ул. Старицкая, д. 5</t>
  </si>
  <si>
    <t>ул. Быкова гора, д. 1</t>
  </si>
  <si>
    <t xml:space="preserve">Итого по МО Каблуковское сельское поселение </t>
  </si>
  <si>
    <t>5</t>
  </si>
  <si>
    <t>разработки проектной документации, проведения проверки достоверности определения сметной стоимости капитального ремонта</t>
  </si>
  <si>
    <t>ремонт и утепление фасада</t>
  </si>
  <si>
    <t xml:space="preserve">Итого по МО Эммаусское сельское поселение </t>
  </si>
  <si>
    <t>ул. Карла Маркса, д. 73</t>
  </si>
  <si>
    <t>ул. Карла Маркса, д. 58</t>
  </si>
  <si>
    <t>пр. Ленина, д. 11</t>
  </si>
  <si>
    <t>ул. Тимирязева, д. 5/25</t>
  </si>
  <si>
    <t>ул. Робеспьера, д. 1</t>
  </si>
  <si>
    <t>ул. Бехтерева, д. 83/1</t>
  </si>
  <si>
    <t>ул. Декабристов, д. 66</t>
  </si>
  <si>
    <t>Итого по МО Будовское сельское поселение</t>
  </si>
  <si>
    <t>ул. Большая Садовая, д. 55</t>
  </si>
  <si>
    <t>ул. Грацинского, д. 25</t>
  </si>
  <si>
    <t>ул. Карла Маркса, д. 9/32</t>
  </si>
  <si>
    <t>ул. Центральная, д. 7</t>
  </si>
  <si>
    <t>ул. Екатерининская, д. 39</t>
  </si>
  <si>
    <t>ул. Пашинская, д. 11</t>
  </si>
  <si>
    <t>пос. Южный, ул. Маресьева, д. 23</t>
  </si>
  <si>
    <t>Итого по МО Рождественское сельское поселение</t>
  </si>
  <si>
    <t>Итого по МО Нелидовский городской округ</t>
  </si>
  <si>
    <t>Итого по МО Кашинский городской округ</t>
  </si>
  <si>
    <t>ул. Захарова, д. 3</t>
  </si>
  <si>
    <t>ул. Прядильщиков, д. 2</t>
  </si>
  <si>
    <t>ул. Прядильщиков, д. 10</t>
  </si>
  <si>
    <t>Итого по МО Красногорское сельское поселение</t>
  </si>
  <si>
    <t>Итого по МО городское поселение поселок Фирово</t>
  </si>
  <si>
    <t>1980</t>
  </si>
  <si>
    <t>1987</t>
  </si>
  <si>
    <t>1934</t>
  </si>
  <si>
    <t>Плановая дата завершения</t>
  </si>
  <si>
    <t>Площадь помещений МКД</t>
  </si>
  <si>
    <t>за счет средств собственников 
помещений в МКД</t>
  </si>
  <si>
    <t>0,00</t>
  </si>
  <si>
    <t>д. Митьково, д. 3</t>
  </si>
  <si>
    <t>ул. Юбилейная, д. 3</t>
  </si>
  <si>
    <t>ул. Юбилейная, д. 1/2</t>
  </si>
  <si>
    <t>ул. Юбилейная, д. 9</t>
  </si>
  <si>
    <t>ул. Октябрьская, д. 7</t>
  </si>
  <si>
    <t>1986</t>
  </si>
  <si>
    <t>1</t>
  </si>
  <si>
    <t>1985</t>
  </si>
  <si>
    <t>2020</t>
  </si>
  <si>
    <t>1957</t>
  </si>
  <si>
    <t>2</t>
  </si>
  <si>
    <t>655,98</t>
  </si>
  <si>
    <t>2021</t>
  </si>
  <si>
    <t>ул. Александра Невского, д. 2</t>
  </si>
  <si>
    <t xml:space="preserve"> ул. Советская, д. 130р</t>
  </si>
  <si>
    <t>ул. Советская, д. 130у</t>
  </si>
  <si>
    <t>ул. Советская, д. 125б</t>
  </si>
  <si>
    <t xml:space="preserve"> ул. Советская, д. 130у</t>
  </si>
  <si>
    <t>ул. Мира, д. 14</t>
  </si>
  <si>
    <t>ул. Мира,  д. 14</t>
  </si>
  <si>
    <t>ул. Мира, д. 13</t>
  </si>
  <si>
    <t>ул. Комсомольская, д. 11</t>
  </si>
  <si>
    <t>д. Вески, ул. Боровикова, д. 1</t>
  </si>
  <si>
    <t>д. Вески, ул. Боровикова, д. 2</t>
  </si>
  <si>
    <t>д. Вески, ул. Боровикова, д. 4</t>
  </si>
  <si>
    <t>ул. Мира, д. 6</t>
  </si>
  <si>
    <t>ул. Страховая, д. 13</t>
  </si>
  <si>
    <t>пер. 2-й Коммунистический, д. 7</t>
  </si>
  <si>
    <t>ул. Кириллова, д. 7</t>
  </si>
  <si>
    <t>ул. Кириллова, д. 9</t>
  </si>
  <si>
    <t>ул. Кропоткина, д. 12</t>
  </si>
  <si>
    <t>1968</t>
  </si>
  <si>
    <t>1917</t>
  </si>
  <si>
    <t>с. Пушкино, д. 2</t>
  </si>
  <si>
    <t>с. Пушкино, д. 6</t>
  </si>
  <si>
    <t>с. Пушкино, д. 8</t>
  </si>
  <si>
    <t>с. Лесное, ул. 50 лет Октября, д. 34</t>
  </si>
  <si>
    <t>ул. Захарова,  д. 3</t>
  </si>
  <si>
    <t>ул. Ленина,  д. 80</t>
  </si>
  <si>
    <t>ул. Карла Маркса,  д. 60</t>
  </si>
  <si>
    <t>ул. Володарского,  д. 15</t>
  </si>
  <si>
    <t>ул. Чернозерского,  д. 24</t>
  </si>
  <si>
    <t>ул. Адмирала Октябрьского,  д. 7</t>
  </si>
  <si>
    <t>ул. Адмирала Октябрьского,  д. 10</t>
  </si>
  <si>
    <t>ул. Мира,  д. 16</t>
  </si>
  <si>
    <t>ул. Чернозерского,  д. 10</t>
  </si>
  <si>
    <t>ул. Пушкина,  д. 8</t>
  </si>
  <si>
    <t>ул. Завидова, д. 19</t>
  </si>
  <si>
    <t>ул. Коммунистическая, д. 34</t>
  </si>
  <si>
    <t>д. Барановка, д. 1</t>
  </si>
  <si>
    <t>д. Барановка, д. 2</t>
  </si>
  <si>
    <t>Итого по МО Великооктябрьское городское поселение</t>
  </si>
  <si>
    <t>Итого по МО Великооктябрьское городское поселение 
пос. Великооктябрьский</t>
  </si>
  <si>
    <t xml:space="preserve">Итого по МО Великооктябрьское городское поселение </t>
  </si>
  <si>
    <t>Итого по МО 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</si>
  <si>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</si>
  <si>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</si>
  <si>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</si>
  <si>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</si>
  <si>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Итого по МО сельское поселение «Хорошево»</t>
  </si>
  <si>
    <t>д. Хорошево, д. 3</t>
  </si>
  <si>
    <t>д. Хорошево, д. 4</t>
  </si>
  <si>
    <t xml:space="preserve">ул. Коминтерна, д. 73           </t>
  </si>
  <si>
    <t xml:space="preserve">ул. Урицкого, д. 28                 </t>
  </si>
  <si>
    <t xml:space="preserve">ул. Коминтерна, д. 105           </t>
  </si>
  <si>
    <t xml:space="preserve">ул. Волжская, д. 33       </t>
  </si>
  <si>
    <t xml:space="preserve">ул. К. Либкнехта, д. 43           </t>
  </si>
  <si>
    <t xml:space="preserve">ул. Дзержинского, д. 10       </t>
  </si>
  <si>
    <t xml:space="preserve">ул. Декабристов, д. 11  </t>
  </si>
  <si>
    <t>ул. Ленина, д. 41/3</t>
  </si>
  <si>
    <t xml:space="preserve">ул. Шорина, д. 18       </t>
  </si>
  <si>
    <t xml:space="preserve">ул. Декабристов, д. 4        </t>
  </si>
  <si>
    <t xml:space="preserve">ул. Коминтерна, д. 78            </t>
  </si>
  <si>
    <t xml:space="preserve">ул. Коминтерна, д. 76                   </t>
  </si>
  <si>
    <t xml:space="preserve">ул. Шорина, д. 15                </t>
  </si>
  <si>
    <t xml:space="preserve">ул. Коминтерна, д. 44          </t>
  </si>
  <si>
    <t xml:space="preserve">ул. Коминтерна, д. 32     </t>
  </si>
  <si>
    <t>наб. рядового Николаева, д. 13</t>
  </si>
  <si>
    <t>пер. Остречинский, д. 6</t>
  </si>
  <si>
    <t xml:space="preserve">Итого по МО Славновское сельское поселение </t>
  </si>
  <si>
    <t>с. Беле-Кушальское, д. 2</t>
  </si>
  <si>
    <t>Итого по МО Славновское сельское поселение</t>
  </si>
  <si>
    <t>пос. Граничный, д. 10</t>
  </si>
  <si>
    <t>пос. Труд, ул. Пушкина, д. 31</t>
  </si>
  <si>
    <t>пос. Граничный, д. 14</t>
  </si>
  <si>
    <t>Итого по МО Емельяновское сельское поселение</t>
  </si>
  <si>
    <t>пос. Славный, ул. Школьная, д. 12</t>
  </si>
  <si>
    <t>с. Святое, ул. Первомайская, д. 11</t>
  </si>
  <si>
    <t>д. Жданово, Микрорайон, д. 1</t>
  </si>
  <si>
    <t>ул. Студенческая, д. 13</t>
  </si>
  <si>
    <t>ул.Студенческая, д. 12</t>
  </si>
  <si>
    <t>ул. Студенческая, д. 9</t>
  </si>
  <si>
    <t>ул. Студенческая, д. 6</t>
  </si>
  <si>
    <t>ул. Бакунина, д. 5</t>
  </si>
  <si>
    <t>ул. Падерина, д. 4</t>
  </si>
  <si>
    <t>ул. М.Горького, д. 40</t>
  </si>
  <si>
    <t xml:space="preserve">ул. Студенческая, д. 11 </t>
  </si>
  <si>
    <t>ул. Горького, д. 55</t>
  </si>
  <si>
    <t>пер. Железнодорожный, д. 8</t>
  </si>
  <si>
    <t>ул. Мира, д. 40</t>
  </si>
  <si>
    <t>ул. Луначарского, д. 14</t>
  </si>
  <si>
    <t>ул. Красноармейская, д. 12</t>
  </si>
  <si>
    <t>ул. Падерина, д. 2</t>
  </si>
  <si>
    <t>ул. Падерина, д. 6</t>
  </si>
  <si>
    <t>ул. Энгельса, д. 10</t>
  </si>
  <si>
    <t>ул. Белинского, д. 5</t>
  </si>
  <si>
    <t>ул. М.Горького, д. 44</t>
  </si>
  <si>
    <t>ул. Зеленый городок, д. 6</t>
  </si>
  <si>
    <t>ул. Падерина, д. 8</t>
  </si>
  <si>
    <t>ул. Зеленый городок, д. 8</t>
  </si>
  <si>
    <t>ул. Баскакова, д. 7</t>
  </si>
  <si>
    <t>ул. Баскакова, д. 9</t>
  </si>
  <si>
    <t>пр. Ленина, д. 8</t>
  </si>
  <si>
    <t>пр. Ленина, д. 19</t>
  </si>
  <si>
    <t>пр. Ленина, д. 18</t>
  </si>
  <si>
    <t>ул. Советская, д. 16</t>
  </si>
  <si>
    <t>ул. Крупская, д. 1</t>
  </si>
  <si>
    <t>ул. Декабристов, д. 22</t>
  </si>
  <si>
    <t>ул. Энергетиков, д. 35</t>
  </si>
  <si>
    <t>ул. Энергетиков, д. 5</t>
  </si>
  <si>
    <t>ул. Гагарина, д. 8</t>
  </si>
  <si>
    <t>ул. Учебная, д. 13</t>
  </si>
  <si>
    <t>пр. Ленина, д. 1</t>
  </si>
  <si>
    <t xml:space="preserve">ул. Баскакова,  д. 1 </t>
  </si>
  <si>
    <t>ул. Гагарина,  д. 16</t>
  </si>
  <si>
    <t>пр-т Ленина,  д. 4</t>
  </si>
  <si>
    <t>ул. Энергетиков,  д .34</t>
  </si>
  <si>
    <t>пр-т Ленина,  д. 12</t>
  </si>
  <si>
    <t>ул. Энергетиков,  д. 34</t>
  </si>
  <si>
    <t>пр-т Ленина, д. 11</t>
  </si>
  <si>
    <t xml:space="preserve"> ул. Строителей, д. 20</t>
  </si>
  <si>
    <t>Бейшлотская набережная, д. 127</t>
  </si>
  <si>
    <t>Тверской переулок, д. 11/2</t>
  </si>
  <si>
    <t>пос. Изоплит, ул. Школьная, д. 6</t>
  </si>
  <si>
    <t>пос. Озерки, ул. Октябрьская, д. 7</t>
  </si>
  <si>
    <t xml:space="preserve">Итого по МО Заволжское сельское поселение </t>
  </si>
  <si>
    <t>Итого по МО Заволжское сельское поселение</t>
  </si>
  <si>
    <t>Итого по МО Титовское сельское поселение</t>
  </si>
  <si>
    <t>д. Титово, ул. Центральная, д. 5</t>
  </si>
  <si>
    <t>ул. Совхозная, д. 1</t>
  </si>
  <si>
    <t>ул. Маяковского, д. 18</t>
  </si>
  <si>
    <t>1992</t>
  </si>
  <si>
    <t>ул. Маяковского, д. 22</t>
  </si>
  <si>
    <t>1983</t>
  </si>
  <si>
    <t>ул. Труда, д. 2</t>
  </si>
  <si>
    <t>ул. Труда, д. 3</t>
  </si>
  <si>
    <t>ул. Труда, д. 4</t>
  </si>
  <si>
    <t>ул. Строителей, д. 1</t>
  </si>
  <si>
    <t>пер. Садовый, д. 3</t>
  </si>
  <si>
    <t>ул. Московская, д. 2</t>
  </si>
  <si>
    <t>ул. Московская, д. 4</t>
  </si>
  <si>
    <t>пер. Садовый, д. 4</t>
  </si>
  <si>
    <t>д. Мокшино, ул. Ленинградская, д. 2</t>
  </si>
  <si>
    <t>мкр. Заводской, д. 11</t>
  </si>
  <si>
    <t>мкр. Заводской, д. 12</t>
  </si>
  <si>
    <t>ул. Народная, д. 5</t>
  </si>
  <si>
    <t>ул. Народная, д. 6</t>
  </si>
  <si>
    <t>мкр. Западный, д. 2</t>
  </si>
  <si>
    <t>пл. Ленина, д. 8</t>
  </si>
  <si>
    <t>ул. Дачная, д. 19</t>
  </si>
  <si>
    <t>мкр. Заводской, д. 15</t>
  </si>
  <si>
    <t>ул. Совхозная, д. 29</t>
  </si>
  <si>
    <t>мкр. Заозерный, д. 14</t>
  </si>
  <si>
    <t>ул. Прядильщиков, д. 16</t>
  </si>
  <si>
    <t>ул. Прядильщиков, д. 4</t>
  </si>
  <si>
    <t>ул. Октябрьская, д. 45</t>
  </si>
  <si>
    <t>Итого по МО городское поселение пос. Васильевский Мох</t>
  </si>
  <si>
    <t>ул. Смирнова, д. 13</t>
  </si>
  <si>
    <t>Итого по МО городское поселение поселок Васильевский Мох</t>
  </si>
  <si>
    <t>Итого по МО Первомайское сельское поселение</t>
  </si>
  <si>
    <t>д. Поповское, ул. Новая, д. 6</t>
  </si>
  <si>
    <t>пос. Радченко, д. 43</t>
  </si>
  <si>
    <t>пос. Радченко, д. 7</t>
  </si>
  <si>
    <t>пос. Радченко, д. 11</t>
  </si>
  <si>
    <t xml:space="preserve">Итого по МО Никулинское сельское поселение </t>
  </si>
  <si>
    <t>д. Никулино, ул. Юбилейная, д. 1</t>
  </si>
  <si>
    <t>с. Никольское, д. 4</t>
  </si>
  <si>
    <t>с. Никольское, д. 3</t>
  </si>
  <si>
    <t>Итого по МО Никулинское сельское поселение</t>
  </si>
  <si>
    <t>ул. Академическая, д. 4</t>
  </si>
  <si>
    <t>ул. Гагарина, д. 9</t>
  </si>
  <si>
    <t>ул. Парковая, д. 14</t>
  </si>
  <si>
    <t>ул. Академическая, д. 2</t>
  </si>
  <si>
    <t>ул. Геофизиков, д. 4</t>
  </si>
  <si>
    <t>ул. Ленинградская, д. 34</t>
  </si>
  <si>
    <t>ул. Парковая, д. 39</t>
  </si>
  <si>
    <t>пр. Химиков, д. 41</t>
  </si>
  <si>
    <t>Итого по МО городское поселение поселок Редкино</t>
  </si>
  <si>
    <t>Весьегонский муниципальный округ</t>
  </si>
  <si>
    <t>Новгородская наб., д. 1Б</t>
  </si>
  <si>
    <t>ул. Лермонтова, д. 8</t>
  </si>
  <si>
    <t>ул. Дзержинского, д. 113</t>
  </si>
  <si>
    <t>ул. Красноармейская, д. 19</t>
  </si>
  <si>
    <t>ул. Пролетарская, д. 36</t>
  </si>
  <si>
    <t>ул. Пролетарская, д. 38</t>
  </si>
  <si>
    <t>ул. Осташковская, д. 50</t>
  </si>
  <si>
    <t>ул. Кутузова, д. 1</t>
  </si>
  <si>
    <t>ул. Мира, д. 8</t>
  </si>
  <si>
    <t>Щитовые</t>
  </si>
  <si>
    <t>ул. Доватора, д. 11 </t>
  </si>
  <si>
    <t>ул. Доватора, д. 8 </t>
  </si>
  <si>
    <t>Итого по МО Фировское городское поселение</t>
  </si>
  <si>
    <t>т/б Сокол, д. 17</t>
  </si>
  <si>
    <t>с. Погорелое Городище, ул. Вокзальная, д. 13</t>
  </si>
  <si>
    <t>с. Рождествено, 
ул. Советская, д. 58</t>
  </si>
  <si>
    <t>Итого по МО Печетовское сельское поселение</t>
  </si>
  <si>
    <t>д. Паскино, ул. Молодежная, д. 4</t>
  </si>
  <si>
    <t>д. Паскино, ул. Молодежная, д. 2</t>
  </si>
  <si>
    <t>пос. Славный, ул. Парковая, д. 1/6</t>
  </si>
  <si>
    <t>пос. Выползово, ул. Березовая роща, д. 10</t>
  </si>
  <si>
    <t>пос. Приволжский, 
ул. Центральная, д. 10</t>
  </si>
  <si>
    <t>Итого по МО Вышневолоцкий городской округ</t>
  </si>
  <si>
    <t>ул. Степана Разина, д. 1</t>
  </si>
  <si>
    <t>пл. Советская, д. 1/4</t>
  </si>
  <si>
    <t>пл. Советская, д. 7</t>
  </si>
  <si>
    <t>пл. Советская, д. 8</t>
  </si>
  <si>
    <t>пл. Советская, д. 9</t>
  </si>
  <si>
    <t>пл. Советская, д. 10</t>
  </si>
  <si>
    <t>ул. Большевистская, д. 1</t>
  </si>
  <si>
    <t>ул. Урицкого, д. 88</t>
  </si>
  <si>
    <t>ул. Челюскинцев, д. 37</t>
  </si>
  <si>
    <t>ул. Большевистская, д. 46</t>
  </si>
  <si>
    <t>ул. Пархоменко, д. 14</t>
  </si>
  <si>
    <t>ул. Краностроителей, д. 12</t>
  </si>
  <si>
    <t>ул. Разина, д. 3</t>
  </si>
  <si>
    <t>ул. Челюскинцев, д. 36</t>
  </si>
  <si>
    <t>ул. Центральная, д. 12</t>
  </si>
  <si>
    <t>ул. Профсоюзная, д. 5</t>
  </si>
  <si>
    <t>пос. Нижний Бор, д. 2</t>
  </si>
  <si>
    <t>Советская пл., д. 2/1</t>
  </si>
  <si>
    <t>Фабричный пр., д. 1</t>
  </si>
  <si>
    <t>Советская пл., д. 17</t>
  </si>
  <si>
    <t>ул. Бехтерева, д. 82</t>
  </si>
  <si>
    <t>ул. Бехтерева, д. 84</t>
  </si>
  <si>
    <t>ул. Ленина, д. 18</t>
  </si>
  <si>
    <t>Советская пл.,  д. 9</t>
  </si>
  <si>
    <t xml:space="preserve">ул. Б. Спасская, д. 30 </t>
  </si>
  <si>
    <t>Советская пл.,  д. 3</t>
  </si>
  <si>
    <t>Советская пл.,  д. 4</t>
  </si>
  <si>
    <t>ул. Ленина,  д. 22</t>
  </si>
  <si>
    <t>ул. Ленина, д. 26</t>
  </si>
  <si>
    <t>Ленинградское ш., д. 29</t>
  </si>
  <si>
    <t>ул. Ленина, д. 19</t>
  </si>
  <si>
    <t>пл. Коммуны, д. 4</t>
  </si>
  <si>
    <t>пл. Коммуны, д. 6</t>
  </si>
  <si>
    <t>Советская пл., д. 10</t>
  </si>
  <si>
    <t>Советская пл.,  д. 1/4</t>
  </si>
  <si>
    <t>Советская пл.,  д. 7</t>
  </si>
  <si>
    <t>Советская пл., д. 8</t>
  </si>
  <si>
    <t>пгт. Орша, ул. Октябрьская, д. 4</t>
  </si>
  <si>
    <t>6</t>
  </si>
  <si>
    <t>2022</t>
  </si>
  <si>
    <t>ш. Ленинградское, д. 41</t>
  </si>
  <si>
    <t>Андреапольский муниципальный округ</t>
  </si>
  <si>
    <t>ул. Малая Самара, д. 9</t>
  </si>
  <si>
    <t>наб. Мигаловская, д. 8</t>
  </si>
  <si>
    <t>ш. Сахаровское, д. 16</t>
  </si>
  <si>
    <t>ул. Артюхиной, д. 26</t>
  </si>
  <si>
    <t>пр-т Ленина, д. 28</t>
  </si>
  <si>
    <t>ул. Маяковского, д. 48</t>
  </si>
  <si>
    <t>пер. Спортивный,  д. 2, корп. 3</t>
  </si>
  <si>
    <t>пер. Артиллерийский, д. 13</t>
  </si>
  <si>
    <t>пр-т Победы, д. 57</t>
  </si>
  <si>
    <t>ул. Вольного Новгорода, д. 23</t>
  </si>
  <si>
    <t>ул. Маршала Буденного, д. 19/1</t>
  </si>
  <si>
    <t>ш. Петербургское, д. 32</t>
  </si>
  <si>
    <t>ул. Бобкова, д. 26, корп. 8</t>
  </si>
  <si>
    <t>ул. Терещенко, д. 32/14</t>
  </si>
  <si>
    <t>ул. Громова, д. 11, корп. 3</t>
  </si>
  <si>
    <t>ул. Склизкова, д. 33</t>
  </si>
  <si>
    <t>пр-т Волоколамский, д. 8</t>
  </si>
  <si>
    <t>ул. Склизкова, д. 31</t>
  </si>
  <si>
    <t>ул. Горького, д. 104</t>
  </si>
  <si>
    <t>ул. Склизкова, д. 35</t>
  </si>
  <si>
    <t>ул. Склизкова, д. 27</t>
  </si>
  <si>
    <t>пос.  Литвинки, д. 23</t>
  </si>
  <si>
    <t>ул. Фадеева, д. 28, корп. 1</t>
  </si>
  <si>
    <t>ул. Московская, д. 24, корп. 2</t>
  </si>
  <si>
    <t>ул. Лукина, д. 6</t>
  </si>
  <si>
    <t>пер. Садовый, д. 22</t>
  </si>
  <si>
    <t>пр-т Калинина, д. 14</t>
  </si>
  <si>
    <t>пр-т Ленина, д. 41</t>
  </si>
  <si>
    <t>ул. Склизкова, д. 68</t>
  </si>
  <si>
    <t>ул. 15 лет Октября, д. 54/62</t>
  </si>
  <si>
    <t>ул. Вагжанова, д. 10</t>
  </si>
  <si>
    <t>ул. Инициативная, д. 9/9</t>
  </si>
  <si>
    <t>ул. Маршала Буденного, д. 13</t>
  </si>
  <si>
    <t>пр-т Чайковского, д. 37</t>
  </si>
  <si>
    <t>ул. Благоева, д. 3, корп. 2</t>
  </si>
  <si>
    <t>ул. Склизкова, д. 29</t>
  </si>
  <si>
    <t>ул. Софьи Перовской, д. 26</t>
  </si>
  <si>
    <t>ул. Железнодорожников, д. 28</t>
  </si>
  <si>
    <t>пр-т Ленина, д. 42</t>
  </si>
  <si>
    <t>ул. Лизы Чайкиной, д. 25/2б</t>
  </si>
  <si>
    <t>ул. Можайского, д. 61б</t>
  </si>
  <si>
    <t>пер. Свободный, д. 1г</t>
  </si>
  <si>
    <t>ул. Кирова, д. 5а</t>
  </si>
  <si>
    <t>ул. Ржевская, д. 8а</t>
  </si>
  <si>
    <t>наб. Афанасия Никитина, д. 148</t>
  </si>
  <si>
    <t>пр-т Ленина, д. 14, корп. 2</t>
  </si>
  <si>
    <t>ул. Кирова, д. 7а</t>
  </si>
  <si>
    <t>пер. Партизанский, д.  22/8</t>
  </si>
  <si>
    <t>пр-т Волоколамский, д. 5</t>
  </si>
  <si>
    <t>ул. Ипподромная, д. 24</t>
  </si>
  <si>
    <t>пос. Химинститута, д. 6</t>
  </si>
  <si>
    <t>ул. Склизкова, д. 103</t>
  </si>
  <si>
    <t>пер. Спортивный, д. 3а</t>
  </si>
  <si>
    <t>ул. Горького, д. 19</t>
  </si>
  <si>
    <t>пр-т Ленина, д. 27</t>
  </si>
  <si>
    <t>ул. 15 лет Октября, д. 48/15</t>
  </si>
  <si>
    <t>ул. Ржевская, д. 11</t>
  </si>
  <si>
    <t>наб. Афанасия Никитина, д. 74</t>
  </si>
  <si>
    <t>ул. Вокзальная, д. 5</t>
  </si>
  <si>
    <t>ул. Советская, д. 64</t>
  </si>
  <si>
    <t>пер. Перекопский, д. 15а</t>
  </si>
  <si>
    <t>наб. реки Лазури, д. 10</t>
  </si>
  <si>
    <t>ул. Ипподромная, д. 21</t>
  </si>
  <si>
    <t xml:space="preserve">пос. Газовый, д. 1 </t>
  </si>
  <si>
    <t>пр-т Казанский, д. 86</t>
  </si>
  <si>
    <t>пос. Приозерный, ул. Дорожная, д. 6</t>
  </si>
  <si>
    <t>пос. Академический, ул. Октябрьская, д. 1</t>
  </si>
  <si>
    <t>наб. Фадеева, д. 4а</t>
  </si>
  <si>
    <t>ш. Ленинградское, д. 7</t>
  </si>
  <si>
    <t>ул. Калинина, д. 51а</t>
  </si>
  <si>
    <t>ш. Московское, д. 9</t>
  </si>
  <si>
    <t>наб. Красноармейская, д. 30/1</t>
  </si>
  <si>
    <t>ш. Ленинградское, д. 33</t>
  </si>
  <si>
    <t>ул. Студенческая, д. 7</t>
  </si>
  <si>
    <t>ул. Студенческая, д. 7а</t>
  </si>
  <si>
    <t>ул. Студенческая, д. 12</t>
  </si>
  <si>
    <t>ул. Л. Толстого, д. 5</t>
  </si>
  <si>
    <t>ул. Инженерная, д. 11/8</t>
  </si>
  <si>
    <t>ул. Кашинская, д. 31</t>
  </si>
  <si>
    <t>ул. Остречинская, д. 4</t>
  </si>
  <si>
    <t>ул. Песочная, д. 10</t>
  </si>
  <si>
    <t>пер. Остречинский, д. 17</t>
  </si>
  <si>
    <t>ул. Новая, д. 59</t>
  </si>
  <si>
    <t>ул. Нечаева, д. 23</t>
  </si>
  <si>
    <t>ул. Мира, д. 2/50</t>
  </si>
  <si>
    <t>ул. Инженерная, д. 1</t>
  </si>
  <si>
    <t>ул. Рабочая, д. 10/5</t>
  </si>
  <si>
    <t>ул. Нечаева, д. 16</t>
  </si>
  <si>
    <t>ул. Новая, д. 68</t>
  </si>
  <si>
    <t>ул. Дружбы, д. 5б</t>
  </si>
  <si>
    <t>ул. Луначарского, д. 31а</t>
  </si>
  <si>
    <t>ул. Почтовая, д. 20а</t>
  </si>
  <si>
    <t>пос. Заволжский, д. 19</t>
  </si>
  <si>
    <t>д. Колталово, ул. Зеленая, д. 15</t>
  </si>
  <si>
    <t>ул. Юбилейная, д. 6а</t>
  </si>
  <si>
    <t>пос. Эммаусс, д. 2</t>
  </si>
  <si>
    <t>пос. Эммаусс, д. 7а</t>
  </si>
  <si>
    <t>ул. Васильковского, д. 1а</t>
  </si>
  <si>
    <t>ул. Васильковского, д. 1б</t>
  </si>
  <si>
    <t>ул. Учебная, д. 15а</t>
  </si>
  <si>
    <t>с. Лесное, ул. Советская, д. 3а</t>
  </si>
  <si>
    <t>д. Каменка, ул. Центральная, д. 7а</t>
  </si>
  <si>
    <t>пос. Славный, ул. Школьная, д. 12а</t>
  </si>
  <si>
    <t>пос. Великооктябрьский, ул. Советская, д. 2</t>
  </si>
  <si>
    <t>ул. Восстания, д. 38</t>
  </si>
  <si>
    <t>ул. Громова, д. 11, корп. 1</t>
  </si>
  <si>
    <t>ул. Мусоргского, д. 35</t>
  </si>
  <si>
    <t>ул. Бобкова, д. 13</t>
  </si>
  <si>
    <t>ул. Зинаиды Коноплянниковой, д. 8</t>
  </si>
  <si>
    <t>ул. Гвардейская, д. 14</t>
  </si>
  <si>
    <t>ул. Фадеева, д. 26, корп. 1</t>
  </si>
  <si>
    <t>пр-т Победы, д. 22/15</t>
  </si>
  <si>
    <t>ул. Маршала Захарова, д. 12</t>
  </si>
  <si>
    <t>ул. Севастьянова, д. 11</t>
  </si>
  <si>
    <t>пер. Трудолюбия, д. 34, корп. 1</t>
  </si>
  <si>
    <t>ул. Лукина, д. 10</t>
  </si>
  <si>
    <t>пос. Химинститута, д. 11</t>
  </si>
  <si>
    <t>ул. Кирова, д. 9а</t>
  </si>
  <si>
    <t>ул. Александра Томского, д. 8/1</t>
  </si>
  <si>
    <t>пос. Химинститута, д. 17</t>
  </si>
  <si>
    <t>ул. Фадеева, д. 14</t>
  </si>
  <si>
    <t>ул. Горького, д. 4а</t>
  </si>
  <si>
    <t>ул. Оборонная, д. 9/27</t>
  </si>
  <si>
    <t>ул. Ротмистрова, д. 16</t>
  </si>
  <si>
    <t>пос. Химинститута, д. 12</t>
  </si>
  <si>
    <t>ул. Терещенко, д. 36</t>
  </si>
  <si>
    <t>ш. Сахаровское, д. 22</t>
  </si>
  <si>
    <t>пос. Химинститута, д. 21</t>
  </si>
  <si>
    <t>пос. Химинститута, д. 20</t>
  </si>
  <si>
    <t>ул. Ипподромная, д. 19</t>
  </si>
  <si>
    <t>ул. Коробкова, д. 13</t>
  </si>
  <si>
    <t>ул. Седова, д. 120а</t>
  </si>
  <si>
    <t>ул. Кирова, д. 3а</t>
  </si>
  <si>
    <t>ул. Ипподромная, д. 6</t>
  </si>
  <si>
    <t>пр-т Ленина, д. 34</t>
  </si>
  <si>
    <t>ул. Лукина, д. 12</t>
  </si>
  <si>
    <t>ул. Восстания, д. 11/34</t>
  </si>
  <si>
    <t>ул. Резинстроя, д. 8, корп. 2</t>
  </si>
  <si>
    <t>ул. Горького, д. 15</t>
  </si>
  <si>
    <t>ул. Бобкова, д. 24, корп. 3</t>
  </si>
  <si>
    <t>пр-т Ленина, д. 36</t>
  </si>
  <si>
    <t>ул. Александра Попова, д. 38/2</t>
  </si>
  <si>
    <t>ул. Орджоникидзе, д. 46, корп. 1</t>
  </si>
  <si>
    <t>ул. Горького, д. 184</t>
  </si>
  <si>
    <t>ул. Шевченко, д. 7а</t>
  </si>
  <si>
    <t>ш. Калининское, д. 24а</t>
  </si>
  <si>
    <t>ул. Студенческая, д. 18а</t>
  </si>
  <si>
    <t>ш. Ленинградское, д. 91</t>
  </si>
  <si>
    <t>ул. Киевская, д. 5а</t>
  </si>
  <si>
    <t>ул. Восточный проезд, д. 22</t>
  </si>
  <si>
    <t>ул. Спасская, д. 21/28</t>
  </si>
  <si>
    <t>ул. Нечаева, д. 6</t>
  </si>
  <si>
    <t>ул. Радищева, д. 5/35</t>
  </si>
  <si>
    <t>ул. Чехова, д. 10</t>
  </si>
  <si>
    <t>ул. Ленинская, д. 4а</t>
  </si>
  <si>
    <t>ул. Дачная, д. 12а</t>
  </si>
  <si>
    <t>пр-т Ленина, д. 8</t>
  </si>
  <si>
    <t>пр-т Ленина, д. 19</t>
  </si>
  <si>
    <t>пр-т Ленина, д. 18</t>
  </si>
  <si>
    <t>пос. Великооктябрьский, ул. Советская, д. 4</t>
  </si>
  <si>
    <t>ул. Паши Савельевой, д. 35, корп. 4</t>
  </si>
  <si>
    <t>пос. Химинститута, д. 40</t>
  </si>
  <si>
    <t>ул. Орджоникидзе, д. 23</t>
  </si>
  <si>
    <t>пр-т Ленина, д. 43</t>
  </si>
  <si>
    <t>ул. Благоева, д. 6а</t>
  </si>
  <si>
    <t>ул. Королева, д. 14/2</t>
  </si>
  <si>
    <t>пр-т Ленина, д. 23/1</t>
  </si>
  <si>
    <t>ш. Петербургское, д. 118</t>
  </si>
  <si>
    <t>пер. Садовый, д. 20</t>
  </si>
  <si>
    <t>пр-т Волоколамский, д. 9</t>
  </si>
  <si>
    <t>ул. Склизкова, д. 56/20</t>
  </si>
  <si>
    <t>ул. 15 лет Октября, д. 3/22</t>
  </si>
  <si>
    <t>ул. Орджоникидзе, д. 44</t>
  </si>
  <si>
    <t>ул. Виноградова, д. 1</t>
  </si>
  <si>
    <t>ул. Терещенко, д. 26</t>
  </si>
  <si>
    <t>ш. Ленинградское, д. 54а</t>
  </si>
  <si>
    <t>ш. Ленинградское, д. 71</t>
  </si>
  <si>
    <t>пер. Южный, д. 10</t>
  </si>
  <si>
    <t>ул. Большая, д. 17/19</t>
  </si>
  <si>
    <t>пер. Чернышевского, д. 44</t>
  </si>
  <si>
    <t>ул. Чехова, д. 5</t>
  </si>
  <si>
    <t>ул. Луначарского, д. 33а</t>
  </si>
  <si>
    <t>пос. Осиновая Гряда, д. 32</t>
  </si>
  <si>
    <t>пос. Великооктябрьский, ул. Цнинская, д. 4</t>
  </si>
  <si>
    <t>ул. Большая Садовая, д. 69</t>
  </si>
  <si>
    <t>ул. Большая Садовая, д. 80</t>
  </si>
  <si>
    <t>ул. Сиверсова, д. 8а</t>
  </si>
  <si>
    <t>ул. Коммунаров, д. 7а</t>
  </si>
  <si>
    <t>пр-т Казанский, д. 151</t>
  </si>
  <si>
    <t>Бейшлотская набережная, д. 127а</t>
  </si>
  <si>
    <t>пр-т Казанский, д. 66/57</t>
  </si>
  <si>
    <t>ул. Крылова, д. 2а</t>
  </si>
  <si>
    <t>ул. Калинина, д. 54а</t>
  </si>
  <si>
    <t>пос. Озерки, проезд Железнодорожный, д. 3</t>
  </si>
  <si>
    <t>пос. Озерки, ул. Калинина, д. 6</t>
  </si>
  <si>
    <t>пос. Фирово, ул. Новая, д. 96</t>
  </si>
  <si>
    <t xml:space="preserve">ш. Калининское, д. 16а </t>
  </si>
  <si>
    <t>пр. Восточный, д. 20</t>
  </si>
  <si>
    <t>пос. 2-е Городское торфопредприятие, д. 10</t>
  </si>
  <si>
    <t>ул. Шевченко, д. 99в</t>
  </si>
  <si>
    <t>ш. Ленинградское, д. 31</t>
  </si>
  <si>
    <t>ш. Ленинградское, д. 52</t>
  </si>
  <si>
    <t>ш. Ленинградское, д. 87в</t>
  </si>
  <si>
    <t>ш. Калининское, д. 16б</t>
  </si>
  <si>
    <t>Новгородская наб., д. 1б</t>
  </si>
  <si>
    <t>ш. Ленинградское, д. 103</t>
  </si>
  <si>
    <t>ш. Калининское, д. 18а</t>
  </si>
  <si>
    <t>ул. Ленинская, д. 8а</t>
  </si>
  <si>
    <t>Итого по МО Дмитровогорское сельское поселение</t>
  </si>
  <si>
    <t>с. Дмитрова Гора, ул. Новая, д. 1</t>
  </si>
  <si>
    <t>пос. Льнозавода,  д. 26</t>
  </si>
  <si>
    <t>пос. Льнозавода, д. 10</t>
  </si>
  <si>
    <t>пос. Льнозавода, д. 26</t>
  </si>
  <si>
    <t>Западнодвинский муниципальный округ</t>
  </si>
  <si>
    <t>Пеновский муниципальный округ</t>
  </si>
  <si>
    <t>Сандовский муниципальный округ</t>
  </si>
  <si>
    <t>Краснохолмский муниципальный округ</t>
  </si>
  <si>
    <t>Селижаровский муниципальный округ</t>
  </si>
  <si>
    <t>ул. Бехтерева, д. 81/10</t>
  </si>
  <si>
    <t>с. Завидово, ул. Школьная, д. 9</t>
  </si>
  <si>
    <t>ул. Школьная, д. 9</t>
  </si>
  <si>
    <t>Лесной муниципальный округ</t>
  </si>
  <si>
    <t>Оленинский муниципальный округ</t>
  </si>
  <si>
    <t xml:space="preserve">Итого по МО Выползовское сельское поселение </t>
  </si>
  <si>
    <t xml:space="preserve">ремонт, замена, модернизация лифтов, ремонт лифтовых шахт, машинных и блочных помещений
</t>
  </si>
  <si>
    <r>
      <t>установка приборов учета</t>
    </r>
    <r>
      <rPr>
        <vertAlign val="superscript"/>
        <sz val="30"/>
        <rFont val="Times New Roman"/>
        <family val="1"/>
        <charset val="204"/>
      </rPr>
      <t>2</t>
    </r>
    <r>
      <rPr>
        <sz val="30"/>
        <rFont val="Times New Roman"/>
        <family val="1"/>
        <charset val="204"/>
      </rPr>
      <t xml:space="preserve">
</t>
    </r>
  </si>
  <si>
    <r>
      <t xml:space="preserve">теплоснабжения </t>
    </r>
    <r>
      <rPr>
        <vertAlign val="superscript"/>
        <sz val="30"/>
        <rFont val="Times New Roman"/>
        <family val="1"/>
        <charset val="204"/>
      </rPr>
      <t>1</t>
    </r>
  </si>
  <si>
    <t xml:space="preserve"> </t>
  </si>
  <si>
    <t>3-й пер. Бакунина, д. 8</t>
  </si>
  <si>
    <t>пр-д Зеленый, д. 43, корп. 15</t>
  </si>
  <si>
    <t>пр-д Восточный, д. 20</t>
  </si>
  <si>
    <t>пр-д Зеленый, д. 45, корп. 2</t>
  </si>
  <si>
    <t>Тверецкая наб., д. 80</t>
  </si>
  <si>
    <t>пр-д Зеленый, д. 43, корп. 4</t>
  </si>
  <si>
    <t>ул. Горького,  д.  88А</t>
  </si>
  <si>
    <t>пр-т Победы, д. 42</t>
  </si>
  <si>
    <t>пр-т Победы, д. 42А</t>
  </si>
  <si>
    <t>ул. Крылова, д. 29/40</t>
  </si>
  <si>
    <t>ул. Ипподромная, д, 7, корп. 1</t>
  </si>
  <si>
    <t>пр-т Победы, д. 36/46</t>
  </si>
  <si>
    <t>пос. Химинститута, д. 32</t>
  </si>
  <si>
    <t>Петербургское ш., д. 7А</t>
  </si>
  <si>
    <t>пр-т Калинина, д. 9</t>
  </si>
  <si>
    <t>пр-т Ленина, д. 40</t>
  </si>
  <si>
    <t>пр-т Ленина, д. 43А</t>
  </si>
  <si>
    <t>пр-т Октябрьский, д. 69</t>
  </si>
  <si>
    <t>ул. Советская,  д. 24</t>
  </si>
  <si>
    <t>пр-т Чайковского, д. 24/2Б</t>
  </si>
  <si>
    <t>ул. Артюхиной, д. 9, корп. 4</t>
  </si>
  <si>
    <t>пр-т Волоколамский, д. 47</t>
  </si>
  <si>
    <t>ул. Громова, д. 44</t>
  </si>
  <si>
    <t>ул. Железнодорожников, д. 35, корп. 1</t>
  </si>
  <si>
    <t>ул. Инициативная, д. 10/11</t>
  </si>
  <si>
    <t>ул. Кольцевая, д. 70</t>
  </si>
  <si>
    <t>ул. Маршала Захарова, д. 16/17</t>
  </si>
  <si>
    <t>пер. Никитина, д. 10, корп. 2</t>
  </si>
  <si>
    <t>ул. Новикова, д. 19</t>
  </si>
  <si>
    <t>пр-т Октябрьский, д. 87, корп. 1</t>
  </si>
  <si>
    <t>ул. Паши Савельевой, д. 35, корп. 2</t>
  </si>
  <si>
    <t>ш. Петербургское, д. 53</t>
  </si>
  <si>
    <t>ул. Пушкинская, д. 2 А</t>
  </si>
  <si>
    <t>пер. Студенческий, д. 30А</t>
  </si>
  <si>
    <t>ул. Ткача, д. 2</t>
  </si>
  <si>
    <t>ул. Седова, д. 7в</t>
  </si>
  <si>
    <t>ул. Екатерины Фарафоновой, д. 45</t>
  </si>
  <si>
    <t>пос. Химинститута, д. 18</t>
  </si>
  <si>
    <t>пр-т Чайковского, д. 4</t>
  </si>
  <si>
    <t>ул. Михаила Румянцева, д. 12, корп. 1</t>
  </si>
  <si>
    <t>наб. Степана Разина, д. 16</t>
  </si>
  <si>
    <t>наб. Степана Разина, д. 19</t>
  </si>
  <si>
    <t>пер. Вагжановский, д. 14</t>
  </si>
  <si>
    <t>пер. Партизанский, д. 22/8</t>
  </si>
  <si>
    <t>пер. Садовый, д. 37/15</t>
  </si>
  <si>
    <t>пер. Спортивный, д. 2, корп. 4</t>
  </si>
  <si>
    <t>пр-д Ремесленный, д. 10а</t>
  </si>
  <si>
    <t>пр-т Октябрьский, д. 85/49</t>
  </si>
  <si>
    <t>пр-т Октябрьский, д. 95, корп. 3</t>
  </si>
  <si>
    <t>пр-т Октябрьский, д. 95, корп. 4</t>
  </si>
  <si>
    <t>пр-т Победы, д. 48/29</t>
  </si>
  <si>
    <t>пр-т Тверской, д. 16</t>
  </si>
  <si>
    <t>пр-т Тверской, д. 9</t>
  </si>
  <si>
    <t>пр-т Чайковского, д. 44, корп. 3</t>
  </si>
  <si>
    <t>ул. Артюхиной, д. 24, корп. 4</t>
  </si>
  <si>
    <t>ул. Бобкова, д. 24</t>
  </si>
  <si>
    <t>ул. Андрея Дементьева, д. 36/38</t>
  </si>
  <si>
    <t>ул. Громова, д. 9</t>
  </si>
  <si>
    <t>ул. Евгения Пичугина, д. 56</t>
  </si>
  <si>
    <t>ул. Инициативная, д. 13</t>
  </si>
  <si>
    <t>ул. Ипподромная, д. 8</t>
  </si>
  <si>
    <t>ул. Карпинского, д. 12/32</t>
  </si>
  <si>
    <t>ул. Озерная, д. 19</t>
  </si>
  <si>
    <t>ул. Паши Савельевой, д. 23</t>
  </si>
  <si>
    <t>ул. Паши Савельевой, д. 3</t>
  </si>
  <si>
    <t>ул. Паши Савельевой, д. 6</t>
  </si>
  <si>
    <t>ул. Пржевальского, д. 58</t>
  </si>
  <si>
    <t>ул. Пушкинская, д. 9</t>
  </si>
  <si>
    <t>ул. Ржевская, д. 12А</t>
  </si>
  <si>
    <t>ул. Салтыкова-Щедрина, д. 44</t>
  </si>
  <si>
    <t>ул. Севастьянова, д. 16</t>
  </si>
  <si>
    <t>ул. Севастьянова, д. 20</t>
  </si>
  <si>
    <t>ул. Софьи Перовской, д. 14</t>
  </si>
  <si>
    <t>ул. Стахановская, д. 31</t>
  </si>
  <si>
    <t>ул. Строителей, д. 11/16</t>
  </si>
  <si>
    <t>ул. Тамары Ильиной, д. 35</t>
  </si>
  <si>
    <t>ул. Тракторная, д. 5</t>
  </si>
  <si>
    <t xml:space="preserve"> ул. Зинаиды Коноплянниковой, д. 13</t>
  </si>
  <si>
    <t xml:space="preserve"> ул. Зинаиды Коноплянниковой, д. 15</t>
  </si>
  <si>
    <t>ул. Громова, д. 48, корп. 1</t>
  </si>
  <si>
    <t>ул. Паши Савельевой, д. 39, корп. 5</t>
  </si>
  <si>
    <t>ул. Паши Савельевой, д. 48, корп. 1</t>
  </si>
  <si>
    <t>ул. Севастьянова, д. 2, корп. 1</t>
  </si>
  <si>
    <t>ул. Строителей, д. 8, корп. 2</t>
  </si>
  <si>
    <t>ул. Тамары Ильиной, д. 3, корп. 1</t>
  </si>
  <si>
    <t>ул. Фадеева, д. 38, корп. 2</t>
  </si>
  <si>
    <t xml:space="preserve"> ул. Железнодорожников, д. 35, корп. 2</t>
  </si>
  <si>
    <t>ш. Петербургское, д. 19</t>
  </si>
  <si>
    <t>ш. Петербургское, д. 43</t>
  </si>
  <si>
    <t>ш. Петербургское, д. 55</t>
  </si>
  <si>
    <t>ш. Сахаровское, д. 12</t>
  </si>
  <si>
    <t xml:space="preserve"> ш. Петербургское, д. 7а</t>
  </si>
  <si>
    <t>Московское ш., д. 109б</t>
  </si>
  <si>
    <t>Ленинградское ш., д. 103</t>
  </si>
  <si>
    <t>Калининское ш., д. 18а</t>
  </si>
  <si>
    <t>1-й проезд Розы Люксембург, д. 6</t>
  </si>
  <si>
    <t>б-р Шмидта, д. 40</t>
  </si>
  <si>
    <t>б-р Профсоюзов, д. 18, корп. 2</t>
  </si>
  <si>
    <t>б-р Цанова, д. 19</t>
  </si>
  <si>
    <t>б-р Гусева, д. 16</t>
  </si>
  <si>
    <t>территория двор Пролетарки, д. 43</t>
  </si>
  <si>
    <t>территория двор Пролетарки, д. 164</t>
  </si>
  <si>
    <t>б-р Гусева, д. 47, корп. 1</t>
  </si>
  <si>
    <t>б-р Гусева, д. 47, корп. 3</t>
  </si>
  <si>
    <t>б-р Профсоюзов, д. 23</t>
  </si>
  <si>
    <t>б-р Профсоюзов, д. 3, корп. 3</t>
  </si>
  <si>
    <t>б-р Гусева, д.  47, корп. 1</t>
  </si>
  <si>
    <t>ул. Горького,  д.  88а</t>
  </si>
  <si>
    <t>Двор Пролетарки,  д. 43</t>
  </si>
  <si>
    <t>пр-т Чайковского, д. 35</t>
  </si>
  <si>
    <t>ш. Петербургское, д. 58</t>
  </si>
  <si>
    <t xml:space="preserve"> ул. Можайского, д. 61в</t>
  </si>
  <si>
    <t xml:space="preserve"> ул. Советская, д. 24</t>
  </si>
  <si>
    <t xml:space="preserve"> ул. Ткача, д. 2</t>
  </si>
  <si>
    <t xml:space="preserve"> ул. Маршала Конева, д. 20</t>
  </si>
  <si>
    <t xml:space="preserve"> ул. Новоторжская, д. 14</t>
  </si>
  <si>
    <t xml:space="preserve"> ул. Пушкинская, д. 2а</t>
  </si>
  <si>
    <t xml:space="preserve"> пр-т Чайковского, д. 37</t>
  </si>
  <si>
    <t xml:space="preserve"> пр-т Победы, д. 38/45</t>
  </si>
  <si>
    <t xml:space="preserve"> ул. Московская, д. 86а</t>
  </si>
  <si>
    <t xml:space="preserve"> б-р Цанова, д. 21</t>
  </si>
  <si>
    <t xml:space="preserve"> территория Двор Пролетарки, д. 43</t>
  </si>
  <si>
    <t xml:space="preserve"> ул. Виноградова, д. 10</t>
  </si>
  <si>
    <t xml:space="preserve"> пр-т Чайковского, д. 7</t>
  </si>
  <si>
    <t xml:space="preserve"> ул. Трехсвятская, д. 12</t>
  </si>
  <si>
    <t xml:space="preserve"> пер. Трудолюбия, д. 37</t>
  </si>
  <si>
    <t xml:space="preserve"> ул. Спартака, д. 46</t>
  </si>
  <si>
    <t xml:space="preserve"> ул. Вагжанова, д. 16</t>
  </si>
  <si>
    <t xml:space="preserve"> ул. Склизкова, д. 29</t>
  </si>
  <si>
    <t xml:space="preserve"> ш. Петербургское, д. 19</t>
  </si>
  <si>
    <t xml:space="preserve"> ул. Орджоникидзе, д. 46, корп. 1</t>
  </si>
  <si>
    <t xml:space="preserve"> ул. Железнодорожников, д. 35, корп. 1</t>
  </si>
  <si>
    <t xml:space="preserve"> б-р Гусева, д. 47, корп. 1</t>
  </si>
  <si>
    <t>пр-д Зеленый, д. 49, корп. 3</t>
  </si>
  <si>
    <t>Осташковский пр-д, д. 7</t>
  </si>
  <si>
    <t>реализации в 2020 – 2022 годах региональной программы по проведению капитального ремонта общего имущества</t>
  </si>
  <si>
    <t>Формирование фонда капитального ремонта многоквартирного дома на счете некоммерческой организации – Фонда капитального ремонта многоквартирных домов Тверской области (далее – региональный оператор)</t>
  </si>
  <si>
    <t>пгт Оленино, ул. Пионерская, д. 2</t>
  </si>
  <si>
    <t>пгт Оленино, ул. Ленина, д. 24</t>
  </si>
  <si>
    <t>пгт Оленино, ул. Ленина, д. 35</t>
  </si>
  <si>
    <t>пгт Оленино, ул. Ленина, д. 33</t>
  </si>
  <si>
    <t>пгт Оленино, ул. Ленина, д. 54</t>
  </si>
  <si>
    <t>пгт Оленино, ул. Ленина, д. 56</t>
  </si>
  <si>
    <t>п. Мирный, ул. Озерная, д. 10</t>
  </si>
  <si>
    <t>п. Мирный, ул. Солнечная, д. 1</t>
  </si>
  <si>
    <t>п. Мирный, ул. Солнечная, д. 6</t>
  </si>
  <si>
    <t>п. Мирный, ул. С. Козлова, д. 5</t>
  </si>
  <si>
    <t>п. Мирный, ул. Г.Кольцова, д. 1</t>
  </si>
  <si>
    <t>п. Мирный, ул. Ленина, д. 3</t>
  </si>
  <si>
    <t>п. Мирный, ул. Ленина, д. 16</t>
  </si>
  <si>
    <t>ул. Виноградова, д. 10</t>
  </si>
  <si>
    <t>пр. Ленина,  д. 12</t>
  </si>
  <si>
    <t>Адрес многоквартирного дома 
(далее – МКД)</t>
  </si>
  <si>
    <t>ул. Набережная Волги, д. 52</t>
  </si>
  <si>
    <t>наб. Рядового Николаева, д. 5</t>
  </si>
  <si>
    <t>ш. Петербургское,                     д. 32</t>
  </si>
  <si>
    <t>ул. Терещенко,                       д. 32/14</t>
  </si>
  <si>
    <t>ул. 15 лет Октября,                 д. 54/62</t>
  </si>
  <si>
    <t>ул. Инициативная,                 д. 9/9</t>
  </si>
  <si>
    <t>пр-т Чайковского,                  д. 37</t>
  </si>
  <si>
    <t>ул. Лизы Чайкиной,                  д. 25/2б</t>
  </si>
  <si>
    <t>пр-т Ленина, д. 14,                корп. 2</t>
  </si>
  <si>
    <t>ул. 15 лет Октября,                  д. 48/15</t>
  </si>
  <si>
    <t>пос. Белый Омут,                  ул. Советская, д. 1</t>
  </si>
  <si>
    <t>пос. Борисовский,                    ул. Октябрьская, д. 17</t>
  </si>
  <si>
    <t>пос. Терелесовский,                  ул. Рабочая, д. 3</t>
  </si>
  <si>
    <t>пос. Академический,                      ул. Октябрьская, д. 1</t>
  </si>
  <si>
    <t>пос. Приозерный,                    ул. Дорожная, д. 6</t>
  </si>
  <si>
    <t>Красноармейская наб.,                  д. 30/1</t>
  </si>
  <si>
    <t>ул. Большевистская,                   д. 46</t>
  </si>
  <si>
    <t>ул. Краностроителей,                     д. 12</t>
  </si>
  <si>
    <t>ул. Красноармейская,                 д. 42</t>
  </si>
  <si>
    <t>п. Выползово,                        ул. Березовая роща, д. 6</t>
  </si>
  <si>
    <t>ул. Комсомольская,                   д. 11</t>
  </si>
  <si>
    <t>Итого по МО Городское поселение                            пос. Жарковский</t>
  </si>
  <si>
    <t>Итого по МО городское поселение                            пос. Васильевский Мох</t>
  </si>
  <si>
    <t>д. Никулино,                           ул. Юбилейная, д. 1</t>
  </si>
  <si>
    <t>ж/д  ст. Чуприяновка,          ул. 3-я Мира, д. 11</t>
  </si>
  <si>
    <t>ул. Красноармейская,                д. 3</t>
  </si>
  <si>
    <t>ул. Васильковского,                     д. 1б</t>
  </si>
  <si>
    <t>ул. Набережная Волги,           д. 52</t>
  </si>
  <si>
    <t>пос. Изоплит,                           ул. Школьная, д. 6</t>
  </si>
  <si>
    <t>пгт Оленино,                          ул. Пионерская, д. 2</t>
  </si>
  <si>
    <t>пгт Оленино,                          ул. Ленина, д. 24</t>
  </si>
  <si>
    <t>п. Мирный,                               ул. С. Козлова, д. 3</t>
  </si>
  <si>
    <t>п. Мирный,                               ул. Солнечная, д. 1</t>
  </si>
  <si>
    <t>п. Мирный,                             ул. С. Козлова, д. 5</t>
  </si>
  <si>
    <t>п. Мирный,                              ул. Солнечная, д. 6</t>
  </si>
  <si>
    <t>д. Берново,                               ул. Советская, д. 8</t>
  </si>
  <si>
    <t>д. Берново,                             ул. Советская, д. 9</t>
  </si>
  <si>
    <t>пос. Славный,                          ул. Школьная, д. 12</t>
  </si>
  <si>
    <t>пос. Славный,                          ул. Школьная, д. 12а</t>
  </si>
  <si>
    <t>ул. Фадеева, д. 26,                   корп. 1</t>
  </si>
  <si>
    <t>ул. Громова, д. 28,                        корп. 2</t>
  </si>
  <si>
    <t>ул. Бобкова, д. 24,                  корп. 3</t>
  </si>
  <si>
    <t>ул. Орджоникидзе,                      д. 13/26</t>
  </si>
  <si>
    <t>пос. Приозерный,                    ул. Дорожная, д. 4а</t>
  </si>
  <si>
    <t>пос. Академический,                ул. Пионерская, д. 1</t>
  </si>
  <si>
    <t>пос. Приозерный,                          ул. Дорожная, д. 4</t>
  </si>
  <si>
    <t>ул. Красноармейская,                        д. 12</t>
  </si>
  <si>
    <t>ул. Красноармейская,                   д. 2</t>
  </si>
  <si>
    <t>Итого по МО Городское поселение                             пос. Жарковский</t>
  </si>
  <si>
    <t>Итого по МО городское поселение                                пос. Васильевский Мох</t>
  </si>
  <si>
    <t>д. Верхняя Троица,                   ул. Советская, д. 4</t>
  </si>
  <si>
    <t>д. Вески,                                 ул. Боровикова, д. 2</t>
  </si>
  <si>
    <t>ул. Паши Савельевой,                 д. 35, корп. 4</t>
  </si>
  <si>
    <t>ул. 15 лет Октября,                          д. 3/22</t>
  </si>
  <si>
    <t>пос. Приозерный,                          ул. Дорожная, д. 5</t>
  </si>
  <si>
    <t>Итого по МО                           город Торжок</t>
  </si>
  <si>
    <t>пос. Академический,                   ул. Пионерская, д. 2</t>
  </si>
  <si>
    <t>пер. Чернышевского,                  д. 44</t>
  </si>
  <si>
    <t>с. Дмитрова Гора,                   ул. Новая, д. 1</t>
  </si>
  <si>
    <t>Итого по МО городское поселение                          город Кувшиново</t>
  </si>
  <si>
    <t>пос. Осиновая Гряда,                  д. 32</t>
  </si>
  <si>
    <t>с. Святое,                                  ул. Первомайская, д. 11</t>
  </si>
  <si>
    <t>д. Жданово,                             тер. Микрорайон, д. 1</t>
  </si>
  <si>
    <t>Итого по МО городское поселение                           город Торопец</t>
  </si>
  <si>
    <t>ул. 15 лет Октября,                         д. 64/23</t>
  </si>
  <si>
    <t>ул. Паши Савельевой,                    д. 7</t>
  </si>
  <si>
    <t>пер. Артиллерийский,                       д. 12</t>
  </si>
  <si>
    <t>пр-т Волоколамский,                   д. 47</t>
  </si>
  <si>
    <t>ул. Инициативная,                     д. 10/11</t>
  </si>
  <si>
    <t>ул. Маршала Захарова,                 д. 12</t>
  </si>
  <si>
    <t>ул. Маршала Захарова,                          д. 16/17</t>
  </si>
  <si>
    <t>пер. Студенческий,                       д. 30А</t>
  </si>
  <si>
    <t>наб. Степана Разина,                 д. 16</t>
  </si>
  <si>
    <t>наб. Степана Разина,                     д. 19</t>
  </si>
  <si>
    <t>пер. Партизанский,                     д. 22/8</t>
  </si>
  <si>
    <t>пр-д Ремесленный,                       д. 10а</t>
  </si>
  <si>
    <t>пр-т Октябрьский,                       д. 85/49</t>
  </si>
  <si>
    <t>ул. Громова, д. 48,                  корп. 1</t>
  </si>
  <si>
    <t>ул. Евгения Пичугина,                      д. 56</t>
  </si>
  <si>
    <t>ул. Карпинского,                            д. 12/32</t>
  </si>
  <si>
    <t>ул. Орджоникидзе,                     д. 12/1</t>
  </si>
  <si>
    <t>ул. Паши Савельевой,                 д. 23</t>
  </si>
  <si>
    <t>ул. Паши Савельевой,                д. 3</t>
  </si>
  <si>
    <t>ул. Паши Савельевой,                 д. 48, корп. 1</t>
  </si>
  <si>
    <t>ул. Паши Савельевой,                  д. 39, корп. 5</t>
  </si>
  <si>
    <t>ул. Паши Савельевой,                  д. 6</t>
  </si>
  <si>
    <t>ул. Софьи Перовской,                д. 14</t>
  </si>
  <si>
    <t>ул. Тамары Ильиной,                    д. 35</t>
  </si>
  <si>
    <t>ул. Тамары Ильиной,                    д. 3, корп. 1</t>
  </si>
  <si>
    <t>ул. Фадеева, д. 38,                        корп. 2</t>
  </si>
  <si>
    <t>пос. Академический,                  ул. Фабричная, д. 3</t>
  </si>
  <si>
    <t>пос. Красномайский,                ул. Кирова, д. 25</t>
  </si>
  <si>
    <t>пос. Академический,                 ул. Пионерская, д. 11</t>
  </si>
  <si>
    <t>пос. Академический,                ул. Пионерская, д. 3</t>
  </si>
  <si>
    <t>пос. Пригородный,                   ул. Гагарина, д. 22</t>
  </si>
  <si>
    <t>ул. Большая Спасская,                   д. 41/65</t>
  </si>
  <si>
    <t>ул. Железнодорожная,                 д. 34</t>
  </si>
  <si>
    <t>ул. Краностроителей,                д. 3</t>
  </si>
  <si>
    <t>ул. Краностроителей,                     д. 14</t>
  </si>
  <si>
    <t>ул. Большая Спасская,                   д. 43/72</t>
  </si>
  <si>
    <t>ул. Большая Спасская,               д. 45</t>
  </si>
  <si>
    <t>ул. Большевистская,                        д. 9/16</t>
  </si>
  <si>
    <t>Торопецкий тракт,                       д. 9/21</t>
  </si>
  <si>
    <t>ул. Партизанская,                              д. 21/13</t>
  </si>
  <si>
    <t>ул. Карла Маркса,                        д. 55/15</t>
  </si>
  <si>
    <t>ул. Большая Спасская,                д. 10</t>
  </si>
  <si>
    <t>ул. Большая Спасская,                д. 17</t>
  </si>
  <si>
    <t>ул. Большая Спасская,                  д. 15</t>
  </si>
  <si>
    <t>Ленинградское ш.,                     д. 46/39</t>
  </si>
  <si>
    <t>ул. Большая Спасская,               д. 32</t>
  </si>
  <si>
    <t>ул. Большая Спасская,              д. 59</t>
  </si>
  <si>
    <t>ул. Никиты Головни,                  д. 1</t>
  </si>
  <si>
    <t>ул. Красноармейская,                 д. 2</t>
  </si>
  <si>
    <t>ул. Красноармейская,                д. 19</t>
  </si>
  <si>
    <t>ул. М.И. Кузнецова,                 д. 16</t>
  </si>
  <si>
    <t>ул. Дзержинского, д. 2</t>
  </si>
  <si>
    <t>ж/д ст. Чуприяновка,                  ул. Рабочая, д. 3</t>
  </si>
  <si>
    <t xml:space="preserve">пос. Озерки,                             ул. Локомотивная, д. 5 </t>
  </si>
  <si>
    <t>пос. Озерки,                                ул. Калинина, д. 6</t>
  </si>
  <si>
    <t>с. Завидово,                                  ул. Школьная, д. 4</t>
  </si>
  <si>
    <t>с. Завидово,                               ул. Школьная, д. 5</t>
  </si>
  <si>
    <t>д. Мокшино,                                 ул. Ленинградская, д. 2</t>
  </si>
  <si>
    <t>д. Мокшино,                                    ул. Солнечная, д. 3</t>
  </si>
  <si>
    <t>с. Завидово,                                       ул. Школьная, д. 3</t>
  </si>
  <si>
    <t>пос. Южный,                           ул. Маресьева, д. 23</t>
  </si>
  <si>
    <t>с. Застолбье,                                  ул. Школьная, д. 4</t>
  </si>
  <si>
    <t>пос. Славный,                           ул. Парковая,  д. 1/6</t>
  </si>
  <si>
    <t>с. Яконово,                                ул. Поселковая, д. 1</t>
  </si>
  <si>
    <t>д. Паскино,                               ул. Молодежная, д. 4</t>
  </si>
  <si>
    <t>пер. Артиллерийский,                              д. 13</t>
  </si>
  <si>
    <t>ул. Маршала Буденного,        д. 19/1</t>
  </si>
  <si>
    <t>Итого по МО                        город Торжок</t>
  </si>
  <si>
    <t>Итого по МО                        ЗАТО Озерный</t>
  </si>
  <si>
    <t>Итого по МО городское поселение                              город Бологое</t>
  </si>
  <si>
    <t>д. Колталово,                                ул. Зеленая, д. 15</t>
  </si>
  <si>
    <t>пос. Дмитрово-Черкассы,                                       ул. Спортивная, д. 2а</t>
  </si>
  <si>
    <t>д. Верхняя Троица,                     ул. Молодежная, д. 4</t>
  </si>
  <si>
    <t>пос. Белый Городок,                        пр-д Южный, д. 16</t>
  </si>
  <si>
    <t>пос. Белый Городок,                      ул. Главная, д. 20</t>
  </si>
  <si>
    <t>пос. Белый Городок,                    ул. Лесная, д. 6</t>
  </si>
  <si>
    <t>пос. Приволжский,                       ул. Центральная, д. 6</t>
  </si>
  <si>
    <t>д. Титово,                                        ул. Центральная, д. 5</t>
  </si>
  <si>
    <t>пос. Молоково,                             ул. Народная, д. 10</t>
  </si>
  <si>
    <t>пгт Оленино,                                    ул. Ленина, д. 33</t>
  </si>
  <si>
    <t>ул. Громова, д. 11,                   корп. 1</t>
  </si>
  <si>
    <t>в многоквартирных домах на территории Тверской области на 2014 – 2043 годы</t>
  </si>
  <si>
    <t>нп т/б Лисицкий Бор, д. 2</t>
  </si>
  <si>
    <t xml:space="preserve">Итого по МО Медновское сельское поселение </t>
  </si>
  <si>
    <t>с. Медное, ул. Садовая, д. 3</t>
  </si>
  <si>
    <t>с. Медное, ул. Совхозная, д. 11</t>
  </si>
  <si>
    <t>Итого по МО Медновское сельское поселение</t>
  </si>
  <si>
    <t>пгт Оленино, ул. Пионерская, д. 4а</t>
  </si>
  <si>
    <t>Итого по МО Оленинский муниципальный округ</t>
  </si>
  <si>
    <t>пгт Оленино, ул. Кузьмина, д. 31</t>
  </si>
  <si>
    <t>Итого по МО Селиховское сельское поселение</t>
  </si>
  <si>
    <t>с. Селихово, ул. Новая, д. 8</t>
  </si>
  <si>
    <t>с. Погорелое Городище, ул. Мелиоративная, д. 11</t>
  </si>
  <si>
    <t>д. Тетьково, д. 17</t>
  </si>
  <si>
    <t>пос. Эммаусс, д. 8</t>
  </si>
  <si>
    <t>ул. Нечаева, д. 27а</t>
  </si>
  <si>
    <t>пер. Воздвиженский, д. 32</t>
  </si>
  <si>
    <t>ул. Энергетическая, д. 1</t>
  </si>
  <si>
    <t>пос. Озерки, ул. Ленинская, д. 16</t>
  </si>
  <si>
    <t>ул. Андрея Дементьева, д. 37</t>
  </si>
  <si>
    <t xml:space="preserve"> ул. Садовая (п. Сахарово), д. 4</t>
  </si>
  <si>
    <t>ул. Хромова, д. 9</t>
  </si>
  <si>
    <t>ул. Пржевальского, д. 55 А</t>
  </si>
  <si>
    <t>ул. Маршала Василевского, д. 22</t>
  </si>
  <si>
    <t>ул. Садовая (п. Сахарово), д. 25</t>
  </si>
  <si>
    <t>Итого по МО Ново-Ямское сельское поселение</t>
  </si>
  <si>
    <t>Спировский муниципальный округ</t>
  </si>
  <si>
    <t>Рамешковский муниципальный округ</t>
  </si>
  <si>
    <t>Лихославльский муниципальный округ</t>
  </si>
  <si>
    <t>Молоковский муниципальный округ</t>
  </si>
  <si>
    <t xml:space="preserve">Лихославльский муниципальный округ </t>
  </si>
  <si>
    <t>ул. Юбилейная, д. 5</t>
  </si>
  <si>
    <t>ул. Фабричная, д. 17</t>
  </si>
  <si>
    <t>ул. Фабричная, д. 2</t>
  </si>
  <si>
    <t>ул. Лесная, д. 1</t>
  </si>
  <si>
    <t>п. Славный, ул. Садовая, д. 5</t>
  </si>
  <si>
    <t>п. Славный, ул. Школьная, д. 4</t>
  </si>
  <si>
    <t>ул. Гвардейская, д. 16</t>
  </si>
  <si>
    <t>д. Вески, ул. Боровикова, д. 5</t>
  </si>
  <si>
    <t>ул. Комсомольская, д. 40</t>
  </si>
  <si>
    <t>ул. Хрустальная, д. 40</t>
  </si>
  <si>
    <t>пр-т Николая Корыткова, д. 20а</t>
  </si>
  <si>
    <t>пр-т Николая Корыткова, д. 2/19</t>
  </si>
  <si>
    <t>ул. Карла Маркса, д. 9</t>
  </si>
  <si>
    <t>ул. Хромова, д. 22</t>
  </si>
  <si>
    <t>ул. Зинаиды Коноплянниковой, д. 24</t>
  </si>
  <si>
    <t>бульвар Шмидта, д. 38</t>
  </si>
  <si>
    <t>ул. Красина, д. 53</t>
  </si>
  <si>
    <t>ул. Кайкова, д. 3</t>
  </si>
  <si>
    <t>бульвар Молодежный, д. 5</t>
  </si>
  <si>
    <t xml:space="preserve"> ул. Садовая (поселок Сахарово), д.  17</t>
  </si>
  <si>
    <t xml:space="preserve"> ул. Садовая (поселок Сахарово), д. 4</t>
  </si>
  <si>
    <t>пр-т Октябрьский, д. 83</t>
  </si>
  <si>
    <t>ул. Володарского, д. 15</t>
  </si>
  <si>
    <t>пр-т Николая Корыткова, д. 44 А</t>
  </si>
  <si>
    <t>пр-т Ленина, д. 9</t>
  </si>
  <si>
    <t>ул. Баскакова, д. 35</t>
  </si>
  <si>
    <t>п. Энергетик, д. 1</t>
  </si>
  <si>
    <t>п. Энергетик, д. 3</t>
  </si>
  <si>
    <t>пр-т Ленина, д. 13</t>
  </si>
  <si>
    <t>д. Хитино, д. 5</t>
  </si>
  <si>
    <t>п. Сиговка, ул. Школьная, д. 1</t>
  </si>
  <si>
    <t>9</t>
  </si>
  <si>
    <t>Итого по город Лихославль</t>
  </si>
  <si>
    <t>Итого по пос. Калашниково</t>
  </si>
  <si>
    <t>Итого по Сосновицкое сельское поселение</t>
  </si>
  <si>
    <t>Итого по пос. Рамешки</t>
  </si>
  <si>
    <t>Итого по пос. Спирово</t>
  </si>
  <si>
    <t>Итого по пос. Молоково</t>
  </si>
  <si>
    <t>г. Вышний Волочек, ул. Двор фабрики «Пролетарский Авангард», д. 43</t>
  </si>
  <si>
    <t xml:space="preserve">г. Вышний Волочек, наб. Валентины Терешковой, д. 41 </t>
  </si>
  <si>
    <t xml:space="preserve">г. Вышний Волочек, Ванчакова линия, д. 5 </t>
  </si>
  <si>
    <t xml:space="preserve">г. Вышний Волочек, ул. Южная, д. 6 </t>
  </si>
  <si>
    <t>г. Вышний Волочек, ул. Венецианова, д. 31</t>
  </si>
  <si>
    <t>г. Вышний Волочек, ул. Цюрупы, д. 5а</t>
  </si>
  <si>
    <t>г. Вышний Волочек, ул. Карла Маркса, д. 68</t>
  </si>
  <si>
    <t>г. Вышний Волочек, ул. Красных Печатников, д. 16</t>
  </si>
  <si>
    <t>г. Вышний Волочек, ул. Егорова, д. 2</t>
  </si>
  <si>
    <t>г. Весьегонск, ул. Советская, д. 81</t>
  </si>
  <si>
    <t>г. Весьегонск, ул. Молодежная, д. 24</t>
  </si>
  <si>
    <t>г. Западная Двина, ул. Кирова, д. 12</t>
  </si>
  <si>
    <t>г. Кашин, ул. Карла Маркса, д. 16</t>
  </si>
  <si>
    <t>г. Кашин, ул. Красноармейская, д. 3</t>
  </si>
  <si>
    <t>г. Кашин, ул. Ленина, д. 8/11</t>
  </si>
  <si>
    <t>г. Кашин, ул. Михаила Калинина, д. 5</t>
  </si>
  <si>
    <t>г. Кашин, ул. Московская, д. 4а</t>
  </si>
  <si>
    <t>г. Кашин, пл. Республиканская, д. 3</t>
  </si>
  <si>
    <t>г. Кашин, ул. Советская, д. 17</t>
  </si>
  <si>
    <t>г. Осташков, ул. Володарского, д. 43</t>
  </si>
  <si>
    <t>г. Осташков, ул. Константина Заслонова, д. 3</t>
  </si>
  <si>
    <t>г. Осташков, пер. Адрианова, д. 14</t>
  </si>
  <si>
    <t>г. Осташков, ул. Шевчука, д. 5</t>
  </si>
  <si>
    <t>г. Осташков, ул. Рабочий Городок, д. 48</t>
  </si>
  <si>
    <t>г. Осташков, ул. Загородная, д. 10</t>
  </si>
  <si>
    <t>г. Осташков, ул. Володарского, д. 27</t>
  </si>
  <si>
    <t>пос. Пено, ул. Парковая, д. 1</t>
  </si>
  <si>
    <t>пос. Рамешки, ул. Бежецкая, д. 18</t>
  </si>
  <si>
    <t>пос. Рамешки, ул. Советская, д. 60</t>
  </si>
  <si>
    <t>пос. Сандово, ул. Рудакова, д. 5</t>
  </si>
  <si>
    <t>пос. Селижарово, ул. Энгельса, д. 84</t>
  </si>
  <si>
    <t>пос. Селижарово, наб. Кирова, д. 7а</t>
  </si>
  <si>
    <t>пос. Сонково, ул. Калинина, д. 2</t>
  </si>
  <si>
    <t>пос. Спирово, ул. Мира, д. 6</t>
  </si>
  <si>
    <t>пос. Спирово, пер. Советский, д. 2</t>
  </si>
  <si>
    <t>г. Удомля, ул. Энтузиастов,  д. 18</t>
  </si>
  <si>
    <t>г. Удомля, ул. Космонавтов, д. 5а</t>
  </si>
  <si>
    <t>г. Удомля, ул. Энтузиастов, д. 4</t>
  </si>
  <si>
    <t>г. Удомля, ул. Карла Маркса, д. 25а</t>
  </si>
  <si>
    <t>г. Удомля, пр-т Энергетиков, д. 11в</t>
  </si>
  <si>
    <t>г. Удомля, ул. Космонавтов, д. 5</t>
  </si>
  <si>
    <t>г. Вышний Волочек, ул. Двор фабрики «Пролетарский Авангард», д. 39</t>
  </si>
  <si>
    <t>г. Вышний Волочек, ул. Двор фабрики «Пролетарский Авангард», д. 41</t>
  </si>
  <si>
    <t>г. Андреаполь, ул. Кленовая, д. 19а</t>
  </si>
  <si>
    <t>г. Андреаполь, ул. Театральная, д. 3</t>
  </si>
  <si>
    <t>г. Весьегонск, ул. Парковая, д. 6</t>
  </si>
  <si>
    <t>г. Весьегонск, ул. Коммунистическая, д. 12</t>
  </si>
  <si>
    <t>г. Западная Двина, пер. Типографский, д. 3</t>
  </si>
  <si>
    <t>г. Кашин, ул. Единения, д. 2</t>
  </si>
  <si>
    <t>г. Кашин, ул. Ленина,  д. 4/14</t>
  </si>
  <si>
    <t>г. Кашин, ул. Республиканская, д. 5</t>
  </si>
  <si>
    <t>г. Красный Холм, ул. Калинина, д. 6</t>
  </si>
  <si>
    <t>пос. Калашниково, ул. Ленина, д. 35</t>
  </si>
  <si>
    <t>г. Андреаполь, ул. Театральная, д. 8</t>
  </si>
  <si>
    <t>г. Андреаполь, ул. Театральная, д. 11</t>
  </si>
  <si>
    <t>г. Лихославль, пос. Льнозавода,  д. 26</t>
  </si>
  <si>
    <t>г. Лихославль, ул. Юбилейная,  д. 2</t>
  </si>
  <si>
    <t>г. Лихославль, ул. Ямская,  д. 31</t>
  </si>
  <si>
    <t>г. Лихославль, ул. Ямская,  д. 33</t>
  </si>
  <si>
    <t>г. Лихославль, ул. Ямская,  д. 35</t>
  </si>
  <si>
    <t>г. Лихославль, Дом тяговой подстанции</t>
  </si>
  <si>
    <t>г. Лихославль, ул. Бежецкая,  д. 25</t>
  </si>
  <si>
    <t>г. Лихославль, ул. Вагжанова,  д. 6а</t>
  </si>
  <si>
    <t>пос. Калашниково, ул. Горького, д. 3</t>
  </si>
  <si>
    <t>пос. Молоково, ул. Народная, д. 10</t>
  </si>
  <si>
    <t>г. Нелидово, ул. Лесная, д. 8</t>
  </si>
  <si>
    <t>г. Нелидово, ул. Матросова, д. 30</t>
  </si>
  <si>
    <t>г. Нелидово, ул. Правды, д. 9</t>
  </si>
  <si>
    <t>г. Нелидово, ул. Горького, д. 4</t>
  </si>
  <si>
    <t>г. Нелидово, ул. Нахимова, д. 11</t>
  </si>
  <si>
    <t>г. Нелидово, ул. Кирова, д. 37</t>
  </si>
  <si>
    <t>г. Осташков, пер. Литвиненко, д. 28а</t>
  </si>
  <si>
    <t>г. Осташков, ул. Рудинская, д. 17</t>
  </si>
  <si>
    <t>г. Осташков, ул. Шевчука, д. 3</t>
  </si>
  <si>
    <t>г. Осташков, ул. Тимофеевская, д. 66</t>
  </si>
  <si>
    <t>г. Осташков, ул. Садовая, д. 12</t>
  </si>
  <si>
    <t>г. Осташков, Новый проезд, д. 10</t>
  </si>
  <si>
    <t>пос. Пено, ул. З. Голицыной, д. 11</t>
  </si>
  <si>
    <t>пос. Рамешки, ул. Пионерская, д. 38</t>
  </si>
  <si>
    <t>пос. Сандово, ул. Лесная, д. 3</t>
  </si>
  <si>
    <t>пос. Сандово, ул. Пионерская, д. 18</t>
  </si>
  <si>
    <t>пос. Селижарово, ул. Гагарина, д. 2</t>
  </si>
  <si>
    <t>пос. Селижарово, ул. Ленина, д. 29</t>
  </si>
  <si>
    <t>г. Удомля, пр-т Венецианова, д. 1</t>
  </si>
  <si>
    <t>г. Удомля, ул. Энтузиастов, д. 12</t>
  </si>
  <si>
    <t>г. Удомля, ул. Левитана, д. 1а</t>
  </si>
  <si>
    <t>г. Вышний Волочек, ул. Красная, д. 9</t>
  </si>
  <si>
    <t>г. Вышний Волочек, ул. Двор фабрики Парижская коммуна, д. 48</t>
  </si>
  <si>
    <t>г. Андреаполь, ул. Советская, д. 65а</t>
  </si>
  <si>
    <t>г. Андреаполь, ул. Кленовая, д. 18</t>
  </si>
  <si>
    <t>г. Весьегонск, ул. Правды, д. 10</t>
  </si>
  <si>
    <t>г. Западная Двина, ул. Мира, д. 35а</t>
  </si>
  <si>
    <t>г. Кашин, ул. Комсомольская, д. 3</t>
  </si>
  <si>
    <t>г. Кашин, ул. Ленина, д. 31</t>
  </si>
  <si>
    <t>г. Кашин, ул. Ленина, д. 36</t>
  </si>
  <si>
    <t>г. Кашин, ул. Московская,  д. 12</t>
  </si>
  <si>
    <t>г. Кашин, ул. Карла Маркса,  д. 41</t>
  </si>
  <si>
    <t>г. Кашин, ул. Карла Маркса,  д. 63А</t>
  </si>
  <si>
    <t>г. Кашин, ул. Крестьянская, д. 7/5</t>
  </si>
  <si>
    <t>г. Кашин, ул. Михаила Калинина, д. 6</t>
  </si>
  <si>
    <t>г. Кашин, ул. Московская, д. 1Б</t>
  </si>
  <si>
    <t>г. Нелидово, ул. Нахимова, д. 14/13</t>
  </si>
  <si>
    <t>г. Нелидово, ул. Горького, д. 10</t>
  </si>
  <si>
    <t>г. Осташков, пер. Адрианова, д. 12</t>
  </si>
  <si>
    <t>г. Осташков, ул. Загородная, д. 12а</t>
  </si>
  <si>
    <t>г. Осташков, ул. Рабочая, д. 29</t>
  </si>
  <si>
    <t>г. Осташков, Новый проезд, д. 1</t>
  </si>
  <si>
    <t>г. Осташков, Новый проезд, д. 8</t>
  </si>
  <si>
    <t>г. Осташков, ул. Печатникова, д. 8</t>
  </si>
  <si>
    <t>г. Осташков, ул. Печатникова, д. 6</t>
  </si>
  <si>
    <t>пос. Пено, ул. Тарасова, д. 8</t>
  </si>
  <si>
    <t>пос. Рамешки, ул. Советская, д. 20а</t>
  </si>
  <si>
    <t>пос. Сандово, ул. Октябрьская, д. 11</t>
  </si>
  <si>
    <t>пос. Селижарово, ул. Западная, д. 47</t>
  </si>
  <si>
    <t>пос. Сонково, ул. Артамонова, д. 1А</t>
  </si>
  <si>
    <t>г. Удомля, пр. Курчатова, д. 24</t>
  </si>
  <si>
    <t>г. Удомля, ул. Энергетиков, д. 5</t>
  </si>
  <si>
    <t>г. Удомля, ул. Космонавтов, д. 1</t>
  </si>
  <si>
    <t>г. Удомля, пр. Курчатова, д. 3</t>
  </si>
  <si>
    <t>г. Андреаполь, ул. М.Складская, д. 4</t>
  </si>
  <si>
    <t>г. Андреаполь, ул. Половчени, д. 5а</t>
  </si>
  <si>
    <t>г. Андреаполь, ул. Половчени, д. 8</t>
  </si>
  <si>
    <t>г. Андреаполь, ул. Гагарина, д. 6</t>
  </si>
  <si>
    <t>г. Андреаполь, ул. Гагарина, д. 17</t>
  </si>
  <si>
    <t>г. Весьегонск, ул. Строителей, д. 3</t>
  </si>
  <si>
    <t>г. Весьегонск, ул. Павлика Морозова, д. 28</t>
  </si>
  <si>
    <t>г. Весьегонск, ул. Радищева, д. 1</t>
  </si>
  <si>
    <t>г. Весьегонск, пер. Строителей, д. 1</t>
  </si>
  <si>
    <t>г. Весьегонск, ул. Правды, д. 8</t>
  </si>
  <si>
    <t>г. Западная Двина, ул. Кирова, д. 31</t>
  </si>
  <si>
    <t>г. Западная Двина, ул. Кирова, д. 37</t>
  </si>
  <si>
    <t>г. Западная Двина, ул. Кирова, д. 29</t>
  </si>
  <si>
    <t>г. Западная Двина, ул. Фадеева, д. 29</t>
  </si>
  <si>
    <t>г. Западная Двина, пер. Садовый, д. 5</t>
  </si>
  <si>
    <t>г. Западная Двина, ул. Мира, д. 70</t>
  </si>
  <si>
    <t>г. Кашин, ул. Карла Маркса, д. 47</t>
  </si>
  <si>
    <t>г. Кашин, ул. Песочная, д. 16/7</t>
  </si>
  <si>
    <t>г. Кашин, ул. Советская, д. 1/8</t>
  </si>
  <si>
    <t>г. Кашин, ул. Заводская, д. 10</t>
  </si>
  <si>
    <t>г. Кашин, ул. Заводская, д. 12</t>
  </si>
  <si>
    <t>г. Кашин, ул. Михаила Калинина, д. 8/3</t>
  </si>
  <si>
    <t>г. Кашин, ул. Карла Маркса, д. 21а</t>
  </si>
  <si>
    <t>г. Кашин, ул. Песочная, д. 8</t>
  </si>
  <si>
    <t>г. Кашин, ул. Анатолия Луначарского, д. 8</t>
  </si>
  <si>
    <t>г. Кашин, ул. Анатолия Луначарского, д. 10</t>
  </si>
  <si>
    <t xml:space="preserve">г. Лихославль, ул. Карла Маркса, д. 25 </t>
  </si>
  <si>
    <t xml:space="preserve">г. Лихославль, ул. Разъезжая, д. 12 </t>
  </si>
  <si>
    <t>г. Лихославль, ул. Бежецкая, д. 25</t>
  </si>
  <si>
    <t xml:space="preserve">г. Лихославль, ул. Школьная, д. 4 </t>
  </si>
  <si>
    <t>пос. Калашниково, ул. Речная, д. 1</t>
  </si>
  <si>
    <t>г. Нелидово, ул. Матросова, д. 36/44</t>
  </si>
  <si>
    <t>г. Нелидово, ул. Шахтерская, д. 9/12</t>
  </si>
  <si>
    <t>г. Нелидово, ул. Ленина, д. 3</t>
  </si>
  <si>
    <t>г. Нелидово, ул. Матросова, д. 26/1</t>
  </si>
  <si>
    <t>г. Осташков, ул. Загородная, д. 16</t>
  </si>
  <si>
    <t>г. Осташков, нп Микрорайон, д. 11</t>
  </si>
  <si>
    <t>пос. Пено, ул. Парковая, д. 2</t>
  </si>
  <si>
    <t>пос. Рамешки, ул. Бежецкая, д. 20</t>
  </si>
  <si>
    <t>пос. Сандово, ул. 50 лет Октября, д. 1</t>
  </si>
  <si>
    <t>пос. Сандово, ул. Речная, д. 2</t>
  </si>
  <si>
    <t>пос. Селижарово, ул. Микрорайон, д. 1</t>
  </si>
  <si>
    <t>пос. Селижарово, ул. Микрорайон, д. 6</t>
  </si>
  <si>
    <t>пос. Селижарово, ул. Правды, д. 8</t>
  </si>
  <si>
    <t>пос. Красномайский                      ул. Кирова, д. 27</t>
  </si>
  <si>
    <t>г. Вышний Волочек, Тургеневский пер., д. 7</t>
  </si>
  <si>
    <t>г. Вышний Волочек, Бейшлотская наб., д. 127</t>
  </si>
  <si>
    <t>г. Вышний Волочек, Казанский пр-т, д. 151</t>
  </si>
  <si>
    <t>г. Вышний Волочек, Бейшлотская наб.,                            д. 127А</t>
  </si>
  <si>
    <t>г. Вышний Волочек, Тверской пер., д. 11/2</t>
  </si>
  <si>
    <t>г. Удомля, пр-т Энергетиков, д. 14</t>
  </si>
  <si>
    <t>д. Трояново, д. 2</t>
  </si>
  <si>
    <t>д. Трояново, д. 2а</t>
  </si>
  <si>
    <t>пос. Эммаусс, д. 26</t>
  </si>
  <si>
    <t>пос. Пригородный, ул. Мелиораторов, д. 7</t>
  </si>
  <si>
    <t>ул. Фадеева, д. 36, корп. 1</t>
  </si>
  <si>
    <t>пос. Пригородный,                  ул. Мелиораторов, д. 7</t>
  </si>
  <si>
    <t>ул. Дружбы, д. 3</t>
  </si>
  <si>
    <t>мкр-н Заводской, д. 11</t>
  </si>
  <si>
    <t>мкр-н Заводской, д. 12</t>
  </si>
  <si>
    <t>Итого по МО городское поселение пос. Жарковский</t>
  </si>
  <si>
    <t>Итого по МО городское поселение город Лихославль</t>
  </si>
  <si>
    <t>Итого по МО Вескинское сельское поселение</t>
  </si>
  <si>
    <t>Итого по МО городское поселение пос. Калашниково</t>
  </si>
  <si>
    <t>Итого по МО Сосновицкое сельское поселение</t>
  </si>
  <si>
    <t>пгт Оленино, ул. К. Маркса, д. 13</t>
  </si>
  <si>
    <t>п. Мирный, ул. С. Козлова, д. 3</t>
  </si>
  <si>
    <t>ул. Орджоникидзе, д. 2/1</t>
  </si>
  <si>
    <t>ул. Благоева, д. 4, корп. 3</t>
  </si>
  <si>
    <t xml:space="preserve">ул. Паши Савельевой, д. 39, корп. 3 </t>
  </si>
  <si>
    <t>пр-т Победы, д. 68, корп. 4</t>
  </si>
  <si>
    <t>пр-т Победы, д. 68, корп. 1</t>
  </si>
  <si>
    <t>ул. Красина, д. 53, корп. 1</t>
  </si>
  <si>
    <t>ул. Мичурина, д. 44, корп. 2</t>
  </si>
  <si>
    <t>мкр-н Западный, д. 2</t>
  </si>
  <si>
    <t>пгт Оленино, ул. Чехова, д. 20</t>
  </si>
  <si>
    <t>пгт Оленино, ул. Октябрьская, д. 24</t>
  </si>
  <si>
    <t>пгт Оленино, ул. Школьная, д. 13</t>
  </si>
  <si>
    <t>пгт Оленино, ул. Крестьянская, д. 19</t>
  </si>
  <si>
    <t>пгт Оленино, ул. Октябрьская, д. 26</t>
  </si>
  <si>
    <t>пгт Оленино, ул. Чехова, д. 22</t>
  </si>
  <si>
    <t>пгт Оленино, ул. Октябрьская, д. 14</t>
  </si>
  <si>
    <t>пгт Оленино, ул. Октябрьская, д. 22</t>
  </si>
  <si>
    <t>пгт Оленино, ул. Карла Маркса, д. 11</t>
  </si>
  <si>
    <t>пгт Оленино, ул. Карла Маркса, д. 13</t>
  </si>
  <si>
    <t>пгт Оленино, ул. Строителей, д. 2а</t>
  </si>
  <si>
    <t>пгт Оленино, ул. Пионерская, д. 9</t>
  </si>
  <si>
    <t>пгт Оленино, ул. Кузьмина, д. 91</t>
  </si>
  <si>
    <t>пгт Оленино, ул. Ленина, д. 61</t>
  </si>
  <si>
    <t>п. Мирный, ул. Строителей, д. 18</t>
  </si>
  <si>
    <t>п. Мирный, ул. Озерная, д. 12</t>
  </si>
  <si>
    <t>п. Мирный, ул. Строителей, д. 22</t>
  </si>
  <si>
    <t>п. Мирный, ул. Советская, д. 1</t>
  </si>
  <si>
    <t>п. Мирный, ул. Советская, д. 3</t>
  </si>
  <si>
    <t>д. Ново-Ямская, ул. Тверская, д. 11</t>
  </si>
  <si>
    <t>пр-т Победы, д. 28, корп. 1</t>
  </si>
  <si>
    <t>ул. Паши Савельевой, д. 2</t>
  </si>
  <si>
    <t>ул. Можайского, д. 61в</t>
  </si>
  <si>
    <t>ул. Советская, д. 24</t>
  </si>
  <si>
    <t>ул. Орджоникидзе, д. 46, корп. 1</t>
  </si>
  <si>
    <t>ул. Ткача, д. 2</t>
  </si>
  <si>
    <t>ул. Маршала Конева, д. 20</t>
  </si>
  <si>
    <t>ул. Новоторжская, д. 14</t>
  </si>
  <si>
    <t>ул. Пушкинская, д. 2а</t>
  </si>
  <si>
    <t>ул. Железнодорожников, д. 35, корп. 1</t>
  </si>
  <si>
    <t xml:space="preserve"> ул. Железнодорожников, д. 35, корп. 2</t>
  </si>
  <si>
    <t>пр-т Победы, д. 38/45</t>
  </si>
  <si>
    <t xml:space="preserve"> ш. Петербургское, д. 7а</t>
  </si>
  <si>
    <t>ул. Московская, д. 86а</t>
  </si>
  <si>
    <t>б-р Цанова, д. 21</t>
  </si>
  <si>
    <t>пр-т Чайковского, д. 7</t>
  </si>
  <si>
    <t>ул. Трехсвятская, д. 12</t>
  </si>
  <si>
    <t>пер. Трудолюбия, д. 37</t>
  </si>
  <si>
    <t>ул. Спартака, д. 46</t>
  </si>
  <si>
    <t>ул. Вагжанова, д. 16</t>
  </si>
  <si>
    <t>ул. Склизкова, д. 29</t>
  </si>
  <si>
    <t xml:space="preserve"> ул. Зинаиды Коноплянниковой, д. 15</t>
  </si>
  <si>
    <t>ш. Петербургское, д. 19</t>
  </si>
  <si>
    <t>ул. Сиверсова, д. 5 – 9</t>
  </si>
  <si>
    <t>ул. Завидова, д. 4</t>
  </si>
  <si>
    <t>мкр-н Заозерный, д. 22</t>
  </si>
  <si>
    <t>мкр-н Заводской, д. 2</t>
  </si>
  <si>
    <t>с. Застолбье, ул. Школьная, д. 4</t>
  </si>
  <si>
    <t>* При внесении изменений в муниципальные краткосрочные планы перечень многоквартирных домов подлежит корректировке.</t>
  </si>
  <si>
    <t xml:space="preserve">ремонт крыши, переустройство невентилируемой крыши на вентилируемую крышу, устройство выходов на кровлю  </t>
  </si>
  <si>
    <t>д. Фабрика,                               мкр-н Льнозавод, д. 5</t>
  </si>
  <si>
    <t>пгт Оленино,                          ул. Пионерская, д. 4а</t>
  </si>
  <si>
    <t>ш. Ленинградское,                  д. 91</t>
  </si>
  <si>
    <t>Восточный пр-д,                     д. 22</t>
  </si>
  <si>
    <t>пос. Белый Городок,                    ул. Лесная, д. 9</t>
  </si>
  <si>
    <t>ул. М. Горького, д. 44</t>
  </si>
  <si>
    <t>д. Некрасово, ул. Центральная, д. 36</t>
  </si>
  <si>
    <t>г. Кашин, ул. Карла Маркса, д. 63А</t>
  </si>
  <si>
    <t>ул. Строителей, д. 6</t>
  </si>
  <si>
    <t>пос. Белый омут,                       ул. Советская, д. 2</t>
  </si>
  <si>
    <t>ул. Т. Филиппова, д. 48/2</t>
  </si>
  <si>
    <t>ул. Т. Филиппова, д. 60</t>
  </si>
  <si>
    <t>п. Мирный,                              ул. Г. Кольцова, д. 1</t>
  </si>
  <si>
    <t>ул. Паши Савельевой,                     д. 2</t>
  </si>
  <si>
    <t>1 В том числе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установок.</t>
  </si>
  <si>
    <t>2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газа).</t>
  </si>
  <si>
    <t>3 В том числе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вещания.</t>
  </si>
  <si>
    <t>Реестр многоквартирных домов, капитальный ремонт которых которых не был завершен в 2020 году и которые планируется отремонтировать в 2021 – 2022 годах</t>
  </si>
  <si>
    <t>д. Фабрика, мкр-н Льнозавод, д. 5</t>
  </si>
  <si>
    <t>мкр-н Заозерный, д. 14</t>
  </si>
  <si>
    <t>мкр-н Заводской, д. 15</t>
  </si>
  <si>
    <t>Реестр многоквартирных домов, капитальный ремонт которых не был завершен в 2020 году, и которые планируется отремонтировать в 2021 – 2022 годах</t>
  </si>
  <si>
    <t>ул. Богданова, д. 24, корп. 2</t>
  </si>
  <si>
    <t>».</t>
  </si>
  <si>
    <t xml:space="preserve">пос. Селижарово, 
ул. Льнозаводская, д. 44 </t>
  </si>
  <si>
    <t xml:space="preserve">г. Лихославль, 
ул. Красноармейская, д. 4а </t>
  </si>
  <si>
    <t>г. Вышний Волочек, 
ул. Московская, д. 18</t>
  </si>
  <si>
    <t>г. Вышний Волочек, 
ул. Московская, д. 10</t>
  </si>
  <si>
    <t>пос. Калашниково, 
ул. Первомайская, д. 2а</t>
  </si>
  <si>
    <t>г. Осташков, пер. Льва Толстого, 
д. 1а</t>
  </si>
  <si>
    <t>г. Осташков, 
ул. 1-я Железнодорожная, д. 1а</t>
  </si>
  <si>
    <t>г. Лихославль, ул. Лихославльская, 
д. тяговой подстанции</t>
  </si>
  <si>
    <t>г. Вышний Волочек, 
ул. Красноармейская, д. 11</t>
  </si>
  <si>
    <t xml:space="preserve">г. Вышний Волочек, пр-т Казанский, 
д. 106/112 </t>
  </si>
  <si>
    <t>г. Вышний Волочек, пр-т Казанский, 
д. 86</t>
  </si>
  <si>
    <t>г. Вышний Волочек, 
ул. Екатерининская, д. 4 – 6</t>
  </si>
  <si>
    <t>г. Вышний Волочек, 
ул. Екатерининская, д. 7/9</t>
  </si>
  <si>
    <t>пос. Красномайский,  
ул. Железнодоржная, д. 19</t>
  </si>
  <si>
    <t>пос. Дмитрово-Черкассы, 
ул. Спортивная, д. 2а</t>
  </si>
  <si>
    <t>г. Осташков, 
ул. Константина Заслонова, д. 3</t>
  </si>
  <si>
    <t>г. Западная Двина, 
пер. Типографский, д. 5</t>
  </si>
  <si>
    <t>пр-д Зеленый, д. 43, 
корп. 15</t>
  </si>
  <si>
    <t>ул. Софьи Перовской, 
д. 26</t>
  </si>
  <si>
    <t>ул. Андрея Дементьева, 
д. 37</t>
  </si>
  <si>
    <t xml:space="preserve"> ул. Садовая 
(п. Сахарово), д. 4</t>
  </si>
  <si>
    <t>ул. Пржевальского, 
д. 55 А</t>
  </si>
  <si>
    <t>ул. Садовая 
(п. Сахарово), д. 25</t>
  </si>
  <si>
    <t>г. Вышний Волочек, 
ул. Красноармейская,                             д. 11</t>
  </si>
  <si>
    <t xml:space="preserve">г. Вышний Волочек, 
наб. Валентины Терешковой, д. 41 </t>
  </si>
  <si>
    <t xml:space="preserve">г. Вышний Волочек, 
ул. Южная, д. 6 </t>
  </si>
  <si>
    <t xml:space="preserve">г. Вышний Волочек, 
ул. Б. Садовая, д. 146/1 </t>
  </si>
  <si>
    <t>г. Вышний Волочек, 
пр-т Казанский, д. 86</t>
  </si>
  <si>
    <t>г. Вышний Волочек, 
ул. Венецианова, д. 31</t>
  </si>
  <si>
    <t>г. Вышний Волочек, 
ул. Желябова, д. 11а</t>
  </si>
  <si>
    <t>г. Вышний Волочек, 
ул. Цюрупы, д. 5а</t>
  </si>
  <si>
    <t>г. Вышний Волочек, 
ул. Московская, д. 41</t>
  </si>
  <si>
    <t>г. Вышний Волочек, 
ул. Цветочная, д. 17</t>
  </si>
  <si>
    <t>г. Вышний Волочек, 
ул. Карла Маркса, д. 68</t>
  </si>
  <si>
    <t>г. Вышний Волочек, 
ул. Баумана, д. 31</t>
  </si>
  <si>
    <t>г. Вышний Волочек, 
ул. Урицкого, д. 106</t>
  </si>
  <si>
    <t>г. Вышний Волочек, 
ул. Мичурина, д. 2</t>
  </si>
  <si>
    <t>г. Вышний Волочек, 
ул. Егорова, д. 2</t>
  </si>
  <si>
    <t>г. Вышний Волочек, 
пр-т Казанский, д. 48</t>
  </si>
  <si>
    <t>г. Вышний Волочек, 
ул. Крылова, д. 1а/29</t>
  </si>
  <si>
    <t>г. Вышний Волочек, 
ш. Московское, д. 111</t>
  </si>
  <si>
    <t>г. Вышний Волочек, 
ул. Артюхина, д. 45а</t>
  </si>
  <si>
    <t>г. Вышний Волочек, 
ул. 9 Января, д. 59/43</t>
  </si>
  <si>
    <t>Итого по МО 
город Кимры</t>
  </si>
  <si>
    <t>г. Андреаполь, 
ул. Театральная, д. 8</t>
  </si>
  <si>
    <t>г. Андреаполь, 
ул. Театральная, д. 11</t>
  </si>
  <si>
    <t>г. Весьегонск, 
ул. Советская, д. 81</t>
  </si>
  <si>
    <t>г. Весьегонск, 
ул. Молодежная, д. 24</t>
  </si>
  <si>
    <t>г. Западная Двина, 
ул. Кирова, д. 12</t>
  </si>
  <si>
    <t>г. Западная Двина, 
ул. Октябрьская, д. 2</t>
  </si>
  <si>
    <t>г. Западная Двина, 
ул. Октябрьская, д. 5</t>
  </si>
  <si>
    <t>г. Кашин, 
ул. Красноармейская,                д. 3</t>
  </si>
  <si>
    <t>г. Кашин, ул. Ленина, 
д. 8/11</t>
  </si>
  <si>
    <t>г. Кашин, 
пл. Республиканская,                  д. 3</t>
  </si>
  <si>
    <t>пос. Озерки, 
ул. Октябрьская, д. 7</t>
  </si>
  <si>
    <t>г. Красный Холм, 
ул. Льва Толстого,                         д. 51/4</t>
  </si>
  <si>
    <t>г. Красный Холм, 
ул. Заводская, д. 22</t>
  </si>
  <si>
    <t>г. Красный Холм, 
ул. Октябрьская, д. 26</t>
  </si>
  <si>
    <t>г. Лихославль, 
ул. Первомайская, д. 14</t>
  </si>
  <si>
    <t>г. Лихославль, 
ул. Первомайская, д. 11а</t>
  </si>
  <si>
    <t>г. Лихославль, 
ул. Юбилейная,  д. 2</t>
  </si>
  <si>
    <t>г. Лихославль, 
ул. Ямская,  д. 31</t>
  </si>
  <si>
    <t>г. Лихославль, 
ул. Ямская,  д. 33</t>
  </si>
  <si>
    <t>г. Лихославль, 
ул. Ямская,  д. 35</t>
  </si>
  <si>
    <t>г. Лихославль, 
дом тяговой подстанции</t>
  </si>
  <si>
    <t>г. Лихославль, 
ул. Бежецкая,  д. 25</t>
  </si>
  <si>
    <t>г. Лихославль, 
ул. Первомайская,  д. 21</t>
  </si>
  <si>
    <t>г. Лихославль, 
ул.  Лихославльская,                  д. 16</t>
  </si>
  <si>
    <t>Итого по МО городское поселение 
пос. Калашниково</t>
  </si>
  <si>
    <t>пос. Калашниково, 
ул. Тверская, д. 36</t>
  </si>
  <si>
    <t>пос. Калашниково, 
ул. Первомайская, д. 3</t>
  </si>
  <si>
    <t>пос. Калашниково, 
ул. Горького, д. 3</t>
  </si>
  <si>
    <t>д. Каменка, 
ул. Центральная, д. 7а</t>
  </si>
  <si>
    <t>г. Нелидово, 
ул. Матросова, д. 30</t>
  </si>
  <si>
    <t>пгт Оленино, 
ул. К. Маркса, д. 13</t>
  </si>
  <si>
    <t>пгт Оленино, 
ул. Ленина, д. 35</t>
  </si>
  <si>
    <t>пгт Оленино, 
ул. Ленина, д. 54</t>
  </si>
  <si>
    <t>пгт Оленино, 
ул. Ленина, д. 56</t>
  </si>
  <si>
    <t>п. Мирный, ул. Ленина, 
д. 3</t>
  </si>
  <si>
    <t>п. Мирный, ул. Ленина, 
д. 16</t>
  </si>
  <si>
    <t>г. Осташков, 
ул. Володарского, д. 43</t>
  </si>
  <si>
    <t>г. Осташков, 
пер. Адрианова, д. 14</t>
  </si>
  <si>
    <t>г. Осташков, 
ул. Шевчука, д. 5</t>
  </si>
  <si>
    <t>г. Осташков, 
ул. Загородная, д. 10</t>
  </si>
  <si>
    <t>г. Осташков, 
ул. Володарского, д. 175</t>
  </si>
  <si>
    <t>г. Осташков, 
ул. Володарского, д. 27</t>
  </si>
  <si>
    <t>пос. Рамешки, 
ул. Бежецкая, д. 18</t>
  </si>
  <si>
    <t>пос. Рамешки, 
ул. Советская, д. 60</t>
  </si>
  <si>
    <t>пос. Сандово, 
ул. Рудакова, д. 5</t>
  </si>
  <si>
    <t>пос. Селижарово, 
ул. Энгельса, д. 84</t>
  </si>
  <si>
    <t>пос. Селижарово, 
наб. Кирова, д. 7а</t>
  </si>
  <si>
    <t>пос. Сонково, 
ул. Калинина, д. 2</t>
  </si>
  <si>
    <t>пос. Спирово, 
пер. Советский, д. 2</t>
  </si>
  <si>
    <t>г. Удомля, 
ул. Энтузиастов,  д. 18</t>
  </si>
  <si>
    <t>г. Удомля, 
ул. Космонавтов, д. 5а</t>
  </si>
  <si>
    <t>г. Удомля, 
ул. Энтузиастов, д. 4</t>
  </si>
  <si>
    <t>г. Удомля, 
пр-т Энергетиков, д. 11в</t>
  </si>
  <si>
    <t>ул. 15 лет Октября, 
д. 64/23</t>
  </si>
  <si>
    <t>пр-д Зеленый, д. 45, 
корп. 2</t>
  </si>
  <si>
    <t>ул. Резинстроя, д. 8, 
корп. 2</t>
  </si>
  <si>
    <t xml:space="preserve">ул. Паши Савельевой, 
д. 39, корп. 3 </t>
  </si>
  <si>
    <t>пр-т Победы, д. 68, 
корп. 1</t>
  </si>
  <si>
    <t>ул. Мичурина, д. 44, 
корп. 2</t>
  </si>
  <si>
    <t>бульвар Молодежный, 
д. 5</t>
  </si>
  <si>
    <t>г. Вышний Волочек, 
ул. Декабристов, д. 9</t>
  </si>
  <si>
    <t>г. Вышний Волочек, 
ул. Дзержинского,                      д. 12/25</t>
  </si>
  <si>
    <t>г. Вышний Волочек, 
ул. Джержинского, д. 10</t>
  </si>
  <si>
    <t>г. Вышний Волочек, 
ул. Баумана, д. 27</t>
  </si>
  <si>
    <t>г. Вышний Волочек, 
ул. Баумана, д. 11</t>
  </si>
  <si>
    <t>г. Вышний Волочек, 
ул. М. Горького, д. 15</t>
  </si>
  <si>
    <t>г. Вышний Волочек, 
ул. Ямская, д. 96а</t>
  </si>
  <si>
    <t>г. Вышний Волочек, 
ул. Ямская, д. 283</t>
  </si>
  <si>
    <t>г. Вышний Волочек, 
ул. Б. Зайцева, д. 15а</t>
  </si>
  <si>
    <t>г. Вышний Волочек, 
ул. Ямская, д. 175а</t>
  </si>
  <si>
    <t>г. Вышний Волочек, 
ул. Баумана, д. 10а</t>
  </si>
  <si>
    <t>г. Вышний Волочек, 
ул. Рабочая, д. 59</t>
  </si>
  <si>
    <t>Московское шоссе, 
д. 109б</t>
  </si>
  <si>
    <t>пос. Горняк, 
ул. Центральная, д. 6</t>
  </si>
  <si>
    <t>г. Андреаполь, 
ул. Кленовая, д. 19а</t>
  </si>
  <si>
    <t>г. Андреаполь, 
ул. Театральная, д. 3</t>
  </si>
  <si>
    <t>г. Весьегонск, 
ул. Парковая, д. 6</t>
  </si>
  <si>
    <t>г. Весьегонск, 
ул. Коммунистическая, 
д. 12</t>
  </si>
  <si>
    <t>г. Западная Двина, 
пер. Типографский, д. 3</t>
  </si>
  <si>
    <t>г. Западная Двина, 
ул. Почтовая, д. 12</t>
  </si>
  <si>
    <t>д. Нестерово, 
ул. Центральная, д. 13</t>
  </si>
  <si>
    <t>с. Медное, ул. Садовая, 
д. 3</t>
  </si>
  <si>
    <t>г. Кашин, ул. Единения, 
д. 2</t>
  </si>
  <si>
    <t>г. Кашин, 
ул. Железнодорожная,               д. 8/37</t>
  </si>
  <si>
    <t>г. Кашин, ул. Ленина, 
д. 4/14</t>
  </si>
  <si>
    <t>г. Кашин, 
ул. Республиканская,                         д. 5</t>
  </si>
  <si>
    <t>г. Кашин, ул. Ивана Чистякова, д. 14</t>
  </si>
  <si>
    <t>Итого по МО городское поселение 
город Конаково</t>
  </si>
  <si>
    <t>пос. Озерки, 
ул. Ленинская, д. 16</t>
  </si>
  <si>
    <t>Итого по МО городское поселение 
пос. Новозавидовский</t>
  </si>
  <si>
    <t>г. Красный Холм, 
ул. Калинина, д. 6</t>
  </si>
  <si>
    <t>г. Красный Холм, 
ул. Ленина, д. 41/15</t>
  </si>
  <si>
    <t>Итого по МО городское поселение 
город Кувшиново</t>
  </si>
  <si>
    <t>Итого 
по город Лихославль</t>
  </si>
  <si>
    <t>г. Лихославль, 
ул. Первомайская, д. 39</t>
  </si>
  <si>
    <t>г. Лихославль, 
ул. Лихославльская, д. 45</t>
  </si>
  <si>
    <t>Итого 
по пос. Калашниково</t>
  </si>
  <si>
    <t>пос. Калашниково, 
ул. Ленина, д. 35</t>
  </si>
  <si>
    <t>г. Нелидово, 
ул. Горького, д. 4</t>
  </si>
  <si>
    <t>г. Нелидово, 
ул. Нахимова, д. 11</t>
  </si>
  <si>
    <t>пгт Оленино, 
ул. Октябрьская, д .24</t>
  </si>
  <si>
    <t>пгт Оленино, 
ул. Школьная, д. 13</t>
  </si>
  <si>
    <t>пгт Оленино, 
ул. Крестьянская, д. 19</t>
  </si>
  <si>
    <t>пгт Оленино, 
ул. Октябрьская, д. 26</t>
  </si>
  <si>
    <t>пгт Оленино, 
ул.Чехова, д. 20</t>
  </si>
  <si>
    <t>пгт Оленино, 
ул. Чехова, д. 22</t>
  </si>
  <si>
    <t>пгт Оленино, 
ул. Октябрьская, д. 14</t>
  </si>
  <si>
    <t>пгт Оленино, 
ул. Октябрьская, д. 22</t>
  </si>
  <si>
    <t>пгт Оленино, 
ул. Строителей, д. 2а</t>
  </si>
  <si>
    <t>пгт Оленино, 
ул. Кузьмина, д. 91</t>
  </si>
  <si>
    <t>пгт Оленино, 
ул. Пионерская, д. 9</t>
  </si>
  <si>
    <t>пгт Оленино, 
ул. Ленина, д. 61</t>
  </si>
  <si>
    <t>п. Мирный, 
ул. Строителей, д. 18</t>
  </si>
  <si>
    <t>п. Мирный, 
ул. Строителей, д. 22</t>
  </si>
  <si>
    <t>п. Мирный, 
ул. Озерная, д. 12</t>
  </si>
  <si>
    <t>п. Мирный, 
ул. Советская, д. 1</t>
  </si>
  <si>
    <t>п. Мирный, 
ул. Советская, д. 3</t>
  </si>
  <si>
    <t>г. Осташков, 
пер. Литвиненко, д. 28а</t>
  </si>
  <si>
    <t>г. Осташков, 
ул. Рудинская, д. 17</t>
  </si>
  <si>
    <t>г. Осташков, 
ул. Шевчука, д. 3</t>
  </si>
  <si>
    <t>г. Осташков, 
ул. Тимофеевская, д. 66а</t>
  </si>
  <si>
    <t>г. Осташков, 
ул. Тимофеевская, д. 66</t>
  </si>
  <si>
    <t>пос. Пено, 
ул. З. Голицыной, д. 11</t>
  </si>
  <si>
    <t>пос. Рамешки, 
ул. Пионерская, д. 38</t>
  </si>
  <si>
    <t>пос. Сандово, 
ул. Лесная, д. 3</t>
  </si>
  <si>
    <t>пос. Сандово, 
ул. Пионерская, д. 18</t>
  </si>
  <si>
    <t xml:space="preserve">пос. Селижарово, 
ул. Гагарина, д. 2 </t>
  </si>
  <si>
    <t>пос. Селижарово, 
ул. Ленина, д. 29</t>
  </si>
  <si>
    <t>пос. Селижарово, 
ул. Завокзальная, д. 20</t>
  </si>
  <si>
    <t>пос. Спирово, 
ул. Страховая, д. 13</t>
  </si>
  <si>
    <t>г. Удомля, 
пр-т Венецианова, д. 1</t>
  </si>
  <si>
    <t>г. Удомля, 
ул. Энтузиастов, д. 12</t>
  </si>
  <si>
    <t>г. Удомля, 
ул. Космонавтов, д. 9а</t>
  </si>
  <si>
    <t>г. Вышний Волочек, 
ул. Красная, д. 9</t>
  </si>
  <si>
    <t>г. Вышний Волочек, 
ул. Баумана, д. 23</t>
  </si>
  <si>
    <t>г. Вышний Волочек, 
ул. Л. Толстого, д. 108а</t>
  </si>
  <si>
    <t>г. Вышний Волочек, 
ул. Урицкого, д. 178/11</t>
  </si>
  <si>
    <t>г. Вышний Волочек, 
ул. Чапаева, д. 11</t>
  </si>
  <si>
    <t>г. Вышний Волочек, 
ул. 4-я Пролетарская,                  д. 98/2</t>
  </si>
  <si>
    <t>г. Вышний Волочек, 
ул. Трудовая, д. 5/9</t>
  </si>
  <si>
    <t xml:space="preserve">г. Вышний Волочек, 
ул. Баумана, д. 5 </t>
  </si>
  <si>
    <t>г. Вышний Волочек, 
ул. Б. Зайцева, д. 13/56</t>
  </si>
  <si>
    <t>г. Вышний Волочек, 
ул. Советская, д. 21/2</t>
  </si>
  <si>
    <t>Итого по МО 
ЗАТО Озерный</t>
  </si>
  <si>
    <t>г. Андреаполь, 
ул. Советская, д. 65а</t>
  </si>
  <si>
    <t>г. Андреаполь, 
ул. Кленовая, д. 18</t>
  </si>
  <si>
    <t>г. Весьегонск, 
ул. Правды, д. 10</t>
  </si>
  <si>
    <t>г. Весьегонск, 
ул. Промышленная, д. 22</t>
  </si>
  <si>
    <t>Итого по МО городское поселение 
пос. Жарковский</t>
  </si>
  <si>
    <t>г. Западная Двина, 
ул. Мира, д. 35А</t>
  </si>
  <si>
    <t>г. Западная Двина, 
ул. Фадеева, д. 25</t>
  </si>
  <si>
    <t>д. Некрасово, 
ул. Центральная, д. 36</t>
  </si>
  <si>
    <t>г. Кашин, 
ул. Комсомольская, д. 3</t>
  </si>
  <si>
    <t>г. Кашин, ул. Ленина, 
д. 31</t>
  </si>
  <si>
    <t>г. Кашин, ул. Ленина, 
д. 36</t>
  </si>
  <si>
    <t>г. Кашин, 
ул. Московская, д. 12</t>
  </si>
  <si>
    <t>г. Кашин, 
ул. Крестьянская, д. 7/5</t>
  </si>
  <si>
    <t>г. Кашин, 
ул. Московская, д. 1Б</t>
  </si>
  <si>
    <t>г. Красный Холм, 
ул. Коммунистическая, 
д. 36</t>
  </si>
  <si>
    <t>г. Лихославль, 
ул. Лихославльская,                     д. 9А</t>
  </si>
  <si>
    <t>пос. Калашниково, 
ул. Горького, д. 4</t>
  </si>
  <si>
    <t>г. Нелидово, 
ул. Горького, д. 10</t>
  </si>
  <si>
    <t>г. Нелидово, 
ул. Нахимова, д. 14/13</t>
  </si>
  <si>
    <t>пгт Оленино, 
ул. Кузьмина, д. 31</t>
  </si>
  <si>
    <t>г. Осташков, 
пер. Адрианова, д. 12</t>
  </si>
  <si>
    <t>г. Осташков, 
ул. Загородная, д. 12а</t>
  </si>
  <si>
    <t>г. Осташков, 
ул. Рабочая, д. 29</t>
  </si>
  <si>
    <t>г. Осташков, 
пер. Льва Толстого, д. 1а</t>
  </si>
  <si>
    <t>г. Осташков, 
ул. Володарского, д. 179</t>
  </si>
  <si>
    <t>г. Осташков, 
ул. Печатникова, д. 8</t>
  </si>
  <si>
    <t>г. Осташков, 
ул. Печатникова, д. 6</t>
  </si>
  <si>
    <t>пос. Рамешки, 
ул. Советская, д. 20а</t>
  </si>
  <si>
    <t>пос. Сандово, 
ул. Октябрьская, д. 11</t>
  </si>
  <si>
    <t>пос. Селижарово, 
ул. Западная, д. 47</t>
  </si>
  <si>
    <t>пос. Селижарово, 
ул. Вознесенского, д. 13</t>
  </si>
  <si>
    <t>пос. Сонково, 
ул. Артамонова, д. 1а</t>
  </si>
  <si>
    <t>пос. Спирово, 
пер. Фестивальный, д. 3</t>
  </si>
  <si>
    <t>ул. Коммунистическая, 
д. 34</t>
  </si>
  <si>
    <t>Итого по МО 
Ново-Ямское сельское поселение</t>
  </si>
  <si>
    <t>д. Ново-Ямская, 
ул. Тверская, д. 11</t>
  </si>
  <si>
    <t>п. Славный, 
ул. Школьная, д. 4</t>
  </si>
  <si>
    <t>г. Удомля, 
ул. Энергетиков, д. 5</t>
  </si>
  <si>
    <t>г. Удомля, 
ул. Космонавтов, д. 1</t>
  </si>
  <si>
    <t>поселок Химинститута, 
д. 32</t>
  </si>
  <si>
    <t>поселок Химинститута, 
д. 20</t>
  </si>
  <si>
    <t>пр-т Чайковского, 
д. 24/2Б</t>
  </si>
  <si>
    <t>поселок Химинститута, 
д. 18</t>
  </si>
  <si>
    <t>пер. Университетский, 
д. 3</t>
  </si>
  <si>
    <t>пр-д Зеленый, д. 49, 
корп. 3</t>
  </si>
  <si>
    <t>ул. Андрея Дементьева, 
д. 36/38</t>
  </si>
  <si>
    <t>пос. Сонково, 
ул. Сельхозтехника, д. 1а</t>
  </si>
  <si>
    <t>пос. Селижарово, 
ул. Пушкина, д. 52</t>
  </si>
  <si>
    <t xml:space="preserve">пос. Селижарово, 
ул. Ст. Разина, д. 2а </t>
  </si>
  <si>
    <t>пос. Селижарово, 
ул. Микрорайон, д. 6</t>
  </si>
  <si>
    <t>пос. Селижарово, 
ул. Правды, д. 8</t>
  </si>
  <si>
    <t>пос. Селижарово, 
ул. Микрорайон, д. 1</t>
  </si>
  <si>
    <t xml:space="preserve">пос. Селижарово, 
ул. Пионерская, д. 14 </t>
  </si>
  <si>
    <t>пос. Рамешки, 
ул. Бежецкая, д. 20</t>
  </si>
  <si>
    <t>пос. Пено, 
ул. Красноармейская,                 д. 11</t>
  </si>
  <si>
    <t>г. Осташков, 
ул. Загородная, д. 16</t>
  </si>
  <si>
    <t>г. Осташков, 
нп Микрорайон, д. 11</t>
  </si>
  <si>
    <t>г. Осташков, 
ул. Володарского, д. 177</t>
  </si>
  <si>
    <t>г. Нелидово, 
ул. Матросова, д. 26/1</t>
  </si>
  <si>
    <t>пос. Межа, ул. Ленина, 
д. 15</t>
  </si>
  <si>
    <t>г. Нелидово, 
ул. Шахтерская, д. 9/12</t>
  </si>
  <si>
    <t>г. Нелидово, 
ул. Матросова, д. 36/44</t>
  </si>
  <si>
    <t>с. Ильинское, ул. Мира, 
д. 1</t>
  </si>
  <si>
    <t>пос. Калашниково, 
ул. Речная, д. 1</t>
  </si>
  <si>
    <t>пос. Калашниково, 
ул. Ленина, д. 39</t>
  </si>
  <si>
    <t xml:space="preserve"> пос. Калашниково, 
ул. Ленина, д. 34</t>
  </si>
  <si>
    <t>пос. Калашниково, 
ул. Ленина, д. 28</t>
  </si>
  <si>
    <t>Итого по муниципальному образованию Тверской области (далее – МО) 
город Тверь</t>
  </si>
  <si>
    <t>г. Лихославль, 
ул. Юбилейная, д. РСУ</t>
  </si>
  <si>
    <t xml:space="preserve">г. Лихославль, 
ул. Школьная, д. 4 </t>
  </si>
  <si>
    <t xml:space="preserve">г. Лихославль, 
ул. Красноармейская,                 д. 4а </t>
  </si>
  <si>
    <t>г. Лихославль, 
ул. Бежецкая, д. 25</t>
  </si>
  <si>
    <t xml:space="preserve">г. Лихославль, 
ул. Разъезжая, д. 12 </t>
  </si>
  <si>
    <t>г. Лихославль, 
ул. Лихославльская,                      д. тяговой подстанции</t>
  </si>
  <si>
    <t>г. Лихославль, 
пер. Театральный, д. 2</t>
  </si>
  <si>
    <t>Итого по МО 
город Тверь</t>
  </si>
  <si>
    <t>ул. Бобкова, д. 26, 
корп. 8</t>
  </si>
  <si>
    <t>ул. Громова, д. 11, 
корп. 3</t>
  </si>
  <si>
    <t>ул. Орджоникидзе, 
д. 12/1</t>
  </si>
  <si>
    <t>ул. Фадеева, д. 28, 
корп. 1</t>
  </si>
  <si>
    <t>ул. Железнодорожников, 
д. 28</t>
  </si>
  <si>
    <t>пер. Воздвиженский, 
д. 32</t>
  </si>
  <si>
    <t>г. Вышний Волочек, 
ул. Быкова гора, д. 1</t>
  </si>
  <si>
    <t>г. Вышний Волочек, 
ул. Большая Садовая,                 д. 69</t>
  </si>
  <si>
    <t>г. Вышний Волочек, 
ул. Большая Садовая,                   д. 80</t>
  </si>
  <si>
    <t>г. Вышний Волочек, 
ул. Сиверсова, д. 8а</t>
  </si>
  <si>
    <t>г. Вышний Волочек, 
ул. Пашинская, д. 11</t>
  </si>
  <si>
    <t>г. Вышний Волочек, 
ул. Екатерининская,                    д. 39</t>
  </si>
  <si>
    <t>г. Вышний Волочек, 
ул. Коммунаров, д. 7а</t>
  </si>
  <si>
    <t>г. Вышний Волочек, 
ул. Мичурина, д. 3</t>
  </si>
  <si>
    <t>г. Вышний Волочек, 
ул. Урицкого, д. 97</t>
  </si>
  <si>
    <t>г. Вышний Волочек, 
ул. Лесозаводская, д. 14</t>
  </si>
  <si>
    <t>г. Вышний Волочек, 
ул. М. Расковой, д. 79/82</t>
  </si>
  <si>
    <t>г. Вышний Волочек, 
ул. Большая Садовая,                  д. 55</t>
  </si>
  <si>
    <t>г. Вышний Волочек, 
ул. Баумана, д. 10</t>
  </si>
  <si>
    <t>г. Вышний Волочек, 
ул. Крылова, д. 2а</t>
  </si>
  <si>
    <t>г. Вышний Волочек, 
ш. Московское, д. 109б</t>
  </si>
  <si>
    <t>г. Вышний Волочек, 
наб. О. Матвеева, д. 17</t>
  </si>
  <si>
    <t>г. Вышний Волочек, 
ул. Сиверсова, д. 5 – 9</t>
  </si>
  <si>
    <t>г. Вышний Волочек, 
ул. Степана Разина, д. 1</t>
  </si>
  <si>
    <t>Итого по МО 
город Торжок</t>
  </si>
  <si>
    <t>ул. Красноармейская, 
д. 37</t>
  </si>
  <si>
    <t>г. Андреаполь, 
ул. М.Складская, д. 4</t>
  </si>
  <si>
    <t>г. Андреаполь, 
ул. Половчени, д. 5а</t>
  </si>
  <si>
    <t>г. Андреаполь, 
ул. Половчени, д. 8</t>
  </si>
  <si>
    <t>г. Андреаполь, 
ул. Гагарина, д. 6</t>
  </si>
  <si>
    <t>г. Андреаполь, 
ул. Карла Маркса, д. 3</t>
  </si>
  <si>
    <t>г. Андреаполь, 
ул. Гагарина, д. 17</t>
  </si>
  <si>
    <t>г. Андреаполь, 
ул. Октябрьская, д. 56</t>
  </si>
  <si>
    <t>пос. Выползово, 
ул. Березовая роща, д. 10</t>
  </si>
  <si>
    <t>г. Весьегонск, 
ул. Строителей, д. 3</t>
  </si>
  <si>
    <t>г. Весьегонск, 
ул. Промышленная, д. 24</t>
  </si>
  <si>
    <t>г. Весьегонск, 
ул. Павлика Морозова, 
д. 28</t>
  </si>
  <si>
    <t>г. Весьегонск, 
ул. Радищева, д. 1</t>
  </si>
  <si>
    <t>г. Весьегонск, 
пер. Строителей, д. 1</t>
  </si>
  <si>
    <t>г. Весьегонск, 
ул. Правды, д. 8</t>
  </si>
  <si>
    <t>г. Западная Двина, 
ул. Кирова, д. 31</t>
  </si>
  <si>
    <t>г. Западная Двина, 
ул. Кирова, д. 37</t>
  </si>
  <si>
    <t>г. Западная Двина, 
ул. Школьная, д. 7</t>
  </si>
  <si>
    <t>г. Западная Двина, 
ул. Щербакова, д. 24</t>
  </si>
  <si>
    <t>г. Западная Двина, 
ул. Кирова, д. 29</t>
  </si>
  <si>
    <t>г. Западная Двина, 
ул. Фадеева, д. 29</t>
  </si>
  <si>
    <t>г. Западная Двина, 
пер. Садовый, д. 5</t>
  </si>
  <si>
    <t>г. Западная Двина, 
ул. Мира, д. 70</t>
  </si>
  <si>
    <t>пгт Орша, 
ул. Октябрьская, д. 4</t>
  </si>
  <si>
    <t>г. Красный Холм, 
пер. Красный, д. 2а</t>
  </si>
  <si>
    <t>г. Красный Холм, 
ул. Мясникова, д. 36б</t>
  </si>
  <si>
    <t>г. Удомля, 
пр-т Энергетиков, д. 14</t>
  </si>
  <si>
    <t>пос. Фирово, 
ул. Новая, д. 96</t>
  </si>
  <si>
    <t>техническое обследование общего имущества в много-квартирном доме</t>
  </si>
  <si>
    <t>пр-т Победы, д. 68, 
корп. 4</t>
  </si>
  <si>
    <t>ул. Тамары Ильиной,                    д. 7, корп. 1</t>
  </si>
  <si>
    <t>ул. Громова, д. 36, 
корп. 2</t>
  </si>
  <si>
    <t>ул. Артюхиной, д. 9, 
корп. 4</t>
  </si>
  <si>
    <t>ул. Паши Савельевой,                д. 35, корп. 2</t>
  </si>
  <si>
    <t>ул. Паши Савельевой,                   д. 35, корп. 4</t>
  </si>
  <si>
    <t>ул. Богданова, д. 24, 
корп. 2</t>
  </si>
  <si>
    <t>г. Вышний Волочек, 
ул. 4-я Пролетарская, д. 98/2</t>
  </si>
  <si>
    <t>ул. Садовая, д. 23</t>
  </si>
  <si>
    <t>п. Заволжский, д. 14</t>
  </si>
  <si>
    <t>п. Заволжский, д. 15</t>
  </si>
  <si>
    <t>п. Заволжский, д. 18</t>
  </si>
  <si>
    <t>ул. Гагарина, д. 29</t>
  </si>
  <si>
    <t>ул. Декабристов, д. 21</t>
  </si>
  <si>
    <t>д. Сергеевское, д. 2а</t>
  </si>
  <si>
    <t>с. Пушкино, д. 7</t>
  </si>
  <si>
    <t>пос. Спирово, 
пер. Фурманова, д. 2</t>
  </si>
  <si>
    <t>пос. Спирово, 
ул. Мира, д. 10</t>
  </si>
  <si>
    <t>г. Удомля, ул. Венецианова, д. 3</t>
  </si>
  <si>
    <t>г. Удомля, ул. Энтузиастов, д. 6/2</t>
  </si>
  <si>
    <t>г. Удомля, ул. Карла Маркса, д. 25</t>
  </si>
  <si>
    <t>г. Удомля, ул. Левитана, д. 7</t>
  </si>
  <si>
    <t>д. Ивановское, д. 25</t>
  </si>
  <si>
    <t>Итого по МО 
ЗАТО Солнечный</t>
  </si>
  <si>
    <t>Итого по МО Фралевское сельское поселение</t>
  </si>
  <si>
    <t>д. Селезенево, д. 2</t>
  </si>
  <si>
    <t>пгт Оленино, ул. Ленина, д. 58</t>
  </si>
  <si>
    <t>пгт Оленино, ул. Пионерская, д. 3</t>
  </si>
  <si>
    <t>пгт Оленино, ул. Крестьянская, д. 17</t>
  </si>
  <si>
    <t>пгт Оленино, ул. Крестьянская, д. 21</t>
  </si>
  <si>
    <t>пгт Оленино, ул. Пионерская, д. 7</t>
  </si>
  <si>
    <t>пгт Оленино, ул. Чехова, д. 17</t>
  </si>
  <si>
    <t>пгт Оленино, ул. Пионерская, д. 12</t>
  </si>
  <si>
    <t>пгт Оленино, ул. Пушкина, д. 5/2</t>
  </si>
  <si>
    <t>пгт Оленино, ул. Ленина, д. 11</t>
  </si>
  <si>
    <t>пгт Оленино, ул. Строителей, д. 26</t>
  </si>
  <si>
    <t>пгт Оленино, ул. Ленина, д. 16</t>
  </si>
  <si>
    <t>пгт Оленино, 
ул. Пионерская, д. 4а</t>
  </si>
  <si>
    <t>177147,00</t>
  </si>
  <si>
    <t xml:space="preserve">Итого по МО Кулицкое сельское поселение </t>
  </si>
  <si>
    <t>ж/д ст. Кулицкая, ул. Заводская, д. 4а</t>
  </si>
  <si>
    <t>Итого по МО Кулицкое сельское поселение</t>
  </si>
  <si>
    <t>ул. Советская, д. 54</t>
  </si>
  <si>
    <t>ул.  Артюхиной, д. 4</t>
  </si>
  <si>
    <t>бульвар Шмидта, д. 37</t>
  </si>
  <si>
    <t>ул. Артюхиной, д. 6</t>
  </si>
  <si>
    <t>пр-д Ремесленный, д. 8а</t>
  </si>
  <si>
    <t>ул. 15 лет Октября, д. 8</t>
  </si>
  <si>
    <t>пр-д Боровой, д. 10</t>
  </si>
  <si>
    <t>ул. Бочкина, д. 22</t>
  </si>
  <si>
    <t>ул. Бакунина, д. 17</t>
  </si>
  <si>
    <t xml:space="preserve">ул. Коминтерна, д. 69/26        </t>
  </si>
  <si>
    <t>ул. Главная, д. 1</t>
  </si>
  <si>
    <t>ул. Главная, д. 4</t>
  </si>
  <si>
    <t>ул. Большевисткая, д. 1</t>
  </si>
  <si>
    <t>ул. Краностроителей,              д. 1</t>
  </si>
  <si>
    <t>ул. Коллективная, д. 39</t>
  </si>
  <si>
    <t>Бельский муниципальный округ</t>
  </si>
  <si>
    <t>Зубцовский муниципальный округ</t>
  </si>
  <si>
    <t>Сонковский муниципальный округ</t>
  </si>
  <si>
    <t>Максатихинский муниципальный округ</t>
  </si>
  <si>
    <t>пос. Максатиха, ул. Советская, д. 41а</t>
  </si>
  <si>
    <t>пос. Максатиха, ул. им. Смирнова,  д. 9</t>
  </si>
  <si>
    <t>пос. Максатиха, ул. Восточная, д. 1</t>
  </si>
  <si>
    <t>пос. Максатиха, ул. Парковская, д. 26</t>
  </si>
  <si>
    <t>пос. Максатиха, пер. Милицейский, д. 2</t>
  </si>
  <si>
    <t>пос. Максатиха, ул. Пролетарская, д. 21</t>
  </si>
  <si>
    <t>пос. Максатиха, ул. Парковская, д. 17</t>
  </si>
  <si>
    <t>пос. Максатиха, ул. Советская, д. 41б</t>
  </si>
  <si>
    <t>пос. Максатиха, ул. Северная, д. 5а</t>
  </si>
  <si>
    <t>г. Зубцов, пер. Образцова, д. 1</t>
  </si>
  <si>
    <t>г. Зубцов, ул. Советская, д. 22</t>
  </si>
  <si>
    <t>г. Зубцов, ул. Садово-Набережная, д. 3</t>
  </si>
  <si>
    <t>г. Зубцов, ул. Советская, д. 19</t>
  </si>
  <si>
    <t>г. Зубцов, ул. Мира, д. 9</t>
  </si>
  <si>
    <t>г. Белый, ул. Строителей, д. 13</t>
  </si>
  <si>
    <t>г. Белый, пер. Аптечный,  д. 1</t>
  </si>
  <si>
    <t>г. Белый, ул. Ленина, д. 10</t>
  </si>
  <si>
    <t>г. Белый, ул. Смирнова, д. 16</t>
  </si>
  <si>
    <t>г. Белый, ул. Карла Маркса, д. 3</t>
  </si>
  <si>
    <t>г. Белый, ул. Ленина, д. 31</t>
  </si>
  <si>
    <t>г. Белый, пл. Кирова, д. 8</t>
  </si>
  <si>
    <t>г. Белый, ул. Ленина, д. 50</t>
  </si>
  <si>
    <t>г. Белый, ул. Кирова, д. 8</t>
  </si>
  <si>
    <t>г. Белый, пл. Карла Маркса, д. 1</t>
  </si>
  <si>
    <t>ул. Октябрьская, д. 8а</t>
  </si>
  <si>
    <t>Итого по МО Кимрский муниципальный округ</t>
  </si>
  <si>
    <t>Итого по МО Ржевский муниципальный округ</t>
  </si>
  <si>
    <t>Итого по МО Старицкий муниципальный округ</t>
  </si>
  <si>
    <t>г. Ржев, ул. Разина, д. 3</t>
  </si>
  <si>
    <t>г. Ржев, ул. Челюскинцев, д. 36</t>
  </si>
  <si>
    <t>г. Ржев, ул. Центральная, д. 12</t>
  </si>
  <si>
    <t>г. Ржев, ул. Мира, д. 8</t>
  </si>
  <si>
    <t>г. Ржев, ул. Мира, д. 6</t>
  </si>
  <si>
    <t>г. Ржев, ул. Мира, д. 2</t>
  </si>
  <si>
    <t>г. Ржев, ул. Гагарина, д. 160</t>
  </si>
  <si>
    <t>г. Ржев, ул. Большевисткая, д. 1</t>
  </si>
  <si>
    <t>г. Ржев, ул. Октябрьская, д. 8а</t>
  </si>
  <si>
    <t>г. Ржев, ул. Большая Спасская, д. 8/27</t>
  </si>
  <si>
    <t>г. Ржев, Торопецкий тракт, д. 2а/21</t>
  </si>
  <si>
    <t>г. Ржев, ул. Краностроителей, д. 1</t>
  </si>
  <si>
    <t>г. Ржев, ул. Большая Спасская, д. 41/65</t>
  </si>
  <si>
    <t>г. Ржев, ул. Садовая, д. 17/11</t>
  </si>
  <si>
    <t>г. Ржев, ул. Советская, д. 11</t>
  </si>
  <si>
    <t>г. Ржев, ул. Советская, д. 2/1</t>
  </si>
  <si>
    <t>г. Ржев, ул. Советская, д. 4</t>
  </si>
  <si>
    <t>г. Ржев, ул. Садовая, д. 20/30</t>
  </si>
  <si>
    <t>г. Ржев, ул. Садовая, д. 18а</t>
  </si>
  <si>
    <t>г. Ржев, ул. Карла Маркса, д. 14</t>
  </si>
  <si>
    <t>г. Ржев, ул. Рижская, д. 4</t>
  </si>
  <si>
    <t>г. Ржев, ул. Большая Спасская, д. 45</t>
  </si>
  <si>
    <t>г. Ржев, ул. Большая Спасская, д. 43/72</t>
  </si>
  <si>
    <t>г. Ржев, ул. Железнодорожная, д. 34</t>
  </si>
  <si>
    <t>г. Ржев, ул. Краностроителей, д. 3</t>
  </si>
  <si>
    <t>г. Ржев, ул. Краностроителей, д. 14</t>
  </si>
  <si>
    <t>г. Ржев, ул. Смольная, д. 46</t>
  </si>
  <si>
    <t>г. Ржев, ул. Робеспьера, д. 5</t>
  </si>
  <si>
    <t>г. Ржев, Московское ш., д. 9</t>
  </si>
  <si>
    <t>г. Ржев, ул. Т.Филиппова, д. 48/2</t>
  </si>
  <si>
    <t>г. Ржев, ул. Профсоюзная, д. 5</t>
  </si>
  <si>
    <t>г. Ржев, ул. Пионерская, д. 1/10</t>
  </si>
  <si>
    <t>г. Ржев, ул. Елисеева, д. 10/75</t>
  </si>
  <si>
    <t>г. Ржев, пос. Нижний Бор, д. 2</t>
  </si>
  <si>
    <t>г. Ржев, ул. Калинина, д. 54а</t>
  </si>
  <si>
    <t>г. Ржев, ул. Тимирязева, д. 32</t>
  </si>
  <si>
    <t>г. Ржев, Осташковский проезд, д. 7</t>
  </si>
  <si>
    <t>г. Ржев, ул. Большевистская, д. 9/16</t>
  </si>
  <si>
    <t>г. Ржев, ул. Челюскинцев, д. 17</t>
  </si>
  <si>
    <t>г. Ржев, ул. Тимирязева, д. 5/25</t>
  </si>
  <si>
    <t>г. Ржев, Торопецкий тракт, д. 9/21</t>
  </si>
  <si>
    <t>г. Ржев, ул. Т.Филиппова, д. 60</t>
  </si>
  <si>
    <t>г. Ржев, ул. Партизанская, д. 21/13</t>
  </si>
  <si>
    <t>г. Ржев, ул. Робеспьера, д. 1</t>
  </si>
  <si>
    <t>г. Ржев, ул. Центральная, д. 5</t>
  </si>
  <si>
    <t>г. Ржев, ул. Центральная, д. 14</t>
  </si>
  <si>
    <t>г. Ржев, ул. Бехтерева, д. 83/1</t>
  </si>
  <si>
    <t>г. Ржев, Советская пл., д. 2/1</t>
  </si>
  <si>
    <t>г. Ржев, Ленинградское ш., д. 31</t>
  </si>
  <si>
    <t>г. Ржев, ул. Декабристов, д. 66</t>
  </si>
  <si>
    <t>г. Ржев, ул. Карла Маркса, д. 55/15</t>
  </si>
  <si>
    <t>г. Ржев, ул. Грацинского, д. 25</t>
  </si>
  <si>
    <t>г. Ржев, ул. Робеспьера, д. 7</t>
  </si>
  <si>
    <t>г. Ржев, ул. Карла Маркса, д. 9/32</t>
  </si>
  <si>
    <t>г. Ржев, Фабричный пр-д, д. 1</t>
  </si>
  <si>
    <t>г. Ржев, ул. Центральная, д. 7</t>
  </si>
  <si>
    <t>г. Ржев, ул. Большая Спасская, д. 10</t>
  </si>
  <si>
    <t>г. Ржев, ул. Большая Спасская, д. 15</t>
  </si>
  <si>
    <t>г. Ржев, ул. Большая Спасская, д. 17</t>
  </si>
  <si>
    <t>г. Ржев, Советская пл., д. 17</t>
  </si>
  <si>
    <t>г. Ржев, ул. Бехтерева, д. 82</t>
  </si>
  <si>
    <t>г. Ржев, ул. Бехтерева, д. 84</t>
  </si>
  <si>
    <t>г. Ржев, ул. Ленина, д. 18</t>
  </si>
  <si>
    <t>г. Ржев, Ленинградское ш., д. 46/39</t>
  </si>
  <si>
    <t>г. Ржев, Советская пл.,  д. 9</t>
  </si>
  <si>
    <t xml:space="preserve">г. Ржев, ул. Большая Спасская, д. 30 </t>
  </si>
  <si>
    <t>г. Ржев, Советская пл.,  д. 3</t>
  </si>
  <si>
    <t>г. Ржев, Советская пл.,  д. 4</t>
  </si>
  <si>
    <t>г. Ржев, ул. Ленина,  д. 22</t>
  </si>
  <si>
    <t>г. Ржев, ул. Ленина, д. 26</t>
  </si>
  <si>
    <t>г. Ржев, Ленинградское ш., д. 29</t>
  </si>
  <si>
    <t>г. Ржев, ул. Ленина, д. 19</t>
  </si>
  <si>
    <t>г. Ржев, пл. Коммуны, д. 4</t>
  </si>
  <si>
    <t>г. Ржев, пл. Коммуны, д. 6</t>
  </si>
  <si>
    <t>г. Ржев, Советская пл., д. 10</t>
  </si>
  <si>
    <t>г. Ржев, ул. Б.Спасская, д. 32</t>
  </si>
  <si>
    <t>г. Ржев, Советская пл.,  д. 1/4</t>
  </si>
  <si>
    <t>г. Ржев, Советская пл.,  д. 7</t>
  </si>
  <si>
    <t>г. Ржев, Советская пл., д. 8</t>
  </si>
  <si>
    <t>г. Ржев, Ленинградское ш., д. 52</t>
  </si>
  <si>
    <t>г. Ржев, ул. Б. Спасская, д. 59</t>
  </si>
  <si>
    <t>г. Ржев, ул. Никиты Головни, д. 1</t>
  </si>
  <si>
    <t>Итого по МО  Ржевский муниципальный округ</t>
  </si>
  <si>
    <t>Кимрский муниципальный округ</t>
  </si>
  <si>
    <t>Ржевский муниципальный округ</t>
  </si>
  <si>
    <t>Старицкий муниципальный округ</t>
  </si>
  <si>
    <t>Начало проведения капитального ремонта – 2021 год*</t>
  </si>
  <si>
    <t>Начало проведения капитального ремонта – 2022 год*</t>
  </si>
  <si>
    <t>Формирование фонда капитального ремонта многоквартирного дома на счете некоммерческой организации - Фонда капитального ремонта многоквартирных домов Тверской области (далее – региональный оператор)</t>
  </si>
  <si>
    <t>территория Двор Пролетарки, д. 43</t>
  </si>
  <si>
    <t>территория Двор Пролетарки, д. 164</t>
  </si>
  <si>
    <t>4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достоверности определения сметной стоимости капитального ремонта, а также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наследия.</t>
  </si>
  <si>
    <t>Начало проведения капитального ремонта – 2020 год</t>
  </si>
  <si>
    <t>г. Осташков, ул. 1-я Железнодорожная, д. 1а</t>
  </si>
  <si>
    <t>пр-т Победы, д. 28,               корп. 1</t>
  </si>
  <si>
    <t>Торговый пр-д, д. 1</t>
  </si>
  <si>
    <t>Торговый пр-д, д. 2</t>
  </si>
  <si>
    <t>Торговый проезд,  д. 1</t>
  </si>
  <si>
    <r>
      <t>уста-новка, ремонт систем приема телеви-дения</t>
    </r>
    <r>
      <rPr>
        <vertAlign val="superscript"/>
        <sz val="30"/>
        <rFont val="Times New Roman"/>
        <family val="1"/>
        <charset val="204"/>
      </rPr>
      <t>3</t>
    </r>
  </si>
  <si>
    <t>пос. Красномайский,               ул. Железнодорожная,                 д. 19</t>
  </si>
  <si>
    <t>Московское шоссе, 
д. 113б</t>
  </si>
  <si>
    <t>Пионерский б-р, д. 10</t>
  </si>
  <si>
    <t>г. Кашин, ул. Карла Маркса, д. 41</t>
  </si>
  <si>
    <t>Начало проведения капитального ремонта  – 2020 год</t>
  </si>
  <si>
    <t>Начало проведения капитального ремонта  – 2021 год</t>
  </si>
  <si>
    <t>Начало проведения капитального ремонта  – 2022 год</t>
  </si>
  <si>
    <t>Итого по МО городское поселение поселок Молоково</t>
  </si>
  <si>
    <t>Итого по МО городское поселение поселок Рамешки</t>
  </si>
  <si>
    <t>Итого по МО городское поселение поселок Спирово</t>
  </si>
  <si>
    <t>Итого по МО городское поселение поселок Новозавидовский</t>
  </si>
  <si>
    <t>Итого по МО городское поселение поселок Калашниково</t>
  </si>
  <si>
    <t>пр-д Зеленый, д. 43, 
корп. 4</t>
  </si>
  <si>
    <t xml:space="preserve">г. Вышний Волочек, 
пр-т Казанский,                          д. 106/112 </t>
  </si>
  <si>
    <t>пос. Максатиха, 
ул. им. Смирнова,  д. 9</t>
  </si>
  <si>
    <t>пос. Максатиха, 
ул. Парковская, д. 26</t>
  </si>
  <si>
    <t>пос. Максатиха, 
ул. Восточная, д. 1</t>
  </si>
  <si>
    <t>пос. Максатиха, 
пер. Милицейский, д. 2</t>
  </si>
  <si>
    <t>пос. Спирово, 
ул. Мира, д. 6</t>
  </si>
  <si>
    <t>пос. Труд, ул. Пушкина, 
д. 31</t>
  </si>
  <si>
    <t>пер. Железнодорожный, 
д. 8</t>
  </si>
  <si>
    <t>Итого по МО 
городское поселение                                 город Калязин</t>
  </si>
  <si>
    <t>Итого по МО 
городское поселение 
пос. Белый Городок</t>
  </si>
  <si>
    <t>пос. Максатиха, 
ул. Пролетарская, д. 21</t>
  </si>
  <si>
    <t>пос. Максатиха, 
ул. Парковская, д. 17</t>
  </si>
  <si>
    <t>пос. Максатиха, 
ул. Советская, д. 41б</t>
  </si>
  <si>
    <t>ул. 15 лет Октября, 
д. 48/15</t>
  </si>
  <si>
    <t>Итого по МО 
городское поселение 
пос. Новозавидовский</t>
  </si>
  <si>
    <t>с. Селихово, 
ул. Новая, д. 8</t>
  </si>
  <si>
    <t>пос. Максатиха, 
ул. Советская, д. 41а</t>
  </si>
  <si>
    <t>пгт Оленино, 
ул. Пионерская, д. 3</t>
  </si>
  <si>
    <t>пгт Оленино, 
ул. Крестьянская, д. 17</t>
  </si>
  <si>
    <t>пгт Оленино, 
ул. Крестьянская, д. 21</t>
  </si>
  <si>
    <t>пгт Оленино, 
ул. Пионерская, д. 7</t>
  </si>
  <si>
    <t>пгт Оленино, 
ул. Пионерская, д. 12</t>
  </si>
  <si>
    <t>пгт Оленино, 
ул. Пушкина, д. 5/2</t>
  </si>
  <si>
    <t>пгт Оленино, 
ул.  Строителей, д. 26</t>
  </si>
  <si>
    <t>г. Осташков, 
Новый пр-д, д. 1</t>
  </si>
  <si>
    <t>г. Осташков, 
Новый пр-д, д. 8</t>
  </si>
  <si>
    <t>п. Сиговка, 
ул. Школьная, д. 1</t>
  </si>
  <si>
    <t>пос. Пено, 
ул. Тарасова, д. 8</t>
  </si>
  <si>
    <t>п. Славный, 
ул. Садовая, д. 5</t>
  </si>
  <si>
    <t>пер. Никитина, д. 10, 
корп. 2</t>
  </si>
  <si>
    <t>г. Вышний Волочек, 
пр-т Казанский, д. 66/57</t>
  </si>
  <si>
    <t>г. Белый, ул. Ленина,     
д. 50</t>
  </si>
  <si>
    <t>г. Белый, ул. Кирова,     
д. 8</t>
  </si>
  <si>
    <t>д. Мокшино,                            ул. Ленинградская, д. 6</t>
  </si>
  <si>
    <t>д. Мокшино,                                        ул. Ленинградская,  д. 7</t>
  </si>
  <si>
    <t>д. Мокшино,                                     ул. Ленинградская, д. 8</t>
  </si>
  <si>
    <t>пос. Максатиха, 
ул. Северная, д. 5а</t>
  </si>
  <si>
    <t>д. Паскино,                                ул. Молодежная, д. 2</t>
  </si>
  <si>
    <t>Итого 
по Тверской области</t>
  </si>
  <si>
    <t>Итого по МО 
городское поселение 
город Конаково</t>
  </si>
  <si>
    <t xml:space="preserve">Начало проведения капитального ремонта – 2020 год </t>
  </si>
  <si>
    <t xml:space="preserve">г. Вышний Волочек, ул. Большая Садовая, 
д. 146/1 </t>
  </si>
  <si>
    <t>пос. Белый Омут, ул. Советская, д. 1</t>
  </si>
  <si>
    <t>пос. Терелесовский, ул. Рабочая, д. 3</t>
  </si>
  <si>
    <t>ул. Красноармейская, д. 42</t>
  </si>
  <si>
    <t>п. Выползово, ул. Березовая роща, д. 6</t>
  </si>
  <si>
    <t>г. Западная Двина, ул. Октябрьская, д. 2</t>
  </si>
  <si>
    <t>г. Западная Двина, ул. Октябрьская, д. 5</t>
  </si>
  <si>
    <t>ж/д  ст. Чуприяновка, ул. 3-я Мира, д. 11</t>
  </si>
  <si>
    <t>д. Верхняя Троица, ул. Молодежная, д. 4</t>
  </si>
  <si>
    <t>пос. Белый Городок,  проезд Южный, д. 16</t>
  </si>
  <si>
    <t>пос. Белый Городок, ул. Главная, д. 20</t>
  </si>
  <si>
    <t>пос. Белый Городок, ул. Лесная, д. 6</t>
  </si>
  <si>
    <t>пос. Приволжский, ул. Центральная, д. 6</t>
  </si>
  <si>
    <t>г. Красный Холм, ул. Заводская, д. 22</t>
  </si>
  <si>
    <t>г. Красный Холм, ул. Льва Толстого, д. 51/4</t>
  </si>
  <si>
    <t>г. Красный Холм, ул. Октябрьская, д. 26</t>
  </si>
  <si>
    <t>г. Лихославль, ул. Первомайская,  д. 14</t>
  </si>
  <si>
    <t>г. Лихославль, ул. Первомайская,  д. 11а</t>
  </si>
  <si>
    <t>г. Лихославль, ул. Первомайская,  д. 21</t>
  </si>
  <si>
    <t>г. Лихославль, ул.  Лихославльская,  д. 16</t>
  </si>
  <si>
    <t>г. Лихославль, ул.  Юбилейная, д. РСУ</t>
  </si>
  <si>
    <t>пос. Калашниково, ул. Тверская, д. 36</t>
  </si>
  <si>
    <t>пос. Калашниково, ул. Первомайская, д. 3</t>
  </si>
  <si>
    <t>г. Осташков, ул. Володарского, д. 175</t>
  </si>
  <si>
    <t>пос. Великооктябрьский, ул. Кооперативная, 
д. 20</t>
  </si>
  <si>
    <t>г. Вышний Волочек, ул. Декабристов, д. 9</t>
  </si>
  <si>
    <t>г. Вышний Волочек, ул. Дзержинского, д. 12/25</t>
  </si>
  <si>
    <t>г. Вышний Волочек, ул. Дзержинского, д. 10</t>
  </si>
  <si>
    <t>г. Вышний Волочек, ул. Баумана, д. 27</t>
  </si>
  <si>
    <t>г. Вышний Волочек, ул. Баумана, д. 11</t>
  </si>
  <si>
    <t>г. Вышний Волочек, ул. М. Горького, д. 15</t>
  </si>
  <si>
    <t>г. Вышний Волочек, ул. Ямская, д. 96а</t>
  </si>
  <si>
    <t>г. Вышний Волочек, ул. Ямская, д. 283</t>
  </si>
  <si>
    <t>г. Вышний Волочек, ул. Ямская, д. 175а</t>
  </si>
  <si>
    <t>г. Вышний Волочек, ул. Баумана, д. 10а</t>
  </si>
  <si>
    <t xml:space="preserve">г. Вышний Волочек, ул. Б. Зайцева, д. 15а </t>
  </si>
  <si>
    <t>г. Вышний Волочек, ул. Рабочая, д. 59</t>
  </si>
  <si>
    <t>пос. Приозерный, ул. Дорожная, д. 4а</t>
  </si>
  <si>
    <t>пос. Приозерный, ул. Дорожная, д. 4</t>
  </si>
  <si>
    <t>пос. Академический, ул. Пионерская, д. 1</t>
  </si>
  <si>
    <t>г. Вышний Волочек, Московское шоссе, 
д. 109Б</t>
  </si>
  <si>
    <t>пос. Горняк, ул. Центральная, д. 6</t>
  </si>
  <si>
    <t>г. Вышний Волочек, Московское шоссе, 
д. 113Б</t>
  </si>
  <si>
    <t>Итого по МО городское поселение 
город Бежецк</t>
  </si>
  <si>
    <t>с. Погорелое Городище, ул. Мелиоративная, 
д. 11</t>
  </si>
  <si>
    <t>г. Западная Двина, ул. Почтовая, д. 12</t>
  </si>
  <si>
    <t>д. Нестерово, ул. Центральная, д. 13</t>
  </si>
  <si>
    <t>ж/д  ст. Чуприяновка, ул. 3-я Мира, д. 15</t>
  </si>
  <si>
    <t>д. Верхняя Троица, ул. Советская, д. 4</t>
  </si>
  <si>
    <t>г. Кашин, ул. Железнодорожная, д. 8/37</t>
  </si>
  <si>
    <t>пос. Белый Городок, ул. Лесная, д. 9</t>
  </si>
  <si>
    <t>г. Красный Холм, ул. Ленина, д. 41/15</t>
  </si>
  <si>
    <t>г. Лихославль, ул. Первомайская, д. 39</t>
  </si>
  <si>
    <t>г. Лихославль, ул. Лихославльская, д. 45</t>
  </si>
  <si>
    <t>г. Осташков, ул. Тимофеевская, д. 66а</t>
  </si>
  <si>
    <t>пос. Селижарово, ул. Завокзальная, д. 20</t>
  </si>
  <si>
    <t>г. Удомля, ул. Космонавтов, д. 9а</t>
  </si>
  <si>
    <t>пос. Великооктябрьский, ул. Кооперативная, 
д. 19</t>
  </si>
  <si>
    <t>г. Вышний Волочек, ул. Баумана, д. 23</t>
  </si>
  <si>
    <t>г. Вышний Волочек, ул. Л. Толстого, д. 108а</t>
  </si>
  <si>
    <t>г. Вышний Волочек, ул. Урицкого, д. 178/11</t>
  </si>
  <si>
    <t>г. Вышний Волочек, ул. Большая Садовая, 
д. 82</t>
  </si>
  <si>
    <t>г. Вышний Волочек, ул. Чапаева, д. 11</t>
  </si>
  <si>
    <t>г. Вышний Волочек, ул. Трудовая, д. 5/9</t>
  </si>
  <si>
    <t>г. Вышний Волочек, ул. Московская, д. 10</t>
  </si>
  <si>
    <t xml:space="preserve">г. Вышний Волочек, ул. Баумана, д. 5 </t>
  </si>
  <si>
    <t>г. Вышний Волочек, ул. Московская, д. 18</t>
  </si>
  <si>
    <t>г. Вышний Волочек, ул. Б. Зайцева, д. 13/56</t>
  </si>
  <si>
    <t>пос. Красномайский, ул. Кирова, д. 27</t>
  </si>
  <si>
    <t>пос. Приозерный, ул. Дорожная, д. 5</t>
  </si>
  <si>
    <t>пос. Академический, ул. Пионерская, д. 2</t>
  </si>
  <si>
    <t>пос. Белый омут, ул. Советская, д. 2</t>
  </si>
  <si>
    <t>пос. Академический, ул. Фабричная, д. 3</t>
  </si>
  <si>
    <t>пос. Красномайский, ул. Кирова, д. 25</t>
  </si>
  <si>
    <t>пос. Академический, ул. Пионерская, д. 11</t>
  </si>
  <si>
    <t>пос. Академический, ул. Пионерская, д. 3</t>
  </si>
  <si>
    <t>пос. Пригородный, ул. Гагарина, д. 22</t>
  </si>
  <si>
    <t>г. Андреаполь, ул. Карла Маркса, д. 3</t>
  </si>
  <si>
    <t>г. Андреаполь, ул. Октябрьская, д. 56</t>
  </si>
  <si>
    <t>Итого по МО городское поселение 
город Бологое</t>
  </si>
  <si>
    <t>г. Весьегонск, ул. Промышленная, д. 24</t>
  </si>
  <si>
    <t>г. Западная Двина, ул. Школьная, д. 7</t>
  </si>
  <si>
    <t>г. Западная Двина, ул. Щербакова, д. 24</t>
  </si>
  <si>
    <t>с. Рождествено, ул. Советская, д. 58</t>
  </si>
  <si>
    <t>ж/д ст. Чуприяновка, ул. Рабочая, д. 3</t>
  </si>
  <si>
    <t>пос. Приволжский, ул. Центральная, д. 10</t>
  </si>
  <si>
    <t xml:space="preserve">пос. Озерки, ул. Локомотивная, д. 5 </t>
  </si>
  <si>
    <t>Итого по МО городское поселение 
пос. Козлово</t>
  </si>
  <si>
    <t>Итого по МО городское поселение 
пос. Редкино</t>
  </si>
  <si>
    <t>г. Красный Холм, пер. Красный, д. 2а</t>
  </si>
  <si>
    <t>г. Красный Холм, ул. Мясникова, д. 36б</t>
  </si>
  <si>
    <t>г. Лихославль, пер. Театральный, д. 2</t>
  </si>
  <si>
    <t>г. Лихославль, ул. Юбилейная, д. РСУ</t>
  </si>
  <si>
    <t>г. Лихославль, ул. Первомайская, д. 14</t>
  </si>
  <si>
    <t>пос. Калашниково, ул. Ленина, д. 28</t>
  </si>
  <si>
    <t>пос. Калашниково, ул. Ленина, д. 34</t>
  </si>
  <si>
    <t>пос. Калашниково, ул. Ленина, д. 39</t>
  </si>
  <si>
    <t>г. Осташков, ул. Володарского, д. 177</t>
  </si>
  <si>
    <t>пос. Пено, ул. Красноармейская, д. 11</t>
  </si>
  <si>
    <t xml:space="preserve">пос. Селижарово, ул. Пионерская, д. 14 </t>
  </si>
  <si>
    <t xml:space="preserve">пос. Селижарово, ул. Ст. Разина, д. 2а </t>
  </si>
  <si>
    <t>пос. Селижарово, ул. Пушкина, д. 52</t>
  </si>
  <si>
    <t>пос. Сонково, ул. Сельхозтехника, д. 1а</t>
  </si>
  <si>
    <t>д. Мокшино, ул. Ленинградская, д. 6</t>
  </si>
  <si>
    <t>д. Мокшино, ул. Ленинградская,  д. 7</t>
  </si>
  <si>
    <t>д. Мокшино, ул. Ленинградская, д. 8</t>
  </si>
  <si>
    <t>г. Осташков, ул. Володарского, д. 179</t>
  </si>
  <si>
    <t>г. Лихославль, ул. Лихославльская, д. 9а</t>
  </si>
  <si>
    <t>г. Вышний Волочек, ул. Советская, д. 21/2</t>
  </si>
  <si>
    <t>г. Вышний Волочек, ул. 9 Января, д. 59/43</t>
  </si>
  <si>
    <t>г. Вышний Волочек, пр-т Казанский, д. 48</t>
  </si>
  <si>
    <t>г. Вышний Волочек, ул. Крылова, д. 1а/29</t>
  </si>
  <si>
    <t>г. Вышний Волочек, ул. Артюхина, д. 45а</t>
  </si>
  <si>
    <t>г. Вышний Волочек, ш. Московское, д. 111</t>
  </si>
  <si>
    <t>пос. Борисовский, ул. Октябрьская, д. 17</t>
  </si>
  <si>
    <t>г. Вышний Волочек, ул. Московская, д. 41</t>
  </si>
  <si>
    <t>г. Вышний Волочек, ул. Желябова, д. 11а</t>
  </si>
  <si>
    <t>г. Вышний Волочек, ул. Урицкого, д. 106</t>
  </si>
  <si>
    <t>г. Вышний Волочек, ул. Мичурина, д. 2</t>
  </si>
  <si>
    <t>г. Вышний Волочек, ул. Баумана, д. 31</t>
  </si>
  <si>
    <t>г. Вышний Волочек, ул. Цветочная, д. 17</t>
  </si>
  <si>
    <t>г. Вышний Волочек, ул. Екатерининская, д. 40</t>
  </si>
  <si>
    <t>г. Весьегонск, ул. Промышленная, д. 22</t>
  </si>
  <si>
    <t>г. Западная Двина, ул. Фадеева, д. 25</t>
  </si>
  <si>
    <t>г. Красный Холм, ул. Коммунистическая, д. 36</t>
  </si>
  <si>
    <t>пос. Калашниково, ул. Горького, д. 4</t>
  </si>
  <si>
    <t>пос. Селижарово, ул. Вознесенского, д. 13</t>
  </si>
  <si>
    <t>пос. Спирово, пер. Фестивальный, д. 3</t>
  </si>
  <si>
    <t>пос. Спирово, пер. Фурманова, д. 2</t>
  </si>
  <si>
    <t>пос. Спирово, ул. Мира,д. 10</t>
  </si>
  <si>
    <t>пер. Партизанский,                д. 22/8</t>
  </si>
  <si>
    <t>г. Лихославль, 
ул. Вагжанова, д. 6а</t>
  </si>
  <si>
    <t>г. Лихославль, 
ул.  Юбилейная, д. РСУ</t>
  </si>
  <si>
    <t>пос. Пено, 
ул. Парковая, д. 1</t>
  </si>
  <si>
    <t>г. Осташков, 
ул. Садовая, д. 12</t>
  </si>
  <si>
    <t>г. Осташков, 
Новый пр-д, д. 10</t>
  </si>
  <si>
    <t>ул. Мира, д. 16</t>
  </si>
  <si>
    <t>ул. Большая Спасская, 
д. 8/27</t>
  </si>
  <si>
    <t>г. Белый, ул. Ленина, 
д. 31</t>
  </si>
  <si>
    <t>г. Кашин, ул. Анатолия Луначарского,
 д. 10</t>
  </si>
  <si>
    <t>пос. Великооктябрьский, 
ул. Профсоюзная, д. 9</t>
  </si>
  <si>
    <t>пос. Великооктябрьский,  
ул. Кооперативная, д. 5</t>
  </si>
  <si>
    <t>ул. Маршала Буденного, 
д. 13</t>
  </si>
  <si>
    <t>наб. Афанасия Никитина, 
д. 148</t>
  </si>
  <si>
    <t>наб. Афанасия Никитина, 
д. 74</t>
  </si>
  <si>
    <t>ул. Маршала Василевского, 
д. 22</t>
  </si>
  <si>
    <t>г. Вышний Волочек, 
ул. Двор фабрики «Пролетарский Авангард», 
д. 43</t>
  </si>
  <si>
    <t>г. Вышний Волочек, 
ул. Екатерининская,            
д. 4 – 6</t>
  </si>
  <si>
    <t>г. Вышний Волочек, 
ул. Красных Печатников, 
д. 16</t>
  </si>
  <si>
    <t>г. Белый, ул. Смирнова, 
д. 16</t>
  </si>
  <si>
    <t>г. Кашин, ул. Московская, 
д. 4а</t>
  </si>
  <si>
    <t>г. Осташков, 
ул. Константина Заслонова, 
д. 3</t>
  </si>
  <si>
    <t>п. Мирный, ул. Озерная, 
д. 10</t>
  </si>
  <si>
    <t>ул. Советская, д. 130р</t>
  </si>
  <si>
    <t>ул. Маршала Захарова,        
д. 12</t>
  </si>
  <si>
    <t>пер. Трудолюбия, д. 34, 
корп. 1</t>
  </si>
  <si>
    <t>ул. Александра Томского, 
д. 8/1</t>
  </si>
  <si>
    <t>пр-т Николая Корыткова, 
д. 20а</t>
  </si>
  <si>
    <t>пр-т Николая Корыткова, 
д. 2/19</t>
  </si>
  <si>
    <t>ул. Александра Попова, 
д. 38/2</t>
  </si>
  <si>
    <t>г. Вышний Волочек, 
ул. Двор фабрики «Пролетарский Авангард», 
д. 39</t>
  </si>
  <si>
    <t>г. Вышний Волочек, 
ул. Двор фабрики «Пролетарский Авангард», 
д. 41</t>
  </si>
  <si>
    <t>с. Медное, ул. Совхозная, 
д. 11</t>
  </si>
  <si>
    <t>ж/д  ст. Чуприяновка,     
ул. 3-я Мира, д. 15</t>
  </si>
  <si>
    <t>г. Удомля, ул. Левитана, 
д. 1а</t>
  </si>
  <si>
    <t>пос. Великооктябрьский, 
ул. Кооперативная, д. 19</t>
  </si>
  <si>
    <t>г. Вышний Волочек, 
ул. Двор фабрики Парижская коммуна, д. 48</t>
  </si>
  <si>
    <t>г. Вышний Волочек, 
ул. Большая Садовая, 
д. 82</t>
  </si>
  <si>
    <t>г. Вышний Волочек, 
ул. Екатерининская,            
д. 40</t>
  </si>
  <si>
    <t>Торопецкий тракт,             
д. 2а/21</t>
  </si>
  <si>
    <t>г. Зубцов, пер. Образцова, 
д. 1</t>
  </si>
  <si>
    <t>ж/д ст. Кулицкая,               
ул. Заводская, д. 4а</t>
  </si>
  <si>
    <t>пгт Оленино, ул. Ленина, 
д. 58</t>
  </si>
  <si>
    <t>пгт Оленино, ул. Чехова, 
д. 17</t>
  </si>
  <si>
    <t>пгт Оленино, ул. Ленина, 
д. 11</t>
  </si>
  <si>
    <t>пгт Оленино, ул. Ленина, 
д. 16</t>
  </si>
  <si>
    <t>г. Удомля, пр. Курчатова, 
д. 24</t>
  </si>
  <si>
    <t>г. Удомля, ул. Энтузиастов, 
д. 6/2</t>
  </si>
  <si>
    <t>пос. Великооктябрьский, 
ул. Цнинская, д. 4</t>
  </si>
  <si>
    <t>пос. Великооктябрьский, 
ул. Советская, д. 4</t>
  </si>
  <si>
    <t>ул. Маршала Буденного, 
д. 19/1</t>
  </si>
  <si>
    <t>ул. Академика Туполева, 
д. 112/24</t>
  </si>
  <si>
    <t>ул. Маршала Василевского, 
д. 18</t>
  </si>
  <si>
    <t>ул. Маршала Василевского, 
д. 20</t>
  </si>
  <si>
    <t>1-й пр-д Розы Люксембург, 
д. 6</t>
  </si>
  <si>
    <t>пр-т Николая Корыткова, 
д. 44 А</t>
  </si>
  <si>
    <t>ул. Михаила Румянцева, 
д. 12, корп. 1</t>
  </si>
  <si>
    <t>б-р Профсоюзов, д. 18, 
корп. 2</t>
  </si>
  <si>
    <t>пер. Спортивный, д. 2, 
корп. 4</t>
  </si>
  <si>
    <t>пр-т Чайковского, д. 44, 
корп. 3</t>
  </si>
  <si>
    <t>ул. Салтыкова-Щедрина, 
д. 44</t>
  </si>
  <si>
    <t>ул. Строителей, д. 8, 
корп. 2</t>
  </si>
  <si>
    <t>наб. Рядового Николаева, 
д. 13</t>
  </si>
  <si>
    <t>г. Зубцов,  ул. Советская, 
д. 22</t>
  </si>
  <si>
    <t>с. Погорелое Городище, 
ул. Вокзальная, д. 13</t>
  </si>
  <si>
    <t>г. Кашин, ул. Песочная, 
д. 16/7</t>
  </si>
  <si>
    <t>г. Кашин, ул. Советская, 
д. 1/8</t>
  </si>
  <si>
    <t>г. Кашин, ул. Заводская, 
д. 10</t>
  </si>
  <si>
    <t>г. Кашин, ул. Заводская, 
д. 12</t>
  </si>
  <si>
    <t>г. Кашин, ул. Песочная, 
д. 8</t>
  </si>
  <si>
    <t>пос. Озерки,                              пр-д Железнодорожный, 
д. 3</t>
  </si>
  <si>
    <t>г. Нелидово, ул. Ленина, 
д. 3</t>
  </si>
  <si>
    <t>пос. Пено, ул. Парковая, 
д. 2</t>
  </si>
  <si>
    <t>пос. Великооктябрьский, 
ул. Кооперативная, д. 5</t>
  </si>
  <si>
    <r>
      <t>разработка проектной документации</t>
    </r>
    <r>
      <rPr>
        <vertAlign val="superscript"/>
        <sz val="30"/>
        <rFont val="Times New Roman"/>
        <family val="1"/>
        <charset val="204"/>
      </rPr>
      <t>4</t>
    </r>
    <r>
      <rPr>
        <sz val="30"/>
        <rFont val="Times New Roman"/>
        <family val="1"/>
        <charset val="204"/>
      </rPr>
      <t xml:space="preserve"> 
</t>
    </r>
  </si>
  <si>
    <t>пер. Спортивный,  д. 2, 
корп. 3</t>
  </si>
  <si>
    <t>г. Белый, ул. Строителей, 
д. 13</t>
  </si>
  <si>
    <t>пос. Великооктябрьский, 
ул. Кооперативная, д. 20</t>
  </si>
  <si>
    <t>пос. Великооктябрьский, 
ул. Советская, д. 2</t>
  </si>
  <si>
    <t>Приложение 
к постановлению Правительства 
Тверской области 
от 22.06.2022 № 345-пп
«Приложение 
к постановлению Правительства 
Тверской области 
от 14.08.2020 № 360-пп</t>
  </si>
</sst>
</file>

<file path=xl/styles.xml><?xml version="1.0" encoding="utf-8"?>
<styleSheet xmlns="http://schemas.openxmlformats.org/spreadsheetml/2006/main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0.00000"/>
    <numFmt numFmtId="167" formatCode="0.0"/>
    <numFmt numFmtId="168" formatCode="#,##0.00_р_."/>
    <numFmt numFmtId="169" formatCode="\ #,##0.00&quot;    &quot;;\-#,##0.00&quot;    &quot;;&quot; -&quot;#&quot;    &quot;;@\ "/>
    <numFmt numFmtId="170" formatCode="\ #,##0&quot;    &quot;;\-#,##0&quot;    &quot;;&quot; -&quot;#&quot;    &quot;;@\ "/>
    <numFmt numFmtId="171" formatCode="#,##0.00_ ;\-#,##0.00\ "/>
    <numFmt numFmtId="172" formatCode="#,##0.0"/>
    <numFmt numFmtId="173" formatCode="#,##0_ ;\-#,##0\ "/>
  </numFmts>
  <fonts count="8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1"/>
      <charset val="204"/>
    </font>
    <font>
      <sz val="11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u/>
      <sz val="16"/>
      <color theme="0"/>
      <name val="Arial"/>
      <family val="2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B05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1"/>
      <charset val="204"/>
    </font>
    <font>
      <sz val="14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  <scheme val="minor"/>
    </font>
    <font>
      <b/>
      <sz val="14"/>
      <color theme="1" tint="0.249977111117893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30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30"/>
      <color rgb="FFFF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  <font>
      <sz val="30"/>
      <name val="Calibri"/>
      <family val="2"/>
      <charset val="204"/>
      <scheme val="minor"/>
    </font>
    <font>
      <sz val="30"/>
      <name val="Times New Roman1"/>
      <charset val="204"/>
    </font>
    <font>
      <sz val="30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trike/>
      <sz val="3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14"/>
      <color indexed="8"/>
      <name val="Cambria"/>
      <family val="1"/>
      <charset val="204"/>
    </font>
    <font>
      <sz val="14"/>
      <name val="Cambria"/>
      <family val="1"/>
      <charset val="204"/>
    </font>
    <font>
      <b/>
      <sz val="14"/>
      <color indexed="8"/>
      <name val="Cambria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 tint="-0.1499984740745262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9" fillId="0" borderId="0"/>
    <xf numFmtId="0" fontId="21" fillId="0" borderId="0"/>
    <xf numFmtId="0" fontId="24" fillId="0" borderId="0"/>
    <xf numFmtId="165" fontId="19" fillId="0" borderId="0" applyFont="0" applyFill="0" applyBorder="0" applyAlignment="0" applyProtection="0"/>
    <xf numFmtId="0" fontId="62" fillId="0" borderId="0"/>
  </cellStyleXfs>
  <cellXfs count="1429">
    <xf numFmtId="0" fontId="0" fillId="0" borderId="0" xfId="0"/>
    <xf numFmtId="0" fontId="0" fillId="2" borderId="0" xfId="0" applyFont="1" applyFill="1"/>
    <xf numFmtId="0" fontId="5" fillId="2" borderId="0" xfId="0" applyFont="1" applyFill="1"/>
    <xf numFmtId="0" fontId="0" fillId="2" borderId="0" xfId="0" applyFill="1"/>
    <xf numFmtId="4" fontId="10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8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/>
    <xf numFmtId="0" fontId="15" fillId="2" borderId="0" xfId="0" applyFont="1" applyFill="1"/>
    <xf numFmtId="0" fontId="0" fillId="2" borderId="0" xfId="0" applyFont="1" applyFill="1" applyBorder="1"/>
    <xf numFmtId="0" fontId="26" fillId="2" borderId="0" xfId="0" applyFont="1" applyFill="1"/>
    <xf numFmtId="4" fontId="10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5" fontId="10" fillId="2" borderId="1" xfId="8" applyFont="1" applyFill="1" applyBorder="1" applyAlignment="1">
      <alignment horizontal="center" vertical="center"/>
    </xf>
    <xf numFmtId="0" fontId="11" fillId="2" borderId="0" xfId="0" applyFont="1" applyFill="1"/>
    <xf numFmtId="0" fontId="0" fillId="2" borderId="0" xfId="0" applyFont="1" applyFill="1" applyAlignment="1"/>
    <xf numFmtId="0" fontId="0" fillId="2" borderId="0" xfId="0" applyFont="1" applyFill="1" applyAlignment="1">
      <alignment vertical="center"/>
    </xf>
    <xf numFmtId="0" fontId="9" fillId="2" borderId="0" xfId="0" applyFont="1" applyFill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/>
    <xf numFmtId="0" fontId="0" fillId="2" borderId="0" xfId="0" applyNumberFormat="1" applyFont="1" applyFill="1"/>
    <xf numFmtId="0" fontId="0" fillId="2" borderId="0" xfId="0" applyFont="1" applyFill="1" applyAlignment="1">
      <alignment horizontal="center" vertical="center"/>
    </xf>
    <xf numFmtId="0" fontId="23" fillId="2" borderId="0" xfId="0" applyFont="1" applyFill="1" applyBorder="1" applyAlignment="1"/>
    <xf numFmtId="4" fontId="0" fillId="2" borderId="0" xfId="0" applyNumberFormat="1" applyFont="1" applyFill="1"/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/>
    <xf numFmtId="0" fontId="1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5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wrapText="1"/>
    </xf>
    <xf numFmtId="0" fontId="6" fillId="2" borderId="0" xfId="0" applyFont="1" applyFill="1" applyAlignment="1">
      <alignment horizontal="right" vertical="top" wrapText="1"/>
    </xf>
    <xf numFmtId="0" fontId="19" fillId="2" borderId="0" xfId="0" applyFont="1" applyFill="1"/>
    <xf numFmtId="0" fontId="11" fillId="2" borderId="0" xfId="0" applyFont="1" applyFill="1" applyAlignment="1"/>
    <xf numFmtId="0" fontId="11" fillId="2" borderId="0" xfId="0" applyFont="1" applyFill="1" applyAlignment="1">
      <alignment horizontal="center"/>
    </xf>
    <xf numFmtId="4" fontId="5" fillId="2" borderId="0" xfId="0" applyNumberFormat="1" applyFont="1" applyFill="1"/>
    <xf numFmtId="4" fontId="15" fillId="2" borderId="0" xfId="0" applyNumberFormat="1" applyFont="1" applyFill="1"/>
    <xf numFmtId="0" fontId="2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0" fillId="0" borderId="0" xfId="0" applyFont="1" applyBorder="1"/>
    <xf numFmtId="0" fontId="17" fillId="0" borderId="0" xfId="0" applyFont="1"/>
    <xf numFmtId="0" fontId="17" fillId="0" borderId="0" xfId="0" applyFont="1" applyBorder="1"/>
    <xf numFmtId="0" fontId="0" fillId="0" borderId="0" xfId="0" applyFont="1" applyFill="1" applyAlignment="1">
      <alignment wrapText="1"/>
    </xf>
    <xf numFmtId="0" fontId="27" fillId="2" borderId="0" xfId="9" applyFont="1" applyFill="1"/>
    <xf numFmtId="0" fontId="0" fillId="2" borderId="0" xfId="0" applyFont="1" applyFill="1" applyAlignment="1">
      <alignment horizontal="left"/>
    </xf>
    <xf numFmtId="0" fontId="28" fillId="2" borderId="0" xfId="0" applyFont="1" applyFill="1"/>
    <xf numFmtId="0" fontId="16" fillId="2" borderId="0" xfId="0" applyFont="1" applyFill="1"/>
    <xf numFmtId="172" fontId="0" fillId="2" borderId="0" xfId="0" applyNumberFormat="1" applyFont="1" applyFill="1"/>
    <xf numFmtId="172" fontId="5" fillId="2" borderId="0" xfId="0" applyNumberFormat="1" applyFont="1" applyFill="1"/>
    <xf numFmtId="3" fontId="0" fillId="2" borderId="0" xfId="0" applyNumberFormat="1" applyFont="1" applyFill="1"/>
    <xf numFmtId="3" fontId="5" fillId="2" borderId="0" xfId="0" applyNumberFormat="1" applyFont="1" applyFill="1"/>
    <xf numFmtId="3" fontId="6" fillId="2" borderId="0" xfId="0" applyNumberFormat="1" applyFont="1" applyFill="1" applyAlignment="1">
      <alignment horizontal="right" vertical="top" wrapText="1"/>
    </xf>
    <xf numFmtId="0" fontId="0" fillId="0" borderId="0" xfId="0" applyFont="1"/>
    <xf numFmtId="0" fontId="1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5" fillId="2" borderId="0" xfId="0" applyFont="1" applyFill="1" applyAlignment="1"/>
    <xf numFmtId="165" fontId="10" fillId="2" borderId="1" xfId="8" applyFont="1" applyFill="1" applyBorder="1" applyAlignment="1">
      <alignment vertical="center"/>
    </xf>
    <xf numFmtId="4" fontId="10" fillId="2" borderId="2" xfId="0" applyNumberFormat="1" applyFont="1" applyFill="1" applyBorder="1" applyAlignment="1">
      <alignment horizontal="center" vertical="center" wrapText="1"/>
    </xf>
    <xf numFmtId="0" fontId="27" fillId="2" borderId="0" xfId="9" applyFont="1" applyFill="1" applyAlignment="1">
      <alignment horizontal="center"/>
    </xf>
    <xf numFmtId="0" fontId="29" fillId="2" borderId="0" xfId="0" applyFont="1" applyFill="1" applyBorder="1" applyAlignment="1">
      <alignment horizontal="left" vertical="center" indent="1"/>
    </xf>
    <xf numFmtId="0" fontId="29" fillId="2" borderId="4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vertical="center" indent="1"/>
    </xf>
    <xf numFmtId="0" fontId="29" fillId="2" borderId="6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indent="1"/>
    </xf>
    <xf numFmtId="0" fontId="29" fillId="2" borderId="6" xfId="0" applyFont="1" applyFill="1" applyBorder="1" applyAlignment="1">
      <alignment horizontal="left" indent="1"/>
    </xf>
    <xf numFmtId="0" fontId="29" fillId="2" borderId="3" xfId="0" applyFont="1" applyFill="1" applyBorder="1" applyAlignment="1">
      <alignment horizontal="left" vertical="center" indent="1"/>
    </xf>
    <xf numFmtId="0" fontId="29" fillId="4" borderId="4" xfId="0" applyFont="1" applyFill="1" applyBorder="1" applyAlignment="1">
      <alignment horizontal="left" vertical="center" indent="1"/>
    </xf>
    <xf numFmtId="0" fontId="29" fillId="4" borderId="5" xfId="0" applyFont="1" applyFill="1" applyBorder="1" applyAlignment="1">
      <alignment horizontal="left" vertical="center" indent="1"/>
    </xf>
    <xf numFmtId="0" fontId="29" fillId="4" borderId="6" xfId="0" applyFont="1" applyFill="1" applyBorder="1" applyAlignment="1">
      <alignment horizontal="left" vertical="center" indent="1"/>
    </xf>
    <xf numFmtId="0" fontId="0" fillId="4" borderId="6" xfId="0" applyFill="1" applyBorder="1" applyAlignment="1">
      <alignment horizontal="left" indent="1"/>
    </xf>
    <xf numFmtId="0" fontId="30" fillId="2" borderId="0" xfId="0" applyFont="1" applyFill="1"/>
    <xf numFmtId="0" fontId="31" fillId="2" borderId="0" xfId="0" applyFont="1" applyFill="1" applyBorder="1" applyAlignment="1">
      <alignment horizontal="left" vertical="center" indent="1"/>
    </xf>
    <xf numFmtId="0" fontId="30" fillId="2" borderId="0" xfId="0" applyFont="1" applyFill="1" applyBorder="1"/>
    <xf numFmtId="0" fontId="15" fillId="2" borderId="5" xfId="0" applyFont="1" applyFill="1" applyBorder="1"/>
    <xf numFmtId="0" fontId="29" fillId="2" borderId="0" xfId="0" applyFont="1" applyFill="1" applyBorder="1" applyAlignment="1">
      <alignment horizontal="center" vertical="center"/>
    </xf>
    <xf numFmtId="4" fontId="0" fillId="2" borderId="0" xfId="0" applyNumberFormat="1" applyFill="1"/>
    <xf numFmtId="4" fontId="9" fillId="2" borderId="0" xfId="0" applyNumberFormat="1" applyFont="1" applyFill="1"/>
    <xf numFmtId="0" fontId="0" fillId="2" borderId="0" xfId="0" applyFont="1" applyFill="1" applyAlignment="1">
      <alignment vertical="center" wrapText="1"/>
    </xf>
    <xf numFmtId="4" fontId="6" fillId="2" borderId="0" xfId="0" applyNumberFormat="1" applyFont="1" applyFill="1" applyAlignment="1">
      <alignment horizontal="right" vertical="top" wrapText="1"/>
    </xf>
    <xf numFmtId="4" fontId="7" fillId="2" borderId="0" xfId="0" applyNumberFormat="1" applyFont="1" applyFill="1" applyAlignment="1">
      <alignment vertical="center" wrapText="1"/>
    </xf>
    <xf numFmtId="4" fontId="7" fillId="2" borderId="0" xfId="0" applyNumberFormat="1" applyFont="1" applyFill="1" applyAlignment="1"/>
    <xf numFmtId="0" fontId="0" fillId="0" borderId="0" xfId="0" applyFont="1" applyFill="1"/>
    <xf numFmtId="0" fontId="0" fillId="0" borderId="0" xfId="0" applyFont="1" applyBorder="1" applyAlignment="1"/>
    <xf numFmtId="0" fontId="9" fillId="2" borderId="0" xfId="0" applyFont="1" applyFill="1" applyAlignment="1">
      <alignment vertical="center"/>
    </xf>
    <xf numFmtId="4" fontId="0" fillId="2" borderId="0" xfId="0" applyNumberFormat="1" applyFont="1" applyFill="1" applyAlignment="1">
      <alignment horizontal="center"/>
    </xf>
    <xf numFmtId="172" fontId="14" fillId="2" borderId="7" xfId="0" applyNumberFormat="1" applyFont="1" applyFill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35" fillId="2" borderId="7" xfId="0" applyNumberFormat="1" applyFont="1" applyFill="1" applyBorder="1" applyAlignment="1">
      <alignment horizontal="center" vertical="center"/>
    </xf>
    <xf numFmtId="172" fontId="35" fillId="2" borderId="7" xfId="0" applyNumberFormat="1" applyFont="1" applyFill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vertical="center"/>
    </xf>
    <xf numFmtId="4" fontId="35" fillId="2" borderId="7" xfId="0" applyNumberFormat="1" applyFont="1" applyFill="1" applyBorder="1" applyAlignment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/>
    </xf>
    <xf numFmtId="2" fontId="35" fillId="2" borderId="7" xfId="0" applyNumberFormat="1" applyFont="1" applyFill="1" applyBorder="1" applyAlignment="1">
      <alignment vertical="center"/>
    </xf>
    <xf numFmtId="172" fontId="33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left" vertical="center" wrapText="1"/>
    </xf>
    <xf numFmtId="49" fontId="35" fillId="2" borderId="7" xfId="0" applyNumberFormat="1" applyFont="1" applyFill="1" applyBorder="1" applyAlignment="1">
      <alignment horizontal="center" vertical="center"/>
    </xf>
    <xf numFmtId="167" fontId="35" fillId="2" borderId="7" xfId="0" applyNumberFormat="1" applyFont="1" applyFill="1" applyBorder="1" applyAlignment="1">
      <alignment horizontal="center" vertical="center"/>
    </xf>
    <xf numFmtId="3" fontId="35" fillId="0" borderId="7" xfId="0" applyNumberFormat="1" applyFont="1" applyFill="1" applyBorder="1" applyAlignment="1">
      <alignment horizontal="center" vertical="center"/>
    </xf>
    <xf numFmtId="4" fontId="35" fillId="0" borderId="7" xfId="0" applyNumberFormat="1" applyFont="1" applyFill="1" applyBorder="1" applyAlignment="1">
      <alignment horizontal="center" vertical="center"/>
    </xf>
    <xf numFmtId="2" fontId="35" fillId="0" borderId="7" xfId="0" applyNumberFormat="1" applyFont="1" applyFill="1" applyBorder="1" applyAlignment="1">
      <alignment horizontal="center" vertical="center"/>
    </xf>
    <xf numFmtId="2" fontId="35" fillId="2" borderId="7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vertical="center" wrapText="1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172" fontId="35" fillId="0" borderId="7" xfId="8" applyNumberFormat="1" applyFont="1" applyFill="1" applyBorder="1" applyAlignment="1">
      <alignment horizontal="center" vertical="center"/>
    </xf>
    <xf numFmtId="2" fontId="33" fillId="0" borderId="7" xfId="0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172" fontId="33" fillId="0" borderId="7" xfId="8" applyNumberFormat="1" applyFont="1" applyBorder="1" applyAlignment="1">
      <alignment horizontal="center" vertical="center"/>
    </xf>
    <xf numFmtId="2" fontId="33" fillId="0" borderId="7" xfId="0" applyNumberFormat="1" applyFont="1" applyBorder="1" applyAlignment="1">
      <alignment horizontal="center" vertical="center"/>
    </xf>
    <xf numFmtId="3" fontId="33" fillId="0" borderId="7" xfId="0" applyNumberFormat="1" applyFont="1" applyFill="1" applyBorder="1" applyAlignment="1">
      <alignment horizontal="center" vertical="center"/>
    </xf>
    <xf numFmtId="165" fontId="33" fillId="3" borderId="7" xfId="0" applyNumberFormat="1" applyFont="1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 wrapText="1"/>
    </xf>
    <xf numFmtId="172" fontId="35" fillId="0" borderId="7" xfId="8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3" fontId="35" fillId="0" borderId="7" xfId="0" applyNumberFormat="1" applyFont="1" applyFill="1" applyBorder="1" applyAlignment="1">
      <alignment horizontal="center" vertical="center" wrapText="1"/>
    </xf>
    <xf numFmtId="2" fontId="35" fillId="3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left" vertical="center" wrapText="1"/>
    </xf>
    <xf numFmtId="172" fontId="35" fillId="0" borderId="7" xfId="0" applyNumberFormat="1" applyFont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172" fontId="35" fillId="0" borderId="7" xfId="0" applyNumberFormat="1" applyFont="1" applyBorder="1" applyAlignment="1">
      <alignment horizontal="center" vertical="center"/>
    </xf>
    <xf numFmtId="172" fontId="35" fillId="0" borderId="7" xfId="8" applyNumberFormat="1" applyFont="1" applyBorder="1" applyAlignment="1">
      <alignment horizontal="center" vertical="center" wrapText="1"/>
    </xf>
    <xf numFmtId="2" fontId="35" fillId="0" borderId="7" xfId="8" applyNumberFormat="1" applyFont="1" applyBorder="1" applyAlignment="1">
      <alignment horizontal="center" vertical="center"/>
    </xf>
    <xf numFmtId="4" fontId="35" fillId="0" borderId="7" xfId="8" applyNumberFormat="1" applyFont="1" applyBorder="1" applyAlignment="1">
      <alignment horizontal="center" vertical="center"/>
    </xf>
    <xf numFmtId="4" fontId="35" fillId="0" borderId="7" xfId="0" applyNumberFormat="1" applyFont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/>
    </xf>
    <xf numFmtId="0" fontId="36" fillId="2" borderId="7" xfId="10" applyFont="1" applyFill="1" applyBorder="1" applyAlignment="1">
      <alignment horizontal="center" vertical="center" wrapText="1"/>
    </xf>
    <xf numFmtId="4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172" fontId="36" fillId="2" borderId="7" xfId="0" applyNumberFormat="1" applyFont="1" applyFill="1" applyBorder="1" applyAlignment="1">
      <alignment horizontal="center" vertical="center"/>
    </xf>
    <xf numFmtId="3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35" fillId="0" borderId="7" xfId="0" applyNumberFormat="1" applyFont="1" applyFill="1" applyBorder="1" applyAlignment="1">
      <alignment horizontal="center" vertical="center"/>
    </xf>
    <xf numFmtId="169" fontId="38" fillId="2" borderId="7" xfId="8" applyNumberFormat="1" applyFont="1" applyFill="1" applyBorder="1" applyAlignment="1" applyProtection="1">
      <alignment horizontal="left" vertical="center"/>
    </xf>
    <xf numFmtId="0" fontId="35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vertical="center"/>
    </xf>
    <xf numFmtId="4" fontId="38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 wrapText="1" shrinkToFit="1"/>
    </xf>
    <xf numFmtId="0" fontId="35" fillId="2" borderId="7" xfId="0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/>
    </xf>
    <xf numFmtId="2" fontId="35" fillId="0" borderId="7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7" xfId="0" applyFont="1" applyFill="1" applyBorder="1" applyAlignment="1">
      <alignment horizontal="left" vertical="center"/>
    </xf>
    <xf numFmtId="0" fontId="35" fillId="2" borderId="7" xfId="0" applyFont="1" applyFill="1" applyBorder="1" applyAlignment="1" applyProtection="1">
      <alignment horizontal="center" vertical="center" wrapText="1"/>
    </xf>
    <xf numFmtId="172" fontId="33" fillId="2" borderId="7" xfId="0" applyNumberFormat="1" applyFont="1" applyFill="1" applyBorder="1" applyAlignment="1">
      <alignment horizontal="center" vertical="center" wrapText="1"/>
    </xf>
    <xf numFmtId="172" fontId="35" fillId="2" borderId="7" xfId="0" applyNumberFormat="1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/>
    </xf>
    <xf numFmtId="166" fontId="33" fillId="2" borderId="7" xfId="0" applyNumberFormat="1" applyFont="1" applyFill="1" applyBorder="1" applyAlignment="1">
      <alignment vertical="center" wrapText="1"/>
    </xf>
    <xf numFmtId="1" fontId="33" fillId="2" borderId="7" xfId="0" applyNumberFormat="1" applyFont="1" applyFill="1" applyBorder="1" applyAlignment="1">
      <alignment horizontal="center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horizontal="center" vertical="center"/>
    </xf>
    <xf numFmtId="3" fontId="20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3" fontId="18" fillId="2" borderId="7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165" fontId="18" fillId="2" borderId="7" xfId="8" applyFont="1" applyFill="1" applyBorder="1" applyAlignment="1">
      <alignment horizontal="center" vertical="center"/>
    </xf>
    <xf numFmtId="4" fontId="42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4" fontId="17" fillId="2" borderId="7" xfId="0" applyNumberFormat="1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/>
    </xf>
    <xf numFmtId="0" fontId="17" fillId="2" borderId="7" xfId="0" applyNumberFormat="1" applyFont="1" applyFill="1" applyBorder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4" fontId="17" fillId="0" borderId="7" xfId="0" applyNumberFormat="1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20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 wrapText="1"/>
    </xf>
    <xf numFmtId="4" fontId="18" fillId="3" borderId="7" xfId="8" applyNumberFormat="1" applyFont="1" applyFill="1" applyBorder="1" applyAlignment="1">
      <alignment horizontal="center" vertical="center"/>
    </xf>
    <xf numFmtId="4" fontId="16" fillId="0" borderId="7" xfId="0" applyNumberFormat="1" applyFont="1" applyFill="1" applyBorder="1" applyAlignment="1">
      <alignment horizontal="center" vertical="center"/>
    </xf>
    <xf numFmtId="0" fontId="16" fillId="2" borderId="7" xfId="0" applyNumberFormat="1" applyFont="1" applyFill="1" applyBorder="1" applyAlignment="1">
      <alignment horizontal="center" vertical="center"/>
    </xf>
    <xf numFmtId="4" fontId="17" fillId="0" borderId="7" xfId="8" applyNumberFormat="1" applyFont="1" applyBorder="1" applyAlignment="1">
      <alignment horizontal="center" vertical="center"/>
    </xf>
    <xf numFmtId="171" fontId="18" fillId="0" borderId="7" xfId="8" applyNumberFormat="1" applyFont="1" applyFill="1" applyBorder="1" applyAlignment="1">
      <alignment horizontal="center" vertical="center"/>
    </xf>
    <xf numFmtId="3" fontId="16" fillId="0" borderId="7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center" vertical="center"/>
    </xf>
    <xf numFmtId="4" fontId="18" fillId="0" borderId="7" xfId="8" applyNumberFormat="1" applyFont="1" applyFill="1" applyBorder="1" applyAlignment="1">
      <alignment horizontal="center" vertical="center"/>
    </xf>
    <xf numFmtId="4" fontId="16" fillId="0" borderId="7" xfId="8" applyNumberFormat="1" applyFont="1" applyFill="1" applyBorder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4" fontId="16" fillId="2" borderId="7" xfId="0" applyNumberFormat="1" applyFont="1" applyFill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4" fontId="16" fillId="2" borderId="7" xfId="9" applyNumberFormat="1" applyFont="1" applyFill="1" applyBorder="1" applyAlignment="1">
      <alignment horizontal="center" vertical="center"/>
    </xf>
    <xf numFmtId="166" fontId="17" fillId="2" borderId="7" xfId="0" applyNumberFormat="1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/>
    </xf>
    <xf numFmtId="4" fontId="16" fillId="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2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172" fontId="9" fillId="2" borderId="7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7" xfId="0" applyNumberFormat="1" applyFont="1" applyFill="1" applyBorder="1" applyAlignment="1">
      <alignment horizontal="center" vertical="center"/>
    </xf>
    <xf numFmtId="3" fontId="34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172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2" fontId="20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0" fillId="2" borderId="0" xfId="0" applyFill="1" applyAlignment="1"/>
    <xf numFmtId="0" fontId="0" fillId="2" borderId="0" xfId="0" applyFill="1" applyAlignment="1">
      <alignment wrapText="1"/>
    </xf>
    <xf numFmtId="4" fontId="44" fillId="2" borderId="1" xfId="0" applyNumberFormat="1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left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0" fontId="0" fillId="5" borderId="0" xfId="0" applyFont="1" applyFill="1"/>
    <xf numFmtId="0" fontId="45" fillId="2" borderId="0" xfId="0" applyFont="1" applyFill="1" applyBorder="1" applyAlignment="1">
      <alignment horizontal="center" vertical="center" wrapText="1"/>
    </xf>
    <xf numFmtId="0" fontId="44" fillId="2" borderId="0" xfId="0" applyNumberFormat="1" applyFont="1" applyFill="1" applyBorder="1" applyAlignment="1">
      <alignment horizontal="center" vertical="center" wrapText="1"/>
    </xf>
    <xf numFmtId="0" fontId="44" fillId="2" borderId="0" xfId="0" applyNumberFormat="1" applyFont="1" applyFill="1" applyBorder="1" applyAlignment="1">
      <alignment horizontal="center" vertical="center"/>
    </xf>
    <xf numFmtId="4" fontId="28" fillId="2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/>
    <xf numFmtId="0" fontId="33" fillId="2" borderId="7" xfId="0" applyFont="1" applyFill="1" applyBorder="1" applyAlignment="1">
      <alignment horizontal="left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6" fillId="2" borderId="7" xfId="0" applyNumberFormat="1" applyFont="1" applyFill="1" applyBorder="1" applyAlignment="1">
      <alignment horizontal="center" vertical="center"/>
    </xf>
    <xf numFmtId="4" fontId="47" fillId="2" borderId="7" xfId="0" applyNumberFormat="1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 wrapText="1"/>
    </xf>
    <xf numFmtId="2" fontId="26" fillId="2" borderId="7" xfId="0" applyNumberFormat="1" applyFont="1" applyFill="1" applyBorder="1" applyAlignment="1">
      <alignment horizontal="center" vertical="center"/>
    </xf>
    <xf numFmtId="4" fontId="0" fillId="2" borderId="7" xfId="0" applyNumberFormat="1" applyFont="1" applyFill="1" applyBorder="1" applyAlignment="1">
      <alignment horizontal="center" vertical="center"/>
    </xf>
    <xf numFmtId="4" fontId="48" fillId="0" borderId="7" xfId="0" applyNumberFormat="1" applyFont="1" applyFill="1" applyBorder="1" applyAlignment="1">
      <alignment horizontal="center" vertical="center"/>
    </xf>
    <xf numFmtId="4" fontId="26" fillId="3" borderId="7" xfId="8" applyNumberFormat="1" applyFont="1" applyFill="1" applyBorder="1" applyAlignment="1">
      <alignment horizontal="center" vertical="center"/>
    </xf>
    <xf numFmtId="2" fontId="0" fillId="2" borderId="7" xfId="0" applyNumberFormat="1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/>
    </xf>
    <xf numFmtId="4" fontId="48" fillId="2" borderId="7" xfId="0" applyNumberFormat="1" applyFont="1" applyFill="1" applyBorder="1" applyAlignment="1">
      <alignment horizontal="center" vertical="center"/>
    </xf>
    <xf numFmtId="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left" vertical="center"/>
    </xf>
    <xf numFmtId="0" fontId="35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/>
    </xf>
    <xf numFmtId="4" fontId="33" fillId="6" borderId="7" xfId="8" applyNumberFormat="1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/>
    </xf>
    <xf numFmtId="14" fontId="35" fillId="6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/>
    </xf>
    <xf numFmtId="4" fontId="33" fillId="7" borderId="7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/>
    </xf>
    <xf numFmtId="14" fontId="35" fillId="7" borderId="7" xfId="0" applyNumberFormat="1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center" vertical="center"/>
    </xf>
    <xf numFmtId="0" fontId="33" fillId="8" borderId="7" xfId="0" applyFont="1" applyFill="1" applyBorder="1" applyAlignment="1">
      <alignment horizontal="center" vertical="center" wrapText="1"/>
    </xf>
    <xf numFmtId="172" fontId="35" fillId="8" borderId="7" xfId="0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/>
    </xf>
    <xf numFmtId="4" fontId="33" fillId="8" borderId="7" xfId="8" applyNumberFormat="1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/>
    </xf>
    <xf numFmtId="14" fontId="35" fillId="8" borderId="7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center" vertical="center"/>
    </xf>
    <xf numFmtId="172" fontId="4" fillId="7" borderId="7" xfId="0" applyNumberFormat="1" applyFont="1" applyFill="1" applyBorder="1" applyAlignment="1">
      <alignment horizontal="center" vertical="center"/>
    </xf>
    <xf numFmtId="0" fontId="4" fillId="7" borderId="7" xfId="0" applyNumberFormat="1" applyFont="1" applyFill="1" applyBorder="1" applyAlignment="1">
      <alignment horizontal="center" vertical="center"/>
    </xf>
    <xf numFmtId="3" fontId="4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center" vertical="center"/>
    </xf>
    <xf numFmtId="0" fontId="4" fillId="6" borderId="7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0" fontId="36" fillId="8" borderId="7" xfId="10" applyFont="1" applyFill="1" applyBorder="1" applyAlignment="1">
      <alignment horizontal="center" vertical="center" wrapText="1"/>
    </xf>
    <xf numFmtId="167" fontId="35" fillId="8" borderId="7" xfId="0" applyNumberFormat="1" applyFont="1" applyFill="1" applyBorder="1" applyAlignment="1">
      <alignment horizontal="center" vertical="center"/>
    </xf>
    <xf numFmtId="0" fontId="36" fillId="7" borderId="7" xfId="10" applyFont="1" applyFill="1" applyBorder="1" applyAlignment="1">
      <alignment horizontal="center" vertical="center" wrapText="1"/>
    </xf>
    <xf numFmtId="167" fontId="35" fillId="7" borderId="7" xfId="0" applyNumberFormat="1" applyFont="1" applyFill="1" applyBorder="1" applyAlignment="1">
      <alignment horizontal="center" vertical="center"/>
    </xf>
    <xf numFmtId="0" fontId="36" fillId="6" borderId="7" xfId="10" applyFont="1" applyFill="1" applyBorder="1" applyAlignment="1">
      <alignment horizontal="center" vertical="center" wrapText="1"/>
    </xf>
    <xf numFmtId="167" fontId="35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172" fontId="4" fillId="2" borderId="7" xfId="0" applyNumberFormat="1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center" vertical="center" wrapText="1"/>
    </xf>
    <xf numFmtId="172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3" fontId="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165" fontId="4" fillId="7" borderId="7" xfId="0" applyNumberFormat="1" applyFont="1" applyFill="1" applyBorder="1"/>
    <xf numFmtId="2" fontId="4" fillId="7" borderId="7" xfId="0" applyNumberFormat="1" applyFont="1" applyFill="1" applyBorder="1" applyAlignment="1">
      <alignment horizontal="center" vertical="center" wrapText="1"/>
    </xf>
    <xf numFmtId="3" fontId="4" fillId="7" borderId="7" xfId="0" applyNumberFormat="1" applyFont="1" applyFill="1" applyBorder="1" applyAlignment="1">
      <alignment horizontal="center" vertical="center" wrapText="1"/>
    </xf>
    <xf numFmtId="4" fontId="4" fillId="7" borderId="7" xfId="0" applyNumberFormat="1" applyFont="1" applyFill="1" applyBorder="1" applyAlignment="1">
      <alignment horizontal="center" vertical="center" wrapText="1"/>
    </xf>
    <xf numFmtId="2" fontId="4" fillId="7" borderId="7" xfId="0" applyNumberFormat="1" applyFont="1" applyFill="1" applyBorder="1" applyAlignment="1">
      <alignment horizontal="center" vertical="center"/>
    </xf>
    <xf numFmtId="0" fontId="35" fillId="7" borderId="1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172" fontId="4" fillId="7" borderId="13" xfId="0" applyNumberFormat="1" applyFont="1" applyFill="1" applyBorder="1" applyAlignment="1">
      <alignment horizontal="center" vertical="center" wrapText="1"/>
    </xf>
    <xf numFmtId="2" fontId="4" fillId="7" borderId="13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172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3" fontId="4" fillId="6" borderId="7" xfId="0" applyNumberFormat="1" applyFont="1" applyFill="1" applyBorder="1" applyAlignment="1">
      <alignment horizontal="center" vertical="center" wrapText="1"/>
    </xf>
    <xf numFmtId="4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vertical="center" wrapText="1"/>
    </xf>
    <xf numFmtId="0" fontId="33" fillId="8" borderId="7" xfId="0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center" vertical="center"/>
    </xf>
    <xf numFmtId="168" fontId="33" fillId="8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3" fillId="6" borderId="7" xfId="0" applyFont="1" applyFill="1" applyBorder="1" applyAlignment="1">
      <alignment horizontal="center" vertical="center"/>
    </xf>
    <xf numFmtId="4" fontId="33" fillId="6" borderId="7" xfId="0" applyNumberFormat="1" applyFont="1" applyFill="1" applyBorder="1" applyAlignment="1">
      <alignment horizontal="center" vertical="center"/>
    </xf>
    <xf numFmtId="168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vertical="center"/>
    </xf>
    <xf numFmtId="0" fontId="33" fillId="6" borderId="7" xfId="0" applyFont="1" applyFill="1" applyBorder="1" applyAlignment="1"/>
    <xf numFmtId="0" fontId="18" fillId="6" borderId="7" xfId="0" applyFont="1" applyFill="1" applyBorder="1" applyAlignment="1">
      <alignment horizontal="center"/>
    </xf>
    <xf numFmtId="168" fontId="18" fillId="6" borderId="7" xfId="0" applyNumberFormat="1" applyFont="1" applyFill="1" applyBorder="1" applyAlignment="1">
      <alignment horizontal="center"/>
    </xf>
    <xf numFmtId="4" fontId="18" fillId="6" borderId="7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/>
    </xf>
    <xf numFmtId="168" fontId="33" fillId="7" borderId="7" xfId="0" applyNumberFormat="1" applyFont="1" applyFill="1" applyBorder="1" applyAlignment="1">
      <alignment horizontal="center" vertical="center"/>
    </xf>
    <xf numFmtId="3" fontId="33" fillId="7" borderId="7" xfId="0" applyNumberFormat="1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33" fillId="7" borderId="13" xfId="0" applyFont="1" applyFill="1" applyBorder="1" applyAlignment="1">
      <alignment horizontal="center" vertical="center"/>
    </xf>
    <xf numFmtId="4" fontId="33" fillId="7" borderId="13" xfId="0" applyNumberFormat="1" applyFont="1" applyFill="1" applyBorder="1" applyAlignment="1">
      <alignment horizontal="center" vertical="center"/>
    </xf>
    <xf numFmtId="3" fontId="33" fillId="7" borderId="13" xfId="0" applyNumberFormat="1" applyFont="1" applyFill="1" applyBorder="1" applyAlignment="1">
      <alignment horizontal="center" vertical="center" wrapText="1"/>
    </xf>
    <xf numFmtId="4" fontId="33" fillId="7" borderId="13" xfId="8" applyNumberFormat="1" applyFont="1" applyFill="1" applyBorder="1" applyAlignment="1">
      <alignment vertical="center"/>
    </xf>
    <xf numFmtId="0" fontId="33" fillId="7" borderId="7" xfId="0" applyFont="1" applyFill="1" applyBorder="1" applyAlignment="1">
      <alignment vertical="center"/>
    </xf>
    <xf numFmtId="0" fontId="18" fillId="7" borderId="7" xfId="0" applyFont="1" applyFill="1" applyBorder="1" applyAlignment="1">
      <alignment horizontal="center" vertical="center"/>
    </xf>
    <xf numFmtId="168" fontId="18" fillId="7" borderId="7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center" wrapText="1"/>
    </xf>
    <xf numFmtId="4" fontId="18" fillId="6" borderId="7" xfId="0" applyNumberFormat="1" applyFont="1" applyFill="1" applyBorder="1" applyAlignment="1">
      <alignment horizontal="center" vertical="center" wrapText="1"/>
    </xf>
    <xf numFmtId="3" fontId="18" fillId="6" borderId="7" xfId="0" applyNumberFormat="1" applyFont="1" applyFill="1" applyBorder="1" applyAlignment="1">
      <alignment horizontal="center" vertical="center" wrapText="1"/>
    </xf>
    <xf numFmtId="4" fontId="26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/>
    </xf>
    <xf numFmtId="4" fontId="28" fillId="6" borderId="0" xfId="0" applyNumberFormat="1" applyFont="1" applyFill="1" applyBorder="1" applyAlignment="1">
      <alignment horizontal="center" vertical="center"/>
    </xf>
    <xf numFmtId="0" fontId="0" fillId="6" borderId="0" xfId="0" applyFont="1" applyFill="1" applyBorder="1"/>
    <xf numFmtId="0" fontId="17" fillId="6" borderId="7" xfId="0" applyFont="1" applyFill="1" applyBorder="1" applyAlignment="1">
      <alignment vertical="center" wrapText="1"/>
    </xf>
    <xf numFmtId="4" fontId="17" fillId="6" borderId="7" xfId="0" applyNumberFormat="1" applyFont="1" applyFill="1" applyBorder="1" applyAlignment="1">
      <alignment horizontal="center" vertical="center"/>
    </xf>
    <xf numFmtId="0" fontId="17" fillId="6" borderId="7" xfId="0" applyNumberFormat="1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4" fontId="0" fillId="6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18" fillId="6" borderId="7" xfId="0" applyFont="1" applyFill="1" applyBorder="1" applyAlignment="1">
      <alignment vertical="center"/>
    </xf>
    <xf numFmtId="0" fontId="18" fillId="6" borderId="7" xfId="0" applyFont="1" applyFill="1" applyBorder="1" applyAlignment="1"/>
    <xf numFmtId="0" fontId="18" fillId="6" borderId="7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 wrapText="1"/>
    </xf>
    <xf numFmtId="4" fontId="9" fillId="6" borderId="7" xfId="0" applyNumberFormat="1" applyFont="1" applyFill="1" applyBorder="1" applyAlignment="1">
      <alignment horizontal="center" vertical="center"/>
    </xf>
    <xf numFmtId="3" fontId="9" fillId="6" borderId="7" xfId="0" applyNumberFormat="1" applyFont="1" applyFill="1" applyBorder="1" applyAlignment="1">
      <alignment horizontal="center" vertical="center"/>
    </xf>
    <xf numFmtId="0" fontId="9" fillId="6" borderId="7" xfId="0" applyNumberFormat="1" applyFont="1" applyFill="1" applyBorder="1" applyAlignment="1">
      <alignment horizontal="center" vertical="center"/>
    </xf>
    <xf numFmtId="4" fontId="9" fillId="6" borderId="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horizontal="left" vertical="center"/>
    </xf>
    <xf numFmtId="0" fontId="17" fillId="6" borderId="7" xfId="0" applyFont="1" applyFill="1" applyBorder="1"/>
    <xf numFmtId="0" fontId="17" fillId="6" borderId="7" xfId="0" applyFont="1" applyFill="1" applyBorder="1" applyAlignment="1">
      <alignment horizontal="center" vertical="center"/>
    </xf>
    <xf numFmtId="0" fontId="4" fillId="6" borderId="7" xfId="0" applyFont="1" applyFill="1" applyBorder="1"/>
    <xf numFmtId="0" fontId="4" fillId="6" borderId="7" xfId="0" applyFont="1" applyFill="1" applyBorder="1" applyAlignment="1">
      <alignment horizontal="center"/>
    </xf>
    <xf numFmtId="165" fontId="4" fillId="6" borderId="7" xfId="0" applyNumberFormat="1" applyFont="1" applyFill="1" applyBorder="1"/>
    <xf numFmtId="0" fontId="18" fillId="6" borderId="7" xfId="0" applyNumberFormat="1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vertical="center"/>
    </xf>
    <xf numFmtId="0" fontId="17" fillId="6" borderId="7" xfId="0" applyFont="1" applyFill="1" applyBorder="1" applyAlignment="1">
      <alignment horizontal="left" vertical="center" wrapText="1"/>
    </xf>
    <xf numFmtId="0" fontId="0" fillId="6" borderId="0" xfId="0" applyFont="1" applyFill="1"/>
    <xf numFmtId="0" fontId="16" fillId="6" borderId="7" xfId="0" applyFont="1" applyFill="1" applyBorder="1" applyAlignment="1">
      <alignment horizontal="left" vertical="center" wrapText="1"/>
    </xf>
    <xf numFmtId="4" fontId="16" fillId="6" borderId="7" xfId="0" applyNumberFormat="1" applyFont="1" applyFill="1" applyBorder="1" applyAlignment="1">
      <alignment horizontal="center" vertical="center"/>
    </xf>
    <xf numFmtId="3" fontId="16" fillId="6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vertical="center"/>
    </xf>
    <xf numFmtId="4" fontId="18" fillId="8" borderId="7" xfId="0" applyNumberFormat="1" applyFont="1" applyFill="1" applyBorder="1" applyAlignment="1">
      <alignment horizontal="center" vertical="center"/>
    </xf>
    <xf numFmtId="0" fontId="18" fillId="8" borderId="7" xfId="0" applyNumberFormat="1" applyFont="1" applyFill="1" applyBorder="1" applyAlignment="1">
      <alignment horizontal="center" vertical="center"/>
    </xf>
    <xf numFmtId="3" fontId="18" fillId="8" borderId="7" xfId="0" applyNumberFormat="1" applyFont="1" applyFill="1" applyBorder="1" applyAlignment="1">
      <alignment horizontal="center" vertical="center"/>
    </xf>
    <xf numFmtId="2" fontId="18" fillId="8" borderId="7" xfId="0" applyNumberFormat="1" applyFont="1" applyFill="1" applyBorder="1" applyAlignment="1">
      <alignment horizontal="center" vertical="center"/>
    </xf>
    <xf numFmtId="0" fontId="20" fillId="8" borderId="7" xfId="0" applyNumberFormat="1" applyFont="1" applyFill="1" applyBorder="1" applyAlignment="1">
      <alignment horizontal="center" vertical="center"/>
    </xf>
    <xf numFmtId="4" fontId="47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/>
    <xf numFmtId="4" fontId="17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vertical="center" wrapText="1"/>
    </xf>
    <xf numFmtId="0" fontId="18" fillId="6" borderId="7" xfId="0" applyNumberFormat="1" applyFont="1" applyFill="1" applyBorder="1" applyAlignment="1">
      <alignment horizontal="center" vertical="center"/>
    </xf>
    <xf numFmtId="3" fontId="18" fillId="6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0" fontId="20" fillId="6" borderId="7" xfId="0" applyNumberFormat="1" applyFont="1" applyFill="1" applyBorder="1" applyAlignment="1">
      <alignment horizontal="center" vertical="center"/>
    </xf>
    <xf numFmtId="4" fontId="47" fillId="6" borderId="7" xfId="0" applyNumberFormat="1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left" vertical="center" wrapText="1"/>
    </xf>
    <xf numFmtId="4" fontId="18" fillId="7" borderId="7" xfId="0" applyNumberFormat="1" applyFont="1" applyFill="1" applyBorder="1" applyAlignment="1">
      <alignment horizontal="center" vertical="center" wrapText="1"/>
    </xf>
    <xf numFmtId="3" fontId="18" fillId="7" borderId="7" xfId="0" applyNumberFormat="1" applyFont="1" applyFill="1" applyBorder="1" applyAlignment="1">
      <alignment horizontal="center" vertical="center" wrapText="1"/>
    </xf>
    <xf numFmtId="4" fontId="26" fillId="7" borderId="7" xfId="0" applyNumberFormat="1" applyFont="1" applyFill="1" applyBorder="1" applyAlignment="1">
      <alignment horizontal="center" vertical="center" wrapText="1"/>
    </xf>
    <xf numFmtId="4" fontId="18" fillId="7" borderId="7" xfId="0" applyNumberFormat="1" applyFont="1" applyFill="1" applyBorder="1" applyAlignment="1">
      <alignment horizontal="center" vertical="center"/>
    </xf>
    <xf numFmtId="0" fontId="18" fillId="7" borderId="7" xfId="0" applyNumberFormat="1" applyFont="1" applyFill="1" applyBorder="1" applyAlignment="1">
      <alignment horizontal="center" vertical="center"/>
    </xf>
    <xf numFmtId="3" fontId="18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0" fontId="20" fillId="7" borderId="7" xfId="0" applyNumberFormat="1" applyFont="1" applyFill="1" applyBorder="1" applyAlignment="1">
      <alignment horizontal="center" vertical="center"/>
    </xf>
    <xf numFmtId="4" fontId="47" fillId="7" borderId="7" xfId="0" applyNumberFormat="1" applyFont="1" applyFill="1" applyBorder="1" applyAlignment="1">
      <alignment horizontal="center" vertical="center"/>
    </xf>
    <xf numFmtId="4" fontId="17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vertical="center" wrapText="1"/>
    </xf>
    <xf numFmtId="0" fontId="18" fillId="7" borderId="7" xfId="0" applyNumberFormat="1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vertical="center"/>
    </xf>
    <xf numFmtId="0" fontId="17" fillId="7" borderId="7" xfId="0" applyNumberFormat="1" applyFont="1" applyFill="1" applyBorder="1" applyAlignment="1">
      <alignment horizontal="center" vertical="center"/>
    </xf>
    <xf numFmtId="3" fontId="17" fillId="7" borderId="7" xfId="0" applyNumberFormat="1" applyFont="1" applyFill="1" applyBorder="1" applyAlignment="1">
      <alignment horizontal="center" vertical="center"/>
    </xf>
    <xf numFmtId="4" fontId="0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left" vertical="center" wrapText="1"/>
    </xf>
    <xf numFmtId="4" fontId="16" fillId="7" borderId="7" xfId="0" applyNumberFormat="1" applyFont="1" applyFill="1" applyBorder="1" applyAlignment="1">
      <alignment horizontal="center" vertical="center"/>
    </xf>
    <xf numFmtId="3" fontId="16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/>
    <xf numFmtId="4" fontId="20" fillId="7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 wrapText="1"/>
    </xf>
    <xf numFmtId="4" fontId="18" fillId="8" borderId="7" xfId="0" applyNumberFormat="1" applyFont="1" applyFill="1" applyBorder="1" applyAlignment="1">
      <alignment horizontal="center" vertical="center" wrapText="1"/>
    </xf>
    <xf numFmtId="3" fontId="18" fillId="8" borderId="7" xfId="0" applyNumberFormat="1" applyFont="1" applyFill="1" applyBorder="1" applyAlignment="1">
      <alignment horizontal="center" vertical="center" wrapText="1"/>
    </xf>
    <xf numFmtId="4" fontId="26" fillId="8" borderId="7" xfId="0" applyNumberFormat="1" applyFont="1" applyFill="1" applyBorder="1" applyAlignment="1">
      <alignment horizontal="center" vertical="center" wrapText="1"/>
    </xf>
    <xf numFmtId="0" fontId="17" fillId="8" borderId="7" xfId="0" applyNumberFormat="1" applyFont="1" applyFill="1" applyBorder="1" applyAlignment="1">
      <alignment horizontal="center" vertical="center"/>
    </xf>
    <xf numFmtId="3" fontId="17" fillId="8" borderId="7" xfId="0" applyNumberFormat="1" applyFont="1" applyFill="1" applyBorder="1" applyAlignment="1">
      <alignment horizontal="center" vertical="center"/>
    </xf>
    <xf numFmtId="4" fontId="0" fillId="8" borderId="7" xfId="0" applyNumberFormat="1" applyFont="1" applyFill="1" applyBorder="1" applyAlignment="1">
      <alignment horizontal="center" vertical="center"/>
    </xf>
    <xf numFmtId="4" fontId="20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left" vertical="center" wrapText="1"/>
    </xf>
    <xf numFmtId="4" fontId="16" fillId="8" borderId="7" xfId="0" applyNumberFormat="1" applyFont="1" applyFill="1" applyBorder="1" applyAlignment="1">
      <alignment horizontal="center" vertical="center"/>
    </xf>
    <xf numFmtId="3" fontId="16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 wrapText="1"/>
    </xf>
    <xf numFmtId="0" fontId="17" fillId="8" borderId="7" xfId="0" applyFont="1" applyFill="1" applyBorder="1" applyAlignment="1">
      <alignment vertical="center"/>
    </xf>
    <xf numFmtId="0" fontId="18" fillId="8" borderId="7" xfId="0" applyNumberFormat="1" applyFont="1" applyFill="1" applyBorder="1" applyAlignment="1">
      <alignment horizontal="center" vertical="center" wrapText="1"/>
    </xf>
    <xf numFmtId="4" fontId="49" fillId="2" borderId="0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4" fontId="9" fillId="7" borderId="7" xfId="0" applyNumberFormat="1" applyFont="1" applyFill="1" applyBorder="1" applyAlignment="1">
      <alignment horizontal="center" vertical="center"/>
    </xf>
    <xf numFmtId="3" fontId="9" fillId="7" borderId="7" xfId="0" applyNumberFormat="1" applyFont="1" applyFill="1" applyBorder="1" applyAlignment="1">
      <alignment horizontal="center" vertical="center"/>
    </xf>
    <xf numFmtId="0" fontId="9" fillId="7" borderId="7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right" vertical="center"/>
    </xf>
    <xf numFmtId="0" fontId="9" fillId="8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left" vertical="center" wrapText="1"/>
    </xf>
    <xf numFmtId="4" fontId="9" fillId="8" borderId="7" xfId="0" applyNumberFormat="1" applyFont="1" applyFill="1" applyBorder="1" applyAlignment="1">
      <alignment horizontal="center" vertical="center"/>
    </xf>
    <xf numFmtId="3" fontId="9" fillId="8" borderId="7" xfId="0" applyNumberFormat="1" applyFont="1" applyFill="1" applyBorder="1" applyAlignment="1">
      <alignment horizontal="center" vertical="center"/>
    </xf>
    <xf numFmtId="4" fontId="9" fillId="8" borderId="7" xfId="0" applyNumberFormat="1" applyFont="1" applyFill="1" applyBorder="1" applyAlignment="1">
      <alignment horizontal="right" vertical="center"/>
    </xf>
    <xf numFmtId="0" fontId="17" fillId="8" borderId="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9" fillId="8" borderId="7" xfId="0" applyFont="1" applyFill="1" applyBorder="1" applyAlignment="1">
      <alignment vertical="center"/>
    </xf>
    <xf numFmtId="0" fontId="17" fillId="7" borderId="13" xfId="0" applyFont="1" applyFill="1" applyBorder="1" applyAlignment="1">
      <alignment horizontal="left" vertical="center"/>
    </xf>
    <xf numFmtId="0" fontId="33" fillId="6" borderId="7" xfId="0" applyFont="1" applyFill="1" applyBorder="1" applyAlignment="1">
      <alignment horizontal="justify" vertical="center" wrapText="1"/>
    </xf>
    <xf numFmtId="172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/>
    </xf>
    <xf numFmtId="4" fontId="28" fillId="8" borderId="0" xfId="0" applyNumberFormat="1" applyFont="1" applyFill="1" applyBorder="1" applyAlignment="1">
      <alignment horizontal="center" vertical="center"/>
    </xf>
    <xf numFmtId="49" fontId="35" fillId="6" borderId="7" xfId="0" applyNumberFormat="1" applyFont="1" applyFill="1" applyBorder="1" applyAlignment="1">
      <alignment horizontal="center" vertical="center"/>
    </xf>
    <xf numFmtId="49" fontId="35" fillId="7" borderId="7" xfId="0" applyNumberFormat="1" applyFont="1" applyFill="1" applyBorder="1" applyAlignment="1">
      <alignment horizontal="center" vertical="center"/>
    </xf>
    <xf numFmtId="49" fontId="35" fillId="8" borderId="7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 vertical="center" wrapText="1"/>
    </xf>
    <xf numFmtId="4" fontId="17" fillId="7" borderId="7" xfId="0" applyNumberFormat="1" applyFont="1" applyFill="1" applyBorder="1" applyAlignment="1">
      <alignment horizontal="center" vertical="center" wrapText="1"/>
    </xf>
    <xf numFmtId="4" fontId="17" fillId="8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2" fontId="18" fillId="7" borderId="7" xfId="0" applyNumberFormat="1" applyFont="1" applyFill="1" applyBorder="1" applyAlignment="1">
      <alignment horizontal="center" vertical="center" wrapText="1"/>
    </xf>
    <xf numFmtId="2" fontId="26" fillId="7" borderId="7" xfId="0" applyNumberFormat="1" applyFont="1" applyFill="1" applyBorder="1" applyAlignment="1">
      <alignment horizontal="center" vertical="center" wrapText="1"/>
    </xf>
    <xf numFmtId="2" fontId="18" fillId="8" borderId="7" xfId="0" applyNumberFormat="1" applyFont="1" applyFill="1" applyBorder="1" applyAlignment="1">
      <alignment horizontal="center" vertical="center" wrapText="1"/>
    </xf>
    <xf numFmtId="2" fontId="26" fillId="8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4" fontId="4" fillId="2" borderId="7" xfId="0" applyNumberFormat="1" applyFont="1" applyFill="1" applyBorder="1" applyAlignment="1">
      <alignment horizontal="right" vertical="center"/>
    </xf>
    <xf numFmtId="172" fontId="35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center" vertical="center" wrapText="1"/>
    </xf>
    <xf numFmtId="2" fontId="35" fillId="0" borderId="7" xfId="0" applyNumberFormat="1" applyFont="1" applyFill="1" applyBorder="1" applyAlignment="1">
      <alignment horizontal="right" vertical="center"/>
    </xf>
    <xf numFmtId="3" fontId="20" fillId="8" borderId="7" xfId="0" applyNumberFormat="1" applyFont="1" applyFill="1" applyBorder="1" applyAlignment="1">
      <alignment horizontal="center" vertical="center"/>
    </xf>
    <xf numFmtId="3" fontId="20" fillId="7" borderId="7" xfId="0" applyNumberFormat="1" applyFont="1" applyFill="1" applyBorder="1" applyAlignment="1">
      <alignment horizontal="center" vertical="center"/>
    </xf>
    <xf numFmtId="3" fontId="20" fillId="6" borderId="7" xfId="0" applyNumberFormat="1" applyFont="1" applyFill="1" applyBorder="1" applyAlignment="1">
      <alignment horizontal="center" vertical="center"/>
    </xf>
    <xf numFmtId="172" fontId="33" fillId="8" borderId="7" xfId="0" applyNumberFormat="1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left" vertical="center" wrapText="1"/>
    </xf>
    <xf numFmtId="0" fontId="35" fillId="8" borderId="7" xfId="0" applyNumberFormat="1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center" vertical="center" wrapText="1"/>
    </xf>
    <xf numFmtId="4" fontId="35" fillId="8" borderId="7" xfId="9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 wrapText="1"/>
    </xf>
    <xf numFmtId="4" fontId="33" fillId="6" borderId="7" xfId="0" applyNumberFormat="1" applyFont="1" applyFill="1" applyBorder="1" applyAlignment="1">
      <alignment horizontal="right" vertical="center"/>
    </xf>
    <xf numFmtId="0" fontId="36" fillId="6" borderId="7" xfId="0" applyFont="1" applyFill="1" applyBorder="1" applyAlignment="1">
      <alignment horizontal="left" vertical="center" wrapText="1"/>
    </xf>
    <xf numFmtId="0" fontId="35" fillId="6" borderId="7" xfId="0" applyNumberFormat="1" applyFont="1" applyFill="1" applyBorder="1" applyAlignment="1">
      <alignment horizontal="center" vertical="center"/>
    </xf>
    <xf numFmtId="4" fontId="33" fillId="6" borderId="7" xfId="0" applyNumberFormat="1" applyFont="1" applyFill="1" applyBorder="1" applyAlignment="1">
      <alignment horizontal="center" vertical="center" wrapText="1"/>
    </xf>
    <xf numFmtId="4" fontId="35" fillId="6" borderId="7" xfId="9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 wrapText="1"/>
    </xf>
    <xf numFmtId="172" fontId="33" fillId="7" borderId="7" xfId="0" applyNumberFormat="1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 wrapText="1"/>
    </xf>
    <xf numFmtId="4" fontId="35" fillId="7" borderId="7" xfId="9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left" vertical="center" wrapText="1"/>
    </xf>
    <xf numFmtId="0" fontId="35" fillId="7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3" fontId="33" fillId="7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vertical="center" wrapText="1"/>
    </xf>
    <xf numFmtId="4" fontId="10" fillId="6" borderId="7" xfId="0" applyNumberFormat="1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0" fontId="10" fillId="6" borderId="7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right" vertical="center"/>
    </xf>
    <xf numFmtId="4" fontId="33" fillId="2" borderId="7" xfId="0" applyNumberFormat="1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35" fillId="6" borderId="7" xfId="0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 wrapText="1"/>
    </xf>
    <xf numFmtId="2" fontId="35" fillId="6" borderId="7" xfId="0" applyNumberFormat="1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horizontal="center" vertical="center" wrapText="1"/>
    </xf>
    <xf numFmtId="14" fontId="35" fillId="6" borderId="12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4" fontId="33" fillId="6" borderId="13" xfId="8" applyNumberFormat="1" applyFont="1" applyFill="1" applyBorder="1" applyAlignment="1">
      <alignment vertical="center"/>
    </xf>
    <xf numFmtId="4" fontId="35" fillId="6" borderId="13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vertical="center" wrapText="1"/>
    </xf>
    <xf numFmtId="14" fontId="35" fillId="7" borderId="12" xfId="0" applyNumberFormat="1" applyFont="1" applyFill="1" applyBorder="1" applyAlignment="1">
      <alignment horizontal="center" vertical="center"/>
    </xf>
    <xf numFmtId="4" fontId="35" fillId="7" borderId="13" xfId="0" applyNumberFormat="1" applyFont="1" applyFill="1" applyBorder="1" applyAlignment="1">
      <alignment horizontal="center" vertical="center"/>
    </xf>
    <xf numFmtId="14" fontId="35" fillId="8" borderId="12" xfId="0" applyNumberFormat="1" applyFont="1" applyFill="1" applyBorder="1" applyAlignment="1">
      <alignment horizontal="center" vertical="center"/>
    </xf>
    <xf numFmtId="4" fontId="33" fillId="8" borderId="13" xfId="8" applyNumberFormat="1" applyFont="1" applyFill="1" applyBorder="1" applyAlignment="1">
      <alignment vertical="center"/>
    </xf>
    <xf numFmtId="4" fontId="35" fillId="8" borderId="13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72" fontId="35" fillId="2" borderId="14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4" fontId="35" fillId="2" borderId="14" xfId="0" applyNumberFormat="1" applyFont="1" applyFill="1" applyBorder="1" applyAlignment="1">
      <alignment horizontal="right" vertical="center"/>
    </xf>
    <xf numFmtId="0" fontId="35" fillId="8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6" fillId="6" borderId="7" xfId="0" applyNumberFormat="1" applyFont="1" applyFill="1" applyBorder="1" applyAlignment="1">
      <alignment horizontal="center" vertical="center"/>
    </xf>
    <xf numFmtId="4" fontId="48" fillId="6" borderId="7" xfId="0" applyNumberFormat="1" applyFont="1" applyFill="1" applyBorder="1" applyAlignment="1">
      <alignment horizontal="center" vertical="center"/>
    </xf>
    <xf numFmtId="0" fontId="16" fillId="7" borderId="7" xfId="0" applyNumberFormat="1" applyFont="1" applyFill="1" applyBorder="1" applyAlignment="1">
      <alignment horizontal="center" vertical="center"/>
    </xf>
    <xf numFmtId="4" fontId="48" fillId="7" borderId="7" xfId="0" applyNumberFormat="1" applyFont="1" applyFill="1" applyBorder="1" applyAlignment="1">
      <alignment horizontal="center" vertical="center"/>
    </xf>
    <xf numFmtId="0" fontId="16" fillId="8" borderId="7" xfId="0" applyNumberFormat="1" applyFont="1" applyFill="1" applyBorder="1" applyAlignment="1">
      <alignment horizontal="center" vertical="center"/>
    </xf>
    <xf numFmtId="4" fontId="48" fillId="8" borderId="7" xfId="0" applyNumberFormat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center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0" fontId="20" fillId="6" borderId="7" xfId="0" applyNumberFormat="1" applyFont="1" applyFill="1" applyBorder="1" applyAlignment="1">
      <alignment horizontal="center" vertical="center" wrapText="1"/>
    </xf>
    <xf numFmtId="3" fontId="20" fillId="6" borderId="7" xfId="0" applyNumberFormat="1" applyFont="1" applyFill="1" applyBorder="1" applyAlignment="1">
      <alignment horizontal="center" vertical="center" wrapText="1"/>
    </xf>
    <xf numFmtId="0" fontId="20" fillId="7" borderId="7" xfId="0" applyNumberFormat="1" applyFont="1" applyFill="1" applyBorder="1" applyAlignment="1">
      <alignment horizontal="center" vertical="center" wrapText="1"/>
    </xf>
    <xf numFmtId="3" fontId="20" fillId="7" borderId="7" xfId="0" applyNumberFormat="1" applyFont="1" applyFill="1" applyBorder="1" applyAlignment="1">
      <alignment horizontal="center" vertical="center" wrapText="1"/>
    </xf>
    <xf numFmtId="0" fontId="20" fillId="8" borderId="7" xfId="0" applyNumberFormat="1" applyFont="1" applyFill="1" applyBorder="1" applyAlignment="1">
      <alignment horizontal="center" vertical="center" wrapText="1"/>
    </xf>
    <xf numFmtId="3" fontId="20" fillId="8" borderId="7" xfId="0" applyNumberFormat="1" applyFont="1" applyFill="1" applyBorder="1" applyAlignment="1">
      <alignment horizontal="center" vertical="center" wrapText="1"/>
    </xf>
    <xf numFmtId="167" fontId="33" fillId="6" borderId="7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left" vertical="center" wrapText="1"/>
    </xf>
    <xf numFmtId="4" fontId="33" fillId="2" borderId="12" xfId="8" applyNumberFormat="1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4" fontId="33" fillId="2" borderId="14" xfId="8" applyNumberFormat="1" applyFont="1" applyFill="1" applyBorder="1" applyAlignment="1">
      <alignment vertical="center"/>
    </xf>
    <xf numFmtId="166" fontId="17" fillId="8" borderId="7" xfId="0" applyNumberFormat="1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166" fontId="17" fillId="7" borderId="7" xfId="0" applyNumberFormat="1" applyFont="1" applyFill="1" applyBorder="1" applyAlignment="1">
      <alignment vertical="center" wrapText="1"/>
    </xf>
    <xf numFmtId="166" fontId="17" fillId="6" borderId="7" xfId="0" applyNumberFormat="1" applyFont="1" applyFill="1" applyBorder="1" applyAlignment="1">
      <alignment vertical="center" wrapText="1"/>
    </xf>
    <xf numFmtId="2" fontId="35" fillId="7" borderId="7" xfId="0" applyNumberFormat="1" applyFont="1" applyFill="1" applyBorder="1" applyAlignment="1">
      <alignment horizontal="center" vertical="center"/>
    </xf>
    <xf numFmtId="2" fontId="35" fillId="8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left" vertical="center"/>
    </xf>
    <xf numFmtId="0" fontId="36" fillId="6" borderId="7" xfId="0" applyFont="1" applyFill="1" applyBorder="1" applyAlignment="1">
      <alignment horizontal="center" vertical="center"/>
    </xf>
    <xf numFmtId="172" fontId="36" fillId="6" borderId="7" xfId="0" applyNumberFormat="1" applyFont="1" applyFill="1" applyBorder="1" applyAlignment="1">
      <alignment horizontal="center" vertical="center"/>
    </xf>
    <xf numFmtId="4" fontId="36" fillId="6" borderId="7" xfId="0" applyNumberFormat="1" applyFont="1" applyFill="1" applyBorder="1" applyAlignment="1">
      <alignment horizontal="center" vertical="center"/>
    </xf>
    <xf numFmtId="3" fontId="36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right" vertical="center"/>
    </xf>
    <xf numFmtId="0" fontId="36" fillId="7" borderId="7" xfId="0" applyFont="1" applyFill="1" applyBorder="1" applyAlignment="1">
      <alignment horizontal="center" vertical="center"/>
    </xf>
    <xf numFmtId="172" fontId="36" fillId="7" borderId="7" xfId="0" applyNumberFormat="1" applyFont="1" applyFill="1" applyBorder="1" applyAlignment="1">
      <alignment horizontal="center" vertical="center"/>
    </xf>
    <xf numFmtId="4" fontId="36" fillId="7" borderId="7" xfId="0" applyNumberFormat="1" applyFont="1" applyFill="1" applyBorder="1" applyAlignment="1">
      <alignment horizontal="center" vertical="center"/>
    </xf>
    <xf numFmtId="3" fontId="36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center" vertical="center"/>
    </xf>
    <xf numFmtId="172" fontId="36" fillId="8" borderId="7" xfId="0" applyNumberFormat="1" applyFont="1" applyFill="1" applyBorder="1" applyAlignment="1">
      <alignment horizontal="center" vertical="center"/>
    </xf>
    <xf numFmtId="4" fontId="36" fillId="8" borderId="7" xfId="0" applyNumberFormat="1" applyFont="1" applyFill="1" applyBorder="1" applyAlignment="1">
      <alignment horizontal="center" vertical="center"/>
    </xf>
    <xf numFmtId="3" fontId="36" fillId="8" borderId="7" xfId="0" applyNumberFormat="1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right" vertical="center"/>
    </xf>
    <xf numFmtId="172" fontId="4" fillId="6" borderId="14" xfId="0" applyNumberFormat="1" applyFont="1" applyFill="1" applyBorder="1" applyAlignment="1">
      <alignment horizontal="center" vertical="center" wrapText="1"/>
    </xf>
    <xf numFmtId="0" fontId="35" fillId="6" borderId="10" xfId="0" applyFont="1" applyFill="1" applyBorder="1" applyAlignment="1">
      <alignment horizontal="center" vertical="center" wrapText="1"/>
    </xf>
    <xf numFmtId="0" fontId="18" fillId="6" borderId="7" xfId="11" applyNumberFormat="1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wrapText="1"/>
    </xf>
    <xf numFmtId="4" fontId="18" fillId="6" borderId="7" xfId="0" applyNumberFormat="1" applyFont="1" applyFill="1" applyBorder="1" applyAlignment="1">
      <alignment horizontal="right" vertical="center" wrapText="1"/>
    </xf>
    <xf numFmtId="4" fontId="33" fillId="6" borderId="12" xfId="8" applyNumberFormat="1" applyFont="1" applyFill="1" applyBorder="1" applyAlignment="1">
      <alignment vertical="center"/>
    </xf>
    <xf numFmtId="0" fontId="33" fillId="6" borderId="13" xfId="11" applyNumberFormat="1" applyFont="1" applyFill="1" applyBorder="1" applyAlignment="1">
      <alignment horizontal="left" vertical="center" wrapText="1"/>
    </xf>
    <xf numFmtId="3" fontId="4" fillId="6" borderId="13" xfId="0" applyNumberFormat="1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172" fontId="4" fillId="6" borderId="13" xfId="0" applyNumberFormat="1" applyFont="1" applyFill="1" applyBorder="1" applyAlignment="1">
      <alignment horizontal="center" vertical="center"/>
    </xf>
    <xf numFmtId="0" fontId="33" fillId="6" borderId="7" xfId="11" applyNumberFormat="1" applyFont="1" applyFill="1" applyBorder="1" applyAlignment="1">
      <alignment horizontal="left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172" fontId="4" fillId="7" borderId="7" xfId="0" applyNumberFormat="1" applyFont="1" applyFill="1" applyBorder="1" applyAlignment="1">
      <alignment horizontal="center" vertical="center" wrapText="1"/>
    </xf>
    <xf numFmtId="0" fontId="33" fillId="7" borderId="7" xfId="11" applyNumberFormat="1" applyFont="1" applyFill="1" applyBorder="1" applyAlignment="1">
      <alignment horizontal="left" vertical="center" wrapText="1"/>
    </xf>
    <xf numFmtId="4" fontId="4" fillId="7" borderId="7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0" fontId="33" fillId="8" borderId="7" xfId="11" applyNumberFormat="1" applyFont="1" applyFill="1" applyBorder="1" applyAlignment="1">
      <alignment horizontal="left" vertical="center" wrapText="1"/>
    </xf>
    <xf numFmtId="0" fontId="18" fillId="8" borderId="7" xfId="11" applyNumberFormat="1" applyFont="1" applyFill="1" applyBorder="1" applyAlignment="1">
      <alignment horizontal="left" vertical="center" wrapText="1"/>
    </xf>
    <xf numFmtId="0" fontId="18" fillId="7" borderId="7" xfId="11" applyNumberFormat="1" applyFont="1" applyFill="1" applyBorder="1" applyAlignment="1">
      <alignment horizontal="left" vertical="center" wrapText="1"/>
    </xf>
    <xf numFmtId="4" fontId="17" fillId="6" borderId="0" xfId="0" applyNumberFormat="1" applyFont="1" applyFill="1"/>
    <xf numFmtId="4" fontId="17" fillId="7" borderId="0" xfId="0" applyNumberFormat="1" applyFont="1" applyFill="1"/>
    <xf numFmtId="4" fontId="17" fillId="8" borderId="7" xfId="0" applyNumberFormat="1" applyFont="1" applyFill="1" applyBorder="1" applyAlignment="1">
      <alignment horizontal="right" vertical="center"/>
    </xf>
    <xf numFmtId="4" fontId="17" fillId="8" borderId="0" xfId="0" applyNumberFormat="1" applyFont="1" applyFill="1"/>
    <xf numFmtId="0" fontId="4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4" fontId="4" fillId="8" borderId="7" xfId="0" applyNumberFormat="1" applyFont="1" applyFill="1" applyBorder="1" applyAlignment="1">
      <alignment horizontal="right" vertical="center"/>
    </xf>
    <xf numFmtId="4" fontId="35" fillId="6" borderId="7" xfId="0" applyNumberFormat="1" applyFont="1" applyFill="1" applyBorder="1" applyAlignment="1">
      <alignment horizontal="right" vertical="center"/>
    </xf>
    <xf numFmtId="0" fontId="35" fillId="6" borderId="10" xfId="0" applyFont="1" applyFill="1" applyBorder="1" applyAlignment="1">
      <alignment horizontal="left" vertical="center" wrapText="1"/>
    </xf>
    <xf numFmtId="167" fontId="4" fillId="6" borderId="7" xfId="0" applyNumberFormat="1" applyFont="1" applyFill="1" applyBorder="1" applyAlignment="1">
      <alignment horizontal="center" vertical="center" wrapText="1"/>
    </xf>
    <xf numFmtId="167" fontId="4" fillId="7" borderId="7" xfId="0" applyNumberFormat="1" applyFont="1" applyFill="1" applyBorder="1" applyAlignment="1">
      <alignment horizontal="center" vertical="center" wrapText="1"/>
    </xf>
    <xf numFmtId="167" fontId="4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right" vertical="center"/>
    </xf>
    <xf numFmtId="1" fontId="4" fillId="6" borderId="7" xfId="0" applyNumberFormat="1" applyFont="1" applyFill="1" applyBorder="1" applyAlignment="1">
      <alignment vertical="center" wrapText="1"/>
    </xf>
    <xf numFmtId="1" fontId="4" fillId="6" borderId="7" xfId="0" applyNumberFormat="1" applyFont="1" applyFill="1" applyBorder="1" applyAlignment="1">
      <alignment horizontal="center" vertical="center" wrapText="1"/>
    </xf>
    <xf numFmtId="1" fontId="4" fillId="6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vertical="center"/>
    </xf>
    <xf numFmtId="1" fontId="4" fillId="7" borderId="7" xfId="0" applyNumberFormat="1" applyFont="1" applyFill="1" applyBorder="1" applyAlignment="1">
      <alignment vertical="center" wrapText="1"/>
    </xf>
    <xf numFmtId="1" fontId="4" fillId="7" borderId="7" xfId="0" applyNumberFormat="1" applyFont="1" applyFill="1" applyBorder="1" applyAlignment="1">
      <alignment horizontal="center" vertical="center" wrapText="1"/>
    </xf>
    <xf numFmtId="1" fontId="4" fillId="7" borderId="7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 wrapText="1"/>
    </xf>
    <xf numFmtId="1" fontId="4" fillId="8" borderId="7" xfId="0" applyNumberFormat="1" applyFont="1" applyFill="1" applyBorder="1" applyAlignment="1">
      <alignment horizontal="center" vertical="center"/>
    </xf>
    <xf numFmtId="1" fontId="4" fillId="8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horizontal="center" vertical="center" wrapText="1"/>
    </xf>
    <xf numFmtId="172" fontId="4" fillId="6" borderId="14" xfId="0" applyNumberFormat="1" applyFont="1" applyFill="1" applyBorder="1" applyAlignment="1">
      <alignment horizontal="center" vertical="center"/>
    </xf>
    <xf numFmtId="4" fontId="4" fillId="6" borderId="14" xfId="0" applyNumberFormat="1" applyFont="1" applyFill="1" applyBorder="1" applyAlignment="1">
      <alignment horizontal="right" vertical="center"/>
    </xf>
    <xf numFmtId="4" fontId="4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center" vertical="center"/>
    </xf>
    <xf numFmtId="4" fontId="35" fillId="6" borderId="7" xfId="0" applyNumberFormat="1" applyFont="1" applyFill="1" applyBorder="1" applyAlignment="1">
      <alignment horizontal="right" vertical="center" wrapText="1"/>
    </xf>
    <xf numFmtId="0" fontId="35" fillId="6" borderId="7" xfId="0" applyFont="1" applyFill="1" applyBorder="1" applyAlignment="1">
      <alignment horizontal="justify" vertical="center" wrapText="1"/>
    </xf>
    <xf numFmtId="172" fontId="4" fillId="7" borderId="14" xfId="0" applyNumberFormat="1" applyFont="1" applyFill="1" applyBorder="1" applyAlignment="1">
      <alignment horizontal="center" vertical="center"/>
    </xf>
    <xf numFmtId="4" fontId="4" fillId="7" borderId="14" xfId="0" applyNumberFormat="1" applyFont="1" applyFill="1" applyBorder="1" applyAlignment="1">
      <alignment horizontal="right" vertical="center"/>
    </xf>
    <xf numFmtId="4" fontId="4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 wrapText="1"/>
    </xf>
    <xf numFmtId="0" fontId="35" fillId="7" borderId="7" xfId="0" applyFont="1" applyFill="1" applyBorder="1" applyAlignment="1">
      <alignment horizontal="justify" vertical="center" wrapText="1"/>
    </xf>
    <xf numFmtId="172" fontId="4" fillId="8" borderId="14" xfId="0" applyNumberFormat="1" applyFont="1" applyFill="1" applyBorder="1" applyAlignment="1">
      <alignment horizontal="center" vertical="center"/>
    </xf>
    <xf numFmtId="4" fontId="4" fillId="8" borderId="14" xfId="0" applyNumberFormat="1" applyFont="1" applyFill="1" applyBorder="1" applyAlignment="1">
      <alignment horizontal="right" vertical="center"/>
    </xf>
    <xf numFmtId="4" fontId="4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center" vertical="center"/>
    </xf>
    <xf numFmtId="0" fontId="33" fillId="8" borderId="10" xfId="0" applyFont="1" applyFill="1" applyBorder="1" applyAlignment="1">
      <alignment horizontal="center" vertical="center" wrapText="1"/>
    </xf>
    <xf numFmtId="4" fontId="35" fillId="8" borderId="7" xfId="0" applyNumberFormat="1" applyFont="1" applyFill="1" applyBorder="1" applyAlignment="1">
      <alignment horizontal="right" vertical="center"/>
    </xf>
    <xf numFmtId="0" fontId="35" fillId="8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 wrapText="1"/>
    </xf>
    <xf numFmtId="172" fontId="17" fillId="6" borderId="7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horizontal="justify" vertical="center" wrapText="1"/>
    </xf>
    <xf numFmtId="0" fontId="16" fillId="7" borderId="7" xfId="0" applyFont="1" applyFill="1" applyBorder="1" applyAlignment="1">
      <alignment vertical="center"/>
    </xf>
    <xf numFmtId="0" fontId="16" fillId="8" borderId="7" xfId="0" applyFont="1" applyFill="1" applyBorder="1" applyAlignment="1">
      <alignment vertical="center" wrapText="1"/>
    </xf>
    <xf numFmtId="0" fontId="16" fillId="8" borderId="7" xfId="0" applyFont="1" applyFill="1" applyBorder="1" applyAlignment="1">
      <alignment horizontal="justify" vertical="center" wrapText="1"/>
    </xf>
    <xf numFmtId="0" fontId="16" fillId="8" borderId="7" xfId="0" applyFont="1" applyFill="1" applyBorder="1" applyAlignment="1">
      <alignment vertical="center"/>
    </xf>
    <xf numFmtId="172" fontId="35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17" fillId="0" borderId="7" xfId="0" applyFont="1" applyBorder="1" applyAlignment="1">
      <alignment wrapText="1"/>
    </xf>
    <xf numFmtId="0" fontId="16" fillId="0" borderId="7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center"/>
    </xf>
    <xf numFmtId="172" fontId="4" fillId="2" borderId="13" xfId="0" applyNumberFormat="1" applyFont="1" applyFill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35" fillId="0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/>
    </xf>
    <xf numFmtId="3" fontId="35" fillId="2" borderId="11" xfId="0" applyNumberFormat="1" applyFont="1" applyFill="1" applyBorder="1" applyAlignment="1">
      <alignment horizontal="center" vertical="center"/>
    </xf>
    <xf numFmtId="4" fontId="33" fillId="2" borderId="13" xfId="8" applyNumberFormat="1" applyFont="1" applyFill="1" applyBorder="1" applyAlignment="1">
      <alignment vertical="center"/>
    </xf>
    <xf numFmtId="168" fontId="35" fillId="0" borderId="7" xfId="0" applyNumberFormat="1" applyFont="1" applyFill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wrapText="1"/>
    </xf>
    <xf numFmtId="3" fontId="35" fillId="2" borderId="14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left" vertical="center" wrapText="1"/>
    </xf>
    <xf numFmtId="0" fontId="35" fillId="2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35" fillId="2" borderId="1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168" fontId="4" fillId="0" borderId="7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4" fontId="4" fillId="6" borderId="7" xfId="0" applyNumberFormat="1" applyFont="1" applyFill="1" applyBorder="1" applyAlignment="1">
      <alignment horizontal="right" vertical="center" wrapText="1"/>
    </xf>
    <xf numFmtId="170" fontId="35" fillId="2" borderId="10" xfId="8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70" fontId="35" fillId="2" borderId="10" xfId="8" applyNumberFormat="1" applyFont="1" applyFill="1" applyBorder="1" applyAlignment="1" applyProtection="1">
      <alignment vertical="center"/>
    </xf>
    <xf numFmtId="0" fontId="38" fillId="0" borderId="7" xfId="8" applyNumberFormat="1" applyFont="1" applyFill="1" applyBorder="1" applyAlignment="1" applyProtection="1">
      <alignment horizontal="center" vertical="center"/>
    </xf>
    <xf numFmtId="0" fontId="35" fillId="0" borderId="7" xfId="8" applyNumberFormat="1" applyFont="1" applyFill="1" applyBorder="1" applyAlignment="1" applyProtection="1">
      <alignment horizontal="center" vertical="center"/>
    </xf>
    <xf numFmtId="172" fontId="35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right" vertical="center"/>
    </xf>
    <xf numFmtId="0" fontId="20" fillId="6" borderId="7" xfId="0" applyFont="1" applyFill="1" applyBorder="1" applyAlignment="1">
      <alignment horizontal="center" vertical="center" wrapText="1"/>
    </xf>
    <xf numFmtId="172" fontId="17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right" vertical="center" wrapText="1"/>
    </xf>
    <xf numFmtId="172" fontId="35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right" vertical="center"/>
    </xf>
    <xf numFmtId="0" fontId="35" fillId="7" borderId="10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35" fillId="7" borderId="12" xfId="0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 wrapText="1"/>
    </xf>
    <xf numFmtId="172" fontId="20" fillId="7" borderId="7" xfId="0" applyNumberFormat="1" applyFont="1" applyFill="1" applyBorder="1" applyAlignment="1">
      <alignment horizontal="center" vertical="center" wrapText="1"/>
    </xf>
    <xf numFmtId="4" fontId="20" fillId="7" borderId="7" xfId="0" applyNumberFormat="1" applyFont="1" applyFill="1" applyBorder="1" applyAlignment="1">
      <alignment horizontal="right" vertical="center" wrapText="1"/>
    </xf>
    <xf numFmtId="4" fontId="20" fillId="7" borderId="7" xfId="0" applyNumberFormat="1" applyFont="1" applyFill="1" applyBorder="1" applyAlignment="1">
      <alignment horizontal="center" vertical="center" wrapText="1"/>
    </xf>
    <xf numFmtId="172" fontId="35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right" vertical="center"/>
    </xf>
    <xf numFmtId="0" fontId="20" fillId="8" borderId="7" xfId="0" applyFont="1" applyFill="1" applyBorder="1" applyAlignment="1">
      <alignment horizontal="center" vertical="center" wrapText="1"/>
    </xf>
    <xf numFmtId="172" fontId="17" fillId="8" borderId="7" xfId="0" applyNumberFormat="1" applyFont="1" applyFill="1" applyBorder="1" applyAlignment="1">
      <alignment horizontal="center" vertical="center" wrapText="1"/>
    </xf>
    <xf numFmtId="172" fontId="20" fillId="8" borderId="7" xfId="0" applyNumberFormat="1" applyFont="1" applyFill="1" applyBorder="1" applyAlignment="1">
      <alignment horizontal="center" vertical="center" wrapText="1"/>
    </xf>
    <xf numFmtId="4" fontId="20" fillId="8" borderId="7" xfId="0" applyNumberFormat="1" applyFont="1" applyFill="1" applyBorder="1" applyAlignment="1">
      <alignment horizontal="right" vertical="center" wrapText="1"/>
    </xf>
    <xf numFmtId="4" fontId="20" fillId="8" borderId="7" xfId="0" applyNumberFormat="1" applyFont="1" applyFill="1" applyBorder="1" applyAlignment="1">
      <alignment horizontal="center" vertical="center" wrapText="1"/>
    </xf>
    <xf numFmtId="4" fontId="35" fillId="8" borderId="12" xfId="0" applyNumberFormat="1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right" vertical="center"/>
    </xf>
    <xf numFmtId="172" fontId="4" fillId="7" borderId="7" xfId="0" applyNumberFormat="1" applyFont="1" applyFill="1" applyBorder="1" applyAlignment="1">
      <alignment horizontal="right" vertical="center"/>
    </xf>
    <xf numFmtId="2" fontId="18" fillId="6" borderId="7" xfId="0" applyNumberFormat="1" applyFont="1" applyFill="1" applyBorder="1" applyAlignment="1">
      <alignment horizontal="center" vertical="center" wrapText="1"/>
    </xf>
    <xf numFmtId="2" fontId="26" fillId="6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4" fontId="8" fillId="6" borderId="7" xfId="0" applyNumberFormat="1" applyFont="1" applyFill="1" applyBorder="1" applyAlignment="1">
      <alignment horizontal="center" vertical="center"/>
    </xf>
    <xf numFmtId="4" fontId="8" fillId="6" borderId="7" xfId="0" applyNumberFormat="1" applyFont="1" applyFill="1" applyBorder="1" applyAlignment="1">
      <alignment horizontal="right" vertical="center"/>
    </xf>
    <xf numFmtId="3" fontId="8" fillId="6" borderId="7" xfId="0" applyNumberFormat="1" applyFont="1" applyFill="1" applyBorder="1" applyAlignment="1">
      <alignment horizontal="center" vertical="center"/>
    </xf>
    <xf numFmtId="0" fontId="8" fillId="6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4" fontId="8" fillId="7" borderId="7" xfId="0" applyNumberFormat="1" applyFont="1" applyFill="1" applyBorder="1" applyAlignment="1">
      <alignment horizontal="center" vertical="center"/>
    </xf>
    <xf numFmtId="3" fontId="8" fillId="7" borderId="7" xfId="0" applyNumberFormat="1" applyFont="1" applyFill="1" applyBorder="1" applyAlignment="1">
      <alignment horizontal="center" vertical="center"/>
    </xf>
    <xf numFmtId="4" fontId="8" fillId="7" borderId="7" xfId="0" applyNumberFormat="1" applyFont="1" applyFill="1" applyBorder="1" applyAlignment="1">
      <alignment horizontal="right" vertical="center"/>
    </xf>
    <xf numFmtId="0" fontId="8" fillId="7" borderId="7" xfId="0" applyNumberFormat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4" fontId="8" fillId="8" borderId="7" xfId="0" applyNumberFormat="1" applyFont="1" applyFill="1" applyBorder="1" applyAlignment="1">
      <alignment horizontal="center" vertical="center"/>
    </xf>
    <xf numFmtId="3" fontId="8" fillId="8" borderId="7" xfId="0" applyNumberFormat="1" applyFont="1" applyFill="1" applyBorder="1" applyAlignment="1">
      <alignment horizontal="center" vertical="center"/>
    </xf>
    <xf numFmtId="4" fontId="8" fillId="8" borderId="7" xfId="0" applyNumberFormat="1" applyFont="1" applyFill="1" applyBorder="1" applyAlignment="1">
      <alignment horizontal="right" vertical="center"/>
    </xf>
    <xf numFmtId="0" fontId="8" fillId="8" borderId="7" xfId="0" applyNumberFormat="1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left" vertical="center" wrapText="1"/>
    </xf>
    <xf numFmtId="0" fontId="33" fillId="8" borderId="7" xfId="0" applyFont="1" applyFill="1" applyBorder="1" applyAlignment="1">
      <alignment horizontal="justify" vertical="center" wrapText="1"/>
    </xf>
    <xf numFmtId="0" fontId="33" fillId="6" borderId="10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4" fontId="16" fillId="6" borderId="7" xfId="0" applyNumberFormat="1" applyFont="1" applyFill="1" applyBorder="1" applyAlignment="1">
      <alignment horizontal="right" vertical="center"/>
    </xf>
    <xf numFmtId="4" fontId="33" fillId="6" borderId="12" xfId="8" applyNumberFormat="1" applyFont="1" applyFill="1" applyBorder="1" applyAlignment="1">
      <alignment horizontal="right" vertical="center"/>
    </xf>
    <xf numFmtId="4" fontId="33" fillId="6" borderId="7" xfId="8" applyNumberFormat="1" applyFont="1" applyFill="1" applyBorder="1" applyAlignment="1">
      <alignment horizontal="right" vertical="center"/>
    </xf>
    <xf numFmtId="0" fontId="0" fillId="6" borderId="7" xfId="0" applyFont="1" applyFill="1" applyBorder="1" applyAlignment="1">
      <alignment horizontal="center" wrapText="1"/>
    </xf>
    <xf numFmtId="0" fontId="33" fillId="7" borderId="7" xfId="0" applyFont="1" applyFill="1" applyBorder="1" applyAlignment="1">
      <alignment horizontal="justify" vertical="center" wrapText="1"/>
    </xf>
    <xf numFmtId="0" fontId="33" fillId="7" borderId="10" xfId="0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wrapText="1"/>
    </xf>
    <xf numFmtId="4" fontId="33" fillId="7" borderId="12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/>
    </xf>
    <xf numFmtId="4" fontId="39" fillId="7" borderId="7" xfId="0" applyNumberFormat="1" applyFont="1" applyFill="1" applyBorder="1" applyAlignment="1">
      <alignment horizontal="center" wrapText="1"/>
    </xf>
    <xf numFmtId="4" fontId="37" fillId="7" borderId="7" xfId="0" applyNumberFormat="1" applyFont="1" applyFill="1" applyBorder="1" applyAlignment="1">
      <alignment horizontal="center" wrapText="1"/>
    </xf>
    <xf numFmtId="4" fontId="4" fillId="8" borderId="7" xfId="0" applyNumberFormat="1" applyFont="1" applyFill="1" applyBorder="1" applyAlignment="1">
      <alignment horizontal="center" wrapText="1"/>
    </xf>
    <xf numFmtId="4" fontId="33" fillId="8" borderId="12" xfId="8" applyNumberFormat="1" applyFont="1" applyFill="1" applyBorder="1" applyAlignment="1">
      <alignment vertical="center"/>
    </xf>
    <xf numFmtId="4" fontId="16" fillId="8" borderId="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" fontId="16" fillId="7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justify" vertical="center" wrapText="1"/>
    </xf>
    <xf numFmtId="4" fontId="16" fillId="6" borderId="7" xfId="0" applyNumberFormat="1" applyFont="1" applyFill="1" applyBorder="1" applyAlignment="1">
      <alignment horizontal="center" vertical="center" wrapText="1"/>
    </xf>
    <xf numFmtId="4" fontId="18" fillId="2" borderId="0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4" fontId="35" fillId="8" borderId="7" xfId="0" applyNumberFormat="1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33" fillId="7" borderId="7" xfId="0" applyFont="1" applyFill="1" applyBorder="1" applyAlignment="1">
      <alignment vertical="center" wrapText="1"/>
    </xf>
    <xf numFmtId="172" fontId="33" fillId="7" borderId="7" xfId="0" applyNumberFormat="1" applyFont="1" applyFill="1" applyBorder="1" applyAlignment="1">
      <alignment horizontal="center" vertical="center" wrapText="1"/>
    </xf>
    <xf numFmtId="0" fontId="12" fillId="6" borderId="7" xfId="0" applyNumberFormat="1" applyFont="1" applyFill="1" applyBorder="1" applyAlignment="1">
      <alignment horizontal="center" vertical="center"/>
    </xf>
    <xf numFmtId="0" fontId="12" fillId="7" borderId="7" xfId="0" applyNumberFormat="1" applyFont="1" applyFill="1" applyBorder="1" applyAlignment="1">
      <alignment horizontal="center" vertical="center"/>
    </xf>
    <xf numFmtId="0" fontId="12" fillId="8" borderId="7" xfId="0" applyNumberFormat="1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horizontal="left" vertical="center" indent="1"/>
    </xf>
    <xf numFmtId="0" fontId="29" fillId="9" borderId="5" xfId="0" applyFont="1" applyFill="1" applyBorder="1" applyAlignment="1">
      <alignment horizontal="left" vertical="center" indent="1"/>
    </xf>
    <xf numFmtId="172" fontId="35" fillId="2" borderId="13" xfId="0" applyNumberFormat="1" applyFont="1" applyFill="1" applyBorder="1" applyAlignment="1">
      <alignment horizontal="right" vertical="center"/>
    </xf>
    <xf numFmtId="0" fontId="35" fillId="2" borderId="13" xfId="0" applyFont="1" applyFill="1" applyBorder="1" applyAlignment="1">
      <alignment horizontal="right" vertical="center"/>
    </xf>
    <xf numFmtId="167" fontId="35" fillId="2" borderId="13" xfId="0" applyNumberFormat="1" applyFont="1" applyFill="1" applyBorder="1" applyAlignment="1">
      <alignment horizontal="right" vertical="center"/>
    </xf>
    <xf numFmtId="0" fontId="4" fillId="6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72" fontId="35" fillId="7" borderId="13" xfId="0" applyNumberFormat="1" applyFont="1" applyFill="1" applyBorder="1" applyAlignment="1">
      <alignment horizontal="center" vertical="center"/>
    </xf>
    <xf numFmtId="172" fontId="35" fillId="7" borderId="7" xfId="0" applyNumberFormat="1" applyFont="1" applyFill="1" applyBorder="1" applyAlignment="1">
      <alignment horizontal="right" vertical="center"/>
    </xf>
    <xf numFmtId="172" fontId="35" fillId="8" borderId="13" xfId="0" applyNumberFormat="1" applyFont="1" applyFill="1" applyBorder="1" applyAlignment="1">
      <alignment horizontal="center" vertical="center"/>
    </xf>
    <xf numFmtId="172" fontId="35" fillId="8" borderId="7" xfId="0" applyNumberFormat="1" applyFont="1" applyFill="1" applyBorder="1" applyAlignment="1">
      <alignment horizontal="right" vertical="center"/>
    </xf>
    <xf numFmtId="172" fontId="35" fillId="6" borderId="13" xfId="0" applyNumberFormat="1" applyFont="1" applyFill="1" applyBorder="1" applyAlignment="1">
      <alignment horizontal="center" vertical="center"/>
    </xf>
    <xf numFmtId="167" fontId="35" fillId="6" borderId="13" xfId="0" applyNumberFormat="1" applyFont="1" applyFill="1" applyBorder="1" applyAlignment="1">
      <alignment horizontal="center" vertical="center"/>
    </xf>
    <xf numFmtId="3" fontId="35" fillId="6" borderId="13" xfId="0" applyNumberFormat="1" applyFont="1" applyFill="1" applyBorder="1" applyAlignment="1">
      <alignment horizontal="center" vertical="center"/>
    </xf>
    <xf numFmtId="2" fontId="35" fillId="6" borderId="7" xfId="0" applyNumberFormat="1" applyFont="1" applyFill="1" applyBorder="1" applyAlignment="1">
      <alignment horizontal="center" vertical="center"/>
    </xf>
    <xf numFmtId="2" fontId="26" fillId="6" borderId="7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2" fontId="26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vertical="center"/>
    </xf>
    <xf numFmtId="0" fontId="35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/>
    </xf>
    <xf numFmtId="0" fontId="17" fillId="6" borderId="7" xfId="0" applyNumberFormat="1" applyFont="1" applyFill="1" applyBorder="1" applyAlignment="1">
      <alignment horizontal="center" vertical="center" wrapText="1"/>
    </xf>
    <xf numFmtId="3" fontId="17" fillId="6" borderId="7" xfId="0" applyNumberFormat="1" applyFont="1" applyFill="1" applyBorder="1" applyAlignment="1">
      <alignment horizontal="center" vertical="center" wrapText="1"/>
    </xf>
    <xf numFmtId="2" fontId="0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 wrapText="1"/>
    </xf>
    <xf numFmtId="2" fontId="17" fillId="6" borderId="7" xfId="0" applyNumberFormat="1" applyFont="1" applyFill="1" applyBorder="1" applyAlignment="1">
      <alignment horizontal="center" vertical="center" wrapText="1"/>
    </xf>
    <xf numFmtId="4" fontId="0" fillId="6" borderId="7" xfId="0" applyNumberFormat="1" applyFont="1" applyFill="1" applyBorder="1" applyAlignment="1">
      <alignment horizontal="center" vertical="center" wrapText="1"/>
    </xf>
    <xf numFmtId="2" fontId="20" fillId="6" borderId="7" xfId="0" applyNumberFormat="1" applyFont="1" applyFill="1" applyBorder="1" applyAlignment="1">
      <alignment horizontal="center" vertical="center" wrapText="1"/>
    </xf>
    <xf numFmtId="172" fontId="20" fillId="6" borderId="7" xfId="0" applyNumberFormat="1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/>
    </xf>
    <xf numFmtId="0" fontId="17" fillId="7" borderId="7" xfId="0" applyNumberFormat="1" applyFont="1" applyFill="1" applyBorder="1" applyAlignment="1">
      <alignment horizontal="center" vertical="center" wrapText="1"/>
    </xf>
    <xf numFmtId="3" fontId="17" fillId="7" borderId="7" xfId="0" applyNumberFormat="1" applyFont="1" applyFill="1" applyBorder="1" applyAlignment="1">
      <alignment horizontal="center" vertical="center" wrapText="1"/>
    </xf>
    <xf numFmtId="4" fontId="0" fillId="7" borderId="7" xfId="0" applyNumberFormat="1" applyFont="1" applyFill="1" applyBorder="1" applyAlignment="1">
      <alignment horizontal="center" vertical="center" wrapText="1"/>
    </xf>
    <xf numFmtId="2" fontId="17" fillId="7" borderId="7" xfId="0" applyNumberFormat="1" applyFont="1" applyFill="1" applyBorder="1" applyAlignment="1">
      <alignment horizontal="center" vertical="center" wrapText="1"/>
    </xf>
    <xf numFmtId="0" fontId="17" fillId="8" borderId="7" xfId="0" applyNumberFormat="1" applyFont="1" applyFill="1" applyBorder="1" applyAlignment="1">
      <alignment horizontal="center" vertical="center" wrapText="1"/>
    </xf>
    <xf numFmtId="3" fontId="17" fillId="8" borderId="7" xfId="0" applyNumberFormat="1" applyFont="1" applyFill="1" applyBorder="1" applyAlignment="1">
      <alignment horizontal="center" vertical="center" wrapText="1"/>
    </xf>
    <xf numFmtId="4" fontId="0" fillId="8" borderId="7" xfId="0" applyNumberFormat="1" applyFont="1" applyFill="1" applyBorder="1" applyAlignment="1">
      <alignment horizontal="center" vertical="center" wrapText="1"/>
    </xf>
    <xf numFmtId="2" fontId="17" fillId="8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4" fontId="17" fillId="5" borderId="7" xfId="0" applyNumberFormat="1" applyFont="1" applyFill="1" applyBorder="1" applyAlignment="1">
      <alignment horizontal="center" vertical="center"/>
    </xf>
    <xf numFmtId="3" fontId="17" fillId="5" borderId="7" xfId="0" applyNumberFormat="1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4" fontId="33" fillId="7" borderId="7" xfId="0" applyNumberFormat="1" applyFont="1" applyFill="1" applyBorder="1" applyAlignment="1">
      <alignment horizontal="right" vertical="center"/>
    </xf>
    <xf numFmtId="4" fontId="37" fillId="7" borderId="7" xfId="0" applyNumberFormat="1" applyFont="1" applyFill="1" applyBorder="1" applyAlignment="1">
      <alignment horizontal="center" vertical="center"/>
    </xf>
    <xf numFmtId="4" fontId="45" fillId="2" borderId="0" xfId="0" applyNumberFormat="1" applyFont="1" applyFill="1" applyBorder="1" applyAlignment="1">
      <alignment horizontal="center" vertical="center"/>
    </xf>
    <xf numFmtId="0" fontId="37" fillId="2" borderId="0" xfId="0" applyFont="1" applyFill="1"/>
    <xf numFmtId="0" fontId="4" fillId="2" borderId="14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7" xfId="0" applyNumberFormat="1" applyFont="1" applyFill="1" applyBorder="1" applyAlignment="1">
      <alignment horizontal="center" vertical="center"/>
    </xf>
    <xf numFmtId="167" fontId="13" fillId="0" borderId="7" xfId="0" applyNumberFormat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Fill="1" applyBorder="1" applyAlignment="1">
      <alignment horizontal="center" vertical="center"/>
    </xf>
    <xf numFmtId="172" fontId="35" fillId="6" borderId="13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right" vertical="center" wrapText="1" shrinkToFit="1"/>
    </xf>
    <xf numFmtId="0" fontId="35" fillId="6" borderId="7" xfId="0" applyFont="1" applyFill="1" applyBorder="1" applyAlignment="1">
      <alignment horizontal="left" vertical="center" wrapText="1" shrinkToFit="1"/>
    </xf>
    <xf numFmtId="0" fontId="35" fillId="6" borderId="7" xfId="0" applyFont="1" applyFill="1" applyBorder="1" applyAlignment="1">
      <alignment horizontal="center" vertical="center" wrapText="1" shrinkToFit="1"/>
    </xf>
    <xf numFmtId="172" fontId="35" fillId="6" borderId="7" xfId="0" applyNumberFormat="1" applyFont="1" applyFill="1" applyBorder="1" applyAlignment="1">
      <alignment horizontal="center" vertical="center" wrapText="1" shrinkToFit="1"/>
    </xf>
    <xf numFmtId="3" fontId="35" fillId="6" borderId="7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172" fontId="35" fillId="7" borderId="13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right" vertical="center" wrapText="1" shrinkToFit="1"/>
    </xf>
    <xf numFmtId="0" fontId="35" fillId="7" borderId="7" xfId="0" applyFont="1" applyFill="1" applyBorder="1" applyAlignment="1">
      <alignment horizontal="left" vertical="center" wrapText="1" shrinkToFit="1"/>
    </xf>
    <xf numFmtId="0" fontId="35" fillId="7" borderId="7" xfId="0" applyFont="1" applyFill="1" applyBorder="1" applyAlignment="1">
      <alignment horizontal="center" vertical="center" wrapText="1" shrinkToFit="1"/>
    </xf>
    <xf numFmtId="172" fontId="35" fillId="7" borderId="7" xfId="0" applyNumberFormat="1" applyFont="1" applyFill="1" applyBorder="1" applyAlignment="1">
      <alignment horizontal="center" vertical="center" wrapText="1" shrinkToFit="1"/>
    </xf>
    <xf numFmtId="3" fontId="35" fillId="7" borderId="7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center" vertical="center" wrapText="1" shrinkToFit="1"/>
    </xf>
    <xf numFmtId="172" fontId="35" fillId="8" borderId="13" xfId="0" applyNumberFormat="1" applyFont="1" applyFill="1" applyBorder="1" applyAlignment="1">
      <alignment horizontal="center" vertical="center" wrapText="1" shrinkToFit="1"/>
    </xf>
    <xf numFmtId="1" fontId="35" fillId="8" borderId="13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right" vertical="center" wrapText="1" shrinkToFit="1"/>
    </xf>
    <xf numFmtId="0" fontId="35" fillId="8" borderId="7" xfId="0" applyFont="1" applyFill="1" applyBorder="1" applyAlignment="1">
      <alignment horizontal="left" vertical="center" wrapText="1" shrinkToFit="1"/>
    </xf>
    <xf numFmtId="0" fontId="35" fillId="8" borderId="7" xfId="0" applyFont="1" applyFill="1" applyBorder="1" applyAlignment="1">
      <alignment horizontal="center" vertical="center" wrapText="1" shrinkToFit="1"/>
    </xf>
    <xf numFmtId="172" fontId="35" fillId="8" borderId="7" xfId="0" applyNumberFormat="1" applyFont="1" applyFill="1" applyBorder="1" applyAlignment="1">
      <alignment horizontal="center" vertical="center" wrapText="1" shrinkToFit="1"/>
    </xf>
    <xf numFmtId="3" fontId="35" fillId="8" borderId="7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center" vertical="center" wrapText="1" shrinkToFit="1"/>
    </xf>
    <xf numFmtId="0" fontId="29" fillId="2" borderId="6" xfId="0" applyFont="1" applyFill="1" applyBorder="1"/>
    <xf numFmtId="4" fontId="51" fillId="2" borderId="1" xfId="0" applyNumberFormat="1" applyFont="1" applyFill="1" applyBorder="1" applyAlignment="1">
      <alignment horizontal="right" vertical="center"/>
    </xf>
    <xf numFmtId="4" fontId="51" fillId="2" borderId="1" xfId="8" applyNumberFormat="1" applyFont="1" applyFill="1" applyBorder="1" applyAlignment="1">
      <alignment horizontal="right" vertical="center"/>
    </xf>
    <xf numFmtId="1" fontId="5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3" fontId="51" fillId="2" borderId="1" xfId="0" applyNumberFormat="1" applyFont="1" applyFill="1" applyBorder="1" applyAlignment="1">
      <alignment horizontal="center" vertical="center"/>
    </xf>
    <xf numFmtId="4" fontId="51" fillId="2" borderId="1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4" fontId="51" fillId="2" borderId="1" xfId="0" applyNumberFormat="1" applyFont="1" applyFill="1" applyBorder="1" applyAlignment="1">
      <alignment horizontal="right" vertical="center" wrapText="1"/>
    </xf>
    <xf numFmtId="0" fontId="51" fillId="2" borderId="0" xfId="0" applyFont="1" applyFill="1" applyAlignment="1">
      <alignment horizontal="center" vertical="center" wrapText="1"/>
    </xf>
    <xf numFmtId="0" fontId="50" fillId="2" borderId="0" xfId="0" applyFont="1" applyFill="1" applyAlignment="1">
      <alignment vertical="center" wrapText="1"/>
    </xf>
    <xf numFmtId="4" fontId="50" fillId="2" borderId="0" xfId="0" applyNumberFormat="1" applyFont="1" applyFill="1" applyAlignment="1">
      <alignment horizontal="right" vertical="center"/>
    </xf>
    <xf numFmtId="0" fontId="51" fillId="2" borderId="1" xfId="11" applyNumberFormat="1" applyFont="1" applyFill="1" applyBorder="1" applyAlignment="1">
      <alignment vertical="center" wrapText="1"/>
    </xf>
    <xf numFmtId="0" fontId="51" fillId="2" borderId="0" xfId="0" applyFont="1" applyFill="1" applyBorder="1" applyAlignment="1">
      <alignment vertical="center"/>
    </xf>
    <xf numFmtId="0" fontId="51" fillId="2" borderId="0" xfId="9" applyFont="1" applyFill="1" applyAlignment="1">
      <alignment horizontal="center" vertical="center"/>
    </xf>
    <xf numFmtId="0" fontId="51" fillId="2" borderId="0" xfId="9" applyFont="1" applyFill="1" applyAlignment="1">
      <alignment vertical="center"/>
    </xf>
    <xf numFmtId="0" fontId="51" fillId="2" borderId="0" xfId="0" applyFont="1" applyFill="1" applyAlignment="1">
      <alignment horizontal="left" vertical="center"/>
    </xf>
    <xf numFmtId="2" fontId="51" fillId="2" borderId="1" xfId="0" applyNumberFormat="1" applyFont="1" applyFill="1" applyBorder="1" applyAlignment="1">
      <alignment horizontal="right" vertical="center" wrapText="1"/>
    </xf>
    <xf numFmtId="0" fontId="51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 wrapText="1"/>
    </xf>
    <xf numFmtId="4" fontId="50" fillId="2" borderId="0" xfId="0" applyNumberFormat="1" applyFont="1" applyFill="1" applyAlignment="1">
      <alignment horizontal="center" vertical="center"/>
    </xf>
    <xf numFmtId="0" fontId="7" fillId="2" borderId="0" xfId="0" applyFont="1" applyFill="1"/>
    <xf numFmtId="2" fontId="51" fillId="2" borderId="1" xfId="0" applyNumberFormat="1" applyFont="1" applyFill="1" applyBorder="1" applyAlignment="1">
      <alignment horizontal="center" vertical="center" wrapText="1"/>
    </xf>
    <xf numFmtId="2" fontId="51" fillId="2" borderId="1" xfId="0" applyNumberFormat="1" applyFont="1" applyFill="1" applyBorder="1" applyAlignment="1">
      <alignment horizontal="center" vertical="center"/>
    </xf>
    <xf numFmtId="2" fontId="51" fillId="2" borderId="0" xfId="0" applyNumberFormat="1" applyFont="1" applyFill="1" applyAlignment="1">
      <alignment vertical="center"/>
    </xf>
    <xf numFmtId="0" fontId="51" fillId="2" borderId="1" xfId="11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" fontId="7" fillId="2" borderId="1" xfId="12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1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51" fillId="2" borderId="0" xfId="9" applyFont="1" applyFill="1" applyAlignment="1">
      <alignment horizontal="center" vertical="center" wrapText="1"/>
    </xf>
    <xf numFmtId="0" fontId="51" fillId="2" borderId="0" xfId="0" applyFont="1" applyFill="1" applyAlignment="1">
      <alignment horizontal="left" vertical="center" wrapText="1"/>
    </xf>
    <xf numFmtId="49" fontId="5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4" fontId="51" fillId="2" borderId="1" xfId="12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5" fillId="2" borderId="0" xfId="0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 wrapText="1"/>
    </xf>
    <xf numFmtId="0" fontId="64" fillId="2" borderId="0" xfId="0" applyFont="1" applyFill="1"/>
    <xf numFmtId="4" fontId="51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right" vertical="center"/>
    </xf>
    <xf numFmtId="0" fontId="6" fillId="2" borderId="1" xfId="8" applyNumberFormat="1" applyFont="1" applyFill="1" applyBorder="1" applyAlignment="1" applyProtection="1">
      <alignment horizontal="center" vertical="center"/>
    </xf>
    <xf numFmtId="170" fontId="58" fillId="2" borderId="1" xfId="8" applyNumberFormat="1" applyFont="1" applyFill="1" applyBorder="1" applyAlignment="1" applyProtection="1">
      <alignment horizontal="center" vertical="center"/>
    </xf>
    <xf numFmtId="2" fontId="6" fillId="2" borderId="1" xfId="8" applyNumberFormat="1" applyFont="1" applyFill="1" applyBorder="1" applyAlignment="1" applyProtection="1">
      <alignment horizontal="right" vertical="center"/>
    </xf>
    <xf numFmtId="0" fontId="6" fillId="2" borderId="1" xfId="8" applyNumberFormat="1" applyFont="1" applyFill="1" applyBorder="1" applyAlignment="1" applyProtection="1">
      <alignment horizontal="right" vertical="center"/>
    </xf>
    <xf numFmtId="4" fontId="6" fillId="2" borderId="1" xfId="8" applyNumberFormat="1" applyFont="1" applyFill="1" applyBorder="1" applyAlignment="1" applyProtection="1">
      <alignment vertical="center"/>
    </xf>
    <xf numFmtId="0" fontId="6" fillId="2" borderId="1" xfId="0" applyFont="1" applyFill="1" applyBorder="1" applyAlignment="1">
      <alignment horizontal="right" vertical="center"/>
    </xf>
    <xf numFmtId="4" fontId="51" fillId="2" borderId="1" xfId="0" applyNumberFormat="1" applyFont="1" applyFill="1" applyBorder="1" applyAlignment="1">
      <alignment horizontal="right" vertical="center" wrapText="1" shrinkToFit="1"/>
    </xf>
    <xf numFmtId="49" fontId="6" fillId="2" borderId="1" xfId="0" applyNumberFormat="1" applyFont="1" applyFill="1" applyBorder="1" applyAlignment="1">
      <alignment horizontal="center" vertical="center"/>
    </xf>
    <xf numFmtId="0" fontId="51" fillId="2" borderId="0" xfId="0" applyFont="1" applyFill="1"/>
    <xf numFmtId="0" fontId="52" fillId="2" borderId="1" xfId="0" applyFont="1" applyFill="1" applyBorder="1" applyAlignment="1">
      <alignment horizontal="left" vertical="center" wrapText="1"/>
    </xf>
    <xf numFmtId="4" fontId="5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4" fontId="51" fillId="11" borderId="1" xfId="0" applyNumberFormat="1" applyFont="1" applyFill="1" applyBorder="1" applyAlignment="1">
      <alignment vertical="center"/>
    </xf>
    <xf numFmtId="4" fontId="51" fillId="2" borderId="1" xfId="0" applyNumberFormat="1" applyFont="1" applyFill="1" applyBorder="1" applyAlignment="1">
      <alignment vertical="center" wrapText="1"/>
    </xf>
    <xf numFmtId="1" fontId="51" fillId="2" borderId="1" xfId="0" applyNumberFormat="1" applyFont="1" applyFill="1" applyBorder="1" applyAlignment="1">
      <alignment vertical="center" wrapText="1"/>
    </xf>
    <xf numFmtId="1" fontId="51" fillId="2" borderId="1" xfId="0" applyNumberFormat="1" applyFont="1" applyFill="1" applyBorder="1" applyAlignment="1">
      <alignment horizontal="center" vertical="center"/>
    </xf>
    <xf numFmtId="1" fontId="51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3" fillId="2" borderId="0" xfId="0" applyFont="1" applyFill="1" applyAlignment="1">
      <alignment horizontal="left" vertical="center"/>
    </xf>
    <xf numFmtId="4" fontId="51" fillId="2" borderId="1" xfId="12" applyNumberFormat="1" applyFont="1" applyFill="1" applyBorder="1" applyAlignment="1">
      <alignment horizontal="right" vertical="center" wrapText="1"/>
    </xf>
    <xf numFmtId="49" fontId="51" fillId="2" borderId="1" xfId="0" applyNumberFormat="1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4" fontId="6" fillId="2" borderId="1" xfId="0" applyNumberFormat="1" applyFont="1" applyFill="1" applyBorder="1" applyAlignment="1">
      <alignment vertical="center"/>
    </xf>
    <xf numFmtId="2" fontId="51" fillId="2" borderId="1" xfId="11" applyNumberFormat="1" applyFont="1" applyFill="1" applyBorder="1" applyAlignment="1">
      <alignment horizontal="left" vertical="center" wrapText="1"/>
    </xf>
    <xf numFmtId="0" fontId="33" fillId="2" borderId="0" xfId="0" applyFont="1" applyFill="1"/>
    <xf numFmtId="168" fontId="51" fillId="2" borderId="1" xfId="0" applyNumberFormat="1" applyFont="1" applyFill="1" applyBorder="1" applyAlignment="1">
      <alignment horizontal="right" vertical="center"/>
    </xf>
    <xf numFmtId="2" fontId="5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justify" vertical="center"/>
    </xf>
    <xf numFmtId="170" fontId="6" fillId="2" borderId="1" xfId="8" applyNumberFormat="1" applyFont="1" applyFill="1" applyBorder="1" applyAlignment="1" applyProtection="1">
      <alignment horizontal="center" vertical="center"/>
    </xf>
    <xf numFmtId="0" fontId="54" fillId="2" borderId="1" xfId="8" applyNumberFormat="1" applyFont="1" applyFill="1" applyBorder="1" applyAlignment="1" applyProtection="1">
      <alignment horizontal="right" vertical="center"/>
    </xf>
    <xf numFmtId="4" fontId="54" fillId="2" borderId="1" xfId="8" applyNumberFormat="1" applyFont="1" applyFill="1" applyBorder="1" applyAlignment="1" applyProtection="1">
      <alignment horizontal="right" vertical="center"/>
    </xf>
    <xf numFmtId="4" fontId="6" fillId="2" borderId="1" xfId="0" applyNumberFormat="1" applyFont="1" applyFill="1" applyBorder="1" applyAlignment="1">
      <alignment vertical="center" wrapText="1"/>
    </xf>
    <xf numFmtId="4" fontId="51" fillId="11" borderId="1" xfId="0" applyNumberFormat="1" applyFont="1" applyFill="1" applyBorder="1" applyAlignment="1">
      <alignment horizontal="right" vertical="center"/>
    </xf>
    <xf numFmtId="4" fontId="51" fillId="2" borderId="1" xfId="8" applyNumberFormat="1" applyFont="1" applyFill="1" applyBorder="1" applyAlignment="1">
      <alignment horizontal="right" vertical="center" wrapText="1"/>
    </xf>
    <xf numFmtId="0" fontId="51" fillId="2" borderId="1" xfId="10" applyFont="1" applyFill="1" applyBorder="1" applyAlignment="1">
      <alignment horizontal="center" vertical="center" wrapText="1"/>
    </xf>
    <xf numFmtId="4" fontId="51" fillId="2" borderId="1" xfId="8" applyNumberFormat="1" applyFont="1" applyFill="1" applyBorder="1" applyAlignment="1" applyProtection="1">
      <alignment horizontal="right" vertical="center"/>
    </xf>
    <xf numFmtId="0" fontId="7" fillId="2" borderId="1" xfId="0" applyFont="1" applyFill="1" applyBorder="1" applyAlignment="1">
      <alignment vertical="center"/>
    </xf>
    <xf numFmtId="172" fontId="51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left" vertical="center" wrapText="1"/>
    </xf>
    <xf numFmtId="0" fontId="51" fillId="2" borderId="1" xfId="0" applyNumberFormat="1" applyFont="1" applyFill="1" applyBorder="1" applyAlignment="1">
      <alignment horizontal="center" vertical="center" wrapText="1"/>
    </xf>
    <xf numFmtId="2" fontId="51" fillId="2" borderId="1" xfId="0" applyNumberFormat="1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58" fillId="2" borderId="0" xfId="0" applyFont="1" applyFill="1" applyAlignment="1">
      <alignment vertical="center" wrapText="1"/>
    </xf>
    <xf numFmtId="168" fontId="51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vertical="center" wrapText="1"/>
    </xf>
    <xf numFmtId="0" fontId="52" fillId="2" borderId="1" xfId="0" applyFont="1" applyFill="1" applyBorder="1" applyAlignment="1">
      <alignment horizontal="left" vertical="center" wrapText="1" shrinkToFit="1"/>
    </xf>
    <xf numFmtId="2" fontId="51" fillId="2" borderId="1" xfId="0" applyNumberFormat="1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vertical="center" wrapText="1" shrinkToFit="1"/>
    </xf>
    <xf numFmtId="0" fontId="51" fillId="2" borderId="1" xfId="0" applyFont="1" applyFill="1" applyBorder="1" applyAlignment="1">
      <alignment horizontal="center" vertical="center" wrapText="1" shrinkToFit="1"/>
    </xf>
    <xf numFmtId="0" fontId="51" fillId="2" borderId="1" xfId="0" applyFont="1" applyFill="1" applyBorder="1" applyAlignment="1">
      <alignment horizontal="left" vertical="center" wrapText="1" shrinkToFit="1"/>
    </xf>
    <xf numFmtId="172" fontId="51" fillId="2" borderId="1" xfId="0" applyNumberFormat="1" applyFont="1" applyFill="1" applyBorder="1" applyAlignment="1">
      <alignment horizontal="right" vertical="center"/>
    </xf>
    <xf numFmtId="166" fontId="51" fillId="2" borderId="1" xfId="0" applyNumberFormat="1" applyFont="1" applyFill="1" applyBorder="1" applyAlignment="1">
      <alignment vertical="center" wrapText="1"/>
    </xf>
    <xf numFmtId="172" fontId="51" fillId="2" borderId="1" xfId="0" applyNumberFormat="1" applyFont="1" applyFill="1" applyBorder="1" applyAlignment="1">
      <alignment horizontal="right" vertical="center" wrapText="1"/>
    </xf>
    <xf numFmtId="0" fontId="51" fillId="2" borderId="1" xfId="0" applyFont="1" applyFill="1" applyBorder="1" applyAlignment="1">
      <alignment horizontal="right" vertical="center" wrapText="1"/>
    </xf>
    <xf numFmtId="0" fontId="51" fillId="2" borderId="1" xfId="0" applyFont="1" applyFill="1" applyBorder="1" applyAlignment="1">
      <alignment horizontal="justify" vertical="center" wrapText="1"/>
    </xf>
    <xf numFmtId="1" fontId="7" fillId="2" borderId="1" xfId="0" applyNumberFormat="1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53" fillId="2" borderId="1" xfId="0" applyNumberFormat="1" applyFont="1" applyFill="1" applyBorder="1" applyAlignment="1">
      <alignment horizontal="center" vertical="center"/>
    </xf>
    <xf numFmtId="3" fontId="53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4" fontId="9" fillId="2" borderId="1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72" fontId="26" fillId="2" borderId="0" xfId="0" applyNumberFormat="1" applyFont="1" applyFill="1"/>
    <xf numFmtId="3" fontId="26" fillId="2" borderId="0" xfId="0" applyNumberFormat="1" applyFont="1" applyFill="1"/>
    <xf numFmtId="0" fontId="50" fillId="2" borderId="0" xfId="0" applyFont="1" applyFill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horizontal="left" vertical="center" wrapText="1"/>
    </xf>
    <xf numFmtId="4" fontId="65" fillId="2" borderId="1" xfId="0" applyNumberFormat="1" applyFont="1" applyFill="1" applyBorder="1" applyAlignment="1">
      <alignment horizontal="right" vertical="center" wrapText="1"/>
    </xf>
    <xf numFmtId="0" fontId="65" fillId="2" borderId="0" xfId="0" applyFont="1" applyFill="1" applyBorder="1" applyAlignment="1">
      <alignment horizontal="right" vertical="center"/>
    </xf>
    <xf numFmtId="0" fontId="65" fillId="2" borderId="0" xfId="0" applyFont="1" applyFill="1" applyAlignment="1">
      <alignment horizontal="center" vertical="center"/>
    </xf>
    <xf numFmtId="1" fontId="65" fillId="2" borderId="1" xfId="0" applyNumberFormat="1" applyFont="1" applyFill="1" applyBorder="1" applyAlignment="1">
      <alignment horizontal="right" vertical="center"/>
    </xf>
    <xf numFmtId="0" fontId="65" fillId="2" borderId="1" xfId="0" applyNumberFormat="1" applyFont="1" applyFill="1" applyBorder="1" applyAlignment="1">
      <alignment horizontal="center" vertical="center"/>
    </xf>
    <xf numFmtId="4" fontId="65" fillId="2" borderId="1" xfId="0" applyNumberFormat="1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vertical="center" wrapText="1"/>
    </xf>
    <xf numFmtId="1" fontId="65" fillId="2" borderId="1" xfId="0" applyNumberFormat="1" applyFont="1" applyFill="1" applyBorder="1" applyAlignment="1">
      <alignment horizontal="right" vertical="center" wrapText="1"/>
    </xf>
    <xf numFmtId="0" fontId="65" fillId="2" borderId="0" xfId="0" applyFont="1" applyFill="1" applyAlignment="1">
      <alignment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left" vertical="center" wrapText="1"/>
    </xf>
    <xf numFmtId="4" fontId="65" fillId="2" borderId="1" xfId="12" applyNumberFormat="1" applyFont="1" applyFill="1" applyBorder="1" applyAlignment="1">
      <alignment horizontal="right" vertical="center" wrapText="1"/>
    </xf>
    <xf numFmtId="0" fontId="68" fillId="2" borderId="0" xfId="0" applyFont="1" applyFill="1" applyAlignment="1">
      <alignment vertical="center" wrapText="1"/>
    </xf>
    <xf numFmtId="0" fontId="69" fillId="2" borderId="0" xfId="0" applyFont="1" applyFill="1" applyAlignment="1">
      <alignment vertical="center" wrapText="1"/>
    </xf>
    <xf numFmtId="0" fontId="65" fillId="2" borderId="0" xfId="0" applyFont="1" applyFill="1" applyAlignment="1">
      <alignment horizontal="center" vertical="center" wrapText="1"/>
    </xf>
    <xf numFmtId="0" fontId="70" fillId="2" borderId="0" xfId="0" applyFont="1" applyFill="1" applyAlignment="1">
      <alignment vertical="center" wrapText="1"/>
    </xf>
    <xf numFmtId="4" fontId="65" fillId="2" borderId="1" xfId="0" applyNumberFormat="1" applyFont="1" applyFill="1" applyBorder="1" applyAlignment="1">
      <alignment vertical="center" wrapText="1"/>
    </xf>
    <xf numFmtId="4" fontId="67" fillId="2" borderId="1" xfId="0" applyNumberFormat="1" applyFont="1" applyFill="1" applyBorder="1" applyAlignment="1">
      <alignment vertical="center" wrapText="1"/>
    </xf>
    <xf numFmtId="4" fontId="71" fillId="2" borderId="1" xfId="0" applyNumberFormat="1" applyFont="1" applyFill="1" applyBorder="1" applyAlignment="1">
      <alignment vertical="center" wrapText="1"/>
    </xf>
    <xf numFmtId="0" fontId="67" fillId="2" borderId="0" xfId="0" applyFont="1" applyFill="1" applyAlignment="1">
      <alignment wrapText="1"/>
    </xf>
    <xf numFmtId="2" fontId="65" fillId="2" borderId="1" xfId="0" applyNumberFormat="1" applyFont="1" applyFill="1" applyBorder="1" applyAlignment="1">
      <alignment horizontal="right" vertical="center" wrapText="1"/>
    </xf>
    <xf numFmtId="0" fontId="65" fillId="2" borderId="1" xfId="11" applyNumberFormat="1" applyFont="1" applyFill="1" applyBorder="1" applyAlignment="1">
      <alignment horizontal="left" vertical="center" wrapText="1"/>
    </xf>
    <xf numFmtId="0" fontId="65" fillId="2" borderId="1" xfId="0" applyFont="1" applyFill="1" applyBorder="1" applyAlignment="1">
      <alignment horizontal="center" wrapText="1"/>
    </xf>
    <xf numFmtId="0" fontId="67" fillId="2" borderId="0" xfId="0" applyFont="1" applyFill="1" applyAlignment="1">
      <alignment vertical="center" wrapText="1"/>
    </xf>
    <xf numFmtId="0" fontId="72" fillId="2" borderId="0" xfId="0" applyFont="1" applyFill="1" applyAlignment="1">
      <alignment wrapText="1"/>
    </xf>
    <xf numFmtId="4" fontId="65" fillId="2" borderId="1" xfId="8" applyNumberFormat="1" applyFont="1" applyFill="1" applyBorder="1" applyAlignment="1" applyProtection="1">
      <alignment vertical="center" wrapText="1"/>
    </xf>
    <xf numFmtId="4" fontId="65" fillId="2" borderId="1" xfId="0" applyNumberFormat="1" applyFont="1" applyFill="1" applyBorder="1" applyAlignment="1">
      <alignment wrapText="1"/>
    </xf>
    <xf numFmtId="0" fontId="65" fillId="2" borderId="1" xfId="0" applyFont="1" applyFill="1" applyBorder="1" applyAlignment="1">
      <alignment horizontal="left" vertical="top" wrapText="1"/>
    </xf>
    <xf numFmtId="4" fontId="65" fillId="2" borderId="1" xfId="0" applyNumberFormat="1" applyFont="1" applyFill="1" applyBorder="1" applyAlignment="1">
      <alignment horizontal="right" wrapText="1"/>
    </xf>
    <xf numFmtId="1" fontId="65" fillId="2" borderId="1" xfId="0" applyNumberFormat="1" applyFont="1" applyFill="1" applyBorder="1" applyAlignment="1">
      <alignment horizontal="right" wrapText="1"/>
    </xf>
    <xf numFmtId="4" fontId="73" fillId="2" borderId="1" xfId="0" applyNumberFormat="1" applyFont="1" applyFill="1" applyBorder="1" applyAlignment="1">
      <alignment vertical="center" wrapText="1"/>
    </xf>
    <xf numFmtId="2" fontId="65" fillId="2" borderId="1" xfId="0" applyNumberFormat="1" applyFont="1" applyFill="1" applyBorder="1" applyAlignment="1">
      <alignment vertical="center" wrapText="1"/>
    </xf>
    <xf numFmtId="49" fontId="65" fillId="2" borderId="1" xfId="0" applyNumberFormat="1" applyFont="1" applyFill="1" applyBorder="1" applyAlignment="1">
      <alignment horizontal="right" vertical="center" wrapText="1"/>
    </xf>
    <xf numFmtId="4" fontId="65" fillId="11" borderId="1" xfId="0" applyNumberFormat="1" applyFont="1" applyFill="1" applyBorder="1" applyAlignment="1">
      <alignment horizontal="right" vertical="center" wrapText="1"/>
    </xf>
    <xf numFmtId="1" fontId="65" fillId="2" borderId="1" xfId="0" applyNumberFormat="1" applyFont="1" applyFill="1" applyBorder="1" applyAlignment="1">
      <alignment vertical="center" wrapText="1"/>
    </xf>
    <xf numFmtId="0" fontId="68" fillId="2" borderId="0" xfId="0" applyFont="1" applyFill="1" applyAlignment="1">
      <alignment wrapText="1"/>
    </xf>
    <xf numFmtId="0" fontId="67" fillId="2" borderId="0" xfId="0" applyFont="1" applyFill="1" applyAlignment="1">
      <alignment horizontal="center" vertical="center" wrapText="1"/>
    </xf>
    <xf numFmtId="165" fontId="65" fillId="2" borderId="1" xfId="0" applyNumberFormat="1" applyFont="1" applyFill="1" applyBorder="1" applyAlignment="1">
      <alignment horizontal="right" vertical="center" wrapText="1"/>
    </xf>
    <xf numFmtId="4" fontId="65" fillId="2" borderId="1" xfId="12" applyNumberFormat="1" applyFont="1" applyFill="1" applyBorder="1" applyAlignment="1">
      <alignment vertical="center" wrapText="1"/>
    </xf>
    <xf numFmtId="1" fontId="65" fillId="2" borderId="1" xfId="12" applyNumberFormat="1" applyFont="1" applyFill="1" applyBorder="1" applyAlignment="1">
      <alignment horizontal="right" vertical="center" wrapText="1"/>
    </xf>
    <xf numFmtId="2" fontId="65" fillId="2" borderId="1" xfId="11" applyNumberFormat="1" applyFont="1" applyFill="1" applyBorder="1" applyAlignment="1">
      <alignment horizontal="left" vertical="center" wrapText="1"/>
    </xf>
    <xf numFmtId="3" fontId="65" fillId="2" borderId="1" xfId="0" applyNumberFormat="1" applyFont="1" applyFill="1" applyBorder="1" applyAlignment="1">
      <alignment vertical="center" wrapText="1"/>
    </xf>
    <xf numFmtId="0" fontId="65" fillId="2" borderId="0" xfId="0" applyFont="1" applyFill="1" applyAlignment="1">
      <alignment wrapText="1"/>
    </xf>
    <xf numFmtId="0" fontId="65" fillId="2" borderId="1" xfId="0" applyFont="1" applyFill="1" applyBorder="1" applyAlignment="1">
      <alignment horizontal="justify" vertical="center" wrapText="1"/>
    </xf>
    <xf numFmtId="4" fontId="74" fillId="2" borderId="1" xfId="8" applyNumberFormat="1" applyFont="1" applyFill="1" applyBorder="1" applyAlignment="1" applyProtection="1">
      <alignment horizontal="right" vertical="center" wrapText="1"/>
    </xf>
    <xf numFmtId="4" fontId="65" fillId="11" borderId="1" xfId="0" applyNumberFormat="1" applyFont="1" applyFill="1" applyBorder="1" applyAlignment="1">
      <alignment vertical="center" wrapText="1"/>
    </xf>
    <xf numFmtId="0" fontId="69" fillId="2" borderId="0" xfId="0" applyFont="1" applyFill="1" applyAlignment="1">
      <alignment wrapText="1"/>
    </xf>
    <xf numFmtId="3" fontId="65" fillId="2" borderId="0" xfId="0" applyNumberFormat="1" applyFont="1" applyFill="1" applyBorder="1" applyAlignment="1">
      <alignment wrapText="1"/>
    </xf>
    <xf numFmtId="0" fontId="65" fillId="2" borderId="0" xfId="0" applyFont="1" applyFill="1" applyBorder="1" applyAlignment="1">
      <alignment vertical="center" wrapText="1"/>
    </xf>
    <xf numFmtId="4" fontId="65" fillId="2" borderId="1" xfId="9" applyNumberFormat="1" applyFont="1" applyFill="1" applyBorder="1" applyAlignment="1">
      <alignment horizontal="right" vertical="center" wrapText="1"/>
    </xf>
    <xf numFmtId="4" fontId="65" fillId="2" borderId="1" xfId="0" applyNumberFormat="1" applyFont="1" applyFill="1" applyBorder="1" applyAlignment="1">
      <alignment horizontal="center" vertical="center" wrapText="1"/>
    </xf>
    <xf numFmtId="0" fontId="75" fillId="2" borderId="0" xfId="0" applyFont="1" applyFill="1" applyAlignment="1">
      <alignment vertical="center" wrapText="1"/>
    </xf>
    <xf numFmtId="0" fontId="65" fillId="2" borderId="1" xfId="11" applyNumberFormat="1" applyFont="1" applyFill="1" applyBorder="1" applyAlignment="1">
      <alignment vertical="center" wrapText="1"/>
    </xf>
    <xf numFmtId="0" fontId="65" fillId="2" borderId="1" xfId="0" applyFont="1" applyFill="1" applyBorder="1" applyAlignment="1">
      <alignment horizontal="left" vertical="center" wrapText="1" shrinkToFit="1"/>
    </xf>
    <xf numFmtId="2" fontId="65" fillId="2" borderId="1" xfId="0" applyNumberFormat="1" applyFont="1" applyFill="1" applyBorder="1" applyAlignment="1">
      <alignment horizontal="left" vertical="center" wrapText="1"/>
    </xf>
    <xf numFmtId="167" fontId="65" fillId="2" borderId="1" xfId="0" applyNumberFormat="1" applyFont="1" applyFill="1" applyBorder="1" applyAlignment="1">
      <alignment vertical="center" wrapText="1"/>
    </xf>
    <xf numFmtId="166" fontId="65" fillId="2" borderId="1" xfId="0" applyNumberFormat="1" applyFont="1" applyFill="1" applyBorder="1" applyAlignment="1">
      <alignment vertical="center" wrapText="1"/>
    </xf>
    <xf numFmtId="0" fontId="65" fillId="2" borderId="0" xfId="0" applyFont="1" applyFill="1" applyAlignment="1">
      <alignment horizontal="right" vertical="center"/>
    </xf>
    <xf numFmtId="1" fontId="65" fillId="2" borderId="0" xfId="0" applyNumberFormat="1" applyFont="1" applyFill="1" applyAlignment="1">
      <alignment horizontal="right" vertical="center"/>
    </xf>
    <xf numFmtId="0" fontId="65" fillId="2" borderId="0" xfId="0" applyNumberFormat="1" applyFont="1" applyFill="1" applyAlignment="1">
      <alignment horizontal="right" vertical="center"/>
    </xf>
    <xf numFmtId="4" fontId="65" fillId="2" borderId="0" xfId="0" applyNumberFormat="1" applyFont="1" applyFill="1" applyAlignment="1">
      <alignment horizontal="right" vertical="center"/>
    </xf>
    <xf numFmtId="0" fontId="50" fillId="2" borderId="0" xfId="0" applyFont="1" applyFill="1" applyAlignment="1">
      <alignment vertical="center"/>
    </xf>
    <xf numFmtId="4" fontId="51" fillId="2" borderId="0" xfId="0" applyNumberFormat="1" applyFont="1" applyFill="1" applyAlignment="1">
      <alignment vertical="center" wrapText="1"/>
    </xf>
    <xf numFmtId="0" fontId="51" fillId="2" borderId="1" xfId="0" applyFont="1" applyFill="1" applyBorder="1" applyAlignment="1">
      <alignment horizontal="right" vertical="center"/>
    </xf>
    <xf numFmtId="0" fontId="51" fillId="2" borderId="1" xfId="0" applyFont="1" applyFill="1" applyBorder="1" applyAlignment="1">
      <alignment horizontal="center"/>
    </xf>
    <xf numFmtId="169" fontId="65" fillId="2" borderId="1" xfId="8" applyNumberFormat="1" applyFont="1" applyFill="1" applyBorder="1" applyAlignment="1" applyProtection="1">
      <alignment vertical="center" wrapText="1"/>
    </xf>
    <xf numFmtId="172" fontId="65" fillId="2" borderId="1" xfId="0" applyNumberFormat="1" applyFont="1" applyFill="1" applyBorder="1" applyAlignment="1">
      <alignment vertical="center" wrapText="1"/>
    </xf>
    <xf numFmtId="0" fontId="65" fillId="2" borderId="0" xfId="0" applyFont="1" applyFill="1" applyBorder="1" applyAlignment="1">
      <alignment vertical="center"/>
    </xf>
    <xf numFmtId="2" fontId="54" fillId="2" borderId="1" xfId="8" applyNumberFormat="1" applyFont="1" applyFill="1" applyBorder="1" applyAlignment="1" applyProtection="1">
      <alignment horizontal="right" vertical="center"/>
    </xf>
    <xf numFmtId="1" fontId="53" fillId="2" borderId="1" xfId="0" applyNumberFormat="1" applyFont="1" applyFill="1" applyBorder="1" applyAlignment="1">
      <alignment horizontal="center" vertical="center"/>
    </xf>
    <xf numFmtId="1" fontId="26" fillId="2" borderId="0" xfId="0" applyNumberFormat="1" applyFont="1" applyFill="1"/>
    <xf numFmtId="2" fontId="65" fillId="2" borderId="1" xfId="0" applyNumberFormat="1" applyFont="1" applyFill="1" applyBorder="1" applyAlignment="1">
      <alignment horizontal="right" vertical="center"/>
    </xf>
    <xf numFmtId="165" fontId="65" fillId="2" borderId="1" xfId="12" applyFont="1" applyFill="1" applyBorder="1" applyAlignment="1">
      <alignment horizontal="right" vertical="center"/>
    </xf>
    <xf numFmtId="2" fontId="65" fillId="2" borderId="1" xfId="0" applyNumberFormat="1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horizontal="left" vertical="center"/>
    </xf>
    <xf numFmtId="1" fontId="65" fillId="2" borderId="1" xfId="12" applyNumberFormat="1" applyFont="1" applyFill="1" applyBorder="1" applyAlignment="1">
      <alignment horizontal="right" vertical="center"/>
    </xf>
    <xf numFmtId="39" fontId="65" fillId="2" borderId="1" xfId="12" applyNumberFormat="1" applyFont="1" applyFill="1" applyBorder="1" applyAlignment="1">
      <alignment vertical="center"/>
    </xf>
    <xf numFmtId="39" fontId="65" fillId="2" borderId="1" xfId="12" applyNumberFormat="1" applyFont="1" applyFill="1" applyBorder="1" applyAlignment="1">
      <alignment horizontal="right" vertical="center"/>
    </xf>
    <xf numFmtId="0" fontId="75" fillId="2" borderId="1" xfId="0" applyFont="1" applyFill="1" applyBorder="1" applyAlignment="1">
      <alignment horizontal="left" vertical="center" wrapText="1"/>
    </xf>
    <xf numFmtId="4" fontId="65" fillId="2" borderId="1" xfId="0" applyNumberFormat="1" applyFont="1" applyFill="1" applyBorder="1" applyAlignment="1">
      <alignment vertical="center"/>
    </xf>
    <xf numFmtId="4" fontId="71" fillId="2" borderId="1" xfId="0" applyNumberFormat="1" applyFont="1" applyFill="1" applyBorder="1" applyAlignment="1">
      <alignment vertical="center"/>
    </xf>
    <xf numFmtId="4" fontId="67" fillId="2" borderId="1" xfId="0" applyNumberFormat="1" applyFont="1" applyFill="1" applyBorder="1" applyAlignment="1">
      <alignment vertical="center"/>
    </xf>
    <xf numFmtId="0" fontId="67" fillId="2" borderId="1" xfId="0" applyFont="1" applyFill="1" applyBorder="1" applyAlignment="1">
      <alignment vertical="center" wrapText="1"/>
    </xf>
    <xf numFmtId="4" fontId="65" fillId="2" borderId="1" xfId="0" applyNumberFormat="1" applyFont="1" applyFill="1" applyBorder="1" applyAlignment="1">
      <alignment horizontal="right" vertical="center"/>
    </xf>
    <xf numFmtId="2" fontId="65" fillId="2" borderId="1" xfId="0" applyNumberFormat="1" applyFont="1" applyFill="1" applyBorder="1" applyAlignment="1">
      <alignment vertical="center"/>
    </xf>
    <xf numFmtId="2" fontId="65" fillId="2" borderId="1" xfId="0" applyNumberFormat="1" applyFont="1" applyFill="1" applyBorder="1" applyAlignment="1">
      <alignment horizontal="center" vertical="center" wrapText="1"/>
    </xf>
    <xf numFmtId="4" fontId="77" fillId="2" borderId="1" xfId="0" applyNumberFormat="1" applyFont="1" applyFill="1" applyBorder="1" applyAlignment="1">
      <alignment horizontal="right" vertical="center" wrapText="1"/>
    </xf>
    <xf numFmtId="0" fontId="72" fillId="2" borderId="0" xfId="0" applyFont="1" applyFill="1" applyBorder="1" applyAlignment="1"/>
    <xf numFmtId="165" fontId="51" fillId="2" borderId="1" xfId="12" applyFont="1" applyFill="1" applyBorder="1" applyAlignment="1">
      <alignment horizontal="right" vertical="center"/>
    </xf>
    <xf numFmtId="39" fontId="51" fillId="2" borderId="1" xfId="12" applyNumberFormat="1" applyFont="1" applyFill="1" applyBorder="1" applyAlignment="1">
      <alignment horizontal="right" vertical="center"/>
    </xf>
    <xf numFmtId="0" fontId="78" fillId="2" borderId="1" xfId="0" applyFont="1" applyFill="1" applyBorder="1" applyAlignment="1">
      <alignment horizontal="center" vertical="center"/>
    </xf>
    <xf numFmtId="1" fontId="51" fillId="2" borderId="1" xfId="0" applyNumberFormat="1" applyFont="1" applyFill="1" applyBorder="1" applyAlignment="1">
      <alignment horizontal="center"/>
    </xf>
    <xf numFmtId="17" fontId="6" fillId="2" borderId="1" xfId="0" applyNumberFormat="1" applyFont="1" applyFill="1" applyBorder="1" applyAlignment="1">
      <alignment horizontal="center" vertical="center"/>
    </xf>
    <xf numFmtId="4" fontId="33" fillId="2" borderId="1" xfId="0" applyNumberFormat="1" applyFont="1" applyFill="1" applyBorder="1" applyAlignment="1">
      <alignment horizontal="right" vertical="center" wrapText="1"/>
    </xf>
    <xf numFmtId="3" fontId="65" fillId="2" borderId="1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/>
    </xf>
    <xf numFmtId="2" fontId="6" fillId="2" borderId="1" xfId="0" applyNumberFormat="1" applyFont="1" applyFill="1" applyBorder="1" applyAlignment="1">
      <alignment horizontal="right" vertical="center" wrapText="1"/>
    </xf>
    <xf numFmtId="4" fontId="76" fillId="2" borderId="1" xfId="0" applyNumberFormat="1" applyFont="1" applyFill="1" applyBorder="1" applyAlignment="1">
      <alignment vertical="center" wrapText="1"/>
    </xf>
    <xf numFmtId="0" fontId="75" fillId="2" borderId="1" xfId="0" applyFont="1" applyFill="1" applyBorder="1" applyAlignment="1">
      <alignment vertical="center" wrapText="1"/>
    </xf>
    <xf numFmtId="39" fontId="65" fillId="2" borderId="1" xfId="12" applyNumberFormat="1" applyFont="1" applyFill="1" applyBorder="1" applyAlignment="1">
      <alignment horizontal="center" vertical="center"/>
    </xf>
    <xf numFmtId="173" fontId="65" fillId="2" borderId="1" xfId="12" applyNumberFormat="1" applyFont="1" applyFill="1" applyBorder="1" applyAlignment="1">
      <alignment horizontal="center" vertical="center"/>
    </xf>
    <xf numFmtId="39" fontId="79" fillId="2" borderId="1" xfId="12" applyNumberFormat="1" applyFont="1" applyFill="1" applyBorder="1" applyAlignment="1">
      <alignment horizontal="center" vertical="center"/>
    </xf>
    <xf numFmtId="4" fontId="51" fillId="2" borderId="1" xfId="12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65" fillId="2" borderId="0" xfId="0" applyFont="1" applyFill="1" applyAlignment="1">
      <alignment vertical="center"/>
    </xf>
    <xf numFmtId="0" fontId="65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51" fillId="2" borderId="1" xfId="12" applyFont="1" applyFill="1" applyBorder="1" applyAlignment="1">
      <alignment horizontal="center" vertical="center"/>
    </xf>
    <xf numFmtId="165" fontId="51" fillId="2" borderId="1" xfId="0" applyNumberFormat="1" applyFont="1" applyFill="1" applyBorder="1" applyAlignment="1">
      <alignment horizontal="right" vertical="center" wrapText="1"/>
    </xf>
    <xf numFmtId="165" fontId="51" fillId="2" borderId="1" xfId="12" applyFont="1" applyFill="1" applyBorder="1" applyAlignment="1">
      <alignment vertical="center"/>
    </xf>
    <xf numFmtId="0" fontId="65" fillId="2" borderId="1" xfId="0" applyFont="1" applyFill="1" applyBorder="1" applyAlignment="1">
      <alignment horizontal="right" vertical="center"/>
    </xf>
    <xf numFmtId="0" fontId="65" fillId="2" borderId="1" xfId="0" applyNumberFormat="1" applyFont="1" applyFill="1" applyBorder="1" applyAlignment="1">
      <alignment horizontal="right" vertical="center" wrapText="1"/>
    </xf>
    <xf numFmtId="4" fontId="67" fillId="2" borderId="1" xfId="0" applyNumberFormat="1" applyFont="1" applyFill="1" applyBorder="1" applyAlignment="1">
      <alignment horizontal="right" vertical="center" wrapText="1"/>
    </xf>
    <xf numFmtId="3" fontId="65" fillId="2" borderId="1" xfId="0" applyNumberFormat="1" applyFont="1" applyFill="1" applyBorder="1" applyAlignment="1">
      <alignment horizontal="right" vertical="center"/>
    </xf>
    <xf numFmtId="4" fontId="9" fillId="2" borderId="1" xfId="0" applyNumberFormat="1" applyFont="1" applyFill="1" applyBorder="1" applyAlignment="1">
      <alignment horizontal="right" vertical="center"/>
    </xf>
    <xf numFmtId="0" fontId="80" fillId="2" borderId="1" xfId="0" applyFont="1" applyFill="1" applyBorder="1" applyAlignment="1">
      <alignment horizontal="center" vertical="center" wrapText="1"/>
    </xf>
    <xf numFmtId="0" fontId="81" fillId="2" borderId="1" xfId="0" applyFont="1" applyFill="1" applyBorder="1" applyAlignment="1">
      <alignment horizontal="left" vertical="center"/>
    </xf>
    <xf numFmtId="0" fontId="80" fillId="2" borderId="1" xfId="8" applyNumberFormat="1" applyFont="1" applyFill="1" applyBorder="1" applyAlignment="1" applyProtection="1">
      <alignment horizontal="center" vertical="center"/>
    </xf>
    <xf numFmtId="170" fontId="82" fillId="2" borderId="1" xfId="8" applyNumberFormat="1" applyFont="1" applyFill="1" applyBorder="1" applyAlignment="1" applyProtection="1">
      <alignment horizontal="center" vertical="center"/>
    </xf>
    <xf numFmtId="0" fontId="80" fillId="2" borderId="1" xfId="8" applyNumberFormat="1" applyFont="1" applyFill="1" applyBorder="1" applyAlignment="1" applyProtection="1">
      <alignment horizontal="right" vertical="center"/>
    </xf>
    <xf numFmtId="4" fontId="80" fillId="2" borderId="1" xfId="8" applyNumberFormat="1" applyFont="1" applyFill="1" applyBorder="1" applyAlignment="1" applyProtection="1">
      <alignment vertical="center"/>
    </xf>
    <xf numFmtId="4" fontId="80" fillId="2" borderId="1" xfId="0" applyNumberFormat="1" applyFont="1" applyFill="1" applyBorder="1" applyAlignment="1">
      <alignment vertical="center" wrapText="1"/>
    </xf>
    <xf numFmtId="2" fontId="8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2" fontId="51" fillId="0" borderId="1" xfId="0" applyNumberFormat="1" applyFont="1" applyFill="1" applyBorder="1" applyAlignment="1">
      <alignment horizontal="right" vertical="center" wrapText="1"/>
    </xf>
    <xf numFmtId="4" fontId="51" fillId="0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50" fillId="2" borderId="0" xfId="0" applyNumberFormat="1" applyFont="1" applyFill="1" applyAlignment="1">
      <alignment horizontal="center" vertical="center"/>
    </xf>
    <xf numFmtId="1" fontId="6" fillId="2" borderId="1" xfId="8" applyNumberFormat="1" applyFont="1" applyFill="1" applyBorder="1" applyAlignment="1" applyProtection="1">
      <alignment horizontal="center" vertical="center"/>
    </xf>
    <xf numFmtId="1" fontId="51" fillId="2" borderId="1" xfId="0" applyNumberFormat="1" applyFont="1" applyFill="1" applyBorder="1" applyAlignment="1">
      <alignment horizontal="center" vertical="center" wrapText="1" shrinkToFit="1"/>
    </xf>
    <xf numFmtId="1" fontId="6" fillId="2" borderId="1" xfId="0" applyNumberFormat="1" applyFont="1" applyFill="1" applyBorder="1" applyAlignment="1">
      <alignment horizontal="center" vertical="center" wrapText="1"/>
    </xf>
    <xf numFmtId="1" fontId="54" fillId="2" borderId="1" xfId="8" applyNumberFormat="1" applyFont="1" applyFill="1" applyBorder="1" applyAlignment="1" applyProtection="1">
      <alignment horizontal="center" vertical="center"/>
    </xf>
    <xf numFmtId="1" fontId="51" fillId="0" borderId="1" xfId="0" applyNumberFormat="1" applyFont="1" applyFill="1" applyBorder="1" applyAlignment="1">
      <alignment horizontal="center" vertical="center" wrapText="1"/>
    </xf>
    <xf numFmtId="1" fontId="51" fillId="2" borderId="1" xfId="8" applyNumberFormat="1" applyFont="1" applyFill="1" applyBorder="1" applyAlignment="1">
      <alignment horizontal="center" vertical="center"/>
    </xf>
    <xf numFmtId="1" fontId="80" fillId="2" borderId="1" xfId="8" applyNumberFormat="1" applyFont="1" applyFill="1" applyBorder="1" applyAlignment="1" applyProtection="1">
      <alignment horizontal="center" vertical="center"/>
    </xf>
    <xf numFmtId="0" fontId="51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vertical="center" wrapText="1"/>
    </xf>
    <xf numFmtId="1" fontId="51" fillId="2" borderId="1" xfId="0" applyNumberFormat="1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/>
    </xf>
    <xf numFmtId="4" fontId="51" fillId="2" borderId="1" xfId="0" applyNumberFormat="1" applyFont="1" applyFill="1" applyBorder="1" applyAlignment="1">
      <alignment horizontal="center" vertical="center" wrapText="1"/>
    </xf>
    <xf numFmtId="4" fontId="51" fillId="2" borderId="1" xfId="0" applyNumberFormat="1" applyFont="1" applyFill="1" applyBorder="1" applyAlignment="1">
      <alignment horizontal="center" vertical="center" textRotation="90" wrapText="1"/>
    </xf>
    <xf numFmtId="0" fontId="51" fillId="2" borderId="1" xfId="0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17" fontId="51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left" vertical="center"/>
    </xf>
    <xf numFmtId="0" fontId="51" fillId="2" borderId="1" xfId="0" applyNumberFormat="1" applyFont="1" applyFill="1" applyBorder="1" applyAlignment="1">
      <alignment vertical="center" wrapText="1"/>
    </xf>
    <xf numFmtId="169" fontId="54" fillId="2" borderId="1" xfId="8" applyNumberFormat="1" applyFont="1" applyFill="1" applyBorder="1" applyAlignment="1" applyProtection="1">
      <alignment vertical="center"/>
    </xf>
    <xf numFmtId="0" fontId="59" fillId="2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vertical="center"/>
    </xf>
    <xf numFmtId="0" fontId="54" fillId="2" borderId="1" xfId="8" applyNumberFormat="1" applyFont="1" applyFill="1" applyBorder="1" applyAlignment="1" applyProtection="1">
      <alignment vertical="center"/>
    </xf>
    <xf numFmtId="3" fontId="65" fillId="2" borderId="15" xfId="0" applyNumberFormat="1" applyFont="1" applyFill="1" applyBorder="1" applyAlignment="1">
      <alignment vertical="center" wrapText="1"/>
    </xf>
    <xf numFmtId="0" fontId="65" fillId="2" borderId="1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1" fontId="4" fillId="6" borderId="10" xfId="0" applyNumberFormat="1" applyFont="1" applyFill="1" applyBorder="1" applyAlignment="1">
      <alignment horizontal="left" vertical="center" wrapText="1"/>
    </xf>
    <xf numFmtId="1" fontId="4" fillId="6" borderId="11" xfId="0" applyNumberFormat="1" applyFont="1" applyFill="1" applyBorder="1" applyAlignment="1">
      <alignment horizontal="left" vertical="center" wrapText="1"/>
    </xf>
    <xf numFmtId="1" fontId="4" fillId="6" borderId="12" xfId="0" applyNumberFormat="1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justify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textRotation="90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textRotation="90" wrapText="1"/>
    </xf>
    <xf numFmtId="0" fontId="14" fillId="2" borderId="7" xfId="0" applyFont="1" applyFill="1" applyBorder="1" applyAlignment="1">
      <alignment horizontal="center" vertical="center" wrapText="1"/>
    </xf>
    <xf numFmtId="0" fontId="36" fillId="6" borderId="7" xfId="0" applyFont="1" applyFill="1" applyBorder="1" applyAlignment="1">
      <alignment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6" borderId="13" xfId="0" applyFont="1" applyFill="1" applyBorder="1" applyAlignment="1">
      <alignment horizontal="left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3" fontId="14" fillId="2" borderId="7" xfId="0" applyNumberFormat="1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4" fontId="7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4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 wrapText="1"/>
    </xf>
    <xf numFmtId="172" fontId="14" fillId="2" borderId="7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vertical="center"/>
    </xf>
    <xf numFmtId="0" fontId="35" fillId="6" borderId="10" xfId="0" applyFont="1" applyFill="1" applyBorder="1" applyAlignment="1">
      <alignment horizontal="left" vertical="center" wrapText="1"/>
    </xf>
    <xf numFmtId="0" fontId="35" fillId="6" borderId="11" xfId="0" applyFont="1" applyFill="1" applyBorder="1" applyAlignment="1">
      <alignment horizontal="left" vertical="center" wrapText="1"/>
    </xf>
    <xf numFmtId="0" fontId="35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36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7" borderId="14" xfId="0" applyFont="1" applyFill="1" applyBorder="1" applyAlignment="1">
      <alignment horizontal="left" vertical="center" wrapText="1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35" fillId="8" borderId="13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vertical="center"/>
    </xf>
    <xf numFmtId="0" fontId="36" fillId="8" borderId="7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/>
    </xf>
    <xf numFmtId="0" fontId="4" fillId="8" borderId="14" xfId="0" applyFont="1" applyFill="1" applyBorder="1" applyAlignment="1">
      <alignment vertical="center" wrapText="1"/>
    </xf>
    <xf numFmtId="1" fontId="4" fillId="8" borderId="10" xfId="0" applyNumberFormat="1" applyFont="1" applyFill="1" applyBorder="1" applyAlignment="1">
      <alignment horizontal="left" vertical="center" wrapText="1"/>
    </xf>
    <xf numFmtId="1" fontId="4" fillId="8" borderId="11" xfId="0" applyNumberFormat="1" applyFont="1" applyFill="1" applyBorder="1" applyAlignment="1">
      <alignment horizontal="left" vertical="center" wrapText="1"/>
    </xf>
    <xf numFmtId="1" fontId="4" fillId="8" borderId="12" xfId="0" applyNumberFormat="1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172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4" fontId="56" fillId="2" borderId="0" xfId="0" applyNumberFormat="1" applyFont="1" applyFill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vertical="center" wrapText="1"/>
    </xf>
    <xf numFmtId="4" fontId="51" fillId="2" borderId="1" xfId="0" applyNumberFormat="1" applyFont="1" applyFill="1" applyBorder="1" applyAlignment="1">
      <alignment horizontal="center" vertical="center" textRotation="90" wrapText="1"/>
    </xf>
    <xf numFmtId="0" fontId="51" fillId="2" borderId="1" xfId="0" applyFont="1" applyFill="1" applyBorder="1" applyAlignment="1">
      <alignment horizontal="center" vertical="center" textRotation="90" wrapText="1"/>
    </xf>
    <xf numFmtId="4" fontId="51" fillId="2" borderId="1" xfId="0" applyNumberFormat="1" applyFont="1" applyFill="1" applyBorder="1" applyAlignment="1">
      <alignment horizontal="center" vertical="center" wrapText="1"/>
    </xf>
    <xf numFmtId="4" fontId="50" fillId="2" borderId="1" xfId="0" applyNumberFormat="1" applyFont="1" applyFill="1" applyBorder="1" applyAlignment="1">
      <alignment horizontal="center" vertical="center"/>
    </xf>
    <xf numFmtId="1" fontId="51" fillId="2" borderId="1" xfId="0" applyNumberFormat="1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0" fontId="57" fillId="2" borderId="0" xfId="0" applyFont="1" applyFill="1" applyAlignment="1">
      <alignment vertical="center"/>
    </xf>
    <xf numFmtId="0" fontId="57" fillId="2" borderId="0" xfId="0" applyFont="1" applyFill="1" applyAlignment="1">
      <alignment horizontal="center" vertical="center"/>
    </xf>
    <xf numFmtId="0" fontId="56" fillId="2" borderId="0" xfId="0" applyFont="1" applyFill="1" applyBorder="1" applyAlignment="1">
      <alignment horizontal="center" vertical="center" wrapText="1"/>
    </xf>
    <xf numFmtId="0" fontId="57" fillId="2" borderId="0" xfId="0" applyFont="1" applyFill="1" applyBorder="1" applyAlignment="1">
      <alignment vertical="center"/>
    </xf>
    <xf numFmtId="0" fontId="57" fillId="2" borderId="0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 textRotation="90"/>
    </xf>
    <xf numFmtId="1" fontId="51" fillId="2" borderId="1" xfId="0" applyNumberFormat="1" applyFont="1" applyFill="1" applyBorder="1" applyAlignment="1">
      <alignment horizontal="center" vertical="center" textRotation="90" wrapText="1"/>
    </xf>
    <xf numFmtId="0" fontId="50" fillId="2" borderId="1" xfId="0" applyFont="1" applyFill="1" applyBorder="1" applyAlignment="1">
      <alignment vertical="center"/>
    </xf>
    <xf numFmtId="2" fontId="51" fillId="2" borderId="1" xfId="0" applyNumberFormat="1" applyFont="1" applyFill="1" applyBorder="1" applyAlignment="1">
      <alignment horizontal="left" vertical="center" wrapText="1"/>
    </xf>
    <xf numFmtId="0" fontId="51" fillId="2" borderId="1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1" fillId="2" borderId="1" xfId="11" applyNumberFormat="1" applyFont="1" applyFill="1" applyBorder="1" applyAlignment="1">
      <alignment horizontal="left" vertical="center" wrapText="1"/>
    </xf>
    <xf numFmtId="0" fontId="65" fillId="2" borderId="1" xfId="0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 vertical="center" textRotation="90"/>
    </xf>
    <xf numFmtId="0" fontId="65" fillId="2" borderId="0" xfId="0" applyFont="1" applyFill="1" applyBorder="1" applyAlignment="1">
      <alignment horizontal="center" vertical="center"/>
    </xf>
    <xf numFmtId="0" fontId="65" fillId="2" borderId="0" xfId="0" applyFont="1" applyFill="1" applyBorder="1" applyAlignment="1">
      <alignment vertical="top"/>
    </xf>
    <xf numFmtId="0" fontId="65" fillId="2" borderId="0" xfId="0" applyFont="1" applyFill="1" applyAlignment="1">
      <alignment horizontal="left" vertical="center"/>
    </xf>
    <xf numFmtId="0" fontId="65" fillId="2" borderId="0" xfId="0" applyFont="1" applyFill="1" applyBorder="1" applyAlignment="1">
      <alignment vertical="top" wrapText="1"/>
    </xf>
    <xf numFmtId="0" fontId="65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/>
    </xf>
  </cellXfs>
  <cellStyles count="14">
    <cellStyle name="Excel Built-in Normal 1" xfId="9"/>
    <cellStyle name="TableStyleLight1" xfId="10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13"/>
    <cellStyle name="Обычный_Лист1" xfId="11"/>
    <cellStyle name="Финансовый" xfId="8" builtinId="3"/>
    <cellStyle name="Финансовый 2" xfId="12"/>
  </cellStyles>
  <dxfs count="0"/>
  <tableStyles count="0" defaultTableStyle="TableStyleMedium2" defaultPivotStyle="PivotStyleLight16"/>
  <colors>
    <mruColors>
      <color rgb="FFFFFF66"/>
      <color rgb="FFFF3300"/>
      <color rgb="FF99FFCC"/>
      <color rgb="FFCC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33.100\Users\&#1064;&#1083;&#1103;&#1087;&#1080;&#1085;&#1072;&#1057;&#1070;\Downloads\&#1050;&#1086;&#1087;&#1080;&#1103;%20&#1080;&#1079;&#1084;&#1077;&#1085;&#1077;&#1085;&#1080;&#1103;%20&#1074;%2062-&#1087;&#1087;%20&#1087;&#1088;&#1080;&#1083;%20%20-%2024%2012%202018%201111%20&#1055;&#1069;&#1054;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a\Downloads\360-&#1087;&#1087;%20&#1055;&#1088;&#1080;&#1083;&#1086;&#1078;&#1077;&#1085;&#1080;&#1077;%20-%20(01.12.2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часть 1"/>
      <sheetName val="часть 2"/>
      <sheetName val="часть 3"/>
      <sheetName val="№ п-п"/>
      <sheetName val="2-51"/>
      <sheetName val="52-87"/>
      <sheetName val="86-97"/>
      <sheetName val="база"/>
      <sheetName val="Копия изменения в 62-пп прил  -"/>
      <sheetName val="2-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0">
          <cell r="E10">
            <v>0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L260">
            <v>0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L261">
            <v>0</v>
          </cell>
        </row>
        <row r="263"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L263">
            <v>0</v>
          </cell>
        </row>
        <row r="264"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L264">
            <v>0</v>
          </cell>
        </row>
        <row r="267"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L267">
            <v>0</v>
          </cell>
        </row>
        <row r="268"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L268">
            <v>0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L316">
            <v>0</v>
          </cell>
          <cell r="P316">
            <v>0</v>
          </cell>
          <cell r="R316">
            <v>0</v>
          </cell>
          <cell r="T316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I339">
            <v>0</v>
          </cell>
          <cell r="J339">
            <v>0</v>
          </cell>
          <cell r="L339">
            <v>0</v>
          </cell>
          <cell r="P339">
            <v>0</v>
          </cell>
          <cell r="R339">
            <v>0</v>
          </cell>
          <cell r="T339">
            <v>0</v>
          </cell>
        </row>
        <row r="351"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L351">
            <v>0</v>
          </cell>
          <cell r="P351">
            <v>0</v>
          </cell>
          <cell r="R351">
            <v>0</v>
          </cell>
          <cell r="T351">
            <v>0</v>
          </cell>
        </row>
        <row r="352"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L352">
            <v>0</v>
          </cell>
          <cell r="P352">
            <v>0</v>
          </cell>
          <cell r="R352">
            <v>0</v>
          </cell>
          <cell r="T352">
            <v>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L353">
            <v>0</v>
          </cell>
          <cell r="P353">
            <v>0</v>
          </cell>
          <cell r="R353">
            <v>0</v>
          </cell>
          <cell r="T353">
            <v>0</v>
          </cell>
        </row>
      </sheetData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часть 1"/>
      <sheetName val="часть 2"/>
      <sheetName val="часть 3"/>
      <sheetName val="№ п-п"/>
      <sheetName val="2-63"/>
      <sheetName val="64-98"/>
      <sheetName val="99-108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70">
          <cell r="H870">
            <v>8302.5</v>
          </cell>
          <cell r="K870">
            <v>328</v>
          </cell>
          <cell r="L870">
            <v>11161450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11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48.bin"/><Relationship Id="rId9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.bin"/><Relationship Id="rId3" Type="http://schemas.openxmlformats.org/officeDocument/2006/relationships/printerSettings" Target="../printerSettings/printerSettings58.bin"/><Relationship Id="rId7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1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0.bin"/><Relationship Id="rId10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59.bin"/><Relationship Id="rId9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3" Type="http://schemas.openxmlformats.org/officeDocument/2006/relationships/printerSettings" Target="../printerSettings/printerSettings69.bin"/><Relationship Id="rId7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5" Type="http://schemas.openxmlformats.org/officeDocument/2006/relationships/printerSettings" Target="../printerSettings/printerSettings71.bin"/><Relationship Id="rId10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2" tint="-0.249977111117893"/>
    <pageSetUpPr fitToPage="1"/>
  </sheetPr>
  <dimension ref="A1:BJ1580"/>
  <sheetViews>
    <sheetView view="pageBreakPreview" topLeftCell="A10" zoomScale="62" zoomScaleNormal="45" zoomScaleSheetLayoutView="62" workbookViewId="0">
      <pane xSplit="2" ySplit="8" topLeftCell="C818" activePane="bottomRight" state="frozen"/>
      <selection activeCell="A10" sqref="A10"/>
      <selection pane="topRight" activeCell="C10" sqref="C10"/>
      <selection pane="bottomLeft" activeCell="A18" sqref="A18"/>
      <selection pane="bottomRight" activeCell="A10" sqref="A1:XFD1048576"/>
    </sheetView>
  </sheetViews>
  <sheetFormatPr defaultColWidth="8.85546875" defaultRowHeight="18.75"/>
  <cols>
    <col min="1" max="1" width="10.85546875" style="14" customWidth="1"/>
    <col min="2" max="2" width="34.85546875" style="85" customWidth="1"/>
    <col min="3" max="3" width="9.28515625" style="2" customWidth="1"/>
    <col min="4" max="4" width="7.5703125" style="2" customWidth="1"/>
    <col min="5" max="5" width="14" style="2" customWidth="1"/>
    <col min="6" max="6" width="6.5703125" style="2" customWidth="1"/>
    <col min="7" max="7" width="6.7109375" style="2" customWidth="1"/>
    <col min="8" max="8" width="14.7109375" style="55" customWidth="1"/>
    <col min="9" max="9" width="13.42578125" style="2" customWidth="1"/>
    <col min="10" max="10" width="12.42578125" style="2" customWidth="1"/>
    <col min="11" max="11" width="12.42578125" style="57" customWidth="1"/>
    <col min="12" max="12" width="17.42578125" style="38" customWidth="1"/>
    <col min="13" max="13" width="11.28515625" style="2" customWidth="1"/>
    <col min="14" max="14" width="14.28515625" style="38" customWidth="1"/>
    <col min="15" max="15" width="16.7109375" style="38" customWidth="1"/>
    <col min="16" max="16" width="11.28515625" style="2" customWidth="1"/>
    <col min="17" max="17" width="10.7109375" style="38" customWidth="1"/>
    <col min="18" max="18" width="10.85546875" style="38" customWidth="1"/>
    <col min="19" max="19" width="12" style="2" customWidth="1"/>
    <col min="20" max="16384" width="8.85546875" style="2"/>
  </cols>
  <sheetData>
    <row r="1" spans="1:21">
      <c r="O1" s="1320" t="s">
        <v>31</v>
      </c>
      <c r="P1" s="1321"/>
      <c r="Q1" s="1320"/>
      <c r="R1" s="1320"/>
      <c r="S1" s="1321"/>
    </row>
    <row r="2" spans="1:21">
      <c r="O2" s="1320" t="s">
        <v>214</v>
      </c>
      <c r="P2" s="1321"/>
      <c r="Q2" s="1320"/>
      <c r="R2" s="1320"/>
      <c r="S2" s="1321"/>
    </row>
    <row r="3" spans="1:21">
      <c r="O3" s="1320" t="s">
        <v>437</v>
      </c>
      <c r="P3" s="1321"/>
      <c r="Q3" s="1320"/>
      <c r="R3" s="1320"/>
      <c r="S3" s="1321"/>
    </row>
    <row r="4" spans="1:21">
      <c r="J4" s="34"/>
      <c r="K4" s="58"/>
      <c r="L4" s="86"/>
      <c r="M4" s="34"/>
      <c r="N4" s="87"/>
      <c r="O4" s="1322"/>
      <c r="P4" s="1323"/>
      <c r="Q4" s="1322"/>
      <c r="R4" s="1322"/>
      <c r="S4" s="1323"/>
    </row>
    <row r="5" spans="1:21">
      <c r="J5" s="34"/>
      <c r="K5" s="58"/>
      <c r="L5" s="86"/>
      <c r="M5" s="34"/>
      <c r="N5" s="88"/>
      <c r="O5" s="1320"/>
      <c r="P5" s="1321"/>
      <c r="Q5" s="1320"/>
      <c r="R5" s="1320"/>
      <c r="S5" s="1321"/>
    </row>
    <row r="6" spans="1:21">
      <c r="A6" s="1325" t="s">
        <v>438</v>
      </c>
      <c r="B6" s="1325"/>
      <c r="C6" s="1325"/>
      <c r="D6" s="1325"/>
      <c r="E6" s="1325"/>
      <c r="F6" s="1325"/>
      <c r="G6" s="1325"/>
      <c r="H6" s="1325"/>
      <c r="I6" s="1325"/>
      <c r="J6" s="1325"/>
      <c r="K6" s="1325"/>
      <c r="L6" s="1326"/>
      <c r="M6" s="1325"/>
      <c r="N6" s="1326"/>
      <c r="O6" s="1326"/>
      <c r="P6" s="1325"/>
      <c r="Q6" s="1326"/>
      <c r="R6" s="1326"/>
      <c r="S6" s="1325"/>
    </row>
    <row r="7" spans="1:21">
      <c r="A7" s="1325" t="s">
        <v>465</v>
      </c>
      <c r="B7" s="1325"/>
      <c r="C7" s="1325"/>
      <c r="D7" s="1325"/>
      <c r="E7" s="1325"/>
      <c r="F7" s="1325"/>
      <c r="G7" s="1325"/>
      <c r="H7" s="1325"/>
      <c r="I7" s="1325"/>
      <c r="J7" s="1325"/>
      <c r="K7" s="1325"/>
      <c r="L7" s="1326"/>
      <c r="M7" s="1325"/>
      <c r="N7" s="1326"/>
      <c r="O7" s="1326"/>
      <c r="P7" s="1325"/>
      <c r="Q7" s="1326"/>
      <c r="R7" s="1326"/>
      <c r="S7" s="1325"/>
    </row>
    <row r="8" spans="1:21">
      <c r="A8" s="1325" t="s">
        <v>466</v>
      </c>
      <c r="B8" s="1325"/>
      <c r="C8" s="1325"/>
      <c r="D8" s="1325"/>
      <c r="E8" s="1325"/>
      <c r="F8" s="1325"/>
      <c r="G8" s="1325"/>
      <c r="H8" s="1325"/>
      <c r="I8" s="1325"/>
      <c r="J8" s="1325"/>
      <c r="K8" s="1325"/>
      <c r="L8" s="1326"/>
      <c r="M8" s="1325"/>
      <c r="N8" s="1326"/>
      <c r="O8" s="1326"/>
      <c r="P8" s="1325"/>
      <c r="Q8" s="1326"/>
      <c r="R8" s="1326"/>
      <c r="S8" s="1325"/>
    </row>
    <row r="9" spans="1:21">
      <c r="A9" s="1325"/>
      <c r="B9" s="1325"/>
      <c r="C9" s="1325"/>
      <c r="D9" s="1325"/>
      <c r="E9" s="1325"/>
      <c r="F9" s="1325"/>
      <c r="G9" s="1325"/>
      <c r="H9" s="1325"/>
      <c r="I9" s="1325"/>
      <c r="J9" s="1325"/>
      <c r="K9" s="1325"/>
      <c r="L9" s="1326"/>
      <c r="M9" s="1325"/>
      <c r="N9" s="1326"/>
      <c r="O9" s="1326"/>
      <c r="P9" s="1325"/>
      <c r="Q9" s="1326"/>
      <c r="R9" s="1326"/>
      <c r="S9" s="1325"/>
    </row>
    <row r="10" spans="1:21">
      <c r="A10" s="1329" t="s">
        <v>38</v>
      </c>
      <c r="B10" s="1329"/>
      <c r="C10" s="1329"/>
      <c r="D10" s="1329"/>
      <c r="E10" s="1329"/>
      <c r="F10" s="1329"/>
      <c r="G10" s="1329"/>
      <c r="H10" s="1329"/>
      <c r="I10" s="1329"/>
      <c r="J10" s="1329"/>
      <c r="K10" s="1329"/>
      <c r="L10" s="1330"/>
      <c r="M10" s="1329"/>
      <c r="N10" s="1330"/>
      <c r="O10" s="1330"/>
      <c r="P10" s="1329"/>
      <c r="Q10" s="1330"/>
      <c r="R10" s="1330"/>
      <c r="S10" s="1329"/>
    </row>
    <row r="11" spans="1:21" ht="38.25" customHeight="1">
      <c r="A11" s="1312" t="s">
        <v>0</v>
      </c>
      <c r="B11" s="1312" t="s">
        <v>442</v>
      </c>
      <c r="C11" s="1310" t="s">
        <v>1</v>
      </c>
      <c r="D11" s="1310"/>
      <c r="E11" s="1309" t="s">
        <v>2</v>
      </c>
      <c r="F11" s="1309" t="s">
        <v>3</v>
      </c>
      <c r="G11" s="1309" t="s">
        <v>4</v>
      </c>
      <c r="H11" s="1327" t="s">
        <v>33</v>
      </c>
      <c r="I11" s="1312" t="s">
        <v>5</v>
      </c>
      <c r="J11" s="1312"/>
      <c r="K11" s="1317" t="s">
        <v>441</v>
      </c>
      <c r="L11" s="1324" t="s">
        <v>36</v>
      </c>
      <c r="M11" s="1312"/>
      <c r="N11" s="1324"/>
      <c r="O11" s="1324"/>
      <c r="P11" s="1312"/>
      <c r="Q11" s="1316" t="s">
        <v>8</v>
      </c>
      <c r="R11" s="1316" t="s">
        <v>9</v>
      </c>
      <c r="S11" s="1311" t="s">
        <v>10</v>
      </c>
    </row>
    <row r="12" spans="1:21" ht="24.75" customHeight="1">
      <c r="A12" s="1312"/>
      <c r="B12" s="1312"/>
      <c r="C12" s="1311" t="s">
        <v>11</v>
      </c>
      <c r="D12" s="1311" t="s">
        <v>32</v>
      </c>
      <c r="E12" s="1309"/>
      <c r="F12" s="1309"/>
      <c r="G12" s="1309"/>
      <c r="H12" s="1327"/>
      <c r="I12" s="1311" t="s">
        <v>12</v>
      </c>
      <c r="J12" s="1311" t="s">
        <v>13</v>
      </c>
      <c r="K12" s="1317"/>
      <c r="L12" s="1316" t="s">
        <v>12</v>
      </c>
      <c r="M12" s="1312" t="s">
        <v>18</v>
      </c>
      <c r="N12" s="1324"/>
      <c r="O12" s="1324"/>
      <c r="P12" s="1312"/>
      <c r="Q12" s="1316"/>
      <c r="R12" s="1316"/>
      <c r="S12" s="1311"/>
    </row>
    <row r="13" spans="1:21" ht="150.75" customHeight="1">
      <c r="A13" s="1312"/>
      <c r="B13" s="1312"/>
      <c r="C13" s="1311"/>
      <c r="D13" s="1311"/>
      <c r="E13" s="1309"/>
      <c r="F13" s="1309"/>
      <c r="G13" s="1309"/>
      <c r="H13" s="1327"/>
      <c r="I13" s="1311"/>
      <c r="J13" s="1311"/>
      <c r="K13" s="1317"/>
      <c r="L13" s="1316"/>
      <c r="M13" s="306" t="s">
        <v>471</v>
      </c>
      <c r="N13" s="268" t="s">
        <v>14</v>
      </c>
      <c r="O13" s="268" t="s">
        <v>15</v>
      </c>
      <c r="P13" s="265" t="s">
        <v>19</v>
      </c>
      <c r="Q13" s="1316"/>
      <c r="R13" s="1316"/>
      <c r="S13" s="1311"/>
    </row>
    <row r="14" spans="1:21">
      <c r="A14" s="1312"/>
      <c r="B14" s="1312"/>
      <c r="C14" s="1311"/>
      <c r="D14" s="1311"/>
      <c r="E14" s="1309"/>
      <c r="F14" s="1309"/>
      <c r="G14" s="1309"/>
      <c r="H14" s="93" t="s">
        <v>21</v>
      </c>
      <c r="I14" s="267" t="s">
        <v>21</v>
      </c>
      <c r="J14" s="267" t="s">
        <v>21</v>
      </c>
      <c r="K14" s="94" t="s">
        <v>16</v>
      </c>
      <c r="L14" s="266" t="s">
        <v>17</v>
      </c>
      <c r="M14" s="267" t="s">
        <v>17</v>
      </c>
      <c r="N14" s="266" t="s">
        <v>17</v>
      </c>
      <c r="O14" s="266" t="s">
        <v>17</v>
      </c>
      <c r="P14" s="267" t="s">
        <v>17</v>
      </c>
      <c r="Q14" s="266" t="s">
        <v>439</v>
      </c>
      <c r="R14" s="266" t="s">
        <v>439</v>
      </c>
      <c r="S14" s="1311"/>
    </row>
    <row r="15" spans="1:21" s="63" customFormat="1">
      <c r="A15" s="95">
        <v>1</v>
      </c>
      <c r="B15" s="95">
        <v>2</v>
      </c>
      <c r="C15" s="96">
        <v>3</v>
      </c>
      <c r="D15" s="96">
        <v>4</v>
      </c>
      <c r="E15" s="96">
        <v>5</v>
      </c>
      <c r="F15" s="96">
        <v>6</v>
      </c>
      <c r="G15" s="96">
        <v>7</v>
      </c>
      <c r="H15" s="97">
        <v>8</v>
      </c>
      <c r="I15" s="96">
        <v>9</v>
      </c>
      <c r="J15" s="96">
        <v>10</v>
      </c>
      <c r="K15" s="98">
        <v>11</v>
      </c>
      <c r="L15" s="96">
        <v>12</v>
      </c>
      <c r="M15" s="96">
        <v>13</v>
      </c>
      <c r="N15" s="96">
        <v>14</v>
      </c>
      <c r="O15" s="96">
        <v>15</v>
      </c>
      <c r="P15" s="96">
        <v>16</v>
      </c>
      <c r="Q15" s="97">
        <v>17</v>
      </c>
      <c r="R15" s="96">
        <v>18</v>
      </c>
      <c r="S15" s="96">
        <v>19</v>
      </c>
      <c r="U15" s="5"/>
    </row>
    <row r="16" spans="1:21" s="5" customFormat="1" ht="15.75" customHeight="1">
      <c r="A16" s="99"/>
      <c r="B16" s="1334" t="s">
        <v>42</v>
      </c>
      <c r="C16" s="1334"/>
      <c r="D16" s="1334"/>
      <c r="E16" s="1334"/>
      <c r="F16" s="1334"/>
      <c r="G16" s="1334"/>
      <c r="H16" s="100">
        <f t="shared" ref="H16:O16" si="0">H18+H521</f>
        <v>479481.46999999986</v>
      </c>
      <c r="I16" s="100">
        <f t="shared" si="0"/>
        <v>398294.75</v>
      </c>
      <c r="J16" s="100">
        <f t="shared" si="0"/>
        <v>358677.09000000008</v>
      </c>
      <c r="K16" s="101">
        <f t="shared" si="0"/>
        <v>15980</v>
      </c>
      <c r="L16" s="113">
        <f t="shared" si="0"/>
        <v>699893215.88999999</v>
      </c>
      <c r="M16" s="113">
        <f t="shared" si="0"/>
        <v>0</v>
      </c>
      <c r="N16" s="113">
        <f t="shared" si="0"/>
        <v>8635753.959999999</v>
      </c>
      <c r="O16" s="113">
        <f t="shared" si="0"/>
        <v>691001542.92999995</v>
      </c>
      <c r="P16" s="113">
        <f>P188+P205+P207+P231+P244+P260+P269+P281++P284+P303+P307+P320+P324+P331+P338+P352+P363+P376+P384+P429+P434+P445+P424+P449+P460+P469+P476+P479+P485+P496+P503+P536+P19+P515</f>
        <v>255919</v>
      </c>
      <c r="Q16" s="102" t="s">
        <v>40</v>
      </c>
      <c r="R16" s="102" t="s">
        <v>40</v>
      </c>
      <c r="S16" s="103" t="s">
        <v>40</v>
      </c>
      <c r="U16" s="2"/>
    </row>
    <row r="17" spans="1:48">
      <c r="A17" s="1306" t="s">
        <v>34</v>
      </c>
      <c r="B17" s="1306"/>
      <c r="C17" s="1306"/>
      <c r="D17" s="1306"/>
      <c r="E17" s="1306"/>
      <c r="F17" s="1306"/>
      <c r="G17" s="1306"/>
      <c r="H17" s="1306"/>
      <c r="I17" s="1306"/>
      <c r="J17" s="1306"/>
      <c r="K17" s="1306"/>
      <c r="L17" s="1306"/>
      <c r="M17" s="1306"/>
      <c r="N17" s="1306"/>
      <c r="O17" s="1306"/>
      <c r="P17" s="1306"/>
      <c r="Q17" s="1306"/>
      <c r="R17" s="1306"/>
      <c r="S17" s="1306"/>
    </row>
    <row r="18" spans="1:48" ht="18.75" customHeight="1">
      <c r="A18" s="269"/>
      <c r="B18" s="1328" t="s">
        <v>205</v>
      </c>
      <c r="C18" s="1328"/>
      <c r="D18" s="1328"/>
      <c r="E18" s="1328"/>
      <c r="F18" s="1328"/>
      <c r="G18" s="1328"/>
      <c r="H18" s="104">
        <f t="shared" ref="H18:O18" si="1">H19+H188+H205+H207+H231+H244+H260+H269+H281+H284+H303+H307+H320+H324+H331+H338+H352+H363+H376+H384+H424+H429+H434+H445+H449+H466+H460+H469+H476+H479+H485+H491+H496+H503+H515</f>
        <v>426694.56999999989</v>
      </c>
      <c r="I18" s="104">
        <f t="shared" si="1"/>
        <v>351421.05</v>
      </c>
      <c r="J18" s="104">
        <f t="shared" si="1"/>
        <v>312616.09000000008</v>
      </c>
      <c r="K18" s="105">
        <f t="shared" si="1"/>
        <v>14351</v>
      </c>
      <c r="L18" s="113">
        <f t="shared" si="1"/>
        <v>692506037.25</v>
      </c>
      <c r="M18" s="113">
        <f t="shared" si="1"/>
        <v>0</v>
      </c>
      <c r="N18" s="113">
        <f t="shared" si="1"/>
        <v>7269861.959999999</v>
      </c>
      <c r="O18" s="113">
        <f t="shared" si="1"/>
        <v>684980256.28999996</v>
      </c>
      <c r="P18" s="113">
        <f>P19+P188+P205+P207+P231+P244+P260+P269+P281+P284+P303+P307+P320+P324+P331+P338+P352+P363+P376+P384+P424+P429+P434+P445+P449+P466+P460+P469+P476+P479+P485+P496+P503+P515</f>
        <v>255919</v>
      </c>
      <c r="Q18" s="106" t="s">
        <v>40</v>
      </c>
      <c r="R18" s="106" t="s">
        <v>40</v>
      </c>
      <c r="S18" s="106" t="s">
        <v>40</v>
      </c>
    </row>
    <row r="19" spans="1:48" s="1" customFormat="1" ht="15.75" customHeight="1">
      <c r="A19" s="269"/>
      <c r="B19" s="1328" t="s">
        <v>89</v>
      </c>
      <c r="C19" s="1328"/>
      <c r="D19" s="1328"/>
      <c r="E19" s="1328"/>
      <c r="F19" s="1328"/>
      <c r="G19" s="1328"/>
      <c r="H19" s="104">
        <f>SUM(H20:H187)</f>
        <v>0</v>
      </c>
      <c r="I19" s="104">
        <f t="shared" ref="I19" si="2">SUM(I20:I187)</f>
        <v>0</v>
      </c>
      <c r="J19" s="104">
        <f>SUM(J20:J187)</f>
        <v>0</v>
      </c>
      <c r="K19" s="105">
        <f>SUM(K20:K187)</f>
        <v>0</v>
      </c>
      <c r="L19" s="113">
        <v>336230870.63</v>
      </c>
      <c r="M19" s="113">
        <f t="shared" ref="M19:P19" si="3">SUM(M20:M187)</f>
        <v>0</v>
      </c>
      <c r="N19" s="113">
        <f t="shared" si="3"/>
        <v>0</v>
      </c>
      <c r="O19" s="113">
        <f>SUM(O20:O187)</f>
        <v>336230870.63</v>
      </c>
      <c r="P19" s="113">
        <f t="shared" si="3"/>
        <v>0</v>
      </c>
      <c r="Q19" s="106" t="s">
        <v>40</v>
      </c>
      <c r="R19" s="106" t="s">
        <v>40</v>
      </c>
      <c r="S19" s="106" t="s">
        <v>40</v>
      </c>
    </row>
    <row r="20" spans="1:48" s="3" customFormat="1" ht="15.75">
      <c r="A20" s="107">
        <v>1</v>
      </c>
      <c r="B20" s="262" t="s">
        <v>324</v>
      </c>
      <c r="C20" s="108">
        <v>1975</v>
      </c>
      <c r="D20" s="108"/>
      <c r="E20" s="109" t="s">
        <v>219</v>
      </c>
      <c r="F20" s="110">
        <v>5</v>
      </c>
      <c r="G20" s="110">
        <v>10</v>
      </c>
      <c r="H20" s="111"/>
      <c r="I20" s="111"/>
      <c r="J20" s="111"/>
      <c r="K20" s="112"/>
      <c r="L20" s="113">
        <v>5982216</v>
      </c>
      <c r="M20" s="113">
        <v>0</v>
      </c>
      <c r="N20" s="113">
        <v>0</v>
      </c>
      <c r="O20" s="113">
        <f t="shared" ref="O20:O51" si="4">L20</f>
        <v>5982216</v>
      </c>
      <c r="P20" s="113">
        <v>0</v>
      </c>
      <c r="Q20" s="114" t="e">
        <f t="shared" ref="Q20:Q51" si="5">L20/I20</f>
        <v>#DIV/0!</v>
      </c>
      <c r="R20" s="115"/>
      <c r="S20" s="316">
        <v>43100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customFormat="1" ht="15.75">
      <c r="A21" s="107">
        <f>A20+1</f>
        <v>2</v>
      </c>
      <c r="B21" s="262" t="s">
        <v>325</v>
      </c>
      <c r="C21" s="108">
        <v>1978</v>
      </c>
      <c r="D21" s="108"/>
      <c r="E21" s="109" t="s">
        <v>219</v>
      </c>
      <c r="F21" s="110">
        <v>9</v>
      </c>
      <c r="G21" s="110">
        <v>5</v>
      </c>
      <c r="H21" s="111"/>
      <c r="I21" s="111"/>
      <c r="J21" s="111"/>
      <c r="K21" s="112"/>
      <c r="L21" s="113">
        <v>9379653</v>
      </c>
      <c r="M21" s="113">
        <v>0</v>
      </c>
      <c r="N21" s="113">
        <v>0</v>
      </c>
      <c r="O21" s="113">
        <f t="shared" si="4"/>
        <v>9379653</v>
      </c>
      <c r="P21" s="113">
        <v>0</v>
      </c>
      <c r="Q21" s="114" t="e">
        <f t="shared" si="5"/>
        <v>#DIV/0!</v>
      </c>
      <c r="R21" s="115"/>
      <c r="S21" s="316">
        <v>43100</v>
      </c>
    </row>
    <row r="22" spans="1:48" customFormat="1" ht="15.75">
      <c r="A22" s="107">
        <f t="shared" ref="A22:A85" si="6">A21+1</f>
        <v>3</v>
      </c>
      <c r="B22" s="276" t="s">
        <v>321</v>
      </c>
      <c r="C22" s="108">
        <v>1982</v>
      </c>
      <c r="D22" s="108"/>
      <c r="E22" s="109" t="s">
        <v>219</v>
      </c>
      <c r="F22" s="110">
        <v>9</v>
      </c>
      <c r="G22" s="110">
        <v>2</v>
      </c>
      <c r="H22" s="111"/>
      <c r="I22" s="111"/>
      <c r="J22" s="111"/>
      <c r="K22" s="112"/>
      <c r="L22" s="113">
        <v>3763756</v>
      </c>
      <c r="M22" s="113">
        <v>0</v>
      </c>
      <c r="N22" s="113">
        <v>0</v>
      </c>
      <c r="O22" s="113">
        <f t="shared" si="4"/>
        <v>3763756</v>
      </c>
      <c r="P22" s="113">
        <v>0</v>
      </c>
      <c r="Q22" s="114" t="e">
        <f t="shared" si="5"/>
        <v>#DIV/0!</v>
      </c>
      <c r="R22" s="115"/>
      <c r="S22" s="316">
        <v>43100</v>
      </c>
    </row>
    <row r="23" spans="1:48" customFormat="1" ht="15.75">
      <c r="A23" s="107">
        <f t="shared" si="6"/>
        <v>4</v>
      </c>
      <c r="B23" s="276" t="s">
        <v>346</v>
      </c>
      <c r="C23" s="108">
        <v>1982</v>
      </c>
      <c r="D23" s="108"/>
      <c r="E23" s="109" t="s">
        <v>219</v>
      </c>
      <c r="F23" s="110">
        <v>9</v>
      </c>
      <c r="G23" s="110">
        <v>1</v>
      </c>
      <c r="H23" s="111"/>
      <c r="I23" s="111"/>
      <c r="J23" s="111"/>
      <c r="K23" s="112"/>
      <c r="L23" s="113">
        <v>1095812</v>
      </c>
      <c r="M23" s="113">
        <v>0</v>
      </c>
      <c r="N23" s="113">
        <v>0</v>
      </c>
      <c r="O23" s="113">
        <f t="shared" si="4"/>
        <v>1095812</v>
      </c>
      <c r="P23" s="113">
        <v>0</v>
      </c>
      <c r="Q23" s="114" t="e">
        <f t="shared" si="5"/>
        <v>#DIV/0!</v>
      </c>
      <c r="R23" s="115"/>
      <c r="S23" s="316">
        <v>43100</v>
      </c>
    </row>
    <row r="24" spans="1:48" customFormat="1" ht="15.75">
      <c r="A24" s="107">
        <f t="shared" si="6"/>
        <v>5</v>
      </c>
      <c r="B24" s="276" t="s">
        <v>322</v>
      </c>
      <c r="C24" s="108">
        <v>1976</v>
      </c>
      <c r="D24" s="108"/>
      <c r="E24" s="109" t="s">
        <v>219</v>
      </c>
      <c r="F24" s="110">
        <v>9</v>
      </c>
      <c r="G24" s="110">
        <v>3</v>
      </c>
      <c r="H24" s="111"/>
      <c r="I24" s="111"/>
      <c r="J24" s="111"/>
      <c r="K24" s="112"/>
      <c r="L24" s="113">
        <v>5619141</v>
      </c>
      <c r="M24" s="113">
        <v>0</v>
      </c>
      <c r="N24" s="113">
        <v>0</v>
      </c>
      <c r="O24" s="113">
        <f t="shared" si="4"/>
        <v>5619141</v>
      </c>
      <c r="P24" s="113">
        <v>0</v>
      </c>
      <c r="Q24" s="114" t="e">
        <f t="shared" si="5"/>
        <v>#DIV/0!</v>
      </c>
      <c r="R24" s="115"/>
      <c r="S24" s="316">
        <v>43100</v>
      </c>
    </row>
    <row r="25" spans="1:48" customFormat="1" ht="15.75">
      <c r="A25" s="107">
        <f t="shared" si="6"/>
        <v>6</v>
      </c>
      <c r="B25" s="276" t="s">
        <v>320</v>
      </c>
      <c r="C25" s="107">
        <v>1982</v>
      </c>
      <c r="D25" s="108"/>
      <c r="E25" s="109" t="s">
        <v>219</v>
      </c>
      <c r="F25" s="108">
        <v>9</v>
      </c>
      <c r="G25" s="108">
        <v>2</v>
      </c>
      <c r="H25" s="117"/>
      <c r="I25" s="117"/>
      <c r="J25" s="117"/>
      <c r="K25" s="101"/>
      <c r="L25" s="113">
        <v>3748388</v>
      </c>
      <c r="M25" s="113">
        <v>0</v>
      </c>
      <c r="N25" s="113">
        <v>0</v>
      </c>
      <c r="O25" s="113">
        <f t="shared" si="4"/>
        <v>3748388</v>
      </c>
      <c r="P25" s="113">
        <v>0</v>
      </c>
      <c r="Q25" s="114" t="e">
        <f t="shared" si="5"/>
        <v>#DIV/0!</v>
      </c>
      <c r="R25" s="115"/>
      <c r="S25" s="316">
        <v>43100</v>
      </c>
    </row>
    <row r="26" spans="1:48" customFormat="1" ht="15.75">
      <c r="A26" s="107">
        <f t="shared" si="6"/>
        <v>7</v>
      </c>
      <c r="B26" s="275" t="s">
        <v>327</v>
      </c>
      <c r="C26" s="108">
        <v>1981</v>
      </c>
      <c r="D26" s="108"/>
      <c r="E26" s="109" t="s">
        <v>219</v>
      </c>
      <c r="F26" s="110">
        <v>9</v>
      </c>
      <c r="G26" s="110">
        <v>8</v>
      </c>
      <c r="H26" s="111"/>
      <c r="I26" s="111"/>
      <c r="J26" s="111"/>
      <c r="K26" s="112"/>
      <c r="L26" s="113">
        <v>15157748</v>
      </c>
      <c r="M26" s="113">
        <v>0</v>
      </c>
      <c r="N26" s="113">
        <v>0</v>
      </c>
      <c r="O26" s="113">
        <f t="shared" si="4"/>
        <v>15157748</v>
      </c>
      <c r="P26" s="113">
        <v>0</v>
      </c>
      <c r="Q26" s="114" t="e">
        <f t="shared" si="5"/>
        <v>#DIV/0!</v>
      </c>
      <c r="R26" s="115"/>
      <c r="S26" s="316">
        <v>43100</v>
      </c>
    </row>
    <row r="27" spans="1:48" customFormat="1" ht="31.5">
      <c r="A27" s="107">
        <f t="shared" si="6"/>
        <v>8</v>
      </c>
      <c r="B27" s="275" t="s">
        <v>323</v>
      </c>
      <c r="C27" s="108">
        <v>1954</v>
      </c>
      <c r="D27" s="108"/>
      <c r="E27" s="109" t="s">
        <v>218</v>
      </c>
      <c r="F27" s="110">
        <v>2</v>
      </c>
      <c r="G27" s="110">
        <v>2</v>
      </c>
      <c r="H27" s="111"/>
      <c r="I27" s="111"/>
      <c r="J27" s="111"/>
      <c r="K27" s="112"/>
      <c r="L27" s="113">
        <v>1030213</v>
      </c>
      <c r="M27" s="113">
        <v>0</v>
      </c>
      <c r="N27" s="113">
        <v>0</v>
      </c>
      <c r="O27" s="113">
        <f t="shared" si="4"/>
        <v>1030213</v>
      </c>
      <c r="P27" s="113">
        <v>0</v>
      </c>
      <c r="Q27" s="114" t="e">
        <f t="shared" si="5"/>
        <v>#DIV/0!</v>
      </c>
      <c r="R27" s="115"/>
      <c r="S27" s="316">
        <v>43100</v>
      </c>
    </row>
    <row r="28" spans="1:48" customFormat="1" ht="31.5">
      <c r="A28" s="107">
        <f t="shared" si="6"/>
        <v>9</v>
      </c>
      <c r="B28" s="276" t="s">
        <v>319</v>
      </c>
      <c r="C28" s="118">
        <v>1860</v>
      </c>
      <c r="D28" s="118"/>
      <c r="E28" s="109" t="s">
        <v>218</v>
      </c>
      <c r="F28" s="118">
        <v>3</v>
      </c>
      <c r="G28" s="118">
        <v>1</v>
      </c>
      <c r="H28" s="118"/>
      <c r="I28" s="118"/>
      <c r="J28" s="118"/>
      <c r="K28" s="119"/>
      <c r="L28" s="113">
        <v>530465</v>
      </c>
      <c r="M28" s="113">
        <v>0</v>
      </c>
      <c r="N28" s="113">
        <v>0</v>
      </c>
      <c r="O28" s="113">
        <f t="shared" si="4"/>
        <v>530465</v>
      </c>
      <c r="P28" s="113">
        <v>0</v>
      </c>
      <c r="Q28" s="114" t="e">
        <f t="shared" si="5"/>
        <v>#DIV/0!</v>
      </c>
      <c r="R28" s="115"/>
      <c r="S28" s="316">
        <v>43100</v>
      </c>
    </row>
    <row r="29" spans="1:48" customFormat="1" ht="31.5">
      <c r="A29" s="107">
        <f t="shared" si="6"/>
        <v>10</v>
      </c>
      <c r="B29" s="276" t="s">
        <v>326</v>
      </c>
      <c r="C29" s="108">
        <v>1958</v>
      </c>
      <c r="D29" s="108"/>
      <c r="E29" s="109" t="s">
        <v>218</v>
      </c>
      <c r="F29" s="110">
        <v>2</v>
      </c>
      <c r="G29" s="110">
        <v>2</v>
      </c>
      <c r="H29" s="111"/>
      <c r="I29" s="111"/>
      <c r="J29" s="111"/>
      <c r="K29" s="112"/>
      <c r="L29" s="113">
        <v>1983854</v>
      </c>
      <c r="M29" s="113">
        <v>0</v>
      </c>
      <c r="N29" s="113">
        <v>0</v>
      </c>
      <c r="O29" s="113">
        <f t="shared" si="4"/>
        <v>1983854</v>
      </c>
      <c r="P29" s="113">
        <v>0</v>
      </c>
      <c r="Q29" s="114" t="e">
        <f t="shared" si="5"/>
        <v>#DIV/0!</v>
      </c>
      <c r="R29" s="115"/>
      <c r="S29" s="316">
        <v>43100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48" customFormat="1" ht="31.5">
      <c r="A30" s="107">
        <f t="shared" si="6"/>
        <v>11</v>
      </c>
      <c r="B30" s="276" t="s">
        <v>388</v>
      </c>
      <c r="C30" s="108">
        <v>1961</v>
      </c>
      <c r="D30" s="108"/>
      <c r="E30" s="109" t="s">
        <v>218</v>
      </c>
      <c r="F30" s="110">
        <v>5</v>
      </c>
      <c r="G30" s="110">
        <v>2</v>
      </c>
      <c r="H30" s="111"/>
      <c r="I30" s="111"/>
      <c r="J30" s="111"/>
      <c r="K30" s="112"/>
      <c r="L30" s="113">
        <v>1206304</v>
      </c>
      <c r="M30" s="113">
        <v>0</v>
      </c>
      <c r="N30" s="113">
        <v>0</v>
      </c>
      <c r="O30" s="113">
        <f t="shared" si="4"/>
        <v>1206304</v>
      </c>
      <c r="P30" s="113">
        <v>0</v>
      </c>
      <c r="Q30" s="114" t="e">
        <f t="shared" si="5"/>
        <v>#DIV/0!</v>
      </c>
      <c r="R30" s="115"/>
      <c r="S30" s="316">
        <v>43100</v>
      </c>
    </row>
    <row r="31" spans="1:48" customFormat="1" ht="31.5">
      <c r="A31" s="107">
        <f t="shared" si="6"/>
        <v>12</v>
      </c>
      <c r="B31" s="275" t="s">
        <v>419</v>
      </c>
      <c r="C31" s="108">
        <v>1961</v>
      </c>
      <c r="D31" s="116"/>
      <c r="E31" s="109" t="s">
        <v>218</v>
      </c>
      <c r="F31" s="110">
        <v>5</v>
      </c>
      <c r="G31" s="110">
        <v>3</v>
      </c>
      <c r="H31" s="111"/>
      <c r="I31" s="111"/>
      <c r="J31" s="111"/>
      <c r="K31" s="112"/>
      <c r="L31" s="113">
        <v>402530.2</v>
      </c>
      <c r="M31" s="113">
        <v>0</v>
      </c>
      <c r="N31" s="113">
        <v>0</v>
      </c>
      <c r="O31" s="113">
        <f t="shared" si="4"/>
        <v>402530.2</v>
      </c>
      <c r="P31" s="113">
        <v>0</v>
      </c>
      <c r="Q31" s="114" t="e">
        <f t="shared" si="5"/>
        <v>#DIV/0!</v>
      </c>
      <c r="R31" s="115"/>
      <c r="S31" s="316">
        <v>43100</v>
      </c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</row>
    <row r="32" spans="1:48" customFormat="1" ht="31.5">
      <c r="A32" s="107">
        <f t="shared" si="6"/>
        <v>13</v>
      </c>
      <c r="B32" s="275" t="s">
        <v>387</v>
      </c>
      <c r="C32" s="118">
        <v>1967</v>
      </c>
      <c r="D32" s="118"/>
      <c r="E32" s="109" t="s">
        <v>218</v>
      </c>
      <c r="F32" s="118">
        <v>5</v>
      </c>
      <c r="G32" s="118">
        <v>8</v>
      </c>
      <c r="H32" s="111"/>
      <c r="I32" s="111"/>
      <c r="J32" s="111"/>
      <c r="K32" s="112"/>
      <c r="L32" s="113">
        <v>2861497</v>
      </c>
      <c r="M32" s="113">
        <v>0</v>
      </c>
      <c r="N32" s="113">
        <v>0</v>
      </c>
      <c r="O32" s="113">
        <f t="shared" si="4"/>
        <v>2861497</v>
      </c>
      <c r="P32" s="113">
        <v>0</v>
      </c>
      <c r="Q32" s="114" t="e">
        <f t="shared" si="5"/>
        <v>#DIV/0!</v>
      </c>
      <c r="R32" s="115"/>
      <c r="S32" s="316">
        <v>43100</v>
      </c>
    </row>
    <row r="33" spans="1:19" customFormat="1" ht="15.75">
      <c r="A33" s="107">
        <f t="shared" si="6"/>
        <v>14</v>
      </c>
      <c r="B33" s="276" t="s">
        <v>334</v>
      </c>
      <c r="C33" s="108">
        <v>1974</v>
      </c>
      <c r="D33" s="108"/>
      <c r="E33" s="109" t="s">
        <v>219</v>
      </c>
      <c r="F33" s="110">
        <v>5</v>
      </c>
      <c r="G33" s="110">
        <v>4</v>
      </c>
      <c r="H33" s="111"/>
      <c r="I33" s="111"/>
      <c r="J33" s="111"/>
      <c r="K33" s="112"/>
      <c r="L33" s="113">
        <v>1535065.47</v>
      </c>
      <c r="M33" s="113">
        <v>0</v>
      </c>
      <c r="N33" s="113">
        <v>0</v>
      </c>
      <c r="O33" s="113">
        <f t="shared" si="4"/>
        <v>1535065.47</v>
      </c>
      <c r="P33" s="113">
        <v>0</v>
      </c>
      <c r="Q33" s="114" t="e">
        <f t="shared" si="5"/>
        <v>#DIV/0!</v>
      </c>
      <c r="R33" s="115"/>
      <c r="S33" s="316">
        <v>43100</v>
      </c>
    </row>
    <row r="34" spans="1:19" customFormat="1" ht="15.75">
      <c r="A34" s="107">
        <f t="shared" si="6"/>
        <v>15</v>
      </c>
      <c r="B34" s="276" t="s">
        <v>330</v>
      </c>
      <c r="C34" s="118">
        <v>1966</v>
      </c>
      <c r="D34" s="118"/>
      <c r="E34" s="109" t="s">
        <v>219</v>
      </c>
      <c r="F34" s="118">
        <v>5</v>
      </c>
      <c r="G34" s="118">
        <v>4</v>
      </c>
      <c r="H34" s="111"/>
      <c r="I34" s="111"/>
      <c r="J34" s="111"/>
      <c r="K34" s="112"/>
      <c r="L34" s="113">
        <v>930534</v>
      </c>
      <c r="M34" s="113">
        <v>0</v>
      </c>
      <c r="N34" s="113">
        <v>0</v>
      </c>
      <c r="O34" s="113">
        <f t="shared" si="4"/>
        <v>930534</v>
      </c>
      <c r="P34" s="113">
        <v>0</v>
      </c>
      <c r="Q34" s="114" t="e">
        <f t="shared" si="5"/>
        <v>#DIV/0!</v>
      </c>
      <c r="R34" s="115"/>
      <c r="S34" s="316">
        <v>43100</v>
      </c>
    </row>
    <row r="35" spans="1:19" customFormat="1" ht="15.75">
      <c r="A35" s="107">
        <f t="shared" si="6"/>
        <v>16</v>
      </c>
      <c r="B35" s="276" t="s">
        <v>328</v>
      </c>
      <c r="C35" s="118">
        <v>1970</v>
      </c>
      <c r="D35" s="118"/>
      <c r="E35" s="109" t="s">
        <v>219</v>
      </c>
      <c r="F35" s="118">
        <v>5</v>
      </c>
      <c r="G35" s="118">
        <v>4</v>
      </c>
      <c r="H35" s="111"/>
      <c r="I35" s="111"/>
      <c r="J35" s="111"/>
      <c r="K35" s="112"/>
      <c r="L35" s="113">
        <v>662518</v>
      </c>
      <c r="M35" s="113">
        <v>0</v>
      </c>
      <c r="N35" s="113">
        <v>0</v>
      </c>
      <c r="O35" s="113">
        <f t="shared" si="4"/>
        <v>662518</v>
      </c>
      <c r="P35" s="113">
        <v>0</v>
      </c>
      <c r="Q35" s="114" t="e">
        <f t="shared" si="5"/>
        <v>#DIV/0!</v>
      </c>
      <c r="R35" s="115"/>
      <c r="S35" s="316">
        <v>43100</v>
      </c>
    </row>
    <row r="36" spans="1:19" customFormat="1" ht="31.5">
      <c r="A36" s="107">
        <f t="shared" si="6"/>
        <v>17</v>
      </c>
      <c r="B36" s="276" t="s">
        <v>333</v>
      </c>
      <c r="C36" s="108">
        <v>1979</v>
      </c>
      <c r="D36" s="108"/>
      <c r="E36" s="109" t="s">
        <v>218</v>
      </c>
      <c r="F36" s="110">
        <v>5</v>
      </c>
      <c r="G36" s="110">
        <v>4</v>
      </c>
      <c r="H36" s="111"/>
      <c r="I36" s="111"/>
      <c r="J36" s="111"/>
      <c r="K36" s="112"/>
      <c r="L36" s="113">
        <v>2346663</v>
      </c>
      <c r="M36" s="113">
        <v>0</v>
      </c>
      <c r="N36" s="113">
        <v>0</v>
      </c>
      <c r="O36" s="113">
        <f t="shared" si="4"/>
        <v>2346663</v>
      </c>
      <c r="P36" s="113">
        <v>0</v>
      </c>
      <c r="Q36" s="114" t="e">
        <f t="shared" si="5"/>
        <v>#DIV/0!</v>
      </c>
      <c r="R36" s="115"/>
      <c r="S36" s="316">
        <v>43100</v>
      </c>
    </row>
    <row r="37" spans="1:19" customFormat="1" ht="15.75">
      <c r="A37" s="107">
        <f t="shared" si="6"/>
        <v>18</v>
      </c>
      <c r="B37" s="276" t="s">
        <v>331</v>
      </c>
      <c r="C37" s="118">
        <v>1972</v>
      </c>
      <c r="D37" s="118"/>
      <c r="E37" s="109" t="s">
        <v>219</v>
      </c>
      <c r="F37" s="118">
        <v>5</v>
      </c>
      <c r="G37" s="118">
        <v>4</v>
      </c>
      <c r="H37" s="111"/>
      <c r="I37" s="111"/>
      <c r="J37" s="111"/>
      <c r="K37" s="112"/>
      <c r="L37" s="113">
        <v>727019</v>
      </c>
      <c r="M37" s="113">
        <v>0</v>
      </c>
      <c r="N37" s="113">
        <v>0</v>
      </c>
      <c r="O37" s="113">
        <f t="shared" si="4"/>
        <v>727019</v>
      </c>
      <c r="P37" s="113">
        <v>0</v>
      </c>
      <c r="Q37" s="114" t="e">
        <f t="shared" si="5"/>
        <v>#DIV/0!</v>
      </c>
      <c r="R37" s="115"/>
      <c r="S37" s="316">
        <v>43100</v>
      </c>
    </row>
    <row r="38" spans="1:19" customFormat="1" ht="31.5">
      <c r="A38" s="107">
        <f t="shared" si="6"/>
        <v>19</v>
      </c>
      <c r="B38" s="276" t="s">
        <v>329</v>
      </c>
      <c r="C38" s="118">
        <v>1963</v>
      </c>
      <c r="D38" s="118"/>
      <c r="E38" s="109" t="s">
        <v>218</v>
      </c>
      <c r="F38" s="118">
        <v>4</v>
      </c>
      <c r="G38" s="118">
        <v>3</v>
      </c>
      <c r="H38" s="118"/>
      <c r="I38" s="118"/>
      <c r="J38" s="118"/>
      <c r="K38" s="119"/>
      <c r="L38" s="113">
        <v>538121</v>
      </c>
      <c r="M38" s="113">
        <v>0</v>
      </c>
      <c r="N38" s="113">
        <v>0</v>
      </c>
      <c r="O38" s="113">
        <f t="shared" si="4"/>
        <v>538121</v>
      </c>
      <c r="P38" s="113">
        <v>0</v>
      </c>
      <c r="Q38" s="114" t="e">
        <f t="shared" si="5"/>
        <v>#DIV/0!</v>
      </c>
      <c r="R38" s="115"/>
      <c r="S38" s="316">
        <v>43100</v>
      </c>
    </row>
    <row r="39" spans="1:19" customFormat="1" ht="31.5">
      <c r="A39" s="107">
        <f t="shared" si="6"/>
        <v>20</v>
      </c>
      <c r="B39" s="276" t="s">
        <v>332</v>
      </c>
      <c r="C39" s="118">
        <v>1963</v>
      </c>
      <c r="D39" s="118"/>
      <c r="E39" s="109" t="s">
        <v>218</v>
      </c>
      <c r="F39" s="118">
        <v>4</v>
      </c>
      <c r="G39" s="118">
        <v>3</v>
      </c>
      <c r="H39" s="118"/>
      <c r="I39" s="118"/>
      <c r="J39" s="118"/>
      <c r="K39" s="119"/>
      <c r="L39" s="113">
        <v>1756852</v>
      </c>
      <c r="M39" s="113">
        <v>0</v>
      </c>
      <c r="N39" s="113">
        <v>0</v>
      </c>
      <c r="O39" s="113">
        <f t="shared" si="4"/>
        <v>1756852</v>
      </c>
      <c r="P39" s="113">
        <v>0</v>
      </c>
      <c r="Q39" s="114" t="e">
        <f t="shared" si="5"/>
        <v>#DIV/0!</v>
      </c>
      <c r="R39" s="115"/>
      <c r="S39" s="316">
        <v>43100</v>
      </c>
    </row>
    <row r="40" spans="1:19" customFormat="1" ht="15.75">
      <c r="A40" s="107">
        <f t="shared" si="6"/>
        <v>21</v>
      </c>
      <c r="B40" s="276" t="s">
        <v>316</v>
      </c>
      <c r="C40" s="108">
        <v>1974</v>
      </c>
      <c r="D40" s="108"/>
      <c r="E40" s="109" t="s">
        <v>219</v>
      </c>
      <c r="F40" s="110">
        <v>5</v>
      </c>
      <c r="G40" s="110">
        <v>4</v>
      </c>
      <c r="H40" s="111"/>
      <c r="I40" s="111"/>
      <c r="J40" s="111"/>
      <c r="K40" s="112"/>
      <c r="L40" s="113">
        <v>676398.28</v>
      </c>
      <c r="M40" s="113">
        <v>0</v>
      </c>
      <c r="N40" s="113">
        <v>0</v>
      </c>
      <c r="O40" s="113">
        <f t="shared" si="4"/>
        <v>676398.28</v>
      </c>
      <c r="P40" s="113">
        <v>0</v>
      </c>
      <c r="Q40" s="114" t="e">
        <f t="shared" si="5"/>
        <v>#DIV/0!</v>
      </c>
      <c r="R40" s="115"/>
      <c r="S40" s="316">
        <v>43100</v>
      </c>
    </row>
    <row r="41" spans="1:19" customFormat="1" ht="31.5">
      <c r="A41" s="107">
        <f t="shared" si="6"/>
        <v>22</v>
      </c>
      <c r="B41" s="275" t="s">
        <v>313</v>
      </c>
      <c r="C41" s="108">
        <v>1951</v>
      </c>
      <c r="D41" s="108"/>
      <c r="E41" s="109" t="s">
        <v>218</v>
      </c>
      <c r="F41" s="110">
        <v>2</v>
      </c>
      <c r="G41" s="110">
        <v>1</v>
      </c>
      <c r="H41" s="111"/>
      <c r="I41" s="111"/>
      <c r="J41" s="111"/>
      <c r="K41" s="112"/>
      <c r="L41" s="113">
        <v>766539</v>
      </c>
      <c r="M41" s="113">
        <v>0</v>
      </c>
      <c r="N41" s="113">
        <v>0</v>
      </c>
      <c r="O41" s="113">
        <f t="shared" si="4"/>
        <v>766539</v>
      </c>
      <c r="P41" s="113">
        <v>0</v>
      </c>
      <c r="Q41" s="114" t="e">
        <f t="shared" si="5"/>
        <v>#DIV/0!</v>
      </c>
      <c r="R41" s="115"/>
      <c r="S41" s="316">
        <v>43100</v>
      </c>
    </row>
    <row r="42" spans="1:19" customFormat="1" ht="31.5">
      <c r="A42" s="107">
        <f t="shared" si="6"/>
        <v>23</v>
      </c>
      <c r="B42" s="276" t="s">
        <v>312</v>
      </c>
      <c r="C42" s="118">
        <v>1983</v>
      </c>
      <c r="D42" s="118"/>
      <c r="E42" s="109" t="s">
        <v>218</v>
      </c>
      <c r="F42" s="118">
        <v>9</v>
      </c>
      <c r="G42" s="118">
        <v>2</v>
      </c>
      <c r="H42" s="118"/>
      <c r="I42" s="118"/>
      <c r="J42" s="118"/>
      <c r="K42" s="119"/>
      <c r="L42" s="113">
        <v>1186114</v>
      </c>
      <c r="M42" s="113">
        <v>0</v>
      </c>
      <c r="N42" s="113">
        <v>0</v>
      </c>
      <c r="O42" s="113">
        <f t="shared" si="4"/>
        <v>1186114</v>
      </c>
      <c r="P42" s="113">
        <v>0</v>
      </c>
      <c r="Q42" s="114" t="e">
        <f t="shared" si="5"/>
        <v>#DIV/0!</v>
      </c>
      <c r="R42" s="115"/>
      <c r="S42" s="316">
        <v>43100</v>
      </c>
    </row>
    <row r="43" spans="1:19" customFormat="1" ht="31.5">
      <c r="A43" s="107">
        <f t="shared" si="6"/>
        <v>24</v>
      </c>
      <c r="B43" s="275" t="s">
        <v>311</v>
      </c>
      <c r="C43" s="118">
        <v>1958</v>
      </c>
      <c r="D43" s="118"/>
      <c r="E43" s="109" t="s">
        <v>218</v>
      </c>
      <c r="F43" s="118">
        <v>3</v>
      </c>
      <c r="G43" s="118">
        <v>2</v>
      </c>
      <c r="H43" s="118"/>
      <c r="I43" s="118"/>
      <c r="J43" s="118"/>
      <c r="K43" s="119"/>
      <c r="L43" s="113">
        <v>178272.59</v>
      </c>
      <c r="M43" s="113">
        <v>0</v>
      </c>
      <c r="N43" s="113">
        <v>0</v>
      </c>
      <c r="O43" s="113">
        <f t="shared" si="4"/>
        <v>178272.59</v>
      </c>
      <c r="P43" s="113">
        <v>0</v>
      </c>
      <c r="Q43" s="114" t="e">
        <f t="shared" si="5"/>
        <v>#DIV/0!</v>
      </c>
      <c r="R43" s="115"/>
      <c r="S43" s="316">
        <v>43100</v>
      </c>
    </row>
    <row r="44" spans="1:19" customFormat="1" ht="31.5">
      <c r="A44" s="107">
        <f t="shared" si="6"/>
        <v>25</v>
      </c>
      <c r="B44" s="276" t="s">
        <v>315</v>
      </c>
      <c r="C44" s="108">
        <v>1963</v>
      </c>
      <c r="D44" s="108"/>
      <c r="E44" s="109" t="s">
        <v>218</v>
      </c>
      <c r="F44" s="110">
        <v>4</v>
      </c>
      <c r="G44" s="110">
        <v>2</v>
      </c>
      <c r="H44" s="111"/>
      <c r="I44" s="111"/>
      <c r="J44" s="111"/>
      <c r="K44" s="112"/>
      <c r="L44" s="113">
        <v>1087116</v>
      </c>
      <c r="M44" s="113">
        <v>0</v>
      </c>
      <c r="N44" s="113">
        <v>0</v>
      </c>
      <c r="O44" s="113">
        <f t="shared" si="4"/>
        <v>1087116</v>
      </c>
      <c r="P44" s="113">
        <v>0</v>
      </c>
      <c r="Q44" s="114" t="e">
        <f t="shared" si="5"/>
        <v>#DIV/0!</v>
      </c>
      <c r="R44" s="115"/>
      <c r="S44" s="316">
        <v>43100</v>
      </c>
    </row>
    <row r="45" spans="1:19" customFormat="1" ht="31.5">
      <c r="A45" s="107">
        <f t="shared" si="6"/>
        <v>26</v>
      </c>
      <c r="B45" s="276" t="s">
        <v>351</v>
      </c>
      <c r="C45" s="108">
        <v>1984</v>
      </c>
      <c r="D45" s="108"/>
      <c r="E45" s="109" t="s">
        <v>218</v>
      </c>
      <c r="F45" s="110">
        <v>9</v>
      </c>
      <c r="G45" s="110">
        <v>2</v>
      </c>
      <c r="H45" s="111"/>
      <c r="I45" s="111"/>
      <c r="J45" s="111"/>
      <c r="K45" s="112"/>
      <c r="L45" s="113">
        <v>1411363</v>
      </c>
      <c r="M45" s="113">
        <v>0</v>
      </c>
      <c r="N45" s="113">
        <v>0</v>
      </c>
      <c r="O45" s="113">
        <f t="shared" si="4"/>
        <v>1411363</v>
      </c>
      <c r="P45" s="113">
        <v>0</v>
      </c>
      <c r="Q45" s="114" t="e">
        <f t="shared" si="5"/>
        <v>#DIV/0!</v>
      </c>
      <c r="R45" s="115"/>
      <c r="S45" s="316">
        <v>43100</v>
      </c>
    </row>
    <row r="46" spans="1:19" customFormat="1" ht="31.5">
      <c r="A46" s="107">
        <f t="shared" si="6"/>
        <v>27</v>
      </c>
      <c r="B46" s="276" t="s">
        <v>314</v>
      </c>
      <c r="C46" s="108">
        <v>1964</v>
      </c>
      <c r="D46" s="108"/>
      <c r="E46" s="109" t="s">
        <v>218</v>
      </c>
      <c r="F46" s="110">
        <v>4</v>
      </c>
      <c r="G46" s="110">
        <v>2</v>
      </c>
      <c r="H46" s="111"/>
      <c r="I46" s="111"/>
      <c r="J46" s="111"/>
      <c r="K46" s="112"/>
      <c r="L46" s="113">
        <v>1136666</v>
      </c>
      <c r="M46" s="113">
        <v>0</v>
      </c>
      <c r="N46" s="113">
        <v>0</v>
      </c>
      <c r="O46" s="113">
        <f t="shared" si="4"/>
        <v>1136666</v>
      </c>
      <c r="P46" s="113">
        <v>0</v>
      </c>
      <c r="Q46" s="114" t="e">
        <f t="shared" si="5"/>
        <v>#DIV/0!</v>
      </c>
      <c r="R46" s="115"/>
      <c r="S46" s="316">
        <v>43100</v>
      </c>
    </row>
    <row r="47" spans="1:19" customFormat="1" ht="31.5">
      <c r="A47" s="107">
        <f t="shared" si="6"/>
        <v>28</v>
      </c>
      <c r="B47" s="276" t="s">
        <v>369</v>
      </c>
      <c r="C47" s="118">
        <v>1959</v>
      </c>
      <c r="D47" s="118"/>
      <c r="E47" s="109" t="s">
        <v>218</v>
      </c>
      <c r="F47" s="118">
        <v>4</v>
      </c>
      <c r="G47" s="118">
        <v>6</v>
      </c>
      <c r="H47" s="118"/>
      <c r="I47" s="118"/>
      <c r="J47" s="118"/>
      <c r="K47" s="119"/>
      <c r="L47" s="113">
        <v>1385674</v>
      </c>
      <c r="M47" s="113">
        <v>0</v>
      </c>
      <c r="N47" s="113">
        <v>0</v>
      </c>
      <c r="O47" s="113">
        <f t="shared" si="4"/>
        <v>1385674</v>
      </c>
      <c r="P47" s="113">
        <v>0</v>
      </c>
      <c r="Q47" s="114" t="e">
        <f t="shared" si="5"/>
        <v>#DIV/0!</v>
      </c>
      <c r="R47" s="115"/>
      <c r="S47" s="316">
        <v>43100</v>
      </c>
    </row>
    <row r="48" spans="1:19" customFormat="1" ht="31.5">
      <c r="A48" s="107">
        <f t="shared" si="6"/>
        <v>29</v>
      </c>
      <c r="B48" s="276" t="s">
        <v>370</v>
      </c>
      <c r="C48" s="118">
        <v>1937</v>
      </c>
      <c r="D48" s="118"/>
      <c r="E48" s="109" t="s">
        <v>218</v>
      </c>
      <c r="F48" s="118">
        <v>4</v>
      </c>
      <c r="G48" s="118">
        <v>9</v>
      </c>
      <c r="H48" s="118"/>
      <c r="I48" s="118"/>
      <c r="J48" s="118"/>
      <c r="K48" s="119"/>
      <c r="L48" s="113">
        <v>4619990</v>
      </c>
      <c r="M48" s="113">
        <v>0</v>
      </c>
      <c r="N48" s="113">
        <v>0</v>
      </c>
      <c r="O48" s="113">
        <f t="shared" si="4"/>
        <v>4619990</v>
      </c>
      <c r="P48" s="113">
        <v>0</v>
      </c>
      <c r="Q48" s="114" t="e">
        <f t="shared" si="5"/>
        <v>#DIV/0!</v>
      </c>
      <c r="R48" s="115"/>
      <c r="S48" s="316">
        <v>43100</v>
      </c>
    </row>
    <row r="49" spans="1:48" customFormat="1" ht="31.5">
      <c r="A49" s="107">
        <f t="shared" si="6"/>
        <v>30</v>
      </c>
      <c r="B49" s="276" t="s">
        <v>373</v>
      </c>
      <c r="C49" s="118">
        <v>1960</v>
      </c>
      <c r="D49" s="118"/>
      <c r="E49" s="109" t="s">
        <v>218</v>
      </c>
      <c r="F49" s="118">
        <v>4</v>
      </c>
      <c r="G49" s="118">
        <v>3</v>
      </c>
      <c r="H49" s="118"/>
      <c r="I49" s="118"/>
      <c r="J49" s="118"/>
      <c r="K49" s="119"/>
      <c r="L49" s="113">
        <v>1865304</v>
      </c>
      <c r="M49" s="113">
        <v>0</v>
      </c>
      <c r="N49" s="113">
        <v>0</v>
      </c>
      <c r="O49" s="113">
        <f t="shared" si="4"/>
        <v>1865304</v>
      </c>
      <c r="P49" s="113">
        <v>0</v>
      </c>
      <c r="Q49" s="114" t="e">
        <f t="shared" si="5"/>
        <v>#DIV/0!</v>
      </c>
      <c r="R49" s="115"/>
      <c r="S49" s="316">
        <v>43100</v>
      </c>
    </row>
    <row r="50" spans="1:48" customFormat="1" ht="31.5">
      <c r="A50" s="107">
        <f t="shared" si="6"/>
        <v>31</v>
      </c>
      <c r="B50" s="276" t="s">
        <v>381</v>
      </c>
      <c r="C50" s="108">
        <v>1961</v>
      </c>
      <c r="D50" s="108"/>
      <c r="E50" s="109" t="s">
        <v>218</v>
      </c>
      <c r="F50" s="110">
        <v>5</v>
      </c>
      <c r="G50" s="110">
        <v>4</v>
      </c>
      <c r="H50" s="111"/>
      <c r="I50" s="111"/>
      <c r="J50" s="111"/>
      <c r="K50" s="112"/>
      <c r="L50" s="113">
        <v>1870910</v>
      </c>
      <c r="M50" s="113">
        <v>0</v>
      </c>
      <c r="N50" s="113">
        <v>0</v>
      </c>
      <c r="O50" s="113">
        <f t="shared" si="4"/>
        <v>1870910</v>
      </c>
      <c r="P50" s="113">
        <v>0</v>
      </c>
      <c r="Q50" s="114" t="e">
        <f t="shared" si="5"/>
        <v>#DIV/0!</v>
      </c>
      <c r="R50" s="115"/>
      <c r="S50" s="316">
        <v>43100</v>
      </c>
    </row>
    <row r="51" spans="1:48" customFormat="1" ht="31.5">
      <c r="A51" s="107">
        <f t="shared" si="6"/>
        <v>32</v>
      </c>
      <c r="B51" s="276" t="s">
        <v>382</v>
      </c>
      <c r="C51" s="108">
        <v>1960</v>
      </c>
      <c r="D51" s="108"/>
      <c r="E51" s="109" t="s">
        <v>218</v>
      </c>
      <c r="F51" s="110">
        <v>5</v>
      </c>
      <c r="G51" s="110">
        <v>4</v>
      </c>
      <c r="H51" s="111"/>
      <c r="I51" s="111"/>
      <c r="J51" s="111"/>
      <c r="K51" s="112"/>
      <c r="L51" s="113">
        <v>1533757</v>
      </c>
      <c r="M51" s="113">
        <v>0</v>
      </c>
      <c r="N51" s="113">
        <v>0</v>
      </c>
      <c r="O51" s="113">
        <f t="shared" si="4"/>
        <v>1533757</v>
      </c>
      <c r="P51" s="113">
        <v>0</v>
      </c>
      <c r="Q51" s="114" t="e">
        <f t="shared" si="5"/>
        <v>#DIV/0!</v>
      </c>
      <c r="R51" s="115"/>
      <c r="S51" s="316">
        <v>43100</v>
      </c>
    </row>
    <row r="52" spans="1:48" customFormat="1" ht="31.5">
      <c r="A52" s="107">
        <f t="shared" si="6"/>
        <v>33</v>
      </c>
      <c r="B52" s="276" t="s">
        <v>371</v>
      </c>
      <c r="C52" s="118">
        <v>1960</v>
      </c>
      <c r="D52" s="118"/>
      <c r="E52" s="109" t="s">
        <v>218</v>
      </c>
      <c r="F52" s="118">
        <v>5</v>
      </c>
      <c r="G52" s="118">
        <v>4</v>
      </c>
      <c r="H52" s="118"/>
      <c r="I52" s="118"/>
      <c r="J52" s="118"/>
      <c r="K52" s="119"/>
      <c r="L52" s="113">
        <v>939858</v>
      </c>
      <c r="M52" s="113">
        <v>0</v>
      </c>
      <c r="N52" s="113">
        <v>0</v>
      </c>
      <c r="O52" s="113">
        <f t="shared" ref="O52:O83" si="7">L52</f>
        <v>939858</v>
      </c>
      <c r="P52" s="113">
        <v>0</v>
      </c>
      <c r="Q52" s="114" t="e">
        <f t="shared" ref="Q52:Q83" si="8">L52/I52</f>
        <v>#DIV/0!</v>
      </c>
      <c r="R52" s="115"/>
      <c r="S52" s="316">
        <v>43100</v>
      </c>
    </row>
    <row r="53" spans="1:48" customFormat="1" ht="15.75">
      <c r="A53" s="107">
        <f t="shared" si="6"/>
        <v>34</v>
      </c>
      <c r="B53" s="275" t="s">
        <v>377</v>
      </c>
      <c r="C53" s="108">
        <v>1973</v>
      </c>
      <c r="D53" s="108"/>
      <c r="E53" s="109" t="s">
        <v>219</v>
      </c>
      <c r="F53" s="110">
        <v>5</v>
      </c>
      <c r="G53" s="110">
        <v>6</v>
      </c>
      <c r="H53" s="111"/>
      <c r="I53" s="111"/>
      <c r="J53" s="111"/>
      <c r="K53" s="112"/>
      <c r="L53" s="113">
        <v>2368392</v>
      </c>
      <c r="M53" s="113">
        <v>0</v>
      </c>
      <c r="N53" s="113">
        <v>0</v>
      </c>
      <c r="O53" s="113">
        <f t="shared" si="7"/>
        <v>2368392</v>
      </c>
      <c r="P53" s="113">
        <v>0</v>
      </c>
      <c r="Q53" s="114" t="e">
        <f t="shared" si="8"/>
        <v>#DIV/0!</v>
      </c>
      <c r="R53" s="115"/>
      <c r="S53" s="316">
        <v>43100</v>
      </c>
    </row>
    <row r="54" spans="1:48" customFormat="1" ht="31.5">
      <c r="A54" s="107">
        <f t="shared" si="6"/>
        <v>35</v>
      </c>
      <c r="B54" s="275" t="s">
        <v>378</v>
      </c>
      <c r="C54" s="108">
        <v>1961</v>
      </c>
      <c r="D54" s="108"/>
      <c r="E54" s="109" t="s">
        <v>218</v>
      </c>
      <c r="F54" s="110">
        <v>5</v>
      </c>
      <c r="G54" s="110">
        <v>2</v>
      </c>
      <c r="H54" s="111"/>
      <c r="I54" s="111"/>
      <c r="J54" s="111"/>
      <c r="K54" s="112"/>
      <c r="L54" s="113">
        <v>2433930.91</v>
      </c>
      <c r="M54" s="113">
        <v>0</v>
      </c>
      <c r="N54" s="113">
        <v>0</v>
      </c>
      <c r="O54" s="113">
        <f t="shared" si="7"/>
        <v>2433930.91</v>
      </c>
      <c r="P54" s="113">
        <v>0</v>
      </c>
      <c r="Q54" s="114" t="e">
        <f t="shared" si="8"/>
        <v>#DIV/0!</v>
      </c>
      <c r="R54" s="115"/>
      <c r="S54" s="316">
        <v>43100</v>
      </c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</row>
    <row r="55" spans="1:48" customFormat="1" ht="31.5">
      <c r="A55" s="107">
        <f t="shared" si="6"/>
        <v>36</v>
      </c>
      <c r="B55" s="276" t="s">
        <v>383</v>
      </c>
      <c r="C55" s="108">
        <v>1964</v>
      </c>
      <c r="D55" s="108"/>
      <c r="E55" s="109" t="s">
        <v>218</v>
      </c>
      <c r="F55" s="110">
        <v>5</v>
      </c>
      <c r="G55" s="110">
        <v>4</v>
      </c>
      <c r="H55" s="111"/>
      <c r="I55" s="111"/>
      <c r="J55" s="111"/>
      <c r="K55" s="112"/>
      <c r="L55" s="113">
        <v>1721850</v>
      </c>
      <c r="M55" s="113">
        <v>0</v>
      </c>
      <c r="N55" s="113">
        <v>0</v>
      </c>
      <c r="O55" s="113">
        <f t="shared" si="7"/>
        <v>1721850</v>
      </c>
      <c r="P55" s="113">
        <v>0</v>
      </c>
      <c r="Q55" s="114" t="e">
        <f t="shared" si="8"/>
        <v>#DIV/0!</v>
      </c>
      <c r="R55" s="115"/>
      <c r="S55" s="316">
        <v>43100</v>
      </c>
    </row>
    <row r="56" spans="1:48" s="3" customFormat="1" ht="31.5">
      <c r="A56" s="107">
        <f t="shared" si="6"/>
        <v>37</v>
      </c>
      <c r="B56" s="276" t="s">
        <v>368</v>
      </c>
      <c r="C56" s="118">
        <v>1957</v>
      </c>
      <c r="D56" s="118"/>
      <c r="E56" s="109" t="s">
        <v>218</v>
      </c>
      <c r="F56" s="118">
        <v>4</v>
      </c>
      <c r="G56" s="118">
        <v>4</v>
      </c>
      <c r="H56" s="118"/>
      <c r="I56" s="118"/>
      <c r="J56" s="118"/>
      <c r="K56" s="119"/>
      <c r="L56" s="113">
        <v>814117</v>
      </c>
      <c r="M56" s="113">
        <v>0</v>
      </c>
      <c r="N56" s="113">
        <v>0</v>
      </c>
      <c r="O56" s="113">
        <f t="shared" si="7"/>
        <v>814117</v>
      </c>
      <c r="P56" s="113">
        <v>0</v>
      </c>
      <c r="Q56" s="114" t="e">
        <f t="shared" si="8"/>
        <v>#DIV/0!</v>
      </c>
      <c r="R56" s="115"/>
      <c r="S56" s="316">
        <v>43100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customFormat="1" ht="31.5">
      <c r="A57" s="107">
        <f t="shared" si="6"/>
        <v>38</v>
      </c>
      <c r="B57" s="276" t="s">
        <v>375</v>
      </c>
      <c r="C57" s="108">
        <v>1957</v>
      </c>
      <c r="D57" s="108"/>
      <c r="E57" s="109" t="s">
        <v>218</v>
      </c>
      <c r="F57" s="110">
        <v>4</v>
      </c>
      <c r="G57" s="110">
        <v>4</v>
      </c>
      <c r="H57" s="111"/>
      <c r="I57" s="111"/>
      <c r="J57" s="111"/>
      <c r="K57" s="112"/>
      <c r="L57" s="113">
        <v>3045081</v>
      </c>
      <c r="M57" s="113">
        <v>0</v>
      </c>
      <c r="N57" s="113">
        <v>0</v>
      </c>
      <c r="O57" s="113">
        <f t="shared" si="7"/>
        <v>3045081</v>
      </c>
      <c r="P57" s="113">
        <v>0</v>
      </c>
      <c r="Q57" s="114" t="e">
        <f t="shared" si="8"/>
        <v>#DIV/0!</v>
      </c>
      <c r="R57" s="115"/>
      <c r="S57" s="316">
        <v>43100</v>
      </c>
    </row>
    <row r="58" spans="1:48" customFormat="1" ht="31.5">
      <c r="A58" s="107">
        <f t="shared" si="6"/>
        <v>39</v>
      </c>
      <c r="B58" s="276" t="s">
        <v>380</v>
      </c>
      <c r="C58" s="108">
        <v>1954</v>
      </c>
      <c r="D58" s="108"/>
      <c r="E58" s="109" t="s">
        <v>218</v>
      </c>
      <c r="F58" s="110">
        <v>3</v>
      </c>
      <c r="G58" s="110">
        <v>3</v>
      </c>
      <c r="H58" s="111"/>
      <c r="I58" s="111"/>
      <c r="J58" s="111"/>
      <c r="K58" s="112"/>
      <c r="L58" s="113">
        <v>2244806</v>
      </c>
      <c r="M58" s="113">
        <v>0</v>
      </c>
      <c r="N58" s="113">
        <v>0</v>
      </c>
      <c r="O58" s="113">
        <f t="shared" si="7"/>
        <v>2244806</v>
      </c>
      <c r="P58" s="113">
        <v>0</v>
      </c>
      <c r="Q58" s="114" t="e">
        <f t="shared" si="8"/>
        <v>#DIV/0!</v>
      </c>
      <c r="R58" s="115"/>
      <c r="S58" s="316">
        <v>43100</v>
      </c>
    </row>
    <row r="59" spans="1:48" customFormat="1" ht="31.5">
      <c r="A59" s="107">
        <f t="shared" si="6"/>
        <v>40</v>
      </c>
      <c r="B59" s="276" t="s">
        <v>374</v>
      </c>
      <c r="C59" s="108">
        <v>1963</v>
      </c>
      <c r="D59" s="108"/>
      <c r="E59" s="109" t="s">
        <v>218</v>
      </c>
      <c r="F59" s="110">
        <v>4</v>
      </c>
      <c r="G59" s="110">
        <v>2</v>
      </c>
      <c r="H59" s="111"/>
      <c r="I59" s="111"/>
      <c r="J59" s="111"/>
      <c r="K59" s="112"/>
      <c r="L59" s="113">
        <v>1361273</v>
      </c>
      <c r="M59" s="113">
        <v>0</v>
      </c>
      <c r="N59" s="113">
        <v>0</v>
      </c>
      <c r="O59" s="113">
        <f t="shared" si="7"/>
        <v>1361273</v>
      </c>
      <c r="P59" s="113">
        <v>0</v>
      </c>
      <c r="Q59" s="114" t="e">
        <f t="shared" si="8"/>
        <v>#DIV/0!</v>
      </c>
      <c r="R59" s="115"/>
      <c r="S59" s="316">
        <v>43100</v>
      </c>
    </row>
    <row r="60" spans="1:48" customFormat="1" ht="31.5">
      <c r="A60" s="107">
        <f t="shared" si="6"/>
        <v>41</v>
      </c>
      <c r="B60" s="276" t="s">
        <v>469</v>
      </c>
      <c r="C60" s="108">
        <v>1959</v>
      </c>
      <c r="D60" s="108"/>
      <c r="E60" s="109" t="s">
        <v>218</v>
      </c>
      <c r="F60" s="110">
        <v>4</v>
      </c>
      <c r="G60" s="110">
        <v>4</v>
      </c>
      <c r="H60" s="111"/>
      <c r="I60" s="111"/>
      <c r="J60" s="111"/>
      <c r="K60" s="112"/>
      <c r="L60" s="113">
        <v>2421596</v>
      </c>
      <c r="M60" s="113">
        <v>0</v>
      </c>
      <c r="N60" s="113">
        <v>0</v>
      </c>
      <c r="O60" s="113">
        <f t="shared" si="7"/>
        <v>2421596</v>
      </c>
      <c r="P60" s="113">
        <v>0</v>
      </c>
      <c r="Q60" s="114" t="e">
        <f t="shared" si="8"/>
        <v>#DIV/0!</v>
      </c>
      <c r="R60" s="115"/>
      <c r="S60" s="316">
        <v>43100</v>
      </c>
    </row>
    <row r="61" spans="1:48" customFormat="1" ht="31.5">
      <c r="A61" s="107">
        <f t="shared" si="6"/>
        <v>42</v>
      </c>
      <c r="B61" s="276" t="s">
        <v>379</v>
      </c>
      <c r="C61" s="108">
        <v>1967</v>
      </c>
      <c r="D61" s="108"/>
      <c r="E61" s="109" t="s">
        <v>218</v>
      </c>
      <c r="F61" s="110">
        <v>6</v>
      </c>
      <c r="G61" s="110">
        <v>5</v>
      </c>
      <c r="H61" s="111"/>
      <c r="I61" s="111"/>
      <c r="J61" s="111"/>
      <c r="K61" s="112"/>
      <c r="L61" s="113">
        <v>2056315</v>
      </c>
      <c r="M61" s="113">
        <v>0</v>
      </c>
      <c r="N61" s="113">
        <v>0</v>
      </c>
      <c r="O61" s="113">
        <f t="shared" si="7"/>
        <v>2056315</v>
      </c>
      <c r="P61" s="113">
        <v>0</v>
      </c>
      <c r="Q61" s="114" t="e">
        <f t="shared" si="8"/>
        <v>#DIV/0!</v>
      </c>
      <c r="R61" s="115"/>
      <c r="S61" s="316">
        <v>43100</v>
      </c>
    </row>
    <row r="62" spans="1:48" customFormat="1" ht="31.5">
      <c r="A62" s="107">
        <f t="shared" si="6"/>
        <v>43</v>
      </c>
      <c r="B62" s="276" t="s">
        <v>372</v>
      </c>
      <c r="C62" s="118">
        <v>1975</v>
      </c>
      <c r="D62" s="118"/>
      <c r="E62" s="109" t="s">
        <v>218</v>
      </c>
      <c r="F62" s="118">
        <v>9</v>
      </c>
      <c r="G62" s="118">
        <v>5</v>
      </c>
      <c r="H62" s="118"/>
      <c r="I62" s="118"/>
      <c r="J62" s="118"/>
      <c r="K62" s="119"/>
      <c r="L62" s="113">
        <v>9473593</v>
      </c>
      <c r="M62" s="113">
        <v>0</v>
      </c>
      <c r="N62" s="113">
        <v>0</v>
      </c>
      <c r="O62" s="113">
        <f t="shared" si="7"/>
        <v>9473593</v>
      </c>
      <c r="P62" s="113">
        <v>0</v>
      </c>
      <c r="Q62" s="114" t="e">
        <f t="shared" si="8"/>
        <v>#DIV/0!</v>
      </c>
      <c r="R62" s="115"/>
      <c r="S62" s="316">
        <v>43100</v>
      </c>
    </row>
    <row r="63" spans="1:48" customFormat="1" ht="31.5">
      <c r="A63" s="107">
        <f t="shared" si="6"/>
        <v>44</v>
      </c>
      <c r="B63" s="275" t="s">
        <v>344</v>
      </c>
      <c r="C63" s="107">
        <v>1968</v>
      </c>
      <c r="D63" s="108"/>
      <c r="E63" s="109" t="s">
        <v>218</v>
      </c>
      <c r="F63" s="108">
        <v>5</v>
      </c>
      <c r="G63" s="108">
        <v>6</v>
      </c>
      <c r="H63" s="117"/>
      <c r="I63" s="117"/>
      <c r="J63" s="102"/>
      <c r="K63" s="101"/>
      <c r="L63" s="113">
        <v>4441828</v>
      </c>
      <c r="M63" s="113">
        <v>0</v>
      </c>
      <c r="N63" s="113">
        <v>0</v>
      </c>
      <c r="O63" s="113">
        <f t="shared" si="7"/>
        <v>4441828</v>
      </c>
      <c r="P63" s="113">
        <v>0</v>
      </c>
      <c r="Q63" s="114" t="e">
        <f t="shared" si="8"/>
        <v>#DIV/0!</v>
      </c>
      <c r="R63" s="115"/>
      <c r="S63" s="316">
        <v>43100</v>
      </c>
    </row>
    <row r="64" spans="1:48" customFormat="1" ht="15.75">
      <c r="A64" s="107">
        <f t="shared" si="6"/>
        <v>45</v>
      </c>
      <c r="B64" s="276" t="s">
        <v>348</v>
      </c>
      <c r="C64" s="108">
        <v>1977</v>
      </c>
      <c r="D64" s="108"/>
      <c r="E64" s="109" t="s">
        <v>219</v>
      </c>
      <c r="F64" s="110">
        <v>5</v>
      </c>
      <c r="G64" s="110">
        <v>8</v>
      </c>
      <c r="H64" s="111"/>
      <c r="I64" s="111"/>
      <c r="J64" s="111"/>
      <c r="K64" s="112"/>
      <c r="L64" s="113">
        <v>3051089</v>
      </c>
      <c r="M64" s="113">
        <v>0</v>
      </c>
      <c r="N64" s="113">
        <v>0</v>
      </c>
      <c r="O64" s="113">
        <f t="shared" si="7"/>
        <v>3051089</v>
      </c>
      <c r="P64" s="113">
        <v>0</v>
      </c>
      <c r="Q64" s="114" t="e">
        <f t="shared" si="8"/>
        <v>#DIV/0!</v>
      </c>
      <c r="R64" s="115"/>
      <c r="S64" s="316">
        <v>43100</v>
      </c>
    </row>
    <row r="65" spans="1:48" customFormat="1" ht="31.5">
      <c r="A65" s="107">
        <f t="shared" si="6"/>
        <v>46</v>
      </c>
      <c r="B65" s="275" t="s">
        <v>386</v>
      </c>
      <c r="C65" s="118">
        <v>1956</v>
      </c>
      <c r="D65" s="118"/>
      <c r="E65" s="109" t="s">
        <v>218</v>
      </c>
      <c r="F65" s="118">
        <v>2</v>
      </c>
      <c r="G65" s="118">
        <v>2</v>
      </c>
      <c r="H65" s="118"/>
      <c r="I65" s="118"/>
      <c r="J65" s="118"/>
      <c r="K65" s="119"/>
      <c r="L65" s="113">
        <v>869749</v>
      </c>
      <c r="M65" s="113">
        <v>0</v>
      </c>
      <c r="N65" s="113">
        <v>0</v>
      </c>
      <c r="O65" s="113">
        <f t="shared" si="7"/>
        <v>869749</v>
      </c>
      <c r="P65" s="113">
        <v>0</v>
      </c>
      <c r="Q65" s="114" t="e">
        <f t="shared" si="8"/>
        <v>#DIV/0!</v>
      </c>
      <c r="R65" s="115"/>
      <c r="S65" s="316">
        <v>43100</v>
      </c>
    </row>
    <row r="66" spans="1:48" customFormat="1" ht="31.5">
      <c r="A66" s="107">
        <f t="shared" si="6"/>
        <v>47</v>
      </c>
      <c r="B66" s="275" t="s">
        <v>461</v>
      </c>
      <c r="C66" s="108">
        <v>1956</v>
      </c>
      <c r="D66" s="108"/>
      <c r="E66" s="109" t="s">
        <v>218</v>
      </c>
      <c r="F66" s="110">
        <v>2</v>
      </c>
      <c r="G66" s="110">
        <v>2</v>
      </c>
      <c r="H66" s="111"/>
      <c r="I66" s="111"/>
      <c r="J66" s="111"/>
      <c r="K66" s="112"/>
      <c r="L66" s="113">
        <v>869880</v>
      </c>
      <c r="M66" s="113">
        <v>0</v>
      </c>
      <c r="N66" s="113">
        <v>0</v>
      </c>
      <c r="O66" s="113">
        <f t="shared" si="7"/>
        <v>869880</v>
      </c>
      <c r="P66" s="113">
        <v>0</v>
      </c>
      <c r="Q66" s="114" t="e">
        <f t="shared" si="8"/>
        <v>#DIV/0!</v>
      </c>
      <c r="R66" s="115"/>
      <c r="S66" s="316">
        <v>43100</v>
      </c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spans="1:48" customFormat="1" ht="31.5">
      <c r="A67" s="107">
        <f t="shared" si="6"/>
        <v>48</v>
      </c>
      <c r="B67" s="276" t="s">
        <v>462</v>
      </c>
      <c r="C67" s="108">
        <v>1959</v>
      </c>
      <c r="D67" s="116"/>
      <c r="E67" s="109" t="s">
        <v>218</v>
      </c>
      <c r="F67" s="110">
        <v>2</v>
      </c>
      <c r="G67" s="110">
        <v>2</v>
      </c>
      <c r="H67" s="111"/>
      <c r="I67" s="111"/>
      <c r="J67" s="111"/>
      <c r="K67" s="112"/>
      <c r="L67" s="113">
        <v>172302</v>
      </c>
      <c r="M67" s="113">
        <v>0</v>
      </c>
      <c r="N67" s="113">
        <v>0</v>
      </c>
      <c r="O67" s="113">
        <f t="shared" si="7"/>
        <v>172302</v>
      </c>
      <c r="P67" s="113">
        <v>0</v>
      </c>
      <c r="Q67" s="114" t="e">
        <f t="shared" si="8"/>
        <v>#DIV/0!</v>
      </c>
      <c r="R67" s="115"/>
      <c r="S67" s="316">
        <v>43100</v>
      </c>
    </row>
    <row r="68" spans="1:48" customFormat="1" ht="31.5">
      <c r="A68" s="107">
        <f t="shared" si="6"/>
        <v>49</v>
      </c>
      <c r="B68" s="276" t="s">
        <v>389</v>
      </c>
      <c r="C68" s="108">
        <v>1910</v>
      </c>
      <c r="D68" s="108"/>
      <c r="E68" s="109" t="s">
        <v>218</v>
      </c>
      <c r="F68" s="110">
        <v>4</v>
      </c>
      <c r="G68" s="110">
        <v>1</v>
      </c>
      <c r="H68" s="111"/>
      <c r="I68" s="111"/>
      <c r="J68" s="111"/>
      <c r="K68" s="112"/>
      <c r="L68" s="113">
        <v>3706393</v>
      </c>
      <c r="M68" s="113">
        <v>0</v>
      </c>
      <c r="N68" s="113">
        <v>0</v>
      </c>
      <c r="O68" s="113">
        <f t="shared" si="7"/>
        <v>3706393</v>
      </c>
      <c r="P68" s="113">
        <v>0</v>
      </c>
      <c r="Q68" s="114" t="e">
        <f t="shared" si="8"/>
        <v>#DIV/0!</v>
      </c>
      <c r="R68" s="115"/>
      <c r="S68" s="316">
        <v>43100</v>
      </c>
    </row>
    <row r="69" spans="1:48" customFormat="1" ht="31.5">
      <c r="A69" s="107">
        <f t="shared" si="6"/>
        <v>50</v>
      </c>
      <c r="B69" s="276" t="s">
        <v>317</v>
      </c>
      <c r="C69" s="118">
        <v>1914</v>
      </c>
      <c r="D69" s="118"/>
      <c r="E69" s="109" t="s">
        <v>218</v>
      </c>
      <c r="F69" s="118">
        <v>4</v>
      </c>
      <c r="G69" s="118">
        <v>5</v>
      </c>
      <c r="H69" s="118"/>
      <c r="I69" s="118"/>
      <c r="J69" s="118"/>
      <c r="K69" s="119"/>
      <c r="L69" s="113">
        <v>698585</v>
      </c>
      <c r="M69" s="113">
        <v>0</v>
      </c>
      <c r="N69" s="113">
        <v>0</v>
      </c>
      <c r="O69" s="113">
        <f t="shared" si="7"/>
        <v>698585</v>
      </c>
      <c r="P69" s="113">
        <v>0</v>
      </c>
      <c r="Q69" s="114" t="e">
        <f t="shared" si="8"/>
        <v>#DIV/0!</v>
      </c>
      <c r="R69" s="115"/>
      <c r="S69" s="316">
        <v>43100</v>
      </c>
    </row>
    <row r="70" spans="1:48" customFormat="1" ht="31.5">
      <c r="A70" s="107">
        <f t="shared" si="6"/>
        <v>51</v>
      </c>
      <c r="B70" s="276" t="s">
        <v>384</v>
      </c>
      <c r="C70" s="118" t="s">
        <v>190</v>
      </c>
      <c r="D70" s="118"/>
      <c r="E70" s="109" t="s">
        <v>218</v>
      </c>
      <c r="F70" s="118">
        <v>2</v>
      </c>
      <c r="G70" s="118">
        <v>3</v>
      </c>
      <c r="H70" s="118"/>
      <c r="I70" s="118"/>
      <c r="J70" s="118"/>
      <c r="K70" s="119"/>
      <c r="L70" s="113">
        <v>951740</v>
      </c>
      <c r="M70" s="113">
        <v>0</v>
      </c>
      <c r="N70" s="113">
        <v>0</v>
      </c>
      <c r="O70" s="113">
        <f t="shared" si="7"/>
        <v>951740</v>
      </c>
      <c r="P70" s="113">
        <v>0</v>
      </c>
      <c r="Q70" s="114" t="e">
        <f t="shared" si="8"/>
        <v>#DIV/0!</v>
      </c>
      <c r="R70" s="115"/>
      <c r="S70" s="316">
        <v>43100</v>
      </c>
    </row>
    <row r="71" spans="1:48" customFormat="1" ht="31.5">
      <c r="A71" s="107">
        <f t="shared" si="6"/>
        <v>52</v>
      </c>
      <c r="B71" s="275" t="s">
        <v>247</v>
      </c>
      <c r="C71" s="118">
        <v>1953</v>
      </c>
      <c r="D71" s="118"/>
      <c r="E71" s="109" t="s">
        <v>218</v>
      </c>
      <c r="F71" s="118">
        <v>3</v>
      </c>
      <c r="G71" s="118">
        <v>3</v>
      </c>
      <c r="H71" s="118"/>
      <c r="I71" s="118"/>
      <c r="J71" s="118"/>
      <c r="K71" s="119"/>
      <c r="L71" s="113">
        <v>2056139</v>
      </c>
      <c r="M71" s="113">
        <v>0</v>
      </c>
      <c r="N71" s="113">
        <v>0</v>
      </c>
      <c r="O71" s="113">
        <f t="shared" si="7"/>
        <v>2056139</v>
      </c>
      <c r="P71" s="113">
        <v>0</v>
      </c>
      <c r="Q71" s="114" t="e">
        <f t="shared" si="8"/>
        <v>#DIV/0!</v>
      </c>
      <c r="R71" s="115"/>
      <c r="S71" s="316">
        <v>43100</v>
      </c>
    </row>
    <row r="72" spans="1:48" customFormat="1" ht="31.5">
      <c r="A72" s="107">
        <f t="shared" si="6"/>
        <v>53</v>
      </c>
      <c r="B72" s="276" t="s">
        <v>274</v>
      </c>
      <c r="C72" s="107">
        <v>1958</v>
      </c>
      <c r="D72" s="108"/>
      <c r="E72" s="109" t="s">
        <v>218</v>
      </c>
      <c r="F72" s="108">
        <v>2</v>
      </c>
      <c r="G72" s="108">
        <v>2</v>
      </c>
      <c r="H72" s="117"/>
      <c r="I72" s="117"/>
      <c r="J72" s="117"/>
      <c r="K72" s="101"/>
      <c r="L72" s="113">
        <v>1321356</v>
      </c>
      <c r="M72" s="113">
        <v>0</v>
      </c>
      <c r="N72" s="113">
        <v>0</v>
      </c>
      <c r="O72" s="113">
        <f t="shared" si="7"/>
        <v>1321356</v>
      </c>
      <c r="P72" s="113">
        <v>0</v>
      </c>
      <c r="Q72" s="114" t="e">
        <f t="shared" si="8"/>
        <v>#DIV/0!</v>
      </c>
      <c r="R72" s="115"/>
      <c r="S72" s="316">
        <v>43100</v>
      </c>
    </row>
    <row r="73" spans="1:48" customFormat="1" ht="31.5">
      <c r="A73" s="107">
        <f t="shared" si="6"/>
        <v>54</v>
      </c>
      <c r="B73" s="276" t="s">
        <v>338</v>
      </c>
      <c r="C73" s="118">
        <v>1959</v>
      </c>
      <c r="D73" s="118"/>
      <c r="E73" s="109" t="s">
        <v>218</v>
      </c>
      <c r="F73" s="118">
        <v>2</v>
      </c>
      <c r="G73" s="118">
        <v>2</v>
      </c>
      <c r="H73" s="118"/>
      <c r="I73" s="118"/>
      <c r="J73" s="118"/>
      <c r="K73" s="119"/>
      <c r="L73" s="113">
        <v>1679278</v>
      </c>
      <c r="M73" s="113">
        <v>0</v>
      </c>
      <c r="N73" s="113">
        <v>0</v>
      </c>
      <c r="O73" s="113">
        <f t="shared" si="7"/>
        <v>1679278</v>
      </c>
      <c r="P73" s="113">
        <v>0</v>
      </c>
      <c r="Q73" s="114" t="e">
        <f t="shared" si="8"/>
        <v>#DIV/0!</v>
      </c>
      <c r="R73" s="115"/>
      <c r="S73" s="316">
        <v>43100</v>
      </c>
    </row>
    <row r="74" spans="1:48" customFormat="1" ht="31.5">
      <c r="A74" s="107">
        <f t="shared" si="6"/>
        <v>55</v>
      </c>
      <c r="B74" s="276" t="s">
        <v>272</v>
      </c>
      <c r="C74" s="118">
        <v>1959</v>
      </c>
      <c r="D74" s="118"/>
      <c r="E74" s="109" t="s">
        <v>218</v>
      </c>
      <c r="F74" s="118">
        <v>2</v>
      </c>
      <c r="G74" s="118">
        <v>2</v>
      </c>
      <c r="H74" s="118"/>
      <c r="I74" s="118"/>
      <c r="J74" s="118"/>
      <c r="K74" s="119"/>
      <c r="L74" s="113">
        <v>1100896</v>
      </c>
      <c r="M74" s="113">
        <v>0</v>
      </c>
      <c r="N74" s="113">
        <v>0</v>
      </c>
      <c r="O74" s="113">
        <f t="shared" si="7"/>
        <v>1100896</v>
      </c>
      <c r="P74" s="113">
        <v>0</v>
      </c>
      <c r="Q74" s="114" t="e">
        <f t="shared" si="8"/>
        <v>#DIV/0!</v>
      </c>
      <c r="R74" s="115"/>
      <c r="S74" s="316">
        <v>43100</v>
      </c>
    </row>
    <row r="75" spans="1:48" customFormat="1" ht="31.5">
      <c r="A75" s="107">
        <f t="shared" si="6"/>
        <v>56</v>
      </c>
      <c r="B75" s="276" t="s">
        <v>337</v>
      </c>
      <c r="C75" s="118">
        <v>1959</v>
      </c>
      <c r="D75" s="118"/>
      <c r="E75" s="109" t="s">
        <v>218</v>
      </c>
      <c r="F75" s="118">
        <v>2</v>
      </c>
      <c r="G75" s="118">
        <v>2</v>
      </c>
      <c r="H75" s="118"/>
      <c r="I75" s="118"/>
      <c r="J75" s="118"/>
      <c r="K75" s="119"/>
      <c r="L75" s="113">
        <v>1729707</v>
      </c>
      <c r="M75" s="113">
        <v>0</v>
      </c>
      <c r="N75" s="113">
        <v>0</v>
      </c>
      <c r="O75" s="113">
        <f t="shared" si="7"/>
        <v>1729707</v>
      </c>
      <c r="P75" s="113">
        <v>0</v>
      </c>
      <c r="Q75" s="114" t="e">
        <f t="shared" si="8"/>
        <v>#DIV/0!</v>
      </c>
      <c r="R75" s="115"/>
      <c r="S75" s="316">
        <v>43100</v>
      </c>
    </row>
    <row r="76" spans="1:48" customFormat="1" ht="31.5">
      <c r="A76" s="107">
        <f t="shared" si="6"/>
        <v>57</v>
      </c>
      <c r="B76" s="275" t="s">
        <v>257</v>
      </c>
      <c r="C76" s="118">
        <v>1959</v>
      </c>
      <c r="D76" s="118"/>
      <c r="E76" s="109" t="s">
        <v>218</v>
      </c>
      <c r="F76" s="118">
        <v>2</v>
      </c>
      <c r="G76" s="118">
        <v>2</v>
      </c>
      <c r="H76" s="118"/>
      <c r="I76" s="118"/>
      <c r="J76" s="118"/>
      <c r="K76" s="119"/>
      <c r="L76" s="113">
        <v>451222.57</v>
      </c>
      <c r="M76" s="113">
        <v>0</v>
      </c>
      <c r="N76" s="113">
        <v>0</v>
      </c>
      <c r="O76" s="113">
        <f t="shared" si="7"/>
        <v>451222.57</v>
      </c>
      <c r="P76" s="113">
        <v>0</v>
      </c>
      <c r="Q76" s="114" t="e">
        <f t="shared" si="8"/>
        <v>#DIV/0!</v>
      </c>
      <c r="R76" s="115"/>
      <c r="S76" s="316">
        <v>43100</v>
      </c>
    </row>
    <row r="77" spans="1:48" customFormat="1" ht="31.5">
      <c r="A77" s="107">
        <f t="shared" si="6"/>
        <v>58</v>
      </c>
      <c r="B77" s="276" t="s">
        <v>307</v>
      </c>
      <c r="C77" s="108">
        <v>1959</v>
      </c>
      <c r="D77" s="108"/>
      <c r="E77" s="109" t="s">
        <v>218</v>
      </c>
      <c r="F77" s="110">
        <v>2</v>
      </c>
      <c r="G77" s="110">
        <v>1</v>
      </c>
      <c r="H77" s="111"/>
      <c r="I77" s="111"/>
      <c r="J77" s="111"/>
      <c r="K77" s="112"/>
      <c r="L77" s="113">
        <v>703675.57</v>
      </c>
      <c r="M77" s="113">
        <v>0</v>
      </c>
      <c r="N77" s="113">
        <v>0</v>
      </c>
      <c r="O77" s="113">
        <f t="shared" si="7"/>
        <v>703675.57</v>
      </c>
      <c r="P77" s="113">
        <v>0</v>
      </c>
      <c r="Q77" s="114" t="e">
        <f t="shared" si="8"/>
        <v>#DIV/0!</v>
      </c>
      <c r="R77" s="115"/>
      <c r="S77" s="316">
        <v>43100</v>
      </c>
    </row>
    <row r="78" spans="1:48" customFormat="1" ht="31.5">
      <c r="A78" s="107">
        <f t="shared" si="6"/>
        <v>59</v>
      </c>
      <c r="B78" s="276" t="s">
        <v>268</v>
      </c>
      <c r="C78" s="118">
        <v>1959</v>
      </c>
      <c r="D78" s="118"/>
      <c r="E78" s="109" t="s">
        <v>218</v>
      </c>
      <c r="F78" s="118">
        <v>4</v>
      </c>
      <c r="G78" s="118">
        <v>3</v>
      </c>
      <c r="H78" s="118"/>
      <c r="I78" s="118"/>
      <c r="J78" s="118"/>
      <c r="K78" s="119"/>
      <c r="L78" s="113">
        <v>1053533.22</v>
      </c>
      <c r="M78" s="113">
        <v>0</v>
      </c>
      <c r="N78" s="113">
        <v>0</v>
      </c>
      <c r="O78" s="113">
        <f t="shared" si="7"/>
        <v>1053533.22</v>
      </c>
      <c r="P78" s="113">
        <v>0</v>
      </c>
      <c r="Q78" s="114" t="e">
        <f t="shared" si="8"/>
        <v>#DIV/0!</v>
      </c>
      <c r="R78" s="115"/>
      <c r="S78" s="316">
        <v>43100</v>
      </c>
    </row>
    <row r="79" spans="1:48" customFormat="1" ht="31.5">
      <c r="A79" s="107">
        <f t="shared" si="6"/>
        <v>60</v>
      </c>
      <c r="B79" s="275" t="s">
        <v>246</v>
      </c>
      <c r="C79" s="118">
        <v>1979</v>
      </c>
      <c r="D79" s="118"/>
      <c r="E79" s="109" t="s">
        <v>218</v>
      </c>
      <c r="F79" s="118">
        <v>9</v>
      </c>
      <c r="G79" s="118">
        <v>1</v>
      </c>
      <c r="H79" s="118"/>
      <c r="I79" s="118"/>
      <c r="J79" s="118"/>
      <c r="K79" s="119"/>
      <c r="L79" s="113">
        <v>1253738</v>
      </c>
      <c r="M79" s="113">
        <v>0</v>
      </c>
      <c r="N79" s="113">
        <v>0</v>
      </c>
      <c r="O79" s="113">
        <f t="shared" si="7"/>
        <v>1253738</v>
      </c>
      <c r="P79" s="113">
        <v>0</v>
      </c>
      <c r="Q79" s="114" t="e">
        <f t="shared" si="8"/>
        <v>#DIV/0!</v>
      </c>
      <c r="R79" s="115"/>
      <c r="S79" s="316">
        <v>43100</v>
      </c>
    </row>
    <row r="80" spans="1:48" customFormat="1" ht="15.75">
      <c r="A80" s="107">
        <f t="shared" si="6"/>
        <v>61</v>
      </c>
      <c r="B80" s="284" t="s">
        <v>470</v>
      </c>
      <c r="C80" s="108">
        <v>1984</v>
      </c>
      <c r="D80" s="108"/>
      <c r="E80" s="109" t="s">
        <v>219</v>
      </c>
      <c r="F80" s="110">
        <v>9</v>
      </c>
      <c r="G80" s="110">
        <v>1</v>
      </c>
      <c r="H80" s="111"/>
      <c r="I80" s="111"/>
      <c r="J80" s="111"/>
      <c r="K80" s="112"/>
      <c r="L80" s="113">
        <v>1870046</v>
      </c>
      <c r="M80" s="113">
        <v>0</v>
      </c>
      <c r="N80" s="113">
        <v>0</v>
      </c>
      <c r="O80" s="113">
        <f t="shared" si="7"/>
        <v>1870046</v>
      </c>
      <c r="P80" s="113">
        <v>0</v>
      </c>
      <c r="Q80" s="114" t="e">
        <f t="shared" si="8"/>
        <v>#DIV/0!</v>
      </c>
      <c r="R80" s="115"/>
      <c r="S80" s="316">
        <v>43100</v>
      </c>
    </row>
    <row r="81" spans="1:19" customFormat="1" ht="15.75">
      <c r="A81" s="107">
        <f t="shared" si="6"/>
        <v>62</v>
      </c>
      <c r="B81" s="276" t="s">
        <v>350</v>
      </c>
      <c r="C81" s="108">
        <v>1984</v>
      </c>
      <c r="D81" s="108"/>
      <c r="E81" s="109" t="s">
        <v>219</v>
      </c>
      <c r="F81" s="110">
        <v>9</v>
      </c>
      <c r="G81" s="110">
        <v>2</v>
      </c>
      <c r="H81" s="111"/>
      <c r="I81" s="111"/>
      <c r="J81" s="111"/>
      <c r="K81" s="112"/>
      <c r="L81" s="113">
        <v>3720676</v>
      </c>
      <c r="M81" s="113">
        <v>0</v>
      </c>
      <c r="N81" s="113">
        <v>0</v>
      </c>
      <c r="O81" s="113">
        <f t="shared" si="7"/>
        <v>3720676</v>
      </c>
      <c r="P81" s="113">
        <v>0</v>
      </c>
      <c r="Q81" s="114" t="e">
        <f t="shared" si="8"/>
        <v>#DIV/0!</v>
      </c>
      <c r="R81" s="115"/>
      <c r="S81" s="316">
        <v>43100</v>
      </c>
    </row>
    <row r="82" spans="1:19" customFormat="1" ht="31.5">
      <c r="A82" s="107">
        <f t="shared" si="6"/>
        <v>63</v>
      </c>
      <c r="B82" s="276" t="s">
        <v>251</v>
      </c>
      <c r="C82" s="118">
        <v>1977</v>
      </c>
      <c r="D82" s="118"/>
      <c r="E82" s="109" t="s">
        <v>218</v>
      </c>
      <c r="F82" s="118">
        <v>5</v>
      </c>
      <c r="G82" s="118">
        <v>6</v>
      </c>
      <c r="H82" s="118"/>
      <c r="I82" s="118"/>
      <c r="J82" s="118"/>
      <c r="K82" s="119"/>
      <c r="L82" s="113">
        <v>3687908</v>
      </c>
      <c r="M82" s="113">
        <v>0</v>
      </c>
      <c r="N82" s="113">
        <v>0</v>
      </c>
      <c r="O82" s="113">
        <f t="shared" si="7"/>
        <v>3687908</v>
      </c>
      <c r="P82" s="113">
        <v>0</v>
      </c>
      <c r="Q82" s="114" t="e">
        <f t="shared" si="8"/>
        <v>#DIV/0!</v>
      </c>
      <c r="R82" s="115"/>
      <c r="S82" s="316">
        <v>43100</v>
      </c>
    </row>
    <row r="83" spans="1:19" customFormat="1" ht="31.5">
      <c r="A83" s="107">
        <f t="shared" si="6"/>
        <v>64</v>
      </c>
      <c r="B83" s="276" t="s">
        <v>226</v>
      </c>
      <c r="C83" s="118">
        <v>1933</v>
      </c>
      <c r="D83" s="118"/>
      <c r="E83" s="109" t="s">
        <v>218</v>
      </c>
      <c r="F83" s="118">
        <v>4</v>
      </c>
      <c r="G83" s="118">
        <v>5</v>
      </c>
      <c r="H83" s="118"/>
      <c r="I83" s="118"/>
      <c r="J83" s="118"/>
      <c r="K83" s="119"/>
      <c r="L83" s="113">
        <v>1760967.35</v>
      </c>
      <c r="M83" s="113">
        <v>0</v>
      </c>
      <c r="N83" s="113">
        <v>0</v>
      </c>
      <c r="O83" s="113">
        <f t="shared" si="7"/>
        <v>1760967.35</v>
      </c>
      <c r="P83" s="113">
        <v>0</v>
      </c>
      <c r="Q83" s="114" t="e">
        <f t="shared" si="8"/>
        <v>#DIV/0!</v>
      </c>
      <c r="R83" s="115"/>
      <c r="S83" s="316">
        <v>43100</v>
      </c>
    </row>
    <row r="84" spans="1:19" customFormat="1" ht="31.5">
      <c r="A84" s="107">
        <f t="shared" si="6"/>
        <v>65</v>
      </c>
      <c r="B84" s="276" t="s">
        <v>271</v>
      </c>
      <c r="C84" s="118">
        <v>1961</v>
      </c>
      <c r="D84" s="118"/>
      <c r="E84" s="109" t="s">
        <v>218</v>
      </c>
      <c r="F84" s="118">
        <v>5</v>
      </c>
      <c r="G84" s="118">
        <v>4</v>
      </c>
      <c r="H84" s="118"/>
      <c r="I84" s="118"/>
      <c r="J84" s="118"/>
      <c r="K84" s="119"/>
      <c r="L84" s="113">
        <v>881947</v>
      </c>
      <c r="M84" s="113">
        <v>0</v>
      </c>
      <c r="N84" s="113">
        <v>0</v>
      </c>
      <c r="O84" s="113">
        <f t="shared" ref="O84:O115" si="9">L84</f>
        <v>881947</v>
      </c>
      <c r="P84" s="113">
        <v>0</v>
      </c>
      <c r="Q84" s="114" t="e">
        <f t="shared" ref="Q84:Q115" si="10">L84/I84</f>
        <v>#DIV/0!</v>
      </c>
      <c r="R84" s="115"/>
      <c r="S84" s="316">
        <v>43100</v>
      </c>
    </row>
    <row r="85" spans="1:19" customFormat="1" ht="31.5">
      <c r="A85" s="107">
        <f t="shared" si="6"/>
        <v>66</v>
      </c>
      <c r="B85" s="276" t="s">
        <v>287</v>
      </c>
      <c r="C85" s="108">
        <v>1960</v>
      </c>
      <c r="D85" s="108"/>
      <c r="E85" s="109" t="s">
        <v>218</v>
      </c>
      <c r="F85" s="110">
        <v>2</v>
      </c>
      <c r="G85" s="110">
        <v>2</v>
      </c>
      <c r="H85" s="111"/>
      <c r="I85" s="111"/>
      <c r="J85" s="111"/>
      <c r="K85" s="112"/>
      <c r="L85" s="113">
        <v>517739</v>
      </c>
      <c r="M85" s="113">
        <v>0</v>
      </c>
      <c r="N85" s="113">
        <v>0</v>
      </c>
      <c r="O85" s="113">
        <f t="shared" si="9"/>
        <v>517739</v>
      </c>
      <c r="P85" s="113">
        <v>0</v>
      </c>
      <c r="Q85" s="114" t="e">
        <f t="shared" si="10"/>
        <v>#DIV/0!</v>
      </c>
      <c r="R85" s="115"/>
      <c r="S85" s="316">
        <v>43100</v>
      </c>
    </row>
    <row r="86" spans="1:19" customFormat="1" ht="31.5">
      <c r="A86" s="107">
        <f t="shared" ref="A86:A149" si="11">A85+1</f>
        <v>67</v>
      </c>
      <c r="B86" s="275" t="s">
        <v>289</v>
      </c>
      <c r="C86" s="108">
        <v>1966</v>
      </c>
      <c r="D86" s="108"/>
      <c r="E86" s="109" t="s">
        <v>218</v>
      </c>
      <c r="F86" s="110">
        <v>5</v>
      </c>
      <c r="G86" s="110">
        <v>4</v>
      </c>
      <c r="H86" s="111"/>
      <c r="I86" s="111"/>
      <c r="J86" s="111"/>
      <c r="K86" s="112"/>
      <c r="L86" s="113">
        <v>1728895</v>
      </c>
      <c r="M86" s="113">
        <v>0</v>
      </c>
      <c r="N86" s="113">
        <v>0</v>
      </c>
      <c r="O86" s="113">
        <f t="shared" si="9"/>
        <v>1728895</v>
      </c>
      <c r="P86" s="113">
        <v>0</v>
      </c>
      <c r="Q86" s="114" t="e">
        <f t="shared" si="10"/>
        <v>#DIV/0!</v>
      </c>
      <c r="R86" s="115"/>
      <c r="S86" s="316">
        <v>43100</v>
      </c>
    </row>
    <row r="87" spans="1:19" customFormat="1" ht="15.75">
      <c r="A87" s="107">
        <f t="shared" si="11"/>
        <v>68</v>
      </c>
      <c r="B87" s="276" t="s">
        <v>259</v>
      </c>
      <c r="C87" s="118">
        <v>1925</v>
      </c>
      <c r="D87" s="118"/>
      <c r="E87" s="109" t="s">
        <v>221</v>
      </c>
      <c r="F87" s="118">
        <v>2</v>
      </c>
      <c r="G87" s="118">
        <v>2</v>
      </c>
      <c r="H87" s="118"/>
      <c r="I87" s="118"/>
      <c r="J87" s="118"/>
      <c r="K87" s="119"/>
      <c r="L87" s="113">
        <v>682529</v>
      </c>
      <c r="M87" s="113">
        <v>0</v>
      </c>
      <c r="N87" s="113">
        <v>0</v>
      </c>
      <c r="O87" s="113">
        <f t="shared" si="9"/>
        <v>682529</v>
      </c>
      <c r="P87" s="113">
        <v>0</v>
      </c>
      <c r="Q87" s="114" t="e">
        <f t="shared" si="10"/>
        <v>#DIV/0!</v>
      </c>
      <c r="R87" s="115"/>
      <c r="S87" s="316">
        <v>43100</v>
      </c>
    </row>
    <row r="88" spans="1:19" customFormat="1" ht="15.75">
      <c r="A88" s="107">
        <f t="shared" si="11"/>
        <v>69</v>
      </c>
      <c r="B88" s="276" t="s">
        <v>291</v>
      </c>
      <c r="C88" s="108">
        <v>1900</v>
      </c>
      <c r="D88" s="108"/>
      <c r="E88" s="109" t="s">
        <v>221</v>
      </c>
      <c r="F88" s="110">
        <v>2</v>
      </c>
      <c r="G88" s="110">
        <v>2</v>
      </c>
      <c r="H88" s="111"/>
      <c r="I88" s="111"/>
      <c r="J88" s="111"/>
      <c r="K88" s="112"/>
      <c r="L88" s="113">
        <v>582157</v>
      </c>
      <c r="M88" s="113">
        <v>0</v>
      </c>
      <c r="N88" s="113">
        <v>0</v>
      </c>
      <c r="O88" s="113">
        <f t="shared" si="9"/>
        <v>582157</v>
      </c>
      <c r="P88" s="113">
        <v>0</v>
      </c>
      <c r="Q88" s="114" t="e">
        <f t="shared" si="10"/>
        <v>#DIV/0!</v>
      </c>
      <c r="R88" s="115"/>
      <c r="S88" s="316">
        <v>43100</v>
      </c>
    </row>
    <row r="89" spans="1:19" customFormat="1" ht="31.5">
      <c r="A89" s="107">
        <f t="shared" si="11"/>
        <v>70</v>
      </c>
      <c r="B89" s="276" t="s">
        <v>224</v>
      </c>
      <c r="C89" s="118">
        <v>1934</v>
      </c>
      <c r="D89" s="118"/>
      <c r="E89" s="109" t="s">
        <v>218</v>
      </c>
      <c r="F89" s="118">
        <v>3</v>
      </c>
      <c r="G89" s="118">
        <v>5</v>
      </c>
      <c r="H89" s="118"/>
      <c r="I89" s="118"/>
      <c r="J89" s="118"/>
      <c r="K89" s="119"/>
      <c r="L89" s="113">
        <v>701704</v>
      </c>
      <c r="M89" s="113">
        <v>0</v>
      </c>
      <c r="N89" s="113">
        <v>0</v>
      </c>
      <c r="O89" s="113">
        <f t="shared" si="9"/>
        <v>701704</v>
      </c>
      <c r="P89" s="113">
        <v>0</v>
      </c>
      <c r="Q89" s="114" t="e">
        <f t="shared" si="10"/>
        <v>#DIV/0!</v>
      </c>
      <c r="R89" s="115"/>
      <c r="S89" s="316">
        <v>43100</v>
      </c>
    </row>
    <row r="90" spans="1:19" customFormat="1" ht="15.75">
      <c r="A90" s="107">
        <f t="shared" si="11"/>
        <v>71</v>
      </c>
      <c r="B90" s="276" t="s">
        <v>261</v>
      </c>
      <c r="C90" s="118">
        <v>1970</v>
      </c>
      <c r="D90" s="118"/>
      <c r="E90" s="109" t="s">
        <v>219</v>
      </c>
      <c r="F90" s="118">
        <v>5</v>
      </c>
      <c r="G90" s="118">
        <v>6</v>
      </c>
      <c r="H90" s="118"/>
      <c r="I90" s="118"/>
      <c r="J90" s="118"/>
      <c r="K90" s="119"/>
      <c r="L90" s="113">
        <v>1969149</v>
      </c>
      <c r="M90" s="113">
        <v>0</v>
      </c>
      <c r="N90" s="113">
        <v>0</v>
      </c>
      <c r="O90" s="113">
        <f t="shared" si="9"/>
        <v>1969149</v>
      </c>
      <c r="P90" s="113">
        <v>0</v>
      </c>
      <c r="Q90" s="114" t="e">
        <f t="shared" si="10"/>
        <v>#DIV/0!</v>
      </c>
      <c r="R90" s="115"/>
      <c r="S90" s="316">
        <v>43100</v>
      </c>
    </row>
    <row r="91" spans="1:19" customFormat="1" ht="31.5">
      <c r="A91" s="107">
        <f t="shared" si="11"/>
        <v>72</v>
      </c>
      <c r="B91" s="276" t="s">
        <v>239</v>
      </c>
      <c r="C91" s="118">
        <v>1956</v>
      </c>
      <c r="D91" s="118"/>
      <c r="E91" s="109" t="s">
        <v>218</v>
      </c>
      <c r="F91" s="118">
        <v>3</v>
      </c>
      <c r="G91" s="118">
        <v>3</v>
      </c>
      <c r="H91" s="118"/>
      <c r="I91" s="118"/>
      <c r="J91" s="118"/>
      <c r="K91" s="119"/>
      <c r="L91" s="113">
        <v>1023088</v>
      </c>
      <c r="M91" s="113">
        <v>0</v>
      </c>
      <c r="N91" s="113">
        <v>0</v>
      </c>
      <c r="O91" s="113">
        <f t="shared" si="9"/>
        <v>1023088</v>
      </c>
      <c r="P91" s="113">
        <v>0</v>
      </c>
      <c r="Q91" s="114" t="e">
        <f t="shared" si="10"/>
        <v>#DIV/0!</v>
      </c>
      <c r="R91" s="115"/>
      <c r="S91" s="316">
        <v>43100</v>
      </c>
    </row>
    <row r="92" spans="1:19" customFormat="1" ht="31.5">
      <c r="A92" s="107">
        <f t="shared" si="11"/>
        <v>73</v>
      </c>
      <c r="B92" s="276" t="s">
        <v>336</v>
      </c>
      <c r="C92" s="118">
        <v>1957</v>
      </c>
      <c r="D92" s="118"/>
      <c r="E92" s="109" t="s">
        <v>218</v>
      </c>
      <c r="F92" s="118">
        <v>3</v>
      </c>
      <c r="G92" s="118">
        <v>3</v>
      </c>
      <c r="H92" s="118"/>
      <c r="I92" s="118"/>
      <c r="J92" s="118"/>
      <c r="K92" s="119"/>
      <c r="L92" s="113">
        <v>3334570</v>
      </c>
      <c r="M92" s="113">
        <v>0</v>
      </c>
      <c r="N92" s="113">
        <v>0</v>
      </c>
      <c r="O92" s="113">
        <f t="shared" si="9"/>
        <v>3334570</v>
      </c>
      <c r="P92" s="113">
        <v>0</v>
      </c>
      <c r="Q92" s="114" t="e">
        <f t="shared" si="10"/>
        <v>#DIV/0!</v>
      </c>
      <c r="R92" s="115"/>
      <c r="S92" s="316">
        <v>43100</v>
      </c>
    </row>
    <row r="93" spans="1:19" customFormat="1" ht="31.5">
      <c r="A93" s="107">
        <f t="shared" si="11"/>
        <v>74</v>
      </c>
      <c r="B93" s="276" t="s">
        <v>306</v>
      </c>
      <c r="C93" s="108">
        <v>1970</v>
      </c>
      <c r="D93" s="108"/>
      <c r="E93" s="109" t="s">
        <v>218</v>
      </c>
      <c r="F93" s="110">
        <v>5</v>
      </c>
      <c r="G93" s="110">
        <v>2</v>
      </c>
      <c r="H93" s="111"/>
      <c r="I93" s="111"/>
      <c r="J93" s="111"/>
      <c r="K93" s="112"/>
      <c r="L93" s="113">
        <v>1127374.33</v>
      </c>
      <c r="M93" s="113">
        <v>0</v>
      </c>
      <c r="N93" s="113">
        <v>0</v>
      </c>
      <c r="O93" s="113">
        <f t="shared" si="9"/>
        <v>1127374.33</v>
      </c>
      <c r="P93" s="113">
        <v>0</v>
      </c>
      <c r="Q93" s="114" t="e">
        <f t="shared" si="10"/>
        <v>#DIV/0!</v>
      </c>
      <c r="R93" s="115"/>
      <c r="S93" s="316">
        <v>43100</v>
      </c>
    </row>
    <row r="94" spans="1:19" customFormat="1" ht="15.75">
      <c r="A94" s="107">
        <f t="shared" si="11"/>
        <v>75</v>
      </c>
      <c r="B94" s="275" t="s">
        <v>234</v>
      </c>
      <c r="C94" s="118">
        <v>1968</v>
      </c>
      <c r="D94" s="118"/>
      <c r="E94" s="109" t="s">
        <v>219</v>
      </c>
      <c r="F94" s="118">
        <v>5</v>
      </c>
      <c r="G94" s="118">
        <v>6</v>
      </c>
      <c r="H94" s="111"/>
      <c r="I94" s="118"/>
      <c r="J94" s="118"/>
      <c r="K94" s="119"/>
      <c r="L94" s="113">
        <v>1161456</v>
      </c>
      <c r="M94" s="113">
        <v>0</v>
      </c>
      <c r="N94" s="113">
        <v>0</v>
      </c>
      <c r="O94" s="113">
        <f t="shared" si="9"/>
        <v>1161456</v>
      </c>
      <c r="P94" s="113">
        <v>0</v>
      </c>
      <c r="Q94" s="114" t="e">
        <f t="shared" si="10"/>
        <v>#DIV/0!</v>
      </c>
      <c r="R94" s="115"/>
      <c r="S94" s="316">
        <v>43100</v>
      </c>
    </row>
    <row r="95" spans="1:19" customFormat="1" ht="31.5">
      <c r="A95" s="107">
        <f t="shared" si="11"/>
        <v>76</v>
      </c>
      <c r="B95" s="275" t="s">
        <v>277</v>
      </c>
      <c r="C95" s="107">
        <v>1971</v>
      </c>
      <c r="D95" s="108"/>
      <c r="E95" s="109" t="s">
        <v>218</v>
      </c>
      <c r="F95" s="108">
        <v>5</v>
      </c>
      <c r="G95" s="108">
        <v>4</v>
      </c>
      <c r="H95" s="117"/>
      <c r="I95" s="117"/>
      <c r="J95" s="117"/>
      <c r="K95" s="101"/>
      <c r="L95" s="113">
        <v>1197250.23</v>
      </c>
      <c r="M95" s="113">
        <v>0</v>
      </c>
      <c r="N95" s="113">
        <v>0</v>
      </c>
      <c r="O95" s="113">
        <f t="shared" si="9"/>
        <v>1197250.23</v>
      </c>
      <c r="P95" s="113">
        <v>0</v>
      </c>
      <c r="Q95" s="114" t="e">
        <f t="shared" si="10"/>
        <v>#DIV/0!</v>
      </c>
      <c r="R95" s="115"/>
      <c r="S95" s="316">
        <v>43100</v>
      </c>
    </row>
    <row r="96" spans="1:19" customFormat="1" ht="31.5">
      <c r="A96" s="107">
        <f t="shared" si="11"/>
        <v>77</v>
      </c>
      <c r="B96" s="276" t="s">
        <v>303</v>
      </c>
      <c r="C96" s="108">
        <v>1954</v>
      </c>
      <c r="D96" s="108"/>
      <c r="E96" s="109" t="s">
        <v>218</v>
      </c>
      <c r="F96" s="110">
        <v>4</v>
      </c>
      <c r="G96" s="110">
        <v>3</v>
      </c>
      <c r="H96" s="111"/>
      <c r="I96" s="111"/>
      <c r="J96" s="111"/>
      <c r="K96" s="112"/>
      <c r="L96" s="113">
        <v>2784233</v>
      </c>
      <c r="M96" s="113">
        <v>0</v>
      </c>
      <c r="N96" s="113">
        <v>0</v>
      </c>
      <c r="O96" s="113">
        <f t="shared" si="9"/>
        <v>2784233</v>
      </c>
      <c r="P96" s="113">
        <v>0</v>
      </c>
      <c r="Q96" s="114" t="e">
        <f t="shared" si="10"/>
        <v>#DIV/0!</v>
      </c>
      <c r="R96" s="115"/>
      <c r="S96" s="316">
        <v>43100</v>
      </c>
    </row>
    <row r="97" spans="1:30" customFormat="1" ht="31.5">
      <c r="A97" s="107">
        <f t="shared" si="11"/>
        <v>78</v>
      </c>
      <c r="B97" s="276" t="s">
        <v>293</v>
      </c>
      <c r="C97" s="108">
        <v>1968</v>
      </c>
      <c r="D97" s="108"/>
      <c r="E97" s="109" t="s">
        <v>218</v>
      </c>
      <c r="F97" s="110">
        <v>5</v>
      </c>
      <c r="G97" s="110">
        <v>4</v>
      </c>
      <c r="H97" s="111"/>
      <c r="I97" s="111"/>
      <c r="J97" s="111"/>
      <c r="K97" s="112"/>
      <c r="L97" s="113">
        <v>2369961</v>
      </c>
      <c r="M97" s="113">
        <v>0</v>
      </c>
      <c r="N97" s="113">
        <v>0</v>
      </c>
      <c r="O97" s="113">
        <f t="shared" si="9"/>
        <v>2369961</v>
      </c>
      <c r="P97" s="113">
        <v>0</v>
      </c>
      <c r="Q97" s="114" t="e">
        <f t="shared" si="10"/>
        <v>#DIV/0!</v>
      </c>
      <c r="R97" s="115"/>
      <c r="S97" s="316">
        <v>43100</v>
      </c>
    </row>
    <row r="98" spans="1:30" customFormat="1" ht="31.5">
      <c r="A98" s="107">
        <f t="shared" si="11"/>
        <v>79</v>
      </c>
      <c r="B98" s="275" t="s">
        <v>463</v>
      </c>
      <c r="C98" s="107">
        <v>1959</v>
      </c>
      <c r="D98" s="108"/>
      <c r="E98" s="109" t="s">
        <v>218</v>
      </c>
      <c r="F98" s="108">
        <v>2</v>
      </c>
      <c r="G98" s="108">
        <v>1</v>
      </c>
      <c r="H98" s="117"/>
      <c r="I98" s="117"/>
      <c r="J98" s="117"/>
      <c r="K98" s="101"/>
      <c r="L98" s="113">
        <v>672819</v>
      </c>
      <c r="M98" s="113">
        <v>0</v>
      </c>
      <c r="N98" s="113">
        <v>0</v>
      </c>
      <c r="O98" s="113">
        <f t="shared" si="9"/>
        <v>672819</v>
      </c>
      <c r="P98" s="113">
        <v>0</v>
      </c>
      <c r="Q98" s="114" t="e">
        <f t="shared" si="10"/>
        <v>#DIV/0!</v>
      </c>
      <c r="R98" s="115"/>
      <c r="S98" s="316">
        <v>43100</v>
      </c>
    </row>
    <row r="99" spans="1:30" customFormat="1" ht="15.75">
      <c r="A99" s="107">
        <f t="shared" si="11"/>
        <v>80</v>
      </c>
      <c r="B99" s="276" t="s">
        <v>340</v>
      </c>
      <c r="C99" s="107">
        <v>1968</v>
      </c>
      <c r="D99" s="108"/>
      <c r="E99" s="109" t="s">
        <v>219</v>
      </c>
      <c r="F99" s="108">
        <v>5</v>
      </c>
      <c r="G99" s="108">
        <v>5</v>
      </c>
      <c r="H99" s="117"/>
      <c r="I99" s="117"/>
      <c r="J99" s="117"/>
      <c r="K99" s="101"/>
      <c r="L99" s="113">
        <v>1651491</v>
      </c>
      <c r="M99" s="113">
        <v>0</v>
      </c>
      <c r="N99" s="113">
        <v>0</v>
      </c>
      <c r="O99" s="113">
        <f t="shared" si="9"/>
        <v>1651491</v>
      </c>
      <c r="P99" s="113">
        <v>0</v>
      </c>
      <c r="Q99" s="114" t="e">
        <f t="shared" si="10"/>
        <v>#DIV/0!</v>
      </c>
      <c r="R99" s="115"/>
      <c r="S99" s="316">
        <v>43100</v>
      </c>
    </row>
    <row r="100" spans="1:30" customFormat="1" ht="31.5">
      <c r="A100" s="107">
        <f t="shared" si="11"/>
        <v>81</v>
      </c>
      <c r="B100" s="275" t="s">
        <v>254</v>
      </c>
      <c r="C100" s="118">
        <v>1962</v>
      </c>
      <c r="D100" s="118"/>
      <c r="E100" s="109" t="s">
        <v>218</v>
      </c>
      <c r="F100" s="118">
        <v>3</v>
      </c>
      <c r="G100" s="118">
        <v>3</v>
      </c>
      <c r="H100" s="118"/>
      <c r="I100" s="118"/>
      <c r="J100" s="118"/>
      <c r="K100" s="119"/>
      <c r="L100" s="113">
        <v>1432926</v>
      </c>
      <c r="M100" s="113">
        <v>0</v>
      </c>
      <c r="N100" s="113">
        <v>0</v>
      </c>
      <c r="O100" s="113">
        <f t="shared" si="9"/>
        <v>1432926</v>
      </c>
      <c r="P100" s="113">
        <v>0</v>
      </c>
      <c r="Q100" s="114" t="e">
        <f t="shared" si="10"/>
        <v>#DIV/0!</v>
      </c>
      <c r="R100" s="115"/>
      <c r="S100" s="316">
        <v>43100</v>
      </c>
    </row>
    <row r="101" spans="1:30" customFormat="1" ht="31.5">
      <c r="A101" s="107">
        <f t="shared" si="11"/>
        <v>82</v>
      </c>
      <c r="B101" s="275" t="s">
        <v>343</v>
      </c>
      <c r="C101" s="107">
        <v>1955</v>
      </c>
      <c r="D101" s="108"/>
      <c r="E101" s="109" t="s">
        <v>218</v>
      </c>
      <c r="F101" s="108">
        <v>2</v>
      </c>
      <c r="G101" s="108">
        <v>2</v>
      </c>
      <c r="H101" s="117"/>
      <c r="I101" s="117"/>
      <c r="J101" s="117"/>
      <c r="K101" s="101"/>
      <c r="L101" s="113">
        <v>1137886</v>
      </c>
      <c r="M101" s="113">
        <v>0</v>
      </c>
      <c r="N101" s="113">
        <v>0</v>
      </c>
      <c r="O101" s="113">
        <f t="shared" si="9"/>
        <v>1137886</v>
      </c>
      <c r="P101" s="113">
        <v>0</v>
      </c>
      <c r="Q101" s="114" t="e">
        <f t="shared" si="10"/>
        <v>#DIV/0!</v>
      </c>
      <c r="R101" s="115"/>
      <c r="S101" s="316">
        <v>43100</v>
      </c>
    </row>
    <row r="102" spans="1:30" customFormat="1" ht="31.5">
      <c r="A102" s="107">
        <f t="shared" si="11"/>
        <v>83</v>
      </c>
      <c r="B102" s="276" t="s">
        <v>305</v>
      </c>
      <c r="C102" s="108">
        <v>1971</v>
      </c>
      <c r="D102" s="108"/>
      <c r="E102" s="109" t="s">
        <v>218</v>
      </c>
      <c r="F102" s="110">
        <v>5</v>
      </c>
      <c r="G102" s="110">
        <v>4</v>
      </c>
      <c r="H102" s="111"/>
      <c r="I102" s="111"/>
      <c r="J102" s="111"/>
      <c r="K102" s="112"/>
      <c r="L102" s="113">
        <v>1814838</v>
      </c>
      <c r="M102" s="113">
        <v>0</v>
      </c>
      <c r="N102" s="113">
        <v>0</v>
      </c>
      <c r="O102" s="113">
        <f t="shared" si="9"/>
        <v>1814838</v>
      </c>
      <c r="P102" s="113">
        <v>0</v>
      </c>
      <c r="Q102" s="114" t="e">
        <f t="shared" si="10"/>
        <v>#DIV/0!</v>
      </c>
      <c r="R102" s="115"/>
      <c r="S102" s="316">
        <v>43100</v>
      </c>
    </row>
    <row r="103" spans="1:30" customFormat="1" ht="31.5">
      <c r="A103" s="107">
        <f t="shared" si="11"/>
        <v>84</v>
      </c>
      <c r="B103" s="276" t="s">
        <v>345</v>
      </c>
      <c r="C103" s="108">
        <v>1970</v>
      </c>
      <c r="D103" s="108"/>
      <c r="E103" s="109" t="s">
        <v>218</v>
      </c>
      <c r="F103" s="110">
        <v>5</v>
      </c>
      <c r="G103" s="110">
        <v>4</v>
      </c>
      <c r="H103" s="111"/>
      <c r="I103" s="111"/>
      <c r="J103" s="111"/>
      <c r="K103" s="112"/>
      <c r="L103" s="113">
        <v>1544359.54</v>
      </c>
      <c r="M103" s="113">
        <v>0</v>
      </c>
      <c r="N103" s="113">
        <v>0</v>
      </c>
      <c r="O103" s="113">
        <f t="shared" si="9"/>
        <v>1544359.54</v>
      </c>
      <c r="P103" s="113">
        <v>0</v>
      </c>
      <c r="Q103" s="114" t="e">
        <f t="shared" si="10"/>
        <v>#DIV/0!</v>
      </c>
      <c r="R103" s="115"/>
      <c r="S103" s="316">
        <v>43100</v>
      </c>
    </row>
    <row r="104" spans="1:30" customFormat="1" ht="31.5">
      <c r="A104" s="107">
        <f t="shared" si="11"/>
        <v>85</v>
      </c>
      <c r="B104" s="275" t="s">
        <v>447</v>
      </c>
      <c r="C104" s="108">
        <v>1987</v>
      </c>
      <c r="D104" s="108"/>
      <c r="E104" s="109" t="s">
        <v>219</v>
      </c>
      <c r="F104" s="110">
        <v>9</v>
      </c>
      <c r="G104" s="110">
        <v>1</v>
      </c>
      <c r="H104" s="111"/>
      <c r="I104" s="111"/>
      <c r="J104" s="111"/>
      <c r="K104" s="112"/>
      <c r="L104" s="113">
        <v>1787034</v>
      </c>
      <c r="M104" s="113">
        <v>0</v>
      </c>
      <c r="N104" s="113">
        <v>0</v>
      </c>
      <c r="O104" s="113">
        <f t="shared" si="9"/>
        <v>1787034</v>
      </c>
      <c r="P104" s="113">
        <v>0</v>
      </c>
      <c r="Q104" s="114" t="e">
        <f t="shared" si="10"/>
        <v>#DIV/0!</v>
      </c>
      <c r="R104" s="115"/>
      <c r="S104" s="316">
        <v>43100</v>
      </c>
    </row>
    <row r="105" spans="1:30" customFormat="1" ht="31.5">
      <c r="A105" s="107">
        <f t="shared" si="11"/>
        <v>86</v>
      </c>
      <c r="B105" s="275" t="s">
        <v>223</v>
      </c>
      <c r="C105" s="118">
        <v>1983</v>
      </c>
      <c r="D105" s="118"/>
      <c r="E105" s="109" t="s">
        <v>219</v>
      </c>
      <c r="F105" s="118">
        <v>9</v>
      </c>
      <c r="G105" s="118">
        <v>4</v>
      </c>
      <c r="H105" s="118"/>
      <c r="I105" s="118"/>
      <c r="J105" s="118"/>
      <c r="K105" s="119"/>
      <c r="L105" s="113">
        <v>437998.57</v>
      </c>
      <c r="M105" s="113">
        <v>0</v>
      </c>
      <c r="N105" s="113">
        <v>0</v>
      </c>
      <c r="O105" s="113">
        <f t="shared" si="9"/>
        <v>437998.57</v>
      </c>
      <c r="P105" s="113">
        <v>0</v>
      </c>
      <c r="Q105" s="114" t="e">
        <f t="shared" si="10"/>
        <v>#DIV/0!</v>
      </c>
      <c r="R105" s="115"/>
      <c r="S105" s="316">
        <v>43100</v>
      </c>
      <c r="T105" s="3"/>
      <c r="U105" s="3"/>
      <c r="V105" s="3"/>
      <c r="W105" s="3"/>
      <c r="X105" s="3"/>
      <c r="Y105" s="3"/>
    </row>
    <row r="106" spans="1:30" customFormat="1" ht="31.5">
      <c r="A106" s="107">
        <f t="shared" si="11"/>
        <v>87</v>
      </c>
      <c r="B106" s="275" t="s">
        <v>446</v>
      </c>
      <c r="C106" s="108">
        <v>1976</v>
      </c>
      <c r="D106" s="108"/>
      <c r="E106" s="109" t="s">
        <v>219</v>
      </c>
      <c r="F106" s="110">
        <v>5</v>
      </c>
      <c r="G106" s="110">
        <v>4</v>
      </c>
      <c r="H106" s="111"/>
      <c r="I106" s="111"/>
      <c r="J106" s="111"/>
      <c r="K106" s="112"/>
      <c r="L106" s="113">
        <v>1116228</v>
      </c>
      <c r="M106" s="113">
        <v>0</v>
      </c>
      <c r="N106" s="113">
        <v>0</v>
      </c>
      <c r="O106" s="113">
        <f t="shared" si="9"/>
        <v>1116228</v>
      </c>
      <c r="P106" s="113">
        <v>0</v>
      </c>
      <c r="Q106" s="114" t="e">
        <f t="shared" si="10"/>
        <v>#DIV/0!</v>
      </c>
      <c r="R106" s="115"/>
      <c r="S106" s="316">
        <v>43100</v>
      </c>
      <c r="Z106" s="3"/>
      <c r="AA106" s="3"/>
      <c r="AB106" s="3"/>
      <c r="AC106" s="3"/>
      <c r="AD106" s="3"/>
    </row>
    <row r="107" spans="1:30" customFormat="1" ht="31.5">
      <c r="A107" s="107">
        <f t="shared" si="11"/>
        <v>88</v>
      </c>
      <c r="B107" s="275" t="s">
        <v>448</v>
      </c>
      <c r="C107" s="108">
        <v>1983</v>
      </c>
      <c r="D107" s="108"/>
      <c r="E107" s="109" t="s">
        <v>219</v>
      </c>
      <c r="F107" s="110">
        <v>5</v>
      </c>
      <c r="G107" s="110">
        <v>3</v>
      </c>
      <c r="H107" s="111"/>
      <c r="I107" s="111"/>
      <c r="J107" s="111"/>
      <c r="K107" s="112"/>
      <c r="L107" s="113">
        <v>1313728</v>
      </c>
      <c r="M107" s="113">
        <v>0</v>
      </c>
      <c r="N107" s="113">
        <v>0</v>
      </c>
      <c r="O107" s="113">
        <f t="shared" si="9"/>
        <v>1313728</v>
      </c>
      <c r="P107" s="113">
        <v>0</v>
      </c>
      <c r="Q107" s="114" t="e">
        <f t="shared" si="10"/>
        <v>#DIV/0!</v>
      </c>
      <c r="R107" s="115"/>
      <c r="S107" s="316">
        <v>43100</v>
      </c>
      <c r="T107" s="62"/>
      <c r="U107" s="62"/>
      <c r="V107" s="62"/>
      <c r="W107" s="62"/>
      <c r="X107" s="62"/>
      <c r="Y107" s="62"/>
    </row>
    <row r="108" spans="1:30" customFormat="1" ht="31.5">
      <c r="A108" s="107">
        <f t="shared" si="11"/>
        <v>89</v>
      </c>
      <c r="B108" s="276" t="s">
        <v>241</v>
      </c>
      <c r="C108" s="118">
        <v>1958</v>
      </c>
      <c r="D108" s="118"/>
      <c r="E108" s="109" t="s">
        <v>218</v>
      </c>
      <c r="F108" s="118">
        <v>2</v>
      </c>
      <c r="G108" s="118">
        <v>1</v>
      </c>
      <c r="H108" s="118"/>
      <c r="I108" s="118"/>
      <c r="J108" s="118"/>
      <c r="K108" s="119"/>
      <c r="L108" s="113">
        <v>359651</v>
      </c>
      <c r="M108" s="113">
        <v>0</v>
      </c>
      <c r="N108" s="113">
        <v>0</v>
      </c>
      <c r="O108" s="113">
        <f t="shared" si="9"/>
        <v>359651</v>
      </c>
      <c r="P108" s="113">
        <v>0</v>
      </c>
      <c r="Q108" s="114" t="e">
        <f t="shared" si="10"/>
        <v>#DIV/0!</v>
      </c>
      <c r="R108" s="115"/>
      <c r="S108" s="316">
        <v>43100</v>
      </c>
      <c r="Z108" s="62"/>
      <c r="AA108" s="62"/>
      <c r="AB108" s="62"/>
      <c r="AC108" s="62"/>
      <c r="AD108" s="62"/>
    </row>
    <row r="109" spans="1:30" customFormat="1" ht="15.75">
      <c r="A109" s="107">
        <f t="shared" si="11"/>
        <v>90</v>
      </c>
      <c r="B109" s="276" t="s">
        <v>233</v>
      </c>
      <c r="C109" s="118">
        <v>1965</v>
      </c>
      <c r="D109" s="118"/>
      <c r="E109" s="109" t="s">
        <v>219</v>
      </c>
      <c r="F109" s="118">
        <v>5</v>
      </c>
      <c r="G109" s="118">
        <v>5</v>
      </c>
      <c r="H109" s="118"/>
      <c r="I109" s="118"/>
      <c r="J109" s="118"/>
      <c r="K109" s="119"/>
      <c r="L109" s="113">
        <v>906779</v>
      </c>
      <c r="M109" s="113">
        <v>0</v>
      </c>
      <c r="N109" s="113">
        <v>0</v>
      </c>
      <c r="O109" s="113">
        <f t="shared" si="9"/>
        <v>906779</v>
      </c>
      <c r="P109" s="113">
        <v>0</v>
      </c>
      <c r="Q109" s="114" t="e">
        <f t="shared" si="10"/>
        <v>#DIV/0!</v>
      </c>
      <c r="R109" s="115"/>
      <c r="S109" s="316">
        <v>43100</v>
      </c>
    </row>
    <row r="110" spans="1:30" customFormat="1" ht="31.5">
      <c r="A110" s="107">
        <f t="shared" si="11"/>
        <v>91</v>
      </c>
      <c r="B110" s="276" t="s">
        <v>278</v>
      </c>
      <c r="C110" s="107">
        <v>1958</v>
      </c>
      <c r="D110" s="108"/>
      <c r="E110" s="109" t="s">
        <v>218</v>
      </c>
      <c r="F110" s="108">
        <v>2</v>
      </c>
      <c r="G110" s="108">
        <v>1</v>
      </c>
      <c r="H110" s="117"/>
      <c r="I110" s="117"/>
      <c r="J110" s="117"/>
      <c r="K110" s="101"/>
      <c r="L110" s="113">
        <v>886559</v>
      </c>
      <c r="M110" s="113">
        <v>0</v>
      </c>
      <c r="N110" s="113">
        <v>0</v>
      </c>
      <c r="O110" s="113">
        <f t="shared" si="9"/>
        <v>886559</v>
      </c>
      <c r="P110" s="113">
        <v>0</v>
      </c>
      <c r="Q110" s="114" t="e">
        <f t="shared" si="10"/>
        <v>#DIV/0!</v>
      </c>
      <c r="R110" s="115"/>
      <c r="S110" s="316">
        <v>43100</v>
      </c>
    </row>
    <row r="111" spans="1:30" customFormat="1" ht="31.5">
      <c r="A111" s="107">
        <f t="shared" si="11"/>
        <v>92</v>
      </c>
      <c r="B111" s="276" t="s">
        <v>347</v>
      </c>
      <c r="C111" s="108">
        <v>1959</v>
      </c>
      <c r="D111" s="108"/>
      <c r="E111" s="109" t="s">
        <v>218</v>
      </c>
      <c r="F111" s="110">
        <v>2</v>
      </c>
      <c r="G111" s="110">
        <v>1</v>
      </c>
      <c r="H111" s="111"/>
      <c r="I111" s="111"/>
      <c r="J111" s="111"/>
      <c r="K111" s="112"/>
      <c r="L111" s="113">
        <v>642210</v>
      </c>
      <c r="M111" s="113">
        <v>0</v>
      </c>
      <c r="N111" s="113">
        <v>0</v>
      </c>
      <c r="O111" s="113">
        <f t="shared" si="9"/>
        <v>642210</v>
      </c>
      <c r="P111" s="113">
        <v>0</v>
      </c>
      <c r="Q111" s="114" t="e">
        <f t="shared" si="10"/>
        <v>#DIV/0!</v>
      </c>
      <c r="R111" s="115"/>
      <c r="S111" s="316">
        <v>43100</v>
      </c>
    </row>
    <row r="112" spans="1:30" customFormat="1" ht="31.5">
      <c r="A112" s="107">
        <f t="shared" si="11"/>
        <v>93</v>
      </c>
      <c r="B112" s="275" t="s">
        <v>266</v>
      </c>
      <c r="C112" s="118">
        <v>1957</v>
      </c>
      <c r="D112" s="118"/>
      <c r="E112" s="109" t="s">
        <v>218</v>
      </c>
      <c r="F112" s="118">
        <v>4</v>
      </c>
      <c r="G112" s="118">
        <v>3</v>
      </c>
      <c r="H112" s="118"/>
      <c r="I112" s="118"/>
      <c r="J112" s="118"/>
      <c r="K112" s="119"/>
      <c r="L112" s="113">
        <v>1952489</v>
      </c>
      <c r="M112" s="113">
        <v>0</v>
      </c>
      <c r="N112" s="113">
        <v>0</v>
      </c>
      <c r="O112" s="113">
        <f t="shared" si="9"/>
        <v>1952489</v>
      </c>
      <c r="P112" s="113">
        <v>0</v>
      </c>
      <c r="Q112" s="114" t="e">
        <f t="shared" si="10"/>
        <v>#DIV/0!</v>
      </c>
      <c r="R112" s="115"/>
      <c r="S112" s="316">
        <v>43100</v>
      </c>
    </row>
    <row r="113" spans="1:30" customFormat="1" ht="15.75">
      <c r="A113" s="107">
        <f t="shared" si="11"/>
        <v>94</v>
      </c>
      <c r="B113" s="275" t="s">
        <v>310</v>
      </c>
      <c r="C113" s="108">
        <v>1983</v>
      </c>
      <c r="D113" s="108"/>
      <c r="E113" s="109" t="s">
        <v>219</v>
      </c>
      <c r="F113" s="110">
        <v>9</v>
      </c>
      <c r="G113" s="110">
        <v>8</v>
      </c>
      <c r="H113" s="111"/>
      <c r="I113" s="111"/>
      <c r="J113" s="111"/>
      <c r="K113" s="112"/>
      <c r="L113" s="113">
        <v>15157748</v>
      </c>
      <c r="M113" s="113">
        <v>0</v>
      </c>
      <c r="N113" s="113">
        <v>0</v>
      </c>
      <c r="O113" s="113">
        <f t="shared" si="9"/>
        <v>15157748</v>
      </c>
      <c r="P113" s="113">
        <v>0</v>
      </c>
      <c r="Q113" s="114" t="e">
        <f t="shared" si="10"/>
        <v>#DIV/0!</v>
      </c>
      <c r="R113" s="115"/>
      <c r="S113" s="316">
        <v>43100</v>
      </c>
    </row>
    <row r="114" spans="1:30" customFormat="1" ht="31.5">
      <c r="A114" s="107">
        <f t="shared" si="11"/>
        <v>95</v>
      </c>
      <c r="B114" s="276" t="s">
        <v>281</v>
      </c>
      <c r="C114" s="107">
        <v>1959</v>
      </c>
      <c r="D114" s="108"/>
      <c r="E114" s="109" t="s">
        <v>218</v>
      </c>
      <c r="F114" s="108">
        <v>4</v>
      </c>
      <c r="G114" s="108">
        <v>5</v>
      </c>
      <c r="H114" s="117"/>
      <c r="I114" s="117"/>
      <c r="J114" s="117"/>
      <c r="K114" s="101"/>
      <c r="L114" s="113">
        <v>2542298.37</v>
      </c>
      <c r="M114" s="113">
        <v>0</v>
      </c>
      <c r="N114" s="113">
        <v>0</v>
      </c>
      <c r="O114" s="113">
        <f t="shared" si="9"/>
        <v>2542298.37</v>
      </c>
      <c r="P114" s="113">
        <v>0</v>
      </c>
      <c r="Q114" s="114" t="e">
        <f t="shared" si="10"/>
        <v>#DIV/0!</v>
      </c>
      <c r="R114" s="115"/>
      <c r="S114" s="316">
        <v>43100</v>
      </c>
    </row>
    <row r="115" spans="1:30" customFormat="1" ht="15.75">
      <c r="A115" s="107">
        <f t="shared" si="11"/>
        <v>96</v>
      </c>
      <c r="B115" s="275" t="s">
        <v>248</v>
      </c>
      <c r="C115" s="118">
        <v>1983</v>
      </c>
      <c r="D115" s="118"/>
      <c r="E115" s="109" t="s">
        <v>219</v>
      </c>
      <c r="F115" s="118">
        <v>9</v>
      </c>
      <c r="G115" s="118">
        <v>1</v>
      </c>
      <c r="H115" s="118"/>
      <c r="I115" s="118"/>
      <c r="J115" s="118"/>
      <c r="K115" s="119"/>
      <c r="L115" s="113">
        <v>1114586</v>
      </c>
      <c r="M115" s="113">
        <v>0</v>
      </c>
      <c r="N115" s="113">
        <v>0</v>
      </c>
      <c r="O115" s="113">
        <f t="shared" si="9"/>
        <v>1114586</v>
      </c>
      <c r="P115" s="113">
        <v>0</v>
      </c>
      <c r="Q115" s="114" t="e">
        <f t="shared" si="10"/>
        <v>#DIV/0!</v>
      </c>
      <c r="R115" s="115"/>
      <c r="S115" s="316">
        <v>43100</v>
      </c>
      <c r="T115" s="3"/>
      <c r="U115" s="3"/>
      <c r="V115" s="3"/>
      <c r="W115" s="3"/>
      <c r="X115" s="3"/>
      <c r="Y115" s="3"/>
    </row>
    <row r="116" spans="1:30" customFormat="1" ht="15.75">
      <c r="A116" s="107">
        <f t="shared" si="11"/>
        <v>97</v>
      </c>
      <c r="B116" s="275" t="s">
        <v>301</v>
      </c>
      <c r="C116" s="108">
        <v>1975</v>
      </c>
      <c r="D116" s="108"/>
      <c r="E116" s="109" t="s">
        <v>219</v>
      </c>
      <c r="F116" s="110">
        <v>9</v>
      </c>
      <c r="G116" s="110">
        <v>3</v>
      </c>
      <c r="H116" s="111"/>
      <c r="I116" s="111"/>
      <c r="J116" s="111"/>
      <c r="K116" s="112"/>
      <c r="L116" s="113">
        <v>5623853</v>
      </c>
      <c r="M116" s="113">
        <v>0</v>
      </c>
      <c r="N116" s="113">
        <v>0</v>
      </c>
      <c r="O116" s="113">
        <f t="shared" ref="O116:O147" si="12">L116</f>
        <v>5623853</v>
      </c>
      <c r="P116" s="113">
        <v>0</v>
      </c>
      <c r="Q116" s="114" t="e">
        <f t="shared" ref="Q116:Q147" si="13">L116/I116</f>
        <v>#DIV/0!</v>
      </c>
      <c r="R116" s="115"/>
      <c r="S116" s="316">
        <v>43100</v>
      </c>
      <c r="Z116" s="3"/>
      <c r="AA116" s="3"/>
      <c r="AB116" s="3"/>
      <c r="AC116" s="3"/>
      <c r="AD116" s="3"/>
    </row>
    <row r="117" spans="1:30" customFormat="1" ht="15.75">
      <c r="A117" s="107">
        <f t="shared" si="11"/>
        <v>98</v>
      </c>
      <c r="B117" s="275" t="s">
        <v>244</v>
      </c>
      <c r="C117" s="118">
        <v>1976</v>
      </c>
      <c r="D117" s="118"/>
      <c r="E117" s="109" t="s">
        <v>219</v>
      </c>
      <c r="F117" s="118">
        <v>9</v>
      </c>
      <c r="G117" s="118">
        <v>4</v>
      </c>
      <c r="H117" s="118"/>
      <c r="I117" s="118"/>
      <c r="J117" s="118"/>
      <c r="K117" s="119"/>
      <c r="L117" s="113">
        <v>2721106</v>
      </c>
      <c r="M117" s="113">
        <v>0</v>
      </c>
      <c r="N117" s="113">
        <v>0</v>
      </c>
      <c r="O117" s="113">
        <f t="shared" si="12"/>
        <v>2721106</v>
      </c>
      <c r="P117" s="113">
        <v>0</v>
      </c>
      <c r="Q117" s="114" t="e">
        <f t="shared" si="13"/>
        <v>#DIV/0!</v>
      </c>
      <c r="R117" s="115"/>
      <c r="S117" s="316">
        <v>43100</v>
      </c>
    </row>
    <row r="118" spans="1:30" customFormat="1" ht="15.75">
      <c r="A118" s="107">
        <f t="shared" si="11"/>
        <v>99</v>
      </c>
      <c r="B118" s="276" t="s">
        <v>288</v>
      </c>
      <c r="C118" s="107">
        <v>1973</v>
      </c>
      <c r="D118" s="108"/>
      <c r="E118" s="109" t="s">
        <v>219</v>
      </c>
      <c r="F118" s="108">
        <v>9</v>
      </c>
      <c r="G118" s="108">
        <v>6</v>
      </c>
      <c r="H118" s="117"/>
      <c r="I118" s="117"/>
      <c r="J118" s="117"/>
      <c r="K118" s="101"/>
      <c r="L118" s="113">
        <v>9789326.5500000007</v>
      </c>
      <c r="M118" s="113">
        <v>0</v>
      </c>
      <c r="N118" s="113">
        <v>0</v>
      </c>
      <c r="O118" s="113">
        <f t="shared" si="12"/>
        <v>9789326.5500000007</v>
      </c>
      <c r="P118" s="113">
        <v>0</v>
      </c>
      <c r="Q118" s="114" t="e">
        <f t="shared" si="13"/>
        <v>#DIV/0!</v>
      </c>
      <c r="R118" s="115"/>
      <c r="S118" s="316">
        <v>43100</v>
      </c>
    </row>
    <row r="119" spans="1:30" customFormat="1" ht="31.5">
      <c r="A119" s="107">
        <f t="shared" si="11"/>
        <v>100</v>
      </c>
      <c r="B119" s="276" t="s">
        <v>249</v>
      </c>
      <c r="C119" s="118" t="s">
        <v>190</v>
      </c>
      <c r="D119" s="118"/>
      <c r="E119" s="109" t="s">
        <v>218</v>
      </c>
      <c r="F119" s="118">
        <v>3</v>
      </c>
      <c r="G119" s="118">
        <v>3</v>
      </c>
      <c r="H119" s="118"/>
      <c r="I119" s="118"/>
      <c r="J119" s="118"/>
      <c r="K119" s="119"/>
      <c r="L119" s="113">
        <v>1615074</v>
      </c>
      <c r="M119" s="113">
        <v>0</v>
      </c>
      <c r="N119" s="113">
        <v>0</v>
      </c>
      <c r="O119" s="113">
        <f t="shared" si="12"/>
        <v>1615074</v>
      </c>
      <c r="P119" s="113">
        <v>0</v>
      </c>
      <c r="Q119" s="114" t="e">
        <f t="shared" si="13"/>
        <v>#DIV/0!</v>
      </c>
      <c r="R119" s="115"/>
      <c r="S119" s="316">
        <v>43100</v>
      </c>
    </row>
    <row r="120" spans="1:30" customFormat="1" ht="31.5">
      <c r="A120" s="107">
        <f t="shared" si="11"/>
        <v>101</v>
      </c>
      <c r="B120" s="275" t="s">
        <v>265</v>
      </c>
      <c r="C120" s="118">
        <v>1953</v>
      </c>
      <c r="D120" s="118"/>
      <c r="E120" s="109" t="s">
        <v>218</v>
      </c>
      <c r="F120" s="118">
        <v>2</v>
      </c>
      <c r="G120" s="118">
        <v>2</v>
      </c>
      <c r="H120" s="118"/>
      <c r="I120" s="118"/>
      <c r="J120" s="118"/>
      <c r="K120" s="119"/>
      <c r="L120" s="113">
        <v>824390</v>
      </c>
      <c r="M120" s="113">
        <v>0</v>
      </c>
      <c r="N120" s="113">
        <v>0</v>
      </c>
      <c r="O120" s="113">
        <f t="shared" si="12"/>
        <v>824390</v>
      </c>
      <c r="P120" s="113">
        <v>0</v>
      </c>
      <c r="Q120" s="114" t="e">
        <f t="shared" si="13"/>
        <v>#DIV/0!</v>
      </c>
      <c r="R120" s="115"/>
      <c r="S120" s="316">
        <v>43100</v>
      </c>
    </row>
    <row r="121" spans="1:30" customFormat="1" ht="15.75">
      <c r="A121" s="107">
        <f t="shared" si="11"/>
        <v>102</v>
      </c>
      <c r="B121" s="276" t="s">
        <v>292</v>
      </c>
      <c r="C121" s="108">
        <v>1951</v>
      </c>
      <c r="D121" s="108"/>
      <c r="E121" s="109" t="s">
        <v>220</v>
      </c>
      <c r="F121" s="110">
        <v>2</v>
      </c>
      <c r="G121" s="110">
        <v>3</v>
      </c>
      <c r="H121" s="111"/>
      <c r="I121" s="111"/>
      <c r="J121" s="111"/>
      <c r="K121" s="112"/>
      <c r="L121" s="113">
        <v>2661189</v>
      </c>
      <c r="M121" s="113">
        <v>0</v>
      </c>
      <c r="N121" s="113">
        <v>0</v>
      </c>
      <c r="O121" s="113">
        <f t="shared" si="12"/>
        <v>2661189</v>
      </c>
      <c r="P121" s="113">
        <v>0</v>
      </c>
      <c r="Q121" s="114" t="e">
        <f t="shared" si="13"/>
        <v>#DIV/0!</v>
      </c>
      <c r="R121" s="115"/>
      <c r="S121" s="316">
        <v>43100</v>
      </c>
    </row>
    <row r="122" spans="1:30" s="62" customFormat="1" ht="31.5">
      <c r="A122" s="107">
        <f t="shared" si="11"/>
        <v>103</v>
      </c>
      <c r="B122" s="276" t="s">
        <v>276</v>
      </c>
      <c r="C122" s="107">
        <v>1959</v>
      </c>
      <c r="D122" s="108"/>
      <c r="E122" s="109" t="s">
        <v>218</v>
      </c>
      <c r="F122" s="108">
        <v>2</v>
      </c>
      <c r="G122" s="108">
        <v>1</v>
      </c>
      <c r="H122" s="117"/>
      <c r="I122" s="117"/>
      <c r="J122" s="117"/>
      <c r="K122" s="101"/>
      <c r="L122" s="113">
        <v>278220</v>
      </c>
      <c r="M122" s="113">
        <v>0</v>
      </c>
      <c r="N122" s="113">
        <v>0</v>
      </c>
      <c r="O122" s="113">
        <f t="shared" si="12"/>
        <v>278220</v>
      </c>
      <c r="P122" s="113">
        <v>0</v>
      </c>
      <c r="Q122" s="114" t="e">
        <f t="shared" si="13"/>
        <v>#DIV/0!</v>
      </c>
      <c r="R122" s="115"/>
      <c r="S122" s="316">
        <v>43100</v>
      </c>
      <c r="T122"/>
      <c r="U122"/>
      <c r="V122"/>
      <c r="W122"/>
      <c r="X122"/>
      <c r="Y122"/>
      <c r="Z122"/>
      <c r="AA122"/>
      <c r="AB122"/>
      <c r="AC122"/>
      <c r="AD122"/>
    </row>
    <row r="123" spans="1:30" customFormat="1" ht="31.5">
      <c r="A123" s="107">
        <f t="shared" si="11"/>
        <v>104</v>
      </c>
      <c r="B123" s="275" t="s">
        <v>229</v>
      </c>
      <c r="C123" s="118">
        <v>1928</v>
      </c>
      <c r="D123" s="118"/>
      <c r="E123" s="109" t="s">
        <v>218</v>
      </c>
      <c r="F123" s="118">
        <v>3</v>
      </c>
      <c r="G123" s="118">
        <v>6</v>
      </c>
      <c r="H123" s="118"/>
      <c r="I123" s="118"/>
      <c r="J123" s="118"/>
      <c r="K123" s="119"/>
      <c r="L123" s="113">
        <v>2511472</v>
      </c>
      <c r="M123" s="113">
        <v>0</v>
      </c>
      <c r="N123" s="113">
        <v>0</v>
      </c>
      <c r="O123" s="113">
        <f t="shared" si="12"/>
        <v>2511472</v>
      </c>
      <c r="P123" s="113">
        <v>0</v>
      </c>
      <c r="Q123" s="114" t="e">
        <f t="shared" si="13"/>
        <v>#DIV/0!</v>
      </c>
      <c r="R123" s="115"/>
      <c r="S123" s="316">
        <v>43100</v>
      </c>
    </row>
    <row r="124" spans="1:30" customFormat="1" ht="31.5">
      <c r="A124" s="107">
        <f t="shared" si="11"/>
        <v>105</v>
      </c>
      <c r="B124" s="275" t="s">
        <v>309</v>
      </c>
      <c r="C124" s="108">
        <v>1964</v>
      </c>
      <c r="D124" s="108"/>
      <c r="E124" s="109" t="s">
        <v>218</v>
      </c>
      <c r="F124" s="110">
        <v>4</v>
      </c>
      <c r="G124" s="110">
        <v>2</v>
      </c>
      <c r="H124" s="111"/>
      <c r="I124" s="111"/>
      <c r="J124" s="111"/>
      <c r="K124" s="112"/>
      <c r="L124" s="113">
        <v>871988</v>
      </c>
      <c r="M124" s="113">
        <v>0</v>
      </c>
      <c r="N124" s="113">
        <v>0</v>
      </c>
      <c r="O124" s="113">
        <f t="shared" si="12"/>
        <v>871988</v>
      </c>
      <c r="P124" s="113">
        <v>0</v>
      </c>
      <c r="Q124" s="114" t="e">
        <f t="shared" si="13"/>
        <v>#DIV/0!</v>
      </c>
      <c r="R124" s="115"/>
      <c r="S124" s="316">
        <v>43100</v>
      </c>
    </row>
    <row r="125" spans="1:30" customFormat="1" ht="31.5">
      <c r="A125" s="107">
        <f t="shared" si="11"/>
        <v>106</v>
      </c>
      <c r="B125" s="275" t="s">
        <v>308</v>
      </c>
      <c r="C125" s="108">
        <v>1966</v>
      </c>
      <c r="D125" s="108"/>
      <c r="E125" s="109" t="s">
        <v>218</v>
      </c>
      <c r="F125" s="110">
        <v>4</v>
      </c>
      <c r="G125" s="110">
        <v>4</v>
      </c>
      <c r="H125" s="111"/>
      <c r="I125" s="111"/>
      <c r="J125" s="111"/>
      <c r="K125" s="112"/>
      <c r="L125" s="113">
        <v>2113335</v>
      </c>
      <c r="M125" s="113">
        <v>0</v>
      </c>
      <c r="N125" s="113">
        <v>0</v>
      </c>
      <c r="O125" s="113">
        <f t="shared" si="12"/>
        <v>2113335</v>
      </c>
      <c r="P125" s="113">
        <v>0</v>
      </c>
      <c r="Q125" s="114" t="e">
        <f t="shared" si="13"/>
        <v>#DIV/0!</v>
      </c>
      <c r="R125" s="115"/>
      <c r="S125" s="316">
        <v>43100</v>
      </c>
    </row>
    <row r="126" spans="1:30" customFormat="1" ht="31.5">
      <c r="A126" s="107">
        <f t="shared" si="11"/>
        <v>107</v>
      </c>
      <c r="B126" s="276" t="s">
        <v>296</v>
      </c>
      <c r="C126" s="108">
        <v>1960</v>
      </c>
      <c r="D126" s="108"/>
      <c r="E126" s="109" t="s">
        <v>218</v>
      </c>
      <c r="F126" s="110">
        <v>2</v>
      </c>
      <c r="G126" s="110">
        <v>2</v>
      </c>
      <c r="H126" s="111"/>
      <c r="I126" s="111"/>
      <c r="J126" s="111"/>
      <c r="K126" s="112"/>
      <c r="L126" s="113">
        <v>996585</v>
      </c>
      <c r="M126" s="113">
        <v>0</v>
      </c>
      <c r="N126" s="113">
        <v>0</v>
      </c>
      <c r="O126" s="113">
        <f t="shared" si="12"/>
        <v>996585</v>
      </c>
      <c r="P126" s="113">
        <v>0</v>
      </c>
      <c r="Q126" s="114" t="e">
        <f t="shared" si="13"/>
        <v>#DIV/0!</v>
      </c>
      <c r="R126" s="115"/>
      <c r="S126" s="316">
        <v>43100</v>
      </c>
    </row>
    <row r="127" spans="1:30" customFormat="1" ht="31.5">
      <c r="A127" s="107">
        <f t="shared" si="11"/>
        <v>108</v>
      </c>
      <c r="B127" s="276" t="s">
        <v>240</v>
      </c>
      <c r="C127" s="118">
        <v>1955</v>
      </c>
      <c r="D127" s="118"/>
      <c r="E127" s="109" t="s">
        <v>218</v>
      </c>
      <c r="F127" s="118">
        <v>2</v>
      </c>
      <c r="G127" s="118">
        <v>2</v>
      </c>
      <c r="H127" s="118"/>
      <c r="I127" s="118"/>
      <c r="J127" s="118"/>
      <c r="K127" s="119"/>
      <c r="L127" s="113">
        <v>637739</v>
      </c>
      <c r="M127" s="113">
        <v>0</v>
      </c>
      <c r="N127" s="113">
        <v>0</v>
      </c>
      <c r="O127" s="113">
        <f t="shared" si="12"/>
        <v>637739</v>
      </c>
      <c r="P127" s="113">
        <v>0</v>
      </c>
      <c r="Q127" s="114" t="e">
        <f t="shared" si="13"/>
        <v>#DIV/0!</v>
      </c>
      <c r="R127" s="115"/>
      <c r="S127" s="316">
        <v>43100</v>
      </c>
    </row>
    <row r="128" spans="1:30" customFormat="1" ht="15.75">
      <c r="A128" s="107">
        <f t="shared" si="11"/>
        <v>109</v>
      </c>
      <c r="B128" s="275" t="s">
        <v>243</v>
      </c>
      <c r="C128" s="118">
        <v>1976</v>
      </c>
      <c r="D128" s="118"/>
      <c r="E128" s="109" t="s">
        <v>219</v>
      </c>
      <c r="F128" s="118">
        <v>9</v>
      </c>
      <c r="G128" s="118">
        <v>2</v>
      </c>
      <c r="H128" s="118"/>
      <c r="I128" s="118"/>
      <c r="J128" s="118"/>
      <c r="K128" s="119"/>
      <c r="L128" s="113">
        <v>1357217</v>
      </c>
      <c r="M128" s="113">
        <v>0</v>
      </c>
      <c r="N128" s="113">
        <v>0</v>
      </c>
      <c r="O128" s="113">
        <f t="shared" si="12"/>
        <v>1357217</v>
      </c>
      <c r="P128" s="113">
        <v>0</v>
      </c>
      <c r="Q128" s="114" t="e">
        <f t="shared" si="13"/>
        <v>#DIV/0!</v>
      </c>
      <c r="R128" s="115"/>
      <c r="S128" s="316">
        <v>43100</v>
      </c>
    </row>
    <row r="129" spans="1:30" customFormat="1" ht="31.5">
      <c r="A129" s="107">
        <f t="shared" si="11"/>
        <v>110</v>
      </c>
      <c r="B129" s="276" t="s">
        <v>269</v>
      </c>
      <c r="C129" s="118">
        <v>1952</v>
      </c>
      <c r="D129" s="118"/>
      <c r="E129" s="109" t="s">
        <v>218</v>
      </c>
      <c r="F129" s="118">
        <v>2</v>
      </c>
      <c r="G129" s="118">
        <v>2</v>
      </c>
      <c r="H129" s="118"/>
      <c r="I129" s="118"/>
      <c r="J129" s="118"/>
      <c r="K129" s="119"/>
      <c r="L129" s="113">
        <v>836226</v>
      </c>
      <c r="M129" s="113">
        <v>0</v>
      </c>
      <c r="N129" s="113">
        <v>0</v>
      </c>
      <c r="O129" s="113">
        <f t="shared" si="12"/>
        <v>836226</v>
      </c>
      <c r="P129" s="113">
        <v>0</v>
      </c>
      <c r="Q129" s="114" t="e">
        <f t="shared" si="13"/>
        <v>#DIV/0!</v>
      </c>
      <c r="R129" s="115"/>
      <c r="S129" s="316">
        <v>43100</v>
      </c>
    </row>
    <row r="130" spans="1:30" customFormat="1" ht="31.5">
      <c r="A130" s="107">
        <f t="shared" si="11"/>
        <v>111</v>
      </c>
      <c r="B130" s="276" t="s">
        <v>299</v>
      </c>
      <c r="C130" s="108">
        <v>1952</v>
      </c>
      <c r="D130" s="108"/>
      <c r="E130" s="109" t="s">
        <v>218</v>
      </c>
      <c r="F130" s="110">
        <v>2</v>
      </c>
      <c r="G130" s="110">
        <v>2</v>
      </c>
      <c r="H130" s="111"/>
      <c r="I130" s="111"/>
      <c r="J130" s="111"/>
      <c r="K130" s="112"/>
      <c r="L130" s="113">
        <v>640078</v>
      </c>
      <c r="M130" s="113">
        <v>0</v>
      </c>
      <c r="N130" s="113">
        <v>0</v>
      </c>
      <c r="O130" s="113">
        <f t="shared" si="12"/>
        <v>640078</v>
      </c>
      <c r="P130" s="113">
        <v>0</v>
      </c>
      <c r="Q130" s="114" t="e">
        <f t="shared" si="13"/>
        <v>#DIV/0!</v>
      </c>
      <c r="R130" s="115"/>
      <c r="S130" s="316">
        <v>43100</v>
      </c>
    </row>
    <row r="131" spans="1:30" customFormat="1" ht="31.5">
      <c r="A131" s="107">
        <f t="shared" si="11"/>
        <v>112</v>
      </c>
      <c r="B131" s="275" t="s">
        <v>236</v>
      </c>
      <c r="C131" s="118">
        <v>1959</v>
      </c>
      <c r="D131" s="118"/>
      <c r="E131" s="109" t="s">
        <v>218</v>
      </c>
      <c r="F131" s="118">
        <v>2</v>
      </c>
      <c r="G131" s="118">
        <v>2</v>
      </c>
      <c r="H131" s="118"/>
      <c r="I131" s="118"/>
      <c r="J131" s="118"/>
      <c r="K131" s="119"/>
      <c r="L131" s="113">
        <v>202649</v>
      </c>
      <c r="M131" s="113">
        <v>0</v>
      </c>
      <c r="N131" s="113">
        <v>0</v>
      </c>
      <c r="O131" s="113">
        <f t="shared" si="12"/>
        <v>202649</v>
      </c>
      <c r="P131" s="113">
        <v>0</v>
      </c>
      <c r="Q131" s="114" t="e">
        <f t="shared" si="13"/>
        <v>#DIV/0!</v>
      </c>
      <c r="R131" s="115"/>
      <c r="S131" s="316">
        <v>43100</v>
      </c>
    </row>
    <row r="132" spans="1:30" customFormat="1" ht="31.5">
      <c r="A132" s="107">
        <f t="shared" si="11"/>
        <v>113</v>
      </c>
      <c r="B132" s="276" t="s">
        <v>285</v>
      </c>
      <c r="C132" s="108">
        <v>1954</v>
      </c>
      <c r="D132" s="108"/>
      <c r="E132" s="109" t="s">
        <v>218</v>
      </c>
      <c r="F132" s="121" t="s">
        <v>191</v>
      </c>
      <c r="G132" s="110">
        <v>10</v>
      </c>
      <c r="H132" s="111"/>
      <c r="I132" s="111"/>
      <c r="J132" s="111"/>
      <c r="K132" s="112"/>
      <c r="L132" s="113">
        <v>7892437</v>
      </c>
      <c r="M132" s="113">
        <v>0</v>
      </c>
      <c r="N132" s="113">
        <v>0</v>
      </c>
      <c r="O132" s="113">
        <f t="shared" si="12"/>
        <v>7892437</v>
      </c>
      <c r="P132" s="113">
        <v>0</v>
      </c>
      <c r="Q132" s="114" t="e">
        <f t="shared" si="13"/>
        <v>#DIV/0!</v>
      </c>
      <c r="R132" s="115"/>
      <c r="S132" s="316">
        <v>43100</v>
      </c>
    </row>
    <row r="133" spans="1:30" customFormat="1" ht="31.5">
      <c r="A133" s="107">
        <f t="shared" si="11"/>
        <v>114</v>
      </c>
      <c r="B133" s="276" t="s">
        <v>237</v>
      </c>
      <c r="C133" s="118">
        <v>1950</v>
      </c>
      <c r="D133" s="118"/>
      <c r="E133" s="109" t="s">
        <v>218</v>
      </c>
      <c r="F133" s="118">
        <v>2</v>
      </c>
      <c r="G133" s="118">
        <v>1</v>
      </c>
      <c r="H133" s="118"/>
      <c r="I133" s="118"/>
      <c r="J133" s="118"/>
      <c r="K133" s="119"/>
      <c r="L133" s="113">
        <v>523389</v>
      </c>
      <c r="M133" s="113">
        <v>0</v>
      </c>
      <c r="N133" s="113">
        <v>0</v>
      </c>
      <c r="O133" s="113">
        <f t="shared" si="12"/>
        <v>523389</v>
      </c>
      <c r="P133" s="113">
        <v>0</v>
      </c>
      <c r="Q133" s="114" t="e">
        <f t="shared" si="13"/>
        <v>#DIV/0!</v>
      </c>
      <c r="R133" s="115"/>
      <c r="S133" s="316">
        <v>43100</v>
      </c>
    </row>
    <row r="134" spans="1:30" customFormat="1" ht="15.75">
      <c r="A134" s="107">
        <f t="shared" si="11"/>
        <v>115</v>
      </c>
      <c r="B134" s="276" t="s">
        <v>264</v>
      </c>
      <c r="C134" s="118">
        <v>1950</v>
      </c>
      <c r="D134" s="118"/>
      <c r="E134" s="109" t="s">
        <v>220</v>
      </c>
      <c r="F134" s="118">
        <v>2</v>
      </c>
      <c r="G134" s="118">
        <v>3</v>
      </c>
      <c r="H134" s="118"/>
      <c r="I134" s="118"/>
      <c r="J134" s="118"/>
      <c r="K134" s="119"/>
      <c r="L134" s="113">
        <v>1038920</v>
      </c>
      <c r="M134" s="113">
        <v>0</v>
      </c>
      <c r="N134" s="113">
        <v>0</v>
      </c>
      <c r="O134" s="113">
        <f t="shared" si="12"/>
        <v>1038920</v>
      </c>
      <c r="P134" s="113">
        <v>0</v>
      </c>
      <c r="Q134" s="114" t="e">
        <f t="shared" si="13"/>
        <v>#DIV/0!</v>
      </c>
      <c r="R134" s="115"/>
      <c r="S134" s="316">
        <v>43100</v>
      </c>
    </row>
    <row r="135" spans="1:30" s="3" customFormat="1" ht="15.75">
      <c r="A135" s="107">
        <f t="shared" si="11"/>
        <v>116</v>
      </c>
      <c r="B135" s="276" t="s">
        <v>258</v>
      </c>
      <c r="C135" s="118">
        <v>1950</v>
      </c>
      <c r="D135" s="118"/>
      <c r="E135" s="109" t="s">
        <v>220</v>
      </c>
      <c r="F135" s="118">
        <v>2</v>
      </c>
      <c r="G135" s="118">
        <v>2</v>
      </c>
      <c r="H135" s="118"/>
      <c r="I135" s="118"/>
      <c r="J135" s="118"/>
      <c r="K135" s="119"/>
      <c r="L135" s="113">
        <v>1742553</v>
      </c>
      <c r="M135" s="113">
        <v>0</v>
      </c>
      <c r="N135" s="113">
        <v>0</v>
      </c>
      <c r="O135" s="113">
        <f t="shared" si="12"/>
        <v>1742553</v>
      </c>
      <c r="P135" s="113">
        <v>0</v>
      </c>
      <c r="Q135" s="114" t="e">
        <f t="shared" si="13"/>
        <v>#DIV/0!</v>
      </c>
      <c r="R135" s="115"/>
      <c r="S135" s="316">
        <v>43100</v>
      </c>
      <c r="T135"/>
      <c r="U135"/>
      <c r="V135"/>
      <c r="W135"/>
      <c r="X135"/>
      <c r="Y135"/>
      <c r="Z135"/>
      <c r="AA135"/>
      <c r="AB135"/>
      <c r="AC135"/>
      <c r="AD135"/>
    </row>
    <row r="136" spans="1:30" customFormat="1" ht="31.5">
      <c r="A136" s="107">
        <f t="shared" si="11"/>
        <v>117</v>
      </c>
      <c r="B136" s="276" t="s">
        <v>250</v>
      </c>
      <c r="C136" s="118">
        <v>1948</v>
      </c>
      <c r="D136" s="118"/>
      <c r="E136" s="109" t="s">
        <v>218</v>
      </c>
      <c r="F136" s="118">
        <v>2</v>
      </c>
      <c r="G136" s="118">
        <v>3</v>
      </c>
      <c r="H136" s="118"/>
      <c r="I136" s="118"/>
      <c r="J136" s="118"/>
      <c r="K136" s="119"/>
      <c r="L136" s="113">
        <v>2124581</v>
      </c>
      <c r="M136" s="113">
        <v>0</v>
      </c>
      <c r="N136" s="113">
        <v>0</v>
      </c>
      <c r="O136" s="113">
        <f t="shared" si="12"/>
        <v>2124581</v>
      </c>
      <c r="P136" s="113">
        <v>0</v>
      </c>
      <c r="Q136" s="114" t="e">
        <f t="shared" si="13"/>
        <v>#DIV/0!</v>
      </c>
      <c r="R136" s="115"/>
      <c r="S136" s="316">
        <v>43100</v>
      </c>
    </row>
    <row r="137" spans="1:30" customFormat="1" ht="15.75">
      <c r="A137" s="107">
        <f t="shared" si="11"/>
        <v>118</v>
      </c>
      <c r="B137" s="276" t="s">
        <v>282</v>
      </c>
      <c r="C137" s="107">
        <v>1948</v>
      </c>
      <c r="D137" s="108"/>
      <c r="E137" s="109" t="s">
        <v>220</v>
      </c>
      <c r="F137" s="108">
        <v>2</v>
      </c>
      <c r="G137" s="108">
        <v>3</v>
      </c>
      <c r="H137" s="117"/>
      <c r="I137" s="117"/>
      <c r="J137" s="117"/>
      <c r="K137" s="101"/>
      <c r="L137" s="113">
        <v>2347478</v>
      </c>
      <c r="M137" s="113">
        <v>0</v>
      </c>
      <c r="N137" s="113">
        <v>0</v>
      </c>
      <c r="O137" s="113">
        <f t="shared" si="12"/>
        <v>2347478</v>
      </c>
      <c r="P137" s="113">
        <v>0</v>
      </c>
      <c r="Q137" s="114" t="e">
        <f t="shared" si="13"/>
        <v>#DIV/0!</v>
      </c>
      <c r="R137" s="115"/>
      <c r="S137" s="316">
        <v>43100</v>
      </c>
    </row>
    <row r="138" spans="1:30" customFormat="1" ht="31.5">
      <c r="A138" s="107">
        <f t="shared" si="11"/>
        <v>119</v>
      </c>
      <c r="B138" s="275" t="s">
        <v>267</v>
      </c>
      <c r="C138" s="118">
        <v>1948</v>
      </c>
      <c r="D138" s="118"/>
      <c r="E138" s="109" t="s">
        <v>218</v>
      </c>
      <c r="F138" s="118">
        <v>2</v>
      </c>
      <c r="G138" s="118">
        <v>3</v>
      </c>
      <c r="H138" s="118"/>
      <c r="I138" s="118"/>
      <c r="J138" s="118"/>
      <c r="K138" s="119"/>
      <c r="L138" s="113">
        <v>2468472</v>
      </c>
      <c r="M138" s="113">
        <v>0</v>
      </c>
      <c r="N138" s="113">
        <v>0</v>
      </c>
      <c r="O138" s="113">
        <f t="shared" si="12"/>
        <v>2468472</v>
      </c>
      <c r="P138" s="113">
        <v>0</v>
      </c>
      <c r="Q138" s="114" t="e">
        <f t="shared" si="13"/>
        <v>#DIV/0!</v>
      </c>
      <c r="R138" s="115"/>
      <c r="S138" s="316">
        <v>43100</v>
      </c>
    </row>
    <row r="139" spans="1:30" customFormat="1" ht="31.5">
      <c r="A139" s="107">
        <f t="shared" si="11"/>
        <v>120</v>
      </c>
      <c r="B139" s="276" t="s">
        <v>284</v>
      </c>
      <c r="C139" s="108">
        <v>1950</v>
      </c>
      <c r="D139" s="116"/>
      <c r="E139" s="109" t="s">
        <v>218</v>
      </c>
      <c r="F139" s="110">
        <v>2</v>
      </c>
      <c r="G139" s="110">
        <v>2</v>
      </c>
      <c r="H139" s="111"/>
      <c r="I139" s="111"/>
      <c r="J139" s="111"/>
      <c r="K139" s="112"/>
      <c r="L139" s="113">
        <v>1612780</v>
      </c>
      <c r="M139" s="113">
        <v>0</v>
      </c>
      <c r="N139" s="113">
        <v>0</v>
      </c>
      <c r="O139" s="113">
        <f t="shared" si="12"/>
        <v>1612780</v>
      </c>
      <c r="P139" s="113">
        <v>0</v>
      </c>
      <c r="Q139" s="114" t="e">
        <f t="shared" si="13"/>
        <v>#DIV/0!</v>
      </c>
      <c r="R139" s="115"/>
      <c r="S139" s="316">
        <v>43100</v>
      </c>
    </row>
    <row r="140" spans="1:30" customFormat="1" ht="31.5">
      <c r="A140" s="107">
        <f t="shared" si="11"/>
        <v>121</v>
      </c>
      <c r="B140" s="276" t="s">
        <v>256</v>
      </c>
      <c r="C140" s="118">
        <v>1947</v>
      </c>
      <c r="D140" s="118"/>
      <c r="E140" s="109" t="s">
        <v>218</v>
      </c>
      <c r="F140" s="118">
        <v>2</v>
      </c>
      <c r="G140" s="118">
        <v>2</v>
      </c>
      <c r="H140" s="118"/>
      <c r="I140" s="118"/>
      <c r="J140" s="118"/>
      <c r="K140" s="119"/>
      <c r="L140" s="113">
        <v>2580419</v>
      </c>
      <c r="M140" s="113">
        <v>0</v>
      </c>
      <c r="N140" s="113">
        <v>0</v>
      </c>
      <c r="O140" s="113">
        <f t="shared" si="12"/>
        <v>2580419</v>
      </c>
      <c r="P140" s="113">
        <v>0</v>
      </c>
      <c r="Q140" s="114" t="e">
        <f t="shared" si="13"/>
        <v>#DIV/0!</v>
      </c>
      <c r="R140" s="115"/>
      <c r="S140" s="316">
        <v>43100</v>
      </c>
    </row>
    <row r="141" spans="1:30" customFormat="1" ht="15.75">
      <c r="A141" s="107">
        <f t="shared" si="11"/>
        <v>122</v>
      </c>
      <c r="B141" s="275" t="s">
        <v>335</v>
      </c>
      <c r="C141" s="118">
        <v>1963</v>
      </c>
      <c r="D141" s="118"/>
      <c r="E141" s="109" t="s">
        <v>219</v>
      </c>
      <c r="F141" s="118">
        <v>5</v>
      </c>
      <c r="G141" s="118">
        <v>4</v>
      </c>
      <c r="H141" s="118"/>
      <c r="I141" s="118"/>
      <c r="J141" s="118"/>
      <c r="K141" s="119"/>
      <c r="L141" s="113">
        <v>1681645</v>
      </c>
      <c r="M141" s="113">
        <v>0</v>
      </c>
      <c r="N141" s="113">
        <v>0</v>
      </c>
      <c r="O141" s="113">
        <f t="shared" si="12"/>
        <v>1681645</v>
      </c>
      <c r="P141" s="113">
        <v>0</v>
      </c>
      <c r="Q141" s="114" t="e">
        <f t="shared" si="13"/>
        <v>#DIV/0!</v>
      </c>
      <c r="R141" s="115"/>
      <c r="S141" s="316">
        <v>43100</v>
      </c>
    </row>
    <row r="142" spans="1:30" customFormat="1" ht="31.5">
      <c r="A142" s="107">
        <f t="shared" si="11"/>
        <v>123</v>
      </c>
      <c r="B142" s="276" t="s">
        <v>255</v>
      </c>
      <c r="C142" s="118">
        <v>1950</v>
      </c>
      <c r="D142" s="118"/>
      <c r="E142" s="109" t="s">
        <v>218</v>
      </c>
      <c r="F142" s="118">
        <v>2</v>
      </c>
      <c r="G142" s="118">
        <v>2</v>
      </c>
      <c r="H142" s="118"/>
      <c r="I142" s="118"/>
      <c r="J142" s="118"/>
      <c r="K142" s="119"/>
      <c r="L142" s="113">
        <v>1318880</v>
      </c>
      <c r="M142" s="113">
        <v>0</v>
      </c>
      <c r="N142" s="113">
        <v>0</v>
      </c>
      <c r="O142" s="113">
        <f t="shared" si="12"/>
        <v>1318880</v>
      </c>
      <c r="P142" s="113">
        <v>0</v>
      </c>
      <c r="Q142" s="114" t="e">
        <f t="shared" si="13"/>
        <v>#DIV/0!</v>
      </c>
      <c r="R142" s="115"/>
      <c r="S142" s="316">
        <v>43100</v>
      </c>
    </row>
    <row r="143" spans="1:30" customFormat="1" ht="15.75">
      <c r="A143" s="107">
        <f t="shared" si="11"/>
        <v>124</v>
      </c>
      <c r="B143" s="276" t="s">
        <v>245</v>
      </c>
      <c r="C143" s="118">
        <v>1949</v>
      </c>
      <c r="D143" s="118"/>
      <c r="E143" s="109" t="s">
        <v>220</v>
      </c>
      <c r="F143" s="118">
        <v>2</v>
      </c>
      <c r="G143" s="118">
        <v>1</v>
      </c>
      <c r="H143" s="118"/>
      <c r="I143" s="118"/>
      <c r="J143" s="118"/>
      <c r="K143" s="119"/>
      <c r="L143" s="113">
        <v>1566345</v>
      </c>
      <c r="M143" s="113">
        <v>0</v>
      </c>
      <c r="N143" s="113">
        <v>0</v>
      </c>
      <c r="O143" s="113">
        <f t="shared" si="12"/>
        <v>1566345</v>
      </c>
      <c r="P143" s="113">
        <v>0</v>
      </c>
      <c r="Q143" s="114" t="e">
        <f t="shared" si="13"/>
        <v>#DIV/0!</v>
      </c>
      <c r="R143" s="115"/>
      <c r="S143" s="316">
        <v>43100</v>
      </c>
    </row>
    <row r="144" spans="1:30" customFormat="1" ht="31.5">
      <c r="A144" s="107">
        <f t="shared" si="11"/>
        <v>125</v>
      </c>
      <c r="B144" s="275" t="s">
        <v>449</v>
      </c>
      <c r="C144" s="108">
        <v>1984</v>
      </c>
      <c r="D144" s="108"/>
      <c r="E144" s="109" t="s">
        <v>219</v>
      </c>
      <c r="F144" s="110">
        <v>9</v>
      </c>
      <c r="G144" s="110">
        <v>1</v>
      </c>
      <c r="H144" s="111"/>
      <c r="I144" s="111"/>
      <c r="J144" s="111"/>
      <c r="K144" s="112"/>
      <c r="L144" s="113">
        <v>1910088</v>
      </c>
      <c r="M144" s="113">
        <v>0</v>
      </c>
      <c r="N144" s="113">
        <v>0</v>
      </c>
      <c r="O144" s="113">
        <f t="shared" si="12"/>
        <v>1910088</v>
      </c>
      <c r="P144" s="113">
        <v>0</v>
      </c>
      <c r="Q144" s="114" t="e">
        <f t="shared" si="13"/>
        <v>#DIV/0!</v>
      </c>
      <c r="R144" s="115"/>
      <c r="S144" s="316">
        <v>43100</v>
      </c>
    </row>
    <row r="145" spans="1:19" customFormat="1" ht="31.5">
      <c r="A145" s="107">
        <f t="shared" si="11"/>
        <v>126</v>
      </c>
      <c r="B145" s="276" t="s">
        <v>280</v>
      </c>
      <c r="C145" s="107">
        <v>1966</v>
      </c>
      <c r="D145" s="108"/>
      <c r="E145" s="109" t="s">
        <v>218</v>
      </c>
      <c r="F145" s="108">
        <v>5</v>
      </c>
      <c r="G145" s="108">
        <v>3</v>
      </c>
      <c r="H145" s="117"/>
      <c r="I145" s="117"/>
      <c r="J145" s="117"/>
      <c r="K145" s="101"/>
      <c r="L145" s="113">
        <v>2694957</v>
      </c>
      <c r="M145" s="113">
        <v>0</v>
      </c>
      <c r="N145" s="113">
        <v>0</v>
      </c>
      <c r="O145" s="113">
        <f t="shared" si="12"/>
        <v>2694957</v>
      </c>
      <c r="P145" s="113">
        <v>0</v>
      </c>
      <c r="Q145" s="114" t="e">
        <f t="shared" si="13"/>
        <v>#DIV/0!</v>
      </c>
      <c r="R145" s="115"/>
      <c r="S145" s="316">
        <v>43100</v>
      </c>
    </row>
    <row r="146" spans="1:19" customFormat="1" ht="31.5">
      <c r="A146" s="107">
        <f t="shared" si="11"/>
        <v>127</v>
      </c>
      <c r="B146" s="276" t="s">
        <v>367</v>
      </c>
      <c r="C146" s="118">
        <v>1958</v>
      </c>
      <c r="D146" s="118"/>
      <c r="E146" s="109" t="s">
        <v>218</v>
      </c>
      <c r="F146" s="118">
        <v>2</v>
      </c>
      <c r="G146" s="118">
        <v>1</v>
      </c>
      <c r="H146" s="118"/>
      <c r="I146" s="118"/>
      <c r="J146" s="118"/>
      <c r="K146" s="119"/>
      <c r="L146" s="113">
        <v>580578</v>
      </c>
      <c r="M146" s="113">
        <v>0</v>
      </c>
      <c r="N146" s="113">
        <v>0</v>
      </c>
      <c r="O146" s="113">
        <f t="shared" si="12"/>
        <v>580578</v>
      </c>
      <c r="P146" s="113">
        <v>0</v>
      </c>
      <c r="Q146" s="114" t="e">
        <f t="shared" si="13"/>
        <v>#DIV/0!</v>
      </c>
      <c r="R146" s="115"/>
      <c r="S146" s="316">
        <v>43100</v>
      </c>
    </row>
    <row r="147" spans="1:19" customFormat="1" ht="31.5">
      <c r="A147" s="107">
        <f t="shared" si="11"/>
        <v>128</v>
      </c>
      <c r="B147" s="276" t="s">
        <v>464</v>
      </c>
      <c r="C147" s="118">
        <v>1971</v>
      </c>
      <c r="D147" s="118"/>
      <c r="E147" s="109" t="s">
        <v>218</v>
      </c>
      <c r="F147" s="118">
        <v>2</v>
      </c>
      <c r="G147" s="118">
        <v>1</v>
      </c>
      <c r="H147" s="118"/>
      <c r="I147" s="118"/>
      <c r="J147" s="118"/>
      <c r="K147" s="119"/>
      <c r="L147" s="113">
        <v>615357</v>
      </c>
      <c r="M147" s="113">
        <v>0</v>
      </c>
      <c r="N147" s="113">
        <v>0</v>
      </c>
      <c r="O147" s="113">
        <f t="shared" si="12"/>
        <v>615357</v>
      </c>
      <c r="P147" s="113">
        <v>0</v>
      </c>
      <c r="Q147" s="114" t="e">
        <f t="shared" si="13"/>
        <v>#DIV/0!</v>
      </c>
      <c r="R147" s="115"/>
      <c r="S147" s="316">
        <v>43100</v>
      </c>
    </row>
    <row r="148" spans="1:19" customFormat="1" ht="31.5">
      <c r="A148" s="107">
        <f t="shared" si="11"/>
        <v>129</v>
      </c>
      <c r="B148" s="276" t="s">
        <v>385</v>
      </c>
      <c r="C148" s="118">
        <v>1957</v>
      </c>
      <c r="D148" s="118"/>
      <c r="E148" s="109" t="s">
        <v>218</v>
      </c>
      <c r="F148" s="118">
        <v>2</v>
      </c>
      <c r="G148" s="118">
        <v>1</v>
      </c>
      <c r="H148" s="118"/>
      <c r="I148" s="118"/>
      <c r="J148" s="118"/>
      <c r="K148" s="119"/>
      <c r="L148" s="113">
        <v>269948.13</v>
      </c>
      <c r="M148" s="113">
        <v>0</v>
      </c>
      <c r="N148" s="113">
        <v>0</v>
      </c>
      <c r="O148" s="113">
        <f t="shared" ref="O148:O179" si="14">L148</f>
        <v>269948.13</v>
      </c>
      <c r="P148" s="113">
        <v>0</v>
      </c>
      <c r="Q148" s="114" t="e">
        <f t="shared" ref="Q148:Q179" si="15">L148/I148</f>
        <v>#DIV/0!</v>
      </c>
      <c r="R148" s="115"/>
      <c r="S148" s="316">
        <v>43100</v>
      </c>
    </row>
    <row r="149" spans="1:19" customFormat="1" ht="15.75">
      <c r="A149" s="107">
        <f t="shared" si="11"/>
        <v>130</v>
      </c>
      <c r="B149" s="276" t="s">
        <v>238</v>
      </c>
      <c r="C149" s="118">
        <v>1924</v>
      </c>
      <c r="D149" s="118"/>
      <c r="E149" s="109" t="s">
        <v>221</v>
      </c>
      <c r="F149" s="118">
        <v>2</v>
      </c>
      <c r="G149" s="118">
        <v>2</v>
      </c>
      <c r="H149" s="118"/>
      <c r="I149" s="118"/>
      <c r="J149" s="118"/>
      <c r="K149" s="119"/>
      <c r="L149" s="113">
        <v>807980</v>
      </c>
      <c r="M149" s="113">
        <v>0</v>
      </c>
      <c r="N149" s="113">
        <v>0</v>
      </c>
      <c r="O149" s="113">
        <f t="shared" si="14"/>
        <v>807980</v>
      </c>
      <c r="P149" s="113">
        <v>0</v>
      </c>
      <c r="Q149" s="114" t="e">
        <f t="shared" si="15"/>
        <v>#DIV/0!</v>
      </c>
      <c r="R149" s="115"/>
      <c r="S149" s="316">
        <v>43100</v>
      </c>
    </row>
    <row r="150" spans="1:19" customFormat="1" ht="31.5">
      <c r="A150" s="107">
        <f t="shared" ref="A150:A219" si="16">A149+1</f>
        <v>131</v>
      </c>
      <c r="B150" s="276" t="s">
        <v>273</v>
      </c>
      <c r="C150" s="107">
        <v>1949</v>
      </c>
      <c r="D150" s="108"/>
      <c r="E150" s="109" t="s">
        <v>218</v>
      </c>
      <c r="F150" s="108">
        <v>2</v>
      </c>
      <c r="G150" s="108">
        <v>1</v>
      </c>
      <c r="H150" s="117"/>
      <c r="I150" s="117"/>
      <c r="J150" s="117"/>
      <c r="K150" s="101"/>
      <c r="L150" s="113">
        <v>661525</v>
      </c>
      <c r="M150" s="113">
        <v>0</v>
      </c>
      <c r="N150" s="113">
        <v>0</v>
      </c>
      <c r="O150" s="113">
        <f t="shared" si="14"/>
        <v>661525</v>
      </c>
      <c r="P150" s="113">
        <v>0</v>
      </c>
      <c r="Q150" s="114" t="e">
        <f t="shared" si="15"/>
        <v>#DIV/0!</v>
      </c>
      <c r="R150" s="115"/>
      <c r="S150" s="316">
        <v>43100</v>
      </c>
    </row>
    <row r="151" spans="1:19" customFormat="1" ht="15.75">
      <c r="A151" s="107">
        <f t="shared" si="16"/>
        <v>132</v>
      </c>
      <c r="B151" s="276" t="s">
        <v>297</v>
      </c>
      <c r="C151" s="108">
        <v>1981</v>
      </c>
      <c r="D151" s="108"/>
      <c r="E151" s="109" t="s">
        <v>219</v>
      </c>
      <c r="F151" s="110">
        <v>9</v>
      </c>
      <c r="G151" s="110">
        <v>2</v>
      </c>
      <c r="H151" s="111"/>
      <c r="I151" s="111"/>
      <c r="J151" s="111"/>
      <c r="K151" s="112"/>
      <c r="L151" s="113">
        <v>3719885</v>
      </c>
      <c r="M151" s="113">
        <v>0</v>
      </c>
      <c r="N151" s="113">
        <v>0</v>
      </c>
      <c r="O151" s="113">
        <f t="shared" si="14"/>
        <v>3719885</v>
      </c>
      <c r="P151" s="113">
        <v>0</v>
      </c>
      <c r="Q151" s="114" t="e">
        <f t="shared" si="15"/>
        <v>#DIV/0!</v>
      </c>
      <c r="R151" s="115"/>
      <c r="S151" s="316">
        <v>43100</v>
      </c>
    </row>
    <row r="152" spans="1:19" customFormat="1" ht="31.5">
      <c r="A152" s="107">
        <f t="shared" si="16"/>
        <v>133</v>
      </c>
      <c r="B152" s="276" t="s">
        <v>263</v>
      </c>
      <c r="C152" s="118">
        <v>1949</v>
      </c>
      <c r="D152" s="118"/>
      <c r="E152" s="109" t="s">
        <v>218</v>
      </c>
      <c r="F152" s="118">
        <v>2</v>
      </c>
      <c r="G152" s="118">
        <v>2</v>
      </c>
      <c r="H152" s="118"/>
      <c r="I152" s="118"/>
      <c r="J152" s="118"/>
      <c r="K152" s="119"/>
      <c r="L152" s="113">
        <v>1726391</v>
      </c>
      <c r="M152" s="113">
        <v>0</v>
      </c>
      <c r="N152" s="113">
        <v>0</v>
      </c>
      <c r="O152" s="113">
        <f t="shared" si="14"/>
        <v>1726391</v>
      </c>
      <c r="P152" s="113">
        <v>0</v>
      </c>
      <c r="Q152" s="114" t="e">
        <f t="shared" si="15"/>
        <v>#DIV/0!</v>
      </c>
      <c r="R152" s="115"/>
      <c r="S152" s="316">
        <v>43100</v>
      </c>
    </row>
    <row r="153" spans="1:19" customFormat="1" ht="15.75">
      <c r="A153" s="107">
        <f t="shared" si="16"/>
        <v>134</v>
      </c>
      <c r="B153" s="276" t="s">
        <v>235</v>
      </c>
      <c r="C153" s="118">
        <v>1950</v>
      </c>
      <c r="D153" s="118"/>
      <c r="E153" s="109" t="s">
        <v>220</v>
      </c>
      <c r="F153" s="118">
        <v>2</v>
      </c>
      <c r="G153" s="118">
        <v>1</v>
      </c>
      <c r="H153" s="118"/>
      <c r="I153" s="118"/>
      <c r="J153" s="118"/>
      <c r="K153" s="119"/>
      <c r="L153" s="113">
        <v>1521754</v>
      </c>
      <c r="M153" s="113">
        <v>0</v>
      </c>
      <c r="N153" s="113">
        <v>0</v>
      </c>
      <c r="O153" s="113">
        <f t="shared" si="14"/>
        <v>1521754</v>
      </c>
      <c r="P153" s="113">
        <v>0</v>
      </c>
      <c r="Q153" s="114" t="e">
        <f t="shared" si="15"/>
        <v>#DIV/0!</v>
      </c>
      <c r="R153" s="115"/>
      <c r="S153" s="316">
        <v>43100</v>
      </c>
    </row>
    <row r="154" spans="1:19" customFormat="1" ht="31.5">
      <c r="A154" s="107">
        <f t="shared" si="16"/>
        <v>135</v>
      </c>
      <c r="B154" s="275" t="s">
        <v>227</v>
      </c>
      <c r="C154" s="118">
        <v>1937</v>
      </c>
      <c r="D154" s="118"/>
      <c r="E154" s="109" t="s">
        <v>218</v>
      </c>
      <c r="F154" s="118">
        <v>2</v>
      </c>
      <c r="G154" s="118">
        <v>1</v>
      </c>
      <c r="H154" s="118"/>
      <c r="I154" s="118"/>
      <c r="J154" s="118"/>
      <c r="K154" s="119"/>
      <c r="L154" s="113">
        <v>671505</v>
      </c>
      <c r="M154" s="113">
        <v>0</v>
      </c>
      <c r="N154" s="113">
        <v>0</v>
      </c>
      <c r="O154" s="113">
        <f t="shared" si="14"/>
        <v>671505</v>
      </c>
      <c r="P154" s="113">
        <v>0</v>
      </c>
      <c r="Q154" s="114" t="e">
        <f t="shared" si="15"/>
        <v>#DIV/0!</v>
      </c>
      <c r="R154" s="115"/>
      <c r="S154" s="316">
        <v>43100</v>
      </c>
    </row>
    <row r="155" spans="1:19" customFormat="1" ht="31.5">
      <c r="A155" s="107">
        <f t="shared" si="16"/>
        <v>136</v>
      </c>
      <c r="B155" s="276" t="s">
        <v>339</v>
      </c>
      <c r="C155" s="118">
        <v>1961</v>
      </c>
      <c r="D155" s="118"/>
      <c r="E155" s="109" t="s">
        <v>218</v>
      </c>
      <c r="F155" s="118">
        <v>3</v>
      </c>
      <c r="G155" s="118">
        <v>2</v>
      </c>
      <c r="H155" s="118"/>
      <c r="I155" s="118"/>
      <c r="J155" s="118"/>
      <c r="K155" s="119"/>
      <c r="L155" s="113">
        <v>1081718</v>
      </c>
      <c r="M155" s="113">
        <v>0</v>
      </c>
      <c r="N155" s="113">
        <v>0</v>
      </c>
      <c r="O155" s="113">
        <f t="shared" si="14"/>
        <v>1081718</v>
      </c>
      <c r="P155" s="113">
        <v>0</v>
      </c>
      <c r="Q155" s="114" t="e">
        <f t="shared" si="15"/>
        <v>#DIV/0!</v>
      </c>
      <c r="R155" s="115"/>
      <c r="S155" s="316">
        <v>43100</v>
      </c>
    </row>
    <row r="156" spans="1:19" customFormat="1" ht="15.75">
      <c r="A156" s="107">
        <f t="shared" si="16"/>
        <v>137</v>
      </c>
      <c r="B156" s="276" t="s">
        <v>231</v>
      </c>
      <c r="C156" s="118">
        <v>1960</v>
      </c>
      <c r="D156" s="118"/>
      <c r="E156" s="109" t="s">
        <v>220</v>
      </c>
      <c r="F156" s="118">
        <v>3</v>
      </c>
      <c r="G156" s="118">
        <v>2</v>
      </c>
      <c r="H156" s="118"/>
      <c r="I156" s="118"/>
      <c r="J156" s="118"/>
      <c r="K156" s="119"/>
      <c r="L156" s="113">
        <v>206635</v>
      </c>
      <c r="M156" s="113">
        <v>0</v>
      </c>
      <c r="N156" s="113">
        <v>0</v>
      </c>
      <c r="O156" s="113">
        <f t="shared" si="14"/>
        <v>206635</v>
      </c>
      <c r="P156" s="113">
        <v>0</v>
      </c>
      <c r="Q156" s="114" t="e">
        <f t="shared" si="15"/>
        <v>#DIV/0!</v>
      </c>
      <c r="R156" s="115"/>
      <c r="S156" s="316">
        <v>43100</v>
      </c>
    </row>
    <row r="157" spans="1:19" customFormat="1" ht="15.75">
      <c r="A157" s="107">
        <f t="shared" si="16"/>
        <v>138</v>
      </c>
      <c r="B157" s="275" t="s">
        <v>300</v>
      </c>
      <c r="C157" s="108">
        <v>1961</v>
      </c>
      <c r="D157" s="108"/>
      <c r="E157" s="109" t="s">
        <v>220</v>
      </c>
      <c r="F157" s="110">
        <v>3</v>
      </c>
      <c r="G157" s="110">
        <v>2</v>
      </c>
      <c r="H157" s="111"/>
      <c r="I157" s="111"/>
      <c r="J157" s="111"/>
      <c r="K157" s="112"/>
      <c r="L157" s="113">
        <v>1044081.04</v>
      </c>
      <c r="M157" s="113">
        <v>0</v>
      </c>
      <c r="N157" s="113">
        <v>0</v>
      </c>
      <c r="O157" s="113">
        <f t="shared" si="14"/>
        <v>1044081.04</v>
      </c>
      <c r="P157" s="113">
        <v>0</v>
      </c>
      <c r="Q157" s="114" t="e">
        <f t="shared" si="15"/>
        <v>#DIV/0!</v>
      </c>
      <c r="R157" s="115"/>
      <c r="S157" s="316">
        <v>43100</v>
      </c>
    </row>
    <row r="158" spans="1:19" customFormat="1" ht="31.5">
      <c r="A158" s="107">
        <f t="shared" si="16"/>
        <v>139</v>
      </c>
      <c r="B158" s="275" t="s">
        <v>283</v>
      </c>
      <c r="C158" s="107">
        <v>1959</v>
      </c>
      <c r="D158" s="108"/>
      <c r="E158" s="109" t="s">
        <v>218</v>
      </c>
      <c r="F158" s="108">
        <v>2</v>
      </c>
      <c r="G158" s="108">
        <v>2</v>
      </c>
      <c r="H158" s="117"/>
      <c r="I158" s="117"/>
      <c r="J158" s="117"/>
      <c r="K158" s="101"/>
      <c r="L158" s="113">
        <v>1340000</v>
      </c>
      <c r="M158" s="113">
        <v>0</v>
      </c>
      <c r="N158" s="113">
        <v>0</v>
      </c>
      <c r="O158" s="113">
        <f t="shared" si="14"/>
        <v>1340000</v>
      </c>
      <c r="P158" s="113">
        <v>0</v>
      </c>
      <c r="Q158" s="114" t="e">
        <f t="shared" si="15"/>
        <v>#DIV/0!</v>
      </c>
      <c r="R158" s="115"/>
      <c r="S158" s="316">
        <v>43100</v>
      </c>
    </row>
    <row r="159" spans="1:19" customFormat="1" ht="15.75">
      <c r="A159" s="107">
        <f t="shared" si="16"/>
        <v>140</v>
      </c>
      <c r="B159" s="276" t="s">
        <v>450</v>
      </c>
      <c r="C159" s="107">
        <v>1975</v>
      </c>
      <c r="D159" s="108"/>
      <c r="E159" s="109" t="s">
        <v>219</v>
      </c>
      <c r="F159" s="108">
        <v>5</v>
      </c>
      <c r="G159" s="108">
        <v>6</v>
      </c>
      <c r="H159" s="117"/>
      <c r="I159" s="117"/>
      <c r="J159" s="117"/>
      <c r="K159" s="101"/>
      <c r="L159" s="113">
        <v>2294529</v>
      </c>
      <c r="M159" s="113">
        <v>0</v>
      </c>
      <c r="N159" s="113">
        <v>0</v>
      </c>
      <c r="O159" s="113">
        <f t="shared" si="14"/>
        <v>2294529</v>
      </c>
      <c r="P159" s="113">
        <v>0</v>
      </c>
      <c r="Q159" s="114" t="e">
        <f t="shared" si="15"/>
        <v>#DIV/0!</v>
      </c>
      <c r="R159" s="115"/>
      <c r="S159" s="316">
        <v>43100</v>
      </c>
    </row>
    <row r="160" spans="1:19" customFormat="1" ht="15.75">
      <c r="A160" s="107">
        <f t="shared" si="16"/>
        <v>141</v>
      </c>
      <c r="B160" s="276" t="s">
        <v>230</v>
      </c>
      <c r="C160" s="118">
        <v>1981</v>
      </c>
      <c r="D160" s="118"/>
      <c r="E160" s="109" t="s">
        <v>219</v>
      </c>
      <c r="F160" s="118">
        <v>9</v>
      </c>
      <c r="G160" s="118">
        <v>2</v>
      </c>
      <c r="H160" s="118"/>
      <c r="I160" s="118"/>
      <c r="J160" s="118"/>
      <c r="K160" s="119"/>
      <c r="L160" s="113">
        <v>2615616.2000000002</v>
      </c>
      <c r="M160" s="113">
        <v>0</v>
      </c>
      <c r="N160" s="113">
        <v>0</v>
      </c>
      <c r="O160" s="113">
        <f t="shared" si="14"/>
        <v>2615616.2000000002</v>
      </c>
      <c r="P160" s="113">
        <v>0</v>
      </c>
      <c r="Q160" s="114" t="e">
        <f t="shared" si="15"/>
        <v>#DIV/0!</v>
      </c>
      <c r="R160" s="115"/>
      <c r="S160" s="316">
        <v>43100</v>
      </c>
    </row>
    <row r="161" spans="1:30" customFormat="1" ht="31.5">
      <c r="A161" s="107">
        <f t="shared" si="16"/>
        <v>142</v>
      </c>
      <c r="B161" s="275" t="s">
        <v>295</v>
      </c>
      <c r="C161" s="108">
        <v>1964</v>
      </c>
      <c r="D161" s="108"/>
      <c r="E161" s="109" t="s">
        <v>218</v>
      </c>
      <c r="F161" s="110">
        <v>5</v>
      </c>
      <c r="G161" s="110">
        <v>3</v>
      </c>
      <c r="H161" s="111"/>
      <c r="I161" s="111"/>
      <c r="J161" s="111"/>
      <c r="K161" s="112"/>
      <c r="L161" s="113">
        <v>1561539</v>
      </c>
      <c r="M161" s="113">
        <v>0</v>
      </c>
      <c r="N161" s="113">
        <v>0</v>
      </c>
      <c r="O161" s="113">
        <f t="shared" si="14"/>
        <v>1561539</v>
      </c>
      <c r="P161" s="113">
        <v>0</v>
      </c>
      <c r="Q161" s="114" t="e">
        <f t="shared" si="15"/>
        <v>#DIV/0!</v>
      </c>
      <c r="R161" s="115"/>
      <c r="S161" s="316">
        <v>43100</v>
      </c>
    </row>
    <row r="162" spans="1:30" customFormat="1" ht="31.5">
      <c r="A162" s="107">
        <f t="shared" si="16"/>
        <v>143</v>
      </c>
      <c r="B162" s="276" t="s">
        <v>294</v>
      </c>
      <c r="C162" s="108">
        <v>1960</v>
      </c>
      <c r="D162" s="108"/>
      <c r="E162" s="109" t="s">
        <v>218</v>
      </c>
      <c r="F162" s="110">
        <v>5</v>
      </c>
      <c r="G162" s="110">
        <v>2</v>
      </c>
      <c r="H162" s="111"/>
      <c r="I162" s="111"/>
      <c r="J162" s="111"/>
      <c r="K162" s="112"/>
      <c r="L162" s="113">
        <v>1421187</v>
      </c>
      <c r="M162" s="113">
        <v>0</v>
      </c>
      <c r="N162" s="113">
        <v>0</v>
      </c>
      <c r="O162" s="113">
        <f t="shared" si="14"/>
        <v>1421187</v>
      </c>
      <c r="P162" s="113">
        <v>0</v>
      </c>
      <c r="Q162" s="114" t="e">
        <f t="shared" si="15"/>
        <v>#DIV/0!</v>
      </c>
      <c r="R162" s="115"/>
      <c r="S162" s="316">
        <v>43100</v>
      </c>
    </row>
    <row r="163" spans="1:30" customFormat="1" ht="15.75">
      <c r="A163" s="107">
        <f t="shared" si="16"/>
        <v>144</v>
      </c>
      <c r="B163" s="276" t="s">
        <v>270</v>
      </c>
      <c r="C163" s="118">
        <v>1962</v>
      </c>
      <c r="D163" s="118"/>
      <c r="E163" s="109" t="s">
        <v>219</v>
      </c>
      <c r="F163" s="118">
        <v>4</v>
      </c>
      <c r="G163" s="118">
        <v>4</v>
      </c>
      <c r="H163" s="118"/>
      <c r="I163" s="118"/>
      <c r="J163" s="118"/>
      <c r="K163" s="119"/>
      <c r="L163" s="113">
        <v>2469740</v>
      </c>
      <c r="M163" s="113">
        <v>0</v>
      </c>
      <c r="N163" s="113">
        <v>0</v>
      </c>
      <c r="O163" s="113">
        <f t="shared" si="14"/>
        <v>2469740</v>
      </c>
      <c r="P163" s="113">
        <v>0</v>
      </c>
      <c r="Q163" s="114" t="e">
        <f t="shared" si="15"/>
        <v>#DIV/0!</v>
      </c>
      <c r="R163" s="115"/>
      <c r="S163" s="316">
        <v>43100</v>
      </c>
    </row>
    <row r="164" spans="1:30" customFormat="1" ht="31.5">
      <c r="A164" s="107">
        <f t="shared" si="16"/>
        <v>145</v>
      </c>
      <c r="B164" s="276" t="s">
        <v>252</v>
      </c>
      <c r="C164" s="118">
        <v>1986</v>
      </c>
      <c r="D164" s="118"/>
      <c r="E164" s="109" t="s">
        <v>218</v>
      </c>
      <c r="F164" s="118">
        <v>9</v>
      </c>
      <c r="G164" s="118">
        <v>1</v>
      </c>
      <c r="H164" s="118"/>
      <c r="I164" s="118"/>
      <c r="J164" s="118"/>
      <c r="K164" s="119"/>
      <c r="L164" s="113">
        <v>1104857</v>
      </c>
      <c r="M164" s="113">
        <v>0</v>
      </c>
      <c r="N164" s="113">
        <v>0</v>
      </c>
      <c r="O164" s="113">
        <f t="shared" si="14"/>
        <v>1104857</v>
      </c>
      <c r="P164" s="113">
        <v>0</v>
      </c>
      <c r="Q164" s="114" t="e">
        <f t="shared" si="15"/>
        <v>#DIV/0!</v>
      </c>
      <c r="R164" s="115"/>
      <c r="S164" s="316">
        <v>43100</v>
      </c>
    </row>
    <row r="165" spans="1:30" customFormat="1" ht="31.5">
      <c r="A165" s="107">
        <f t="shared" si="16"/>
        <v>146</v>
      </c>
      <c r="B165" s="276" t="s">
        <v>304</v>
      </c>
      <c r="C165" s="108">
        <v>1989</v>
      </c>
      <c r="D165" s="108"/>
      <c r="E165" s="109" t="s">
        <v>218</v>
      </c>
      <c r="F165" s="110">
        <v>9</v>
      </c>
      <c r="G165" s="110">
        <v>1</v>
      </c>
      <c r="H165" s="111"/>
      <c r="I165" s="111"/>
      <c r="J165" s="111"/>
      <c r="K165" s="112"/>
      <c r="L165" s="113">
        <v>1877378</v>
      </c>
      <c r="M165" s="113">
        <v>0</v>
      </c>
      <c r="N165" s="113">
        <v>0</v>
      </c>
      <c r="O165" s="113">
        <f t="shared" si="14"/>
        <v>1877378</v>
      </c>
      <c r="P165" s="113">
        <v>0</v>
      </c>
      <c r="Q165" s="114" t="e">
        <f t="shared" si="15"/>
        <v>#DIV/0!</v>
      </c>
      <c r="R165" s="115"/>
      <c r="S165" s="316">
        <v>43100</v>
      </c>
    </row>
    <row r="166" spans="1:30" customFormat="1" ht="31.5">
      <c r="A166" s="107">
        <f t="shared" si="16"/>
        <v>147</v>
      </c>
      <c r="B166" s="276" t="s">
        <v>228</v>
      </c>
      <c r="C166" s="118" t="s">
        <v>190</v>
      </c>
      <c r="D166" s="118"/>
      <c r="E166" s="109" t="s">
        <v>218</v>
      </c>
      <c r="F166" s="118">
        <v>4</v>
      </c>
      <c r="G166" s="118">
        <v>2</v>
      </c>
      <c r="H166" s="118"/>
      <c r="I166" s="118"/>
      <c r="J166" s="118"/>
      <c r="K166" s="119"/>
      <c r="L166" s="113">
        <v>2945836</v>
      </c>
      <c r="M166" s="113">
        <v>0</v>
      </c>
      <c r="N166" s="113">
        <v>0</v>
      </c>
      <c r="O166" s="113">
        <f t="shared" si="14"/>
        <v>2945836</v>
      </c>
      <c r="P166" s="113">
        <v>0</v>
      </c>
      <c r="Q166" s="114" t="e">
        <f t="shared" si="15"/>
        <v>#DIV/0!</v>
      </c>
      <c r="R166" s="115"/>
      <c r="S166" s="316">
        <v>43100</v>
      </c>
    </row>
    <row r="167" spans="1:30" customFormat="1" ht="31.5">
      <c r="A167" s="107">
        <f t="shared" si="16"/>
        <v>148</v>
      </c>
      <c r="B167" s="276" t="s">
        <v>225</v>
      </c>
      <c r="C167" s="118">
        <v>1932</v>
      </c>
      <c r="D167" s="118"/>
      <c r="E167" s="109" t="s">
        <v>218</v>
      </c>
      <c r="F167" s="118">
        <v>5</v>
      </c>
      <c r="G167" s="118">
        <v>5</v>
      </c>
      <c r="H167" s="118"/>
      <c r="I167" s="118"/>
      <c r="J167" s="118"/>
      <c r="K167" s="119"/>
      <c r="L167" s="113">
        <v>1118494</v>
      </c>
      <c r="M167" s="113">
        <v>0</v>
      </c>
      <c r="N167" s="113">
        <v>0</v>
      </c>
      <c r="O167" s="113">
        <f t="shared" si="14"/>
        <v>1118494</v>
      </c>
      <c r="P167" s="113">
        <v>0</v>
      </c>
      <c r="Q167" s="114" t="e">
        <f t="shared" si="15"/>
        <v>#DIV/0!</v>
      </c>
      <c r="R167" s="115"/>
      <c r="S167" s="316">
        <v>43100</v>
      </c>
    </row>
    <row r="168" spans="1:30" customFormat="1" ht="31.5">
      <c r="A168" s="107">
        <f t="shared" si="16"/>
        <v>149</v>
      </c>
      <c r="B168" s="276" t="s">
        <v>232</v>
      </c>
      <c r="C168" s="118" t="s">
        <v>190</v>
      </c>
      <c r="D168" s="118"/>
      <c r="E168" s="109" t="s">
        <v>218</v>
      </c>
      <c r="F168" s="118">
        <v>3</v>
      </c>
      <c r="G168" s="118">
        <v>2</v>
      </c>
      <c r="H168" s="118"/>
      <c r="I168" s="118"/>
      <c r="J168" s="118"/>
      <c r="K168" s="119"/>
      <c r="L168" s="113">
        <v>2540427</v>
      </c>
      <c r="M168" s="113">
        <v>0</v>
      </c>
      <c r="N168" s="113">
        <v>0</v>
      </c>
      <c r="O168" s="113">
        <f t="shared" si="14"/>
        <v>2540427</v>
      </c>
      <c r="P168" s="113">
        <v>0</v>
      </c>
      <c r="Q168" s="114" t="e">
        <f t="shared" si="15"/>
        <v>#DIV/0!</v>
      </c>
      <c r="R168" s="115"/>
      <c r="S168" s="316">
        <v>43100</v>
      </c>
    </row>
    <row r="169" spans="1:30" customFormat="1" ht="31.5">
      <c r="A169" s="107">
        <f t="shared" si="16"/>
        <v>150</v>
      </c>
      <c r="B169" s="276" t="s">
        <v>275</v>
      </c>
      <c r="C169" s="107">
        <v>1951</v>
      </c>
      <c r="D169" s="108"/>
      <c r="E169" s="109" t="s">
        <v>218</v>
      </c>
      <c r="F169" s="108">
        <v>3</v>
      </c>
      <c r="G169" s="108">
        <v>3</v>
      </c>
      <c r="H169" s="117"/>
      <c r="I169" s="117"/>
      <c r="J169" s="117"/>
      <c r="K169" s="101"/>
      <c r="L169" s="113">
        <v>2253297</v>
      </c>
      <c r="M169" s="113">
        <v>0</v>
      </c>
      <c r="N169" s="113">
        <v>0</v>
      </c>
      <c r="O169" s="113">
        <f t="shared" si="14"/>
        <v>2253297</v>
      </c>
      <c r="P169" s="113">
        <v>0</v>
      </c>
      <c r="Q169" s="114" t="e">
        <f t="shared" si="15"/>
        <v>#DIV/0!</v>
      </c>
      <c r="R169" s="115"/>
      <c r="S169" s="316">
        <v>43100</v>
      </c>
    </row>
    <row r="170" spans="1:30" customFormat="1" ht="21.75" customHeight="1">
      <c r="A170" s="107">
        <f t="shared" si="16"/>
        <v>151</v>
      </c>
      <c r="B170" s="276" t="s">
        <v>286</v>
      </c>
      <c r="C170" s="108">
        <v>1971</v>
      </c>
      <c r="D170" s="108"/>
      <c r="E170" s="109" t="s">
        <v>219</v>
      </c>
      <c r="F170" s="110">
        <v>5</v>
      </c>
      <c r="G170" s="110">
        <v>4</v>
      </c>
      <c r="H170" s="111"/>
      <c r="I170" s="111"/>
      <c r="J170" s="111"/>
      <c r="K170" s="112"/>
      <c r="L170" s="113">
        <v>1390061</v>
      </c>
      <c r="M170" s="113">
        <v>0</v>
      </c>
      <c r="N170" s="113">
        <v>0</v>
      </c>
      <c r="O170" s="113">
        <f t="shared" si="14"/>
        <v>1390061</v>
      </c>
      <c r="P170" s="113">
        <v>0</v>
      </c>
      <c r="Q170" s="114" t="e">
        <f t="shared" si="15"/>
        <v>#DIV/0!</v>
      </c>
      <c r="R170" s="115"/>
      <c r="S170" s="316">
        <v>43100</v>
      </c>
    </row>
    <row r="171" spans="1:30" customFormat="1" ht="31.5">
      <c r="A171" s="107">
        <f t="shared" si="16"/>
        <v>152</v>
      </c>
      <c r="B171" s="275" t="s">
        <v>342</v>
      </c>
      <c r="C171" s="107">
        <v>1961</v>
      </c>
      <c r="D171" s="108"/>
      <c r="E171" s="109" t="s">
        <v>218</v>
      </c>
      <c r="F171" s="108">
        <v>5</v>
      </c>
      <c r="G171" s="108">
        <v>4</v>
      </c>
      <c r="H171" s="117"/>
      <c r="I171" s="117"/>
      <c r="J171" s="117"/>
      <c r="K171" s="101"/>
      <c r="L171" s="113">
        <v>3213804</v>
      </c>
      <c r="M171" s="113">
        <v>0</v>
      </c>
      <c r="N171" s="113">
        <v>0</v>
      </c>
      <c r="O171" s="113">
        <f t="shared" si="14"/>
        <v>3213804</v>
      </c>
      <c r="P171" s="113">
        <v>0</v>
      </c>
      <c r="Q171" s="114" t="e">
        <f t="shared" si="15"/>
        <v>#DIV/0!</v>
      </c>
      <c r="R171" s="115"/>
      <c r="S171" s="316">
        <v>43100</v>
      </c>
    </row>
    <row r="172" spans="1:30" customFormat="1" ht="31.5">
      <c r="A172" s="107">
        <f t="shared" si="16"/>
        <v>153</v>
      </c>
      <c r="B172" s="276" t="s">
        <v>298</v>
      </c>
      <c r="C172" s="108">
        <v>1958</v>
      </c>
      <c r="D172" s="108"/>
      <c r="E172" s="109" t="s">
        <v>218</v>
      </c>
      <c r="F172" s="110">
        <v>4</v>
      </c>
      <c r="G172" s="110">
        <v>3</v>
      </c>
      <c r="H172" s="111"/>
      <c r="I172" s="111"/>
      <c r="J172" s="111"/>
      <c r="K172" s="112"/>
      <c r="L172" s="113">
        <v>3202371</v>
      </c>
      <c r="M172" s="113">
        <v>0</v>
      </c>
      <c r="N172" s="113">
        <v>0</v>
      </c>
      <c r="O172" s="113">
        <f t="shared" si="14"/>
        <v>3202371</v>
      </c>
      <c r="P172" s="113">
        <v>0</v>
      </c>
      <c r="Q172" s="114" t="e">
        <f t="shared" si="15"/>
        <v>#DIV/0!</v>
      </c>
      <c r="R172" s="115"/>
      <c r="S172" s="316">
        <v>43100</v>
      </c>
    </row>
    <row r="173" spans="1:30" s="3" customFormat="1" ht="31.5">
      <c r="A173" s="107">
        <f t="shared" si="16"/>
        <v>154</v>
      </c>
      <c r="B173" s="276" t="s">
        <v>253</v>
      </c>
      <c r="C173" s="118">
        <v>1959</v>
      </c>
      <c r="D173" s="118"/>
      <c r="E173" s="109" t="s">
        <v>218</v>
      </c>
      <c r="F173" s="118">
        <v>2</v>
      </c>
      <c r="G173" s="118">
        <v>1</v>
      </c>
      <c r="H173" s="118"/>
      <c r="I173" s="118"/>
      <c r="J173" s="118"/>
      <c r="K173" s="119"/>
      <c r="L173" s="113">
        <v>709022</v>
      </c>
      <c r="M173" s="113">
        <v>0</v>
      </c>
      <c r="N173" s="113">
        <v>0</v>
      </c>
      <c r="O173" s="113">
        <f t="shared" si="14"/>
        <v>709022</v>
      </c>
      <c r="P173" s="113">
        <v>0</v>
      </c>
      <c r="Q173" s="114" t="e">
        <f t="shared" si="15"/>
        <v>#DIV/0!</v>
      </c>
      <c r="R173" s="115"/>
      <c r="S173" s="316">
        <v>43100</v>
      </c>
      <c r="T173"/>
      <c r="U173"/>
      <c r="V173"/>
      <c r="W173"/>
      <c r="X173"/>
      <c r="Y173"/>
      <c r="Z173"/>
      <c r="AA173"/>
      <c r="AB173"/>
      <c r="AC173"/>
      <c r="AD173"/>
    </row>
    <row r="174" spans="1:30" customFormat="1" ht="31.5">
      <c r="A174" s="107">
        <f t="shared" si="16"/>
        <v>155</v>
      </c>
      <c r="B174" s="276" t="s">
        <v>260</v>
      </c>
      <c r="C174" s="118">
        <v>1958</v>
      </c>
      <c r="D174" s="118"/>
      <c r="E174" s="109" t="s">
        <v>218</v>
      </c>
      <c r="F174" s="118">
        <v>2</v>
      </c>
      <c r="G174" s="118">
        <v>1</v>
      </c>
      <c r="H174" s="118"/>
      <c r="I174" s="118"/>
      <c r="J174" s="118"/>
      <c r="K174" s="119"/>
      <c r="L174" s="113">
        <v>1136930</v>
      </c>
      <c r="M174" s="113">
        <v>0</v>
      </c>
      <c r="N174" s="113">
        <v>0</v>
      </c>
      <c r="O174" s="113">
        <f t="shared" si="14"/>
        <v>1136930</v>
      </c>
      <c r="P174" s="113">
        <v>0</v>
      </c>
      <c r="Q174" s="114" t="e">
        <f t="shared" si="15"/>
        <v>#DIV/0!</v>
      </c>
      <c r="R174" s="115"/>
      <c r="S174" s="316">
        <v>43100</v>
      </c>
    </row>
    <row r="175" spans="1:30" customFormat="1" ht="31.5">
      <c r="A175" s="107">
        <f t="shared" si="16"/>
        <v>156</v>
      </c>
      <c r="B175" s="276" t="s">
        <v>349</v>
      </c>
      <c r="C175" s="108">
        <v>1958</v>
      </c>
      <c r="D175" s="108"/>
      <c r="E175" s="109" t="s">
        <v>218</v>
      </c>
      <c r="F175" s="110">
        <v>2</v>
      </c>
      <c r="G175" s="110">
        <v>2</v>
      </c>
      <c r="H175" s="111"/>
      <c r="I175" s="111"/>
      <c r="J175" s="111"/>
      <c r="K175" s="112"/>
      <c r="L175" s="113">
        <v>1320636</v>
      </c>
      <c r="M175" s="113">
        <v>0</v>
      </c>
      <c r="N175" s="113">
        <v>0</v>
      </c>
      <c r="O175" s="113">
        <f t="shared" si="14"/>
        <v>1320636</v>
      </c>
      <c r="P175" s="113">
        <v>0</v>
      </c>
      <c r="Q175" s="114" t="e">
        <f t="shared" si="15"/>
        <v>#DIV/0!</v>
      </c>
      <c r="R175" s="115"/>
      <c r="S175" s="316">
        <v>43100</v>
      </c>
    </row>
    <row r="176" spans="1:30" customFormat="1" ht="15.75">
      <c r="A176" s="107">
        <f t="shared" si="16"/>
        <v>157</v>
      </c>
      <c r="B176" s="276" t="s">
        <v>302</v>
      </c>
      <c r="C176" s="108">
        <v>1986</v>
      </c>
      <c r="D176" s="108"/>
      <c r="E176" s="109" t="s">
        <v>219</v>
      </c>
      <c r="F176" s="110">
        <v>9</v>
      </c>
      <c r="G176" s="110">
        <v>3</v>
      </c>
      <c r="H176" s="111"/>
      <c r="I176" s="111"/>
      <c r="J176" s="111"/>
      <c r="K176" s="112"/>
      <c r="L176" s="113">
        <v>4265098</v>
      </c>
      <c r="M176" s="113">
        <v>0</v>
      </c>
      <c r="N176" s="113">
        <v>0</v>
      </c>
      <c r="O176" s="113">
        <f t="shared" si="14"/>
        <v>4265098</v>
      </c>
      <c r="P176" s="113">
        <v>0</v>
      </c>
      <c r="Q176" s="114" t="e">
        <f t="shared" si="15"/>
        <v>#DIV/0!</v>
      </c>
      <c r="R176" s="115"/>
      <c r="S176" s="316">
        <v>43100</v>
      </c>
    </row>
    <row r="177" spans="1:30" customFormat="1" ht="31.5">
      <c r="A177" s="107">
        <f t="shared" si="16"/>
        <v>158</v>
      </c>
      <c r="B177" s="276" t="s">
        <v>341</v>
      </c>
      <c r="C177" s="107">
        <v>1963</v>
      </c>
      <c r="D177" s="108"/>
      <c r="E177" s="109" t="s">
        <v>218</v>
      </c>
      <c r="F177" s="108">
        <v>4</v>
      </c>
      <c r="G177" s="108">
        <v>4</v>
      </c>
      <c r="H177" s="117"/>
      <c r="I177" s="117"/>
      <c r="J177" s="117"/>
      <c r="K177" s="101"/>
      <c r="L177" s="113">
        <v>2115890</v>
      </c>
      <c r="M177" s="113">
        <v>0</v>
      </c>
      <c r="N177" s="113">
        <v>0</v>
      </c>
      <c r="O177" s="113">
        <f t="shared" si="14"/>
        <v>2115890</v>
      </c>
      <c r="P177" s="113">
        <v>0</v>
      </c>
      <c r="Q177" s="114" t="e">
        <f t="shared" si="15"/>
        <v>#DIV/0!</v>
      </c>
      <c r="R177" s="115"/>
      <c r="S177" s="316">
        <v>43100</v>
      </c>
    </row>
    <row r="178" spans="1:30" customFormat="1" ht="31.5">
      <c r="A178" s="107">
        <f t="shared" si="16"/>
        <v>159</v>
      </c>
      <c r="B178" s="275" t="s">
        <v>242</v>
      </c>
      <c r="C178" s="118">
        <v>1961</v>
      </c>
      <c r="D178" s="118"/>
      <c r="E178" s="109" t="s">
        <v>218</v>
      </c>
      <c r="F178" s="118">
        <v>3</v>
      </c>
      <c r="G178" s="118">
        <v>2</v>
      </c>
      <c r="H178" s="118"/>
      <c r="I178" s="118"/>
      <c r="J178" s="118"/>
      <c r="K178" s="119"/>
      <c r="L178" s="113">
        <v>482251.51</v>
      </c>
      <c r="M178" s="113">
        <v>0</v>
      </c>
      <c r="N178" s="113">
        <v>0</v>
      </c>
      <c r="O178" s="113">
        <f t="shared" si="14"/>
        <v>482251.51</v>
      </c>
      <c r="P178" s="113">
        <v>0</v>
      </c>
      <c r="Q178" s="114" t="e">
        <f t="shared" si="15"/>
        <v>#DIV/0!</v>
      </c>
      <c r="R178" s="115"/>
      <c r="S178" s="316">
        <v>43100</v>
      </c>
    </row>
    <row r="179" spans="1:30" customFormat="1" ht="31.5">
      <c r="A179" s="107">
        <f t="shared" si="16"/>
        <v>160</v>
      </c>
      <c r="B179" s="276" t="s">
        <v>279</v>
      </c>
      <c r="C179" s="107">
        <v>1959</v>
      </c>
      <c r="D179" s="108"/>
      <c r="E179" s="109" t="s">
        <v>218</v>
      </c>
      <c r="F179" s="108">
        <v>3</v>
      </c>
      <c r="G179" s="108">
        <v>2</v>
      </c>
      <c r="H179" s="117"/>
      <c r="I179" s="117"/>
      <c r="J179" s="117"/>
      <c r="K179" s="101"/>
      <c r="L179" s="113">
        <v>1018040.92</v>
      </c>
      <c r="M179" s="113">
        <v>0</v>
      </c>
      <c r="N179" s="113">
        <v>0</v>
      </c>
      <c r="O179" s="113">
        <f t="shared" si="14"/>
        <v>1018040.92</v>
      </c>
      <c r="P179" s="113">
        <v>0</v>
      </c>
      <c r="Q179" s="114" t="e">
        <f t="shared" si="15"/>
        <v>#DIV/0!</v>
      </c>
      <c r="R179" s="115"/>
      <c r="S179" s="316">
        <v>43100</v>
      </c>
    </row>
    <row r="180" spans="1:30" customFormat="1" ht="31.5">
      <c r="A180" s="107">
        <f t="shared" si="16"/>
        <v>161</v>
      </c>
      <c r="B180" s="276" t="s">
        <v>262</v>
      </c>
      <c r="C180" s="118">
        <v>1977</v>
      </c>
      <c r="D180" s="118"/>
      <c r="E180" s="109" t="s">
        <v>218</v>
      </c>
      <c r="F180" s="118">
        <v>9</v>
      </c>
      <c r="G180" s="118">
        <v>1</v>
      </c>
      <c r="H180" s="118"/>
      <c r="I180" s="118"/>
      <c r="J180" s="118"/>
      <c r="K180" s="119"/>
      <c r="L180" s="113">
        <v>1871554</v>
      </c>
      <c r="M180" s="113">
        <v>0</v>
      </c>
      <c r="N180" s="113">
        <v>0</v>
      </c>
      <c r="O180" s="113">
        <f t="shared" ref="O180:O187" si="17">L180</f>
        <v>1871554</v>
      </c>
      <c r="P180" s="113">
        <v>0</v>
      </c>
      <c r="Q180" s="114" t="e">
        <f t="shared" ref="Q180:Q187" si="18">L180/I180</f>
        <v>#DIV/0!</v>
      </c>
      <c r="R180" s="115"/>
      <c r="S180" s="316">
        <v>43100</v>
      </c>
    </row>
    <row r="181" spans="1:30" customFormat="1" ht="31.5">
      <c r="A181" s="107">
        <f t="shared" si="16"/>
        <v>162</v>
      </c>
      <c r="B181" s="275" t="s">
        <v>290</v>
      </c>
      <c r="C181" s="108">
        <v>1974</v>
      </c>
      <c r="D181" s="108"/>
      <c r="E181" s="109" t="s">
        <v>218</v>
      </c>
      <c r="F181" s="110">
        <v>5</v>
      </c>
      <c r="G181" s="110">
        <v>4</v>
      </c>
      <c r="H181" s="111"/>
      <c r="I181" s="111"/>
      <c r="J181" s="111"/>
      <c r="K181" s="112"/>
      <c r="L181" s="113">
        <v>2652530</v>
      </c>
      <c r="M181" s="113">
        <v>0</v>
      </c>
      <c r="N181" s="113">
        <v>0</v>
      </c>
      <c r="O181" s="113">
        <f t="shared" si="17"/>
        <v>2652530</v>
      </c>
      <c r="P181" s="113">
        <v>0</v>
      </c>
      <c r="Q181" s="114" t="e">
        <f t="shared" si="18"/>
        <v>#DIV/0!</v>
      </c>
      <c r="R181" s="115"/>
      <c r="S181" s="316">
        <v>43100</v>
      </c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customFormat="1" ht="15.75">
      <c r="A182" s="107">
        <f t="shared" si="16"/>
        <v>163</v>
      </c>
      <c r="B182" s="276" t="s">
        <v>356</v>
      </c>
      <c r="C182" s="108">
        <v>1974</v>
      </c>
      <c r="D182" s="108"/>
      <c r="E182" s="109" t="s">
        <v>219</v>
      </c>
      <c r="F182" s="110">
        <v>5</v>
      </c>
      <c r="G182" s="110">
        <v>6</v>
      </c>
      <c r="H182" s="111"/>
      <c r="I182" s="111"/>
      <c r="J182" s="111"/>
      <c r="K182" s="112"/>
      <c r="L182" s="113">
        <v>3645969</v>
      </c>
      <c r="M182" s="113">
        <v>0</v>
      </c>
      <c r="N182" s="113">
        <v>0</v>
      </c>
      <c r="O182" s="113">
        <f t="shared" si="17"/>
        <v>3645969</v>
      </c>
      <c r="P182" s="113">
        <v>0</v>
      </c>
      <c r="Q182" s="114" t="e">
        <f t="shared" si="18"/>
        <v>#DIV/0!</v>
      </c>
      <c r="R182" s="115"/>
      <c r="S182" s="316">
        <v>43100</v>
      </c>
    </row>
    <row r="183" spans="1:30" s="62" customFormat="1" ht="15.75">
      <c r="A183" s="107">
        <f t="shared" si="16"/>
        <v>164</v>
      </c>
      <c r="B183" s="276" t="s">
        <v>354</v>
      </c>
      <c r="C183" s="107">
        <v>1986</v>
      </c>
      <c r="D183" s="108"/>
      <c r="E183" s="109" t="s">
        <v>219</v>
      </c>
      <c r="F183" s="108">
        <v>9</v>
      </c>
      <c r="G183" s="108">
        <v>1</v>
      </c>
      <c r="H183" s="117"/>
      <c r="I183" s="117"/>
      <c r="J183" s="117"/>
      <c r="K183" s="101"/>
      <c r="L183" s="113">
        <v>771330</v>
      </c>
      <c r="M183" s="113">
        <v>0</v>
      </c>
      <c r="N183" s="113">
        <v>0</v>
      </c>
      <c r="O183" s="113">
        <f t="shared" si="17"/>
        <v>771330</v>
      </c>
      <c r="P183" s="113">
        <v>0</v>
      </c>
      <c r="Q183" s="114" t="e">
        <f t="shared" si="18"/>
        <v>#DIV/0!</v>
      </c>
      <c r="R183" s="115"/>
      <c r="S183" s="316">
        <v>43100</v>
      </c>
      <c r="T183"/>
      <c r="U183"/>
      <c r="V183"/>
      <c r="W183"/>
      <c r="X183"/>
      <c r="Y183"/>
      <c r="Z183"/>
      <c r="AA183"/>
      <c r="AB183"/>
      <c r="AC183"/>
      <c r="AD183"/>
    </row>
    <row r="184" spans="1:30" customFormat="1" ht="15.75">
      <c r="A184" s="107">
        <f t="shared" si="16"/>
        <v>165</v>
      </c>
      <c r="B184" s="275" t="s">
        <v>352</v>
      </c>
      <c r="C184" s="118">
        <v>1972</v>
      </c>
      <c r="D184" s="118"/>
      <c r="E184" s="109" t="s">
        <v>219</v>
      </c>
      <c r="F184" s="118">
        <v>9</v>
      </c>
      <c r="G184" s="118">
        <v>1</v>
      </c>
      <c r="H184" s="118"/>
      <c r="I184" s="118"/>
      <c r="J184" s="118"/>
      <c r="K184" s="119"/>
      <c r="L184" s="113">
        <v>1894719</v>
      </c>
      <c r="M184" s="113">
        <v>0</v>
      </c>
      <c r="N184" s="113">
        <v>0</v>
      </c>
      <c r="O184" s="113">
        <f t="shared" si="17"/>
        <v>1894719</v>
      </c>
      <c r="P184" s="113">
        <v>0</v>
      </c>
      <c r="Q184" s="114" t="e">
        <f t="shared" si="18"/>
        <v>#DIV/0!</v>
      </c>
      <c r="R184" s="115"/>
      <c r="S184" s="316">
        <v>43100</v>
      </c>
    </row>
    <row r="185" spans="1:30" customFormat="1" ht="31.5">
      <c r="A185" s="107">
        <f t="shared" si="16"/>
        <v>166</v>
      </c>
      <c r="B185" s="271" t="s">
        <v>355</v>
      </c>
      <c r="C185" s="107">
        <v>1964</v>
      </c>
      <c r="D185" s="108"/>
      <c r="E185" s="109" t="s">
        <v>218</v>
      </c>
      <c r="F185" s="108">
        <v>5</v>
      </c>
      <c r="G185" s="108">
        <v>3</v>
      </c>
      <c r="H185" s="117"/>
      <c r="I185" s="117"/>
      <c r="J185" s="117"/>
      <c r="K185" s="101"/>
      <c r="L185" s="113">
        <v>1492412</v>
      </c>
      <c r="M185" s="113">
        <v>0</v>
      </c>
      <c r="N185" s="113">
        <v>0</v>
      </c>
      <c r="O185" s="113">
        <f t="shared" si="17"/>
        <v>1492412</v>
      </c>
      <c r="P185" s="113">
        <v>0</v>
      </c>
      <c r="Q185" s="114" t="e">
        <f t="shared" si="18"/>
        <v>#DIV/0!</v>
      </c>
      <c r="R185" s="115"/>
      <c r="S185" s="316">
        <v>43100</v>
      </c>
    </row>
    <row r="186" spans="1:30" customFormat="1" ht="31.5">
      <c r="A186" s="107">
        <f t="shared" si="16"/>
        <v>167</v>
      </c>
      <c r="B186" s="262" t="s">
        <v>318</v>
      </c>
      <c r="C186" s="118">
        <v>1884</v>
      </c>
      <c r="D186" s="118"/>
      <c r="E186" s="109" t="s">
        <v>218</v>
      </c>
      <c r="F186" s="118">
        <v>2</v>
      </c>
      <c r="G186" s="118">
        <v>2</v>
      </c>
      <c r="H186" s="118"/>
      <c r="I186" s="118"/>
      <c r="J186" s="118"/>
      <c r="K186" s="119"/>
      <c r="L186" s="113">
        <v>651523.25</v>
      </c>
      <c r="M186" s="113">
        <v>0</v>
      </c>
      <c r="N186" s="113">
        <v>0</v>
      </c>
      <c r="O186" s="113">
        <f t="shared" si="17"/>
        <v>651523.25</v>
      </c>
      <c r="P186" s="113">
        <v>0</v>
      </c>
      <c r="Q186" s="114" t="e">
        <f t="shared" si="18"/>
        <v>#DIV/0!</v>
      </c>
      <c r="R186" s="115"/>
      <c r="S186" s="316">
        <v>43100</v>
      </c>
    </row>
    <row r="187" spans="1:30" customFormat="1" ht="15.75">
      <c r="A187" s="107">
        <f t="shared" si="16"/>
        <v>168</v>
      </c>
      <c r="B187" s="271" t="s">
        <v>353</v>
      </c>
      <c r="C187" s="118">
        <v>1948</v>
      </c>
      <c r="D187" s="118"/>
      <c r="E187" s="109" t="s">
        <v>220</v>
      </c>
      <c r="F187" s="118">
        <v>2</v>
      </c>
      <c r="G187" s="118">
        <v>2</v>
      </c>
      <c r="H187" s="118"/>
      <c r="I187" s="118"/>
      <c r="J187" s="118"/>
      <c r="K187" s="119"/>
      <c r="L187" s="113">
        <v>1221424.83</v>
      </c>
      <c r="M187" s="113">
        <v>0</v>
      </c>
      <c r="N187" s="113">
        <v>0</v>
      </c>
      <c r="O187" s="113">
        <f t="shared" si="17"/>
        <v>1221424.83</v>
      </c>
      <c r="P187" s="113">
        <v>0</v>
      </c>
      <c r="Q187" s="114" t="e">
        <f t="shared" si="18"/>
        <v>#DIV/0!</v>
      </c>
      <c r="R187" s="115"/>
      <c r="S187" s="316">
        <v>43100</v>
      </c>
    </row>
    <row r="188" spans="1:30" s="1" customFormat="1" ht="23.45" customHeight="1">
      <c r="A188" s="107"/>
      <c r="B188" s="1318" t="s">
        <v>91</v>
      </c>
      <c r="C188" s="1318"/>
      <c r="D188" s="1318"/>
      <c r="E188" s="1318"/>
      <c r="F188" s="1319"/>
      <c r="G188" s="1319"/>
      <c r="H188" s="891">
        <f t="shared" ref="H188:N188" si="19">SUM(H189:H204)</f>
        <v>25162</v>
      </c>
      <c r="I188" s="891">
        <f t="shared" si="19"/>
        <v>23147.800000000003</v>
      </c>
      <c r="J188" s="891">
        <f t="shared" si="19"/>
        <v>18031.420000000002</v>
      </c>
      <c r="K188" s="892">
        <f t="shared" si="19"/>
        <v>816</v>
      </c>
      <c r="L188" s="113">
        <f t="shared" si="19"/>
        <v>31255395.629999999</v>
      </c>
      <c r="M188" s="113">
        <f t="shared" si="19"/>
        <v>0</v>
      </c>
      <c r="N188" s="113">
        <f t="shared" si="19"/>
        <v>0</v>
      </c>
      <c r="O188" s="113">
        <f>SUM(O189:O204)</f>
        <v>31255395.629999999</v>
      </c>
      <c r="P188" s="113">
        <f t="shared" ref="P188" si="20">SUM(P189:P203)</f>
        <v>0</v>
      </c>
      <c r="Q188" s="106" t="s">
        <v>40</v>
      </c>
      <c r="R188" s="106" t="s">
        <v>40</v>
      </c>
      <c r="S188" s="316">
        <v>43100</v>
      </c>
    </row>
    <row r="189" spans="1:30" s="30" customFormat="1" ht="31.5">
      <c r="A189" s="107">
        <v>1</v>
      </c>
      <c r="B189" s="874" t="s">
        <v>927</v>
      </c>
      <c r="C189" s="108">
        <v>1962</v>
      </c>
      <c r="D189" s="108"/>
      <c r="E189" s="611" t="s">
        <v>218</v>
      </c>
      <c r="F189" s="893">
        <v>5</v>
      </c>
      <c r="G189" s="893">
        <v>4</v>
      </c>
      <c r="H189" s="893">
        <v>3005.3</v>
      </c>
      <c r="I189" s="893">
        <v>2844.5</v>
      </c>
      <c r="J189" s="893">
        <v>2525.6999999999998</v>
      </c>
      <c r="K189" s="893">
        <v>92</v>
      </c>
      <c r="L189" s="655">
        <f>O189</f>
        <v>3615424</v>
      </c>
      <c r="M189" s="113">
        <v>0</v>
      </c>
      <c r="N189" s="113">
        <v>0</v>
      </c>
      <c r="O189" s="113">
        <v>3615424</v>
      </c>
      <c r="P189" s="113">
        <v>0</v>
      </c>
      <c r="Q189" s="114">
        <f t="shared" ref="Q189:Q204" si="21">L189/I189</f>
        <v>1271.0226753383722</v>
      </c>
      <c r="R189" s="114">
        <v>7822</v>
      </c>
      <c r="S189" s="316">
        <v>43100</v>
      </c>
    </row>
    <row r="190" spans="1:30" s="30" customFormat="1" ht="31.5">
      <c r="A190" s="107">
        <f t="shared" si="16"/>
        <v>2</v>
      </c>
      <c r="B190" s="874" t="s">
        <v>928</v>
      </c>
      <c r="C190" s="108">
        <v>1992</v>
      </c>
      <c r="D190" s="108"/>
      <c r="E190" s="611" t="s">
        <v>218</v>
      </c>
      <c r="F190" s="893">
        <v>5</v>
      </c>
      <c r="G190" s="893">
        <v>7</v>
      </c>
      <c r="H190" s="893">
        <v>5555.6</v>
      </c>
      <c r="I190" s="893">
        <v>5004.6000000000004</v>
      </c>
      <c r="J190" s="893">
        <v>4087.1</v>
      </c>
      <c r="K190" s="893">
        <v>210</v>
      </c>
      <c r="L190" s="655">
        <f t="shared" ref="L190:L204" si="22">O190</f>
        <v>3435122.02</v>
      </c>
      <c r="M190" s="113">
        <v>0</v>
      </c>
      <c r="N190" s="113">
        <v>0</v>
      </c>
      <c r="O190" s="113">
        <v>3435122.02</v>
      </c>
      <c r="P190" s="113">
        <v>0</v>
      </c>
      <c r="Q190" s="114">
        <f t="shared" si="21"/>
        <v>686.39292251128961</v>
      </c>
      <c r="R190" s="114">
        <v>7822</v>
      </c>
      <c r="S190" s="316">
        <v>43100</v>
      </c>
    </row>
    <row r="191" spans="1:30" s="30" customFormat="1" ht="31.5">
      <c r="A191" s="107">
        <f t="shared" si="16"/>
        <v>3</v>
      </c>
      <c r="B191" s="874" t="s">
        <v>929</v>
      </c>
      <c r="C191" s="108">
        <v>1958</v>
      </c>
      <c r="D191" s="108"/>
      <c r="E191" s="611" t="s">
        <v>218</v>
      </c>
      <c r="F191" s="893">
        <v>2</v>
      </c>
      <c r="G191" s="893">
        <v>1</v>
      </c>
      <c r="H191" s="893">
        <v>498.8</v>
      </c>
      <c r="I191" s="893">
        <v>454.6</v>
      </c>
      <c r="J191" s="893">
        <v>454.6</v>
      </c>
      <c r="K191" s="893">
        <v>18</v>
      </c>
      <c r="L191" s="655">
        <f t="shared" si="22"/>
        <v>1525199</v>
      </c>
      <c r="M191" s="113">
        <v>0</v>
      </c>
      <c r="N191" s="113">
        <v>0</v>
      </c>
      <c r="O191" s="113">
        <v>1525199</v>
      </c>
      <c r="P191" s="113">
        <v>0</v>
      </c>
      <c r="Q191" s="114">
        <f t="shared" si="21"/>
        <v>3355.0351957765065</v>
      </c>
      <c r="R191" s="114">
        <v>7822</v>
      </c>
      <c r="S191" s="316">
        <v>43100</v>
      </c>
    </row>
    <row r="192" spans="1:30" s="30" customFormat="1" ht="31.5">
      <c r="A192" s="107">
        <f t="shared" si="16"/>
        <v>4</v>
      </c>
      <c r="B192" s="874" t="s">
        <v>930</v>
      </c>
      <c r="C192" s="107">
        <v>1956</v>
      </c>
      <c r="D192" s="270"/>
      <c r="E192" s="611" t="s">
        <v>218</v>
      </c>
      <c r="F192" s="893">
        <v>2</v>
      </c>
      <c r="G192" s="893">
        <v>3</v>
      </c>
      <c r="H192" s="893">
        <v>854.1</v>
      </c>
      <c r="I192" s="893">
        <v>811.6</v>
      </c>
      <c r="J192" s="893">
        <v>519.32000000000005</v>
      </c>
      <c r="K192" s="893">
        <v>28</v>
      </c>
      <c r="L192" s="655">
        <f t="shared" si="22"/>
        <v>2379167.9900000002</v>
      </c>
      <c r="M192" s="113">
        <v>0</v>
      </c>
      <c r="N192" s="113">
        <v>0</v>
      </c>
      <c r="O192" s="113">
        <v>2379167.9900000002</v>
      </c>
      <c r="P192" s="113">
        <v>0</v>
      </c>
      <c r="Q192" s="114">
        <f t="shared" si="21"/>
        <v>2931.4539058649584</v>
      </c>
      <c r="R192" s="114">
        <v>7822</v>
      </c>
      <c r="S192" s="316">
        <v>43100</v>
      </c>
    </row>
    <row r="193" spans="1:19" s="30" customFormat="1" ht="31.5">
      <c r="A193" s="107">
        <f t="shared" si="16"/>
        <v>5</v>
      </c>
      <c r="B193" s="874" t="s">
        <v>931</v>
      </c>
      <c r="C193" s="108">
        <v>1960</v>
      </c>
      <c r="D193" s="108"/>
      <c r="E193" s="611" t="s">
        <v>218</v>
      </c>
      <c r="F193" s="893">
        <v>3</v>
      </c>
      <c r="G193" s="893">
        <v>3</v>
      </c>
      <c r="H193" s="893">
        <v>1534.2</v>
      </c>
      <c r="I193" s="893">
        <v>1616.2</v>
      </c>
      <c r="J193" s="893">
        <v>1493.1</v>
      </c>
      <c r="K193" s="893">
        <v>47</v>
      </c>
      <c r="L193" s="655">
        <f t="shared" si="22"/>
        <v>2435193</v>
      </c>
      <c r="M193" s="113">
        <v>0</v>
      </c>
      <c r="N193" s="113">
        <v>0</v>
      </c>
      <c r="O193" s="113">
        <v>2435193</v>
      </c>
      <c r="P193" s="113">
        <v>0</v>
      </c>
      <c r="Q193" s="114">
        <f t="shared" si="21"/>
        <v>1506.7398836777627</v>
      </c>
      <c r="R193" s="114">
        <v>7822</v>
      </c>
      <c r="S193" s="316">
        <v>43100</v>
      </c>
    </row>
    <row r="194" spans="1:19" s="30" customFormat="1" ht="31.5">
      <c r="A194" s="107">
        <v>6</v>
      </c>
      <c r="B194" s="874" t="s">
        <v>932</v>
      </c>
      <c r="C194" s="108">
        <v>1936</v>
      </c>
      <c r="D194" s="108"/>
      <c r="E194" s="611" t="s">
        <v>218</v>
      </c>
      <c r="F194" s="893">
        <v>3</v>
      </c>
      <c r="G194" s="893">
        <v>4</v>
      </c>
      <c r="H194" s="893">
        <v>2389.4</v>
      </c>
      <c r="I194" s="893">
        <v>2172.1</v>
      </c>
      <c r="J194" s="893">
        <v>1560</v>
      </c>
      <c r="K194" s="893">
        <v>33</v>
      </c>
      <c r="L194" s="655">
        <f t="shared" si="22"/>
        <v>2705457.32</v>
      </c>
      <c r="M194" s="113">
        <v>0</v>
      </c>
      <c r="N194" s="113">
        <v>0</v>
      </c>
      <c r="O194" s="113">
        <v>2705457.32</v>
      </c>
      <c r="P194" s="113">
        <v>0</v>
      </c>
      <c r="Q194" s="114">
        <f t="shared" si="21"/>
        <v>1245.5491551954331</v>
      </c>
      <c r="R194" s="114">
        <v>7822</v>
      </c>
      <c r="S194" s="316">
        <v>43100</v>
      </c>
    </row>
    <row r="195" spans="1:19" s="30" customFormat="1" ht="31.5">
      <c r="A195" s="107">
        <v>7</v>
      </c>
      <c r="B195" s="874" t="s">
        <v>933</v>
      </c>
      <c r="C195" s="108">
        <v>1993</v>
      </c>
      <c r="D195" s="108"/>
      <c r="E195" s="611" t="s">
        <v>218</v>
      </c>
      <c r="F195" s="893">
        <v>3</v>
      </c>
      <c r="G195" s="893">
        <v>2</v>
      </c>
      <c r="H195" s="893">
        <v>870</v>
      </c>
      <c r="I195" s="893">
        <v>845.5</v>
      </c>
      <c r="J195" s="893">
        <v>799.3</v>
      </c>
      <c r="K195" s="893">
        <v>32</v>
      </c>
      <c r="L195" s="655">
        <f t="shared" si="22"/>
        <v>954408.5</v>
      </c>
      <c r="M195" s="113">
        <v>0</v>
      </c>
      <c r="N195" s="113">
        <v>0</v>
      </c>
      <c r="O195" s="113">
        <v>954408.5</v>
      </c>
      <c r="P195" s="113">
        <v>0</v>
      </c>
      <c r="Q195" s="114">
        <f t="shared" si="21"/>
        <v>1128.8095801301006</v>
      </c>
      <c r="R195" s="114">
        <v>7822</v>
      </c>
      <c r="S195" s="316">
        <v>43100</v>
      </c>
    </row>
    <row r="196" spans="1:19" s="30" customFormat="1" ht="31.5">
      <c r="A196" s="107">
        <v>8</v>
      </c>
      <c r="B196" s="874" t="s">
        <v>934</v>
      </c>
      <c r="C196" s="108">
        <v>1917</v>
      </c>
      <c r="D196" s="108"/>
      <c r="E196" s="611" t="s">
        <v>218</v>
      </c>
      <c r="F196" s="893">
        <v>3</v>
      </c>
      <c r="G196" s="893">
        <v>1</v>
      </c>
      <c r="H196" s="893">
        <v>978.9</v>
      </c>
      <c r="I196" s="893">
        <v>900.2</v>
      </c>
      <c r="J196" s="893">
        <v>229.3</v>
      </c>
      <c r="K196" s="893">
        <v>10</v>
      </c>
      <c r="L196" s="655">
        <f t="shared" si="22"/>
        <v>2430125</v>
      </c>
      <c r="M196" s="113">
        <v>0</v>
      </c>
      <c r="N196" s="113">
        <v>0</v>
      </c>
      <c r="O196" s="113">
        <v>2430125</v>
      </c>
      <c r="P196" s="113">
        <v>0</v>
      </c>
      <c r="Q196" s="114">
        <f t="shared" si="21"/>
        <v>2699.5389913352587</v>
      </c>
      <c r="R196" s="114">
        <v>7822</v>
      </c>
      <c r="S196" s="316">
        <v>43100</v>
      </c>
    </row>
    <row r="197" spans="1:19" s="30" customFormat="1" ht="31.5">
      <c r="A197" s="107">
        <v>9</v>
      </c>
      <c r="B197" s="874" t="s">
        <v>935</v>
      </c>
      <c r="C197" s="108">
        <v>1917</v>
      </c>
      <c r="D197" s="108"/>
      <c r="E197" s="611" t="s">
        <v>218</v>
      </c>
      <c r="F197" s="893">
        <v>3</v>
      </c>
      <c r="G197" s="893">
        <v>3</v>
      </c>
      <c r="H197" s="893">
        <v>2020.3</v>
      </c>
      <c r="I197" s="893">
        <v>1816.9</v>
      </c>
      <c r="J197" s="893">
        <v>1314.2</v>
      </c>
      <c r="K197" s="893">
        <v>47</v>
      </c>
      <c r="L197" s="655">
        <f t="shared" si="22"/>
        <v>2505651</v>
      </c>
      <c r="M197" s="113">
        <v>0</v>
      </c>
      <c r="N197" s="113">
        <v>0</v>
      </c>
      <c r="O197" s="113">
        <v>2505651</v>
      </c>
      <c r="P197" s="113">
        <v>0</v>
      </c>
      <c r="Q197" s="114">
        <f t="shared" si="21"/>
        <v>1379.0803016126367</v>
      </c>
      <c r="R197" s="114">
        <v>7822</v>
      </c>
      <c r="S197" s="316">
        <v>43100</v>
      </c>
    </row>
    <row r="198" spans="1:19" s="30" customFormat="1" ht="31.5">
      <c r="A198" s="107">
        <v>10</v>
      </c>
      <c r="B198" s="874" t="s">
        <v>936</v>
      </c>
      <c r="C198" s="108">
        <v>1961</v>
      </c>
      <c r="D198" s="108"/>
      <c r="E198" s="611" t="s">
        <v>218</v>
      </c>
      <c r="F198" s="893">
        <v>3</v>
      </c>
      <c r="G198" s="893">
        <v>2</v>
      </c>
      <c r="H198" s="893">
        <v>942.6</v>
      </c>
      <c r="I198" s="893">
        <v>942.6</v>
      </c>
      <c r="J198" s="893">
        <v>623.9</v>
      </c>
      <c r="K198" s="893">
        <v>34</v>
      </c>
      <c r="L198" s="655">
        <f t="shared" si="22"/>
        <v>1546987</v>
      </c>
      <c r="M198" s="113">
        <v>0</v>
      </c>
      <c r="N198" s="113">
        <v>0</v>
      </c>
      <c r="O198" s="113">
        <v>1546987</v>
      </c>
      <c r="P198" s="113">
        <v>0</v>
      </c>
      <c r="Q198" s="114">
        <f t="shared" si="21"/>
        <v>1641.1913855293867</v>
      </c>
      <c r="R198" s="114">
        <v>7822</v>
      </c>
      <c r="S198" s="316">
        <v>43100</v>
      </c>
    </row>
    <row r="199" spans="1:19" s="30" customFormat="1" ht="31.5">
      <c r="A199" s="107">
        <v>11</v>
      </c>
      <c r="B199" s="874" t="s">
        <v>937</v>
      </c>
      <c r="C199" s="108">
        <v>1961</v>
      </c>
      <c r="D199" s="108"/>
      <c r="E199" s="611" t="s">
        <v>218</v>
      </c>
      <c r="F199" s="893">
        <v>2</v>
      </c>
      <c r="G199" s="893">
        <v>1</v>
      </c>
      <c r="H199" s="893">
        <v>344.2</v>
      </c>
      <c r="I199" s="893">
        <v>314.5</v>
      </c>
      <c r="J199" s="893">
        <v>268.10000000000002</v>
      </c>
      <c r="K199" s="893">
        <v>15</v>
      </c>
      <c r="L199" s="655">
        <f t="shared" si="22"/>
        <v>709600</v>
      </c>
      <c r="M199" s="113">
        <v>0</v>
      </c>
      <c r="N199" s="113">
        <v>0</v>
      </c>
      <c r="O199" s="113">
        <v>709600</v>
      </c>
      <c r="P199" s="113">
        <v>0</v>
      </c>
      <c r="Q199" s="114">
        <f t="shared" si="21"/>
        <v>2256.2798092209855</v>
      </c>
      <c r="R199" s="114">
        <v>7822</v>
      </c>
      <c r="S199" s="316">
        <v>43100</v>
      </c>
    </row>
    <row r="200" spans="1:19" s="30" customFormat="1" ht="27" customHeight="1">
      <c r="A200" s="107">
        <v>12</v>
      </c>
      <c r="B200" s="874" t="s">
        <v>938</v>
      </c>
      <c r="C200" s="108">
        <v>1923</v>
      </c>
      <c r="D200" s="108"/>
      <c r="E200" s="611" t="s">
        <v>221</v>
      </c>
      <c r="F200" s="893">
        <v>2</v>
      </c>
      <c r="G200" s="893">
        <v>1</v>
      </c>
      <c r="H200" s="893">
        <v>194.8</v>
      </c>
      <c r="I200" s="893">
        <v>194</v>
      </c>
      <c r="J200" s="893">
        <v>115.7</v>
      </c>
      <c r="K200" s="893">
        <v>16</v>
      </c>
      <c r="L200" s="655">
        <f t="shared" si="22"/>
        <v>446509</v>
      </c>
      <c r="M200" s="113">
        <v>0</v>
      </c>
      <c r="N200" s="113">
        <v>0</v>
      </c>
      <c r="O200" s="113">
        <v>446509</v>
      </c>
      <c r="P200" s="113">
        <v>0</v>
      </c>
      <c r="Q200" s="114">
        <f t="shared" si="21"/>
        <v>2301.5927835051548</v>
      </c>
      <c r="R200" s="114">
        <v>7822</v>
      </c>
      <c r="S200" s="316">
        <v>43100</v>
      </c>
    </row>
    <row r="201" spans="1:19" s="30" customFormat="1" ht="31.5">
      <c r="A201" s="107">
        <v>13</v>
      </c>
      <c r="B201" s="941" t="s">
        <v>413</v>
      </c>
      <c r="C201" s="108">
        <v>1953</v>
      </c>
      <c r="D201" s="108"/>
      <c r="E201" s="611" t="s">
        <v>218</v>
      </c>
      <c r="F201" s="893">
        <v>2</v>
      </c>
      <c r="G201" s="893">
        <v>1</v>
      </c>
      <c r="H201" s="893">
        <v>518</v>
      </c>
      <c r="I201" s="893">
        <v>483.4</v>
      </c>
      <c r="J201" s="893">
        <v>403.7</v>
      </c>
      <c r="K201" s="893">
        <v>34</v>
      </c>
      <c r="L201" s="655">
        <f t="shared" si="22"/>
        <v>1205824</v>
      </c>
      <c r="M201" s="113">
        <v>0</v>
      </c>
      <c r="N201" s="113">
        <v>0</v>
      </c>
      <c r="O201" s="113">
        <v>1205824</v>
      </c>
      <c r="P201" s="113">
        <v>0</v>
      </c>
      <c r="Q201" s="114">
        <f t="shared" si="21"/>
        <v>2494.4642118328507</v>
      </c>
      <c r="R201" s="114">
        <v>7822</v>
      </c>
      <c r="S201" s="316">
        <v>43100</v>
      </c>
    </row>
    <row r="202" spans="1:19" s="30" customFormat="1" ht="31.5">
      <c r="A202" s="107">
        <v>14</v>
      </c>
      <c r="B202" s="874" t="s">
        <v>939</v>
      </c>
      <c r="C202" s="108">
        <v>1960</v>
      </c>
      <c r="D202" s="108"/>
      <c r="E202" s="611" t="s">
        <v>218</v>
      </c>
      <c r="F202" s="893">
        <v>2</v>
      </c>
      <c r="G202" s="893">
        <v>2</v>
      </c>
      <c r="H202" s="893">
        <v>312.8</v>
      </c>
      <c r="I202" s="893">
        <v>300</v>
      </c>
      <c r="J202" s="893">
        <v>44.5</v>
      </c>
      <c r="K202" s="893">
        <v>11</v>
      </c>
      <c r="L202" s="655">
        <f t="shared" si="22"/>
        <v>818595.8</v>
      </c>
      <c r="M202" s="113">
        <v>0</v>
      </c>
      <c r="N202" s="113">
        <v>0</v>
      </c>
      <c r="O202" s="113">
        <v>818595.8</v>
      </c>
      <c r="P202" s="113">
        <v>0</v>
      </c>
      <c r="Q202" s="114">
        <f t="shared" si="21"/>
        <v>2728.6526666666668</v>
      </c>
      <c r="R202" s="114">
        <v>7822</v>
      </c>
      <c r="S202" s="316">
        <v>43100</v>
      </c>
    </row>
    <row r="203" spans="1:19" s="30" customFormat="1" ht="31.5">
      <c r="A203" s="107">
        <f t="shared" si="16"/>
        <v>15</v>
      </c>
      <c r="B203" s="874" t="s">
        <v>940</v>
      </c>
      <c r="C203" s="108">
        <v>1983</v>
      </c>
      <c r="D203" s="108"/>
      <c r="E203" s="611" t="s">
        <v>834</v>
      </c>
      <c r="F203" s="893">
        <v>5</v>
      </c>
      <c r="G203" s="893">
        <v>2</v>
      </c>
      <c r="H203" s="893">
        <v>4292.2</v>
      </c>
      <c r="I203" s="893">
        <v>3595.1</v>
      </c>
      <c r="J203" s="893">
        <v>2978.5</v>
      </c>
      <c r="K203" s="893">
        <v>170</v>
      </c>
      <c r="L203" s="655">
        <f t="shared" si="22"/>
        <v>2707283</v>
      </c>
      <c r="M203" s="113">
        <v>0</v>
      </c>
      <c r="N203" s="113">
        <v>0</v>
      </c>
      <c r="O203" s="113">
        <v>2707283</v>
      </c>
      <c r="P203" s="113">
        <v>0</v>
      </c>
      <c r="Q203" s="114">
        <f t="shared" si="21"/>
        <v>753.04803760674258</v>
      </c>
      <c r="R203" s="114">
        <v>7822</v>
      </c>
      <c r="S203" s="316">
        <v>43100</v>
      </c>
    </row>
    <row r="204" spans="1:19" s="30" customFormat="1" ht="31.5">
      <c r="A204" s="107">
        <f t="shared" si="16"/>
        <v>16</v>
      </c>
      <c r="B204" s="874" t="s">
        <v>941</v>
      </c>
      <c r="C204" s="108">
        <v>1961</v>
      </c>
      <c r="D204" s="108"/>
      <c r="E204" s="611" t="s">
        <v>218</v>
      </c>
      <c r="F204" s="893">
        <v>2</v>
      </c>
      <c r="G204" s="893">
        <v>2</v>
      </c>
      <c r="H204" s="893">
        <v>850.8</v>
      </c>
      <c r="I204" s="893">
        <v>852</v>
      </c>
      <c r="J204" s="893">
        <v>614.4</v>
      </c>
      <c r="K204" s="893">
        <v>19</v>
      </c>
      <c r="L204" s="655">
        <f t="shared" si="22"/>
        <v>1834849</v>
      </c>
      <c r="M204" s="113">
        <v>0</v>
      </c>
      <c r="N204" s="113">
        <v>0</v>
      </c>
      <c r="O204" s="113">
        <v>1834849</v>
      </c>
      <c r="P204" s="113">
        <v>0</v>
      </c>
      <c r="Q204" s="114">
        <f t="shared" si="21"/>
        <v>2153.5786384976527</v>
      </c>
      <c r="R204" s="114">
        <v>7822</v>
      </c>
      <c r="S204" s="316">
        <v>43100</v>
      </c>
    </row>
    <row r="205" spans="1:19" s="30" customFormat="1" ht="24.6" customHeight="1">
      <c r="A205" s="308"/>
      <c r="B205" s="1314" t="s">
        <v>92</v>
      </c>
      <c r="C205" s="1314"/>
      <c r="D205" s="1314"/>
      <c r="E205" s="1314"/>
      <c r="F205" s="1315"/>
      <c r="G205" s="1315"/>
      <c r="H205" s="898">
        <f>H206</f>
        <v>432.8</v>
      </c>
      <c r="I205" s="899">
        <f t="shared" ref="I205:P205" si="23">I206</f>
        <v>396.8</v>
      </c>
      <c r="J205" s="899">
        <f t="shared" si="23"/>
        <v>245.1</v>
      </c>
      <c r="K205" s="900">
        <f t="shared" si="23"/>
        <v>27</v>
      </c>
      <c r="L205" s="314">
        <f t="shared" si="23"/>
        <v>366350</v>
      </c>
      <c r="M205" s="314">
        <f t="shared" si="23"/>
        <v>0</v>
      </c>
      <c r="N205" s="314">
        <f t="shared" si="23"/>
        <v>0</v>
      </c>
      <c r="O205" s="314">
        <f t="shared" si="23"/>
        <v>366350</v>
      </c>
      <c r="P205" s="314">
        <f t="shared" si="23"/>
        <v>0</v>
      </c>
      <c r="Q205" s="315" t="s">
        <v>40</v>
      </c>
      <c r="R205" s="901" t="s">
        <v>40</v>
      </c>
      <c r="S205" s="316">
        <v>43100</v>
      </c>
    </row>
    <row r="206" spans="1:19" s="1" customFormat="1" ht="25.9" customHeight="1">
      <c r="A206" s="308">
        <v>1</v>
      </c>
      <c r="B206" s="888" t="s">
        <v>645</v>
      </c>
      <c r="C206" s="387">
        <v>1953</v>
      </c>
      <c r="D206" s="387"/>
      <c r="E206" s="311" t="s">
        <v>646</v>
      </c>
      <c r="F206" s="387">
        <v>2</v>
      </c>
      <c r="G206" s="387">
        <v>1</v>
      </c>
      <c r="H206" s="388">
        <v>432.8</v>
      </c>
      <c r="I206" s="387">
        <v>396.8</v>
      </c>
      <c r="J206" s="387">
        <v>245.1</v>
      </c>
      <c r="K206" s="390">
        <v>27</v>
      </c>
      <c r="L206" s="314">
        <v>366350</v>
      </c>
      <c r="M206" s="314">
        <v>0</v>
      </c>
      <c r="N206" s="314">
        <v>0</v>
      </c>
      <c r="O206" s="314">
        <v>366350</v>
      </c>
      <c r="P206" s="314">
        <v>0</v>
      </c>
      <c r="Q206" s="391">
        <f>L206/I206</f>
        <v>923.26108870967744</v>
      </c>
      <c r="R206" s="315">
        <v>7822</v>
      </c>
      <c r="S206" s="316">
        <v>43100</v>
      </c>
    </row>
    <row r="207" spans="1:19" s="1" customFormat="1" ht="19.149999999999999" customHeight="1">
      <c r="A207" s="308"/>
      <c r="B207" s="1319" t="s">
        <v>93</v>
      </c>
      <c r="C207" s="1318"/>
      <c r="D207" s="1318"/>
      <c r="E207" s="1318"/>
      <c r="F207" s="1319"/>
      <c r="G207" s="1319"/>
      <c r="H207" s="681">
        <f>SUM(H208:H219)</f>
        <v>19486.900000000001</v>
      </c>
      <c r="I207" s="681">
        <f t="shared" ref="I207:P207" si="24">SUM(I208:I219)</f>
        <v>16904.800000000003</v>
      </c>
      <c r="J207" s="681">
        <f t="shared" si="24"/>
        <v>11753.659999999998</v>
      </c>
      <c r="K207" s="681">
        <f t="shared" si="24"/>
        <v>669</v>
      </c>
      <c r="L207" s="693">
        <f t="shared" si="24"/>
        <v>31146002</v>
      </c>
      <c r="M207" s="693">
        <f t="shared" si="24"/>
        <v>0</v>
      </c>
      <c r="N207" s="693">
        <f t="shared" si="24"/>
        <v>0</v>
      </c>
      <c r="O207" s="693">
        <f t="shared" si="24"/>
        <v>31146002</v>
      </c>
      <c r="P207" s="693">
        <f t="shared" si="24"/>
        <v>0</v>
      </c>
      <c r="Q207" s="350" t="s">
        <v>40</v>
      </c>
      <c r="R207" s="350" t="s">
        <v>40</v>
      </c>
      <c r="S207" s="316">
        <v>43100</v>
      </c>
    </row>
    <row r="208" spans="1:19" s="1" customFormat="1" ht="31.5">
      <c r="A208" s="682">
        <v>2</v>
      </c>
      <c r="B208" s="683" t="s">
        <v>778</v>
      </c>
      <c r="C208" s="684">
        <v>1961</v>
      </c>
      <c r="D208" s="346"/>
      <c r="E208" s="685" t="s">
        <v>218</v>
      </c>
      <c r="F208" s="430">
        <v>2</v>
      </c>
      <c r="G208" s="430">
        <v>2</v>
      </c>
      <c r="H208" s="430">
        <v>592.29999999999995</v>
      </c>
      <c r="I208" s="430">
        <v>550.9</v>
      </c>
      <c r="J208" s="430">
        <v>313.7</v>
      </c>
      <c r="K208" s="430">
        <v>27</v>
      </c>
      <c r="L208" s="686">
        <v>2706084</v>
      </c>
      <c r="M208" s="687">
        <v>0</v>
      </c>
      <c r="N208" s="314">
        <v>0</v>
      </c>
      <c r="O208" s="314">
        <f t="shared" ref="O208:O219" si="25">L208</f>
        <v>2706084</v>
      </c>
      <c r="P208" s="314">
        <v>0</v>
      </c>
      <c r="Q208" s="350">
        <f>L208/I208</f>
        <v>4912.1147213650393</v>
      </c>
      <c r="R208" s="315">
        <v>7822</v>
      </c>
      <c r="S208" s="316">
        <v>43100</v>
      </c>
    </row>
    <row r="209" spans="1:62" s="1" customFormat="1" ht="15.75">
      <c r="A209" s="682">
        <v>3</v>
      </c>
      <c r="B209" s="683" t="s">
        <v>779</v>
      </c>
      <c r="C209" s="684">
        <v>1962</v>
      </c>
      <c r="D209" s="346"/>
      <c r="E209" s="685" t="s">
        <v>220</v>
      </c>
      <c r="F209" s="430">
        <v>2</v>
      </c>
      <c r="G209" s="430">
        <v>2</v>
      </c>
      <c r="H209" s="430">
        <v>502.5</v>
      </c>
      <c r="I209" s="430">
        <v>442.1</v>
      </c>
      <c r="J209" s="430">
        <v>280.57</v>
      </c>
      <c r="K209" s="430">
        <v>25</v>
      </c>
      <c r="L209" s="686">
        <v>1419136</v>
      </c>
      <c r="M209" s="687">
        <v>0</v>
      </c>
      <c r="N209" s="314">
        <v>0</v>
      </c>
      <c r="O209" s="314">
        <f t="shared" si="25"/>
        <v>1419136</v>
      </c>
      <c r="P209" s="314">
        <v>0</v>
      </c>
      <c r="Q209" s="350">
        <f>L209/I209</f>
        <v>3209.9886903415513</v>
      </c>
      <c r="R209" s="315">
        <v>7822</v>
      </c>
      <c r="S209" s="316">
        <v>43100</v>
      </c>
    </row>
    <row r="210" spans="1:62" s="1" customFormat="1" ht="31.5">
      <c r="A210" s="682">
        <f t="shared" si="16"/>
        <v>4</v>
      </c>
      <c r="B210" s="683" t="s">
        <v>780</v>
      </c>
      <c r="C210" s="684">
        <v>1958</v>
      </c>
      <c r="D210" s="346"/>
      <c r="E210" s="685" t="s">
        <v>218</v>
      </c>
      <c r="F210" s="430">
        <v>2</v>
      </c>
      <c r="G210" s="430">
        <v>2</v>
      </c>
      <c r="H210" s="430">
        <v>1345.8</v>
      </c>
      <c r="I210" s="430">
        <v>1345.8</v>
      </c>
      <c r="J210" s="430">
        <v>720.55</v>
      </c>
      <c r="K210" s="430">
        <v>34</v>
      </c>
      <c r="L210" s="686">
        <v>3552093</v>
      </c>
      <c r="M210" s="687">
        <v>0</v>
      </c>
      <c r="N210" s="314">
        <v>0</v>
      </c>
      <c r="O210" s="314">
        <f t="shared" si="25"/>
        <v>3552093</v>
      </c>
      <c r="P210" s="314">
        <v>0</v>
      </c>
      <c r="Q210" s="350">
        <f t="shared" ref="Q210:Q219" si="26">L210/I210</f>
        <v>2639.3914400356666</v>
      </c>
      <c r="R210" s="315">
        <v>7822</v>
      </c>
      <c r="S210" s="316">
        <v>43100</v>
      </c>
    </row>
    <row r="211" spans="1:62" s="1" customFormat="1" ht="31.5">
      <c r="A211" s="682">
        <f t="shared" si="16"/>
        <v>5</v>
      </c>
      <c r="B211" s="683" t="s">
        <v>781</v>
      </c>
      <c r="C211" s="684">
        <v>1917</v>
      </c>
      <c r="D211" s="346"/>
      <c r="E211" s="685" t="s">
        <v>218</v>
      </c>
      <c r="F211" s="430">
        <v>3</v>
      </c>
      <c r="G211" s="430">
        <v>1</v>
      </c>
      <c r="H211" s="430">
        <v>766.5</v>
      </c>
      <c r="I211" s="430">
        <v>707.4</v>
      </c>
      <c r="J211" s="430">
        <v>344.9</v>
      </c>
      <c r="K211" s="430">
        <v>23</v>
      </c>
      <c r="L211" s="686">
        <v>2154879</v>
      </c>
      <c r="M211" s="687">
        <v>0</v>
      </c>
      <c r="N211" s="314">
        <v>0</v>
      </c>
      <c r="O211" s="314">
        <f t="shared" si="25"/>
        <v>2154879</v>
      </c>
      <c r="P211" s="314">
        <v>0</v>
      </c>
      <c r="Q211" s="350">
        <f t="shared" si="26"/>
        <v>3046.1959287531809</v>
      </c>
      <c r="R211" s="315">
        <v>7822</v>
      </c>
      <c r="S211" s="316">
        <v>43100</v>
      </c>
    </row>
    <row r="212" spans="1:62" s="1" customFormat="1" ht="31.5">
      <c r="A212" s="682">
        <f t="shared" si="16"/>
        <v>6</v>
      </c>
      <c r="B212" s="683" t="s">
        <v>782</v>
      </c>
      <c r="C212" s="684">
        <v>1965</v>
      </c>
      <c r="D212" s="346"/>
      <c r="E212" s="685" t="s">
        <v>218</v>
      </c>
      <c r="F212" s="430">
        <v>2</v>
      </c>
      <c r="G212" s="430">
        <v>3</v>
      </c>
      <c r="H212" s="430">
        <v>870.1</v>
      </c>
      <c r="I212" s="430">
        <v>670.2</v>
      </c>
      <c r="J212" s="430">
        <v>552.89</v>
      </c>
      <c r="K212" s="430">
        <v>26</v>
      </c>
      <c r="L212" s="686">
        <v>4352566</v>
      </c>
      <c r="M212" s="687">
        <v>0</v>
      </c>
      <c r="N212" s="314">
        <v>0</v>
      </c>
      <c r="O212" s="314">
        <f t="shared" si="25"/>
        <v>4352566</v>
      </c>
      <c r="P212" s="314">
        <v>0</v>
      </c>
      <c r="Q212" s="350">
        <f t="shared" si="26"/>
        <v>6494.4285287973735</v>
      </c>
      <c r="R212" s="315">
        <v>7822</v>
      </c>
      <c r="S212" s="316">
        <v>43100</v>
      </c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</row>
    <row r="213" spans="1:62" s="1" customFormat="1" ht="31.5">
      <c r="A213" s="682">
        <v>6</v>
      </c>
      <c r="B213" s="683" t="s">
        <v>783</v>
      </c>
      <c r="C213" s="684">
        <v>1917</v>
      </c>
      <c r="D213" s="346"/>
      <c r="E213" s="685" t="s">
        <v>218</v>
      </c>
      <c r="F213" s="430">
        <v>3</v>
      </c>
      <c r="G213" s="430">
        <v>1</v>
      </c>
      <c r="H213" s="430">
        <v>438.3</v>
      </c>
      <c r="I213" s="430">
        <v>438.3</v>
      </c>
      <c r="J213" s="430">
        <v>266.39</v>
      </c>
      <c r="K213" s="430">
        <v>21</v>
      </c>
      <c r="L213" s="686">
        <v>1202127</v>
      </c>
      <c r="M213" s="687">
        <v>0</v>
      </c>
      <c r="N213" s="314">
        <v>0</v>
      </c>
      <c r="O213" s="314">
        <f t="shared" si="25"/>
        <v>1202127</v>
      </c>
      <c r="P213" s="314">
        <v>0</v>
      </c>
      <c r="Q213" s="350">
        <f t="shared" si="26"/>
        <v>2742.7036276522927</v>
      </c>
      <c r="R213" s="315">
        <v>7822</v>
      </c>
      <c r="S213" s="316">
        <v>43100</v>
      </c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</row>
    <row r="214" spans="1:62" s="1" customFormat="1" ht="31.5">
      <c r="A214" s="682">
        <f t="shared" si="16"/>
        <v>7</v>
      </c>
      <c r="B214" s="683" t="s">
        <v>775</v>
      </c>
      <c r="C214" s="684">
        <v>1977</v>
      </c>
      <c r="D214" s="346"/>
      <c r="E214" s="685" t="s">
        <v>218</v>
      </c>
      <c r="F214" s="430">
        <v>5</v>
      </c>
      <c r="G214" s="430">
        <v>4</v>
      </c>
      <c r="H214" s="430">
        <v>3655</v>
      </c>
      <c r="I214" s="430">
        <v>3655</v>
      </c>
      <c r="J214" s="430">
        <v>2511.63</v>
      </c>
      <c r="K214" s="430">
        <v>170</v>
      </c>
      <c r="L214" s="686">
        <v>3401733</v>
      </c>
      <c r="M214" s="687">
        <v>0</v>
      </c>
      <c r="N214" s="314">
        <v>0</v>
      </c>
      <c r="O214" s="314">
        <f t="shared" si="25"/>
        <v>3401733</v>
      </c>
      <c r="P214" s="314">
        <v>0</v>
      </c>
      <c r="Q214" s="350">
        <f t="shared" si="26"/>
        <v>930.70670314637482</v>
      </c>
      <c r="R214" s="315">
        <v>7822</v>
      </c>
      <c r="S214" s="316">
        <v>43100</v>
      </c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</row>
    <row r="215" spans="1:62" s="1" customFormat="1" ht="31.5">
      <c r="A215" s="682">
        <f t="shared" si="16"/>
        <v>8</v>
      </c>
      <c r="B215" s="683" t="s">
        <v>784</v>
      </c>
      <c r="C215" s="684">
        <v>1963</v>
      </c>
      <c r="D215" s="346"/>
      <c r="E215" s="685" t="s">
        <v>218</v>
      </c>
      <c r="F215" s="430">
        <v>2</v>
      </c>
      <c r="G215" s="430">
        <v>1</v>
      </c>
      <c r="H215" s="430">
        <v>719.8</v>
      </c>
      <c r="I215" s="430">
        <v>461.7</v>
      </c>
      <c r="J215" s="430">
        <v>107.4</v>
      </c>
      <c r="K215" s="430">
        <v>46</v>
      </c>
      <c r="L215" s="686">
        <v>1763431</v>
      </c>
      <c r="M215" s="687">
        <v>0</v>
      </c>
      <c r="N215" s="314">
        <v>0</v>
      </c>
      <c r="O215" s="314">
        <f t="shared" si="25"/>
        <v>1763431</v>
      </c>
      <c r="P215" s="314">
        <v>0</v>
      </c>
      <c r="Q215" s="350">
        <f t="shared" si="26"/>
        <v>3819.4303660385531</v>
      </c>
      <c r="R215" s="315">
        <v>7822</v>
      </c>
      <c r="S215" s="316">
        <v>43100</v>
      </c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</row>
    <row r="216" spans="1:62" s="1" customFormat="1" ht="15.75">
      <c r="A216" s="682">
        <f t="shared" si="16"/>
        <v>9</v>
      </c>
      <c r="B216" s="683" t="s">
        <v>776</v>
      </c>
      <c r="C216" s="684">
        <v>1977</v>
      </c>
      <c r="D216" s="346"/>
      <c r="E216" s="685" t="s">
        <v>220</v>
      </c>
      <c r="F216" s="430">
        <v>5</v>
      </c>
      <c r="G216" s="430">
        <v>4</v>
      </c>
      <c r="H216" s="430">
        <v>3209.1</v>
      </c>
      <c r="I216" s="430">
        <v>2125.9</v>
      </c>
      <c r="J216" s="430">
        <v>1811.3</v>
      </c>
      <c r="K216" s="430">
        <v>101</v>
      </c>
      <c r="L216" s="686">
        <v>2572091</v>
      </c>
      <c r="M216" s="687">
        <v>0</v>
      </c>
      <c r="N216" s="314">
        <v>0</v>
      </c>
      <c r="O216" s="314">
        <f t="shared" si="25"/>
        <v>2572091</v>
      </c>
      <c r="P216" s="314">
        <v>0</v>
      </c>
      <c r="Q216" s="350">
        <f t="shared" si="26"/>
        <v>1209.8833435250951</v>
      </c>
      <c r="R216" s="315">
        <v>7822</v>
      </c>
      <c r="S216" s="316">
        <v>43100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</row>
    <row r="217" spans="1:62" s="1" customFormat="1" ht="15.75">
      <c r="A217" s="682">
        <f t="shared" si="16"/>
        <v>10</v>
      </c>
      <c r="B217" s="683" t="s">
        <v>785</v>
      </c>
      <c r="C217" s="684">
        <v>1974</v>
      </c>
      <c r="D217" s="346"/>
      <c r="E217" s="685" t="s">
        <v>219</v>
      </c>
      <c r="F217" s="430">
        <v>5</v>
      </c>
      <c r="G217" s="430">
        <v>5</v>
      </c>
      <c r="H217" s="430">
        <v>3970.6</v>
      </c>
      <c r="I217" s="430">
        <v>3970.6</v>
      </c>
      <c r="J217" s="430">
        <v>2778.35</v>
      </c>
      <c r="K217" s="430">
        <v>121</v>
      </c>
      <c r="L217" s="686">
        <v>2660626</v>
      </c>
      <c r="M217" s="687">
        <v>0</v>
      </c>
      <c r="N217" s="314">
        <v>0</v>
      </c>
      <c r="O217" s="314">
        <f t="shared" si="25"/>
        <v>2660626</v>
      </c>
      <c r="P217" s="314">
        <v>0</v>
      </c>
      <c r="Q217" s="350">
        <f t="shared" si="26"/>
        <v>670.08159975822298</v>
      </c>
      <c r="R217" s="315">
        <v>7822</v>
      </c>
      <c r="S217" s="316">
        <v>43100</v>
      </c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</row>
    <row r="218" spans="1:62" s="1" customFormat="1" ht="31.5">
      <c r="A218" s="682">
        <f t="shared" si="16"/>
        <v>11</v>
      </c>
      <c r="B218" s="683" t="s">
        <v>786</v>
      </c>
      <c r="C218" s="684">
        <v>1959</v>
      </c>
      <c r="D218" s="346"/>
      <c r="E218" s="685" t="s">
        <v>218</v>
      </c>
      <c r="F218" s="430">
        <v>2</v>
      </c>
      <c r="G218" s="430">
        <v>2</v>
      </c>
      <c r="H218" s="430">
        <v>592</v>
      </c>
      <c r="I218" s="430">
        <v>545.20000000000005</v>
      </c>
      <c r="J218" s="430">
        <v>344.48</v>
      </c>
      <c r="K218" s="430">
        <v>32</v>
      </c>
      <c r="L218" s="686">
        <v>1458499</v>
      </c>
      <c r="M218" s="687">
        <v>0</v>
      </c>
      <c r="N218" s="314">
        <v>0</v>
      </c>
      <c r="O218" s="314">
        <f t="shared" si="25"/>
        <v>1458499</v>
      </c>
      <c r="P218" s="314">
        <v>0</v>
      </c>
      <c r="Q218" s="350">
        <f t="shared" si="26"/>
        <v>2675.1632428466614</v>
      </c>
      <c r="R218" s="315">
        <v>7822</v>
      </c>
      <c r="S218" s="316">
        <v>43100</v>
      </c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</row>
    <row r="219" spans="1:62" s="1" customFormat="1" ht="31.5">
      <c r="A219" s="682">
        <f t="shared" si="16"/>
        <v>12</v>
      </c>
      <c r="B219" s="683" t="s">
        <v>787</v>
      </c>
      <c r="C219" s="684">
        <v>1959</v>
      </c>
      <c r="D219" s="346"/>
      <c r="E219" s="685" t="s">
        <v>218</v>
      </c>
      <c r="F219" s="430">
        <v>3</v>
      </c>
      <c r="G219" s="430">
        <v>4</v>
      </c>
      <c r="H219" s="430">
        <v>2824.9</v>
      </c>
      <c r="I219" s="430">
        <v>1991.7</v>
      </c>
      <c r="J219" s="430">
        <v>1721.5</v>
      </c>
      <c r="K219" s="430">
        <v>43</v>
      </c>
      <c r="L219" s="686">
        <v>3902737</v>
      </c>
      <c r="M219" s="687">
        <v>0</v>
      </c>
      <c r="N219" s="314">
        <v>0</v>
      </c>
      <c r="O219" s="314">
        <f t="shared" si="25"/>
        <v>3902737</v>
      </c>
      <c r="P219" s="314">
        <v>0</v>
      </c>
      <c r="Q219" s="350">
        <f t="shared" si="26"/>
        <v>1959.5004267710999</v>
      </c>
      <c r="R219" s="315">
        <v>7822</v>
      </c>
      <c r="S219" s="316">
        <v>43100</v>
      </c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</row>
    <row r="220" spans="1:62" s="1" customFormat="1" ht="15.75">
      <c r="A220" s="308"/>
      <c r="B220" s="688"/>
      <c r="C220" s="346"/>
      <c r="D220" s="346"/>
      <c r="E220" s="311"/>
      <c r="F220" s="689"/>
      <c r="G220" s="689"/>
      <c r="H220" s="690"/>
      <c r="I220" s="691"/>
      <c r="J220" s="691"/>
      <c r="K220" s="689"/>
      <c r="L220" s="614"/>
      <c r="M220" s="314"/>
      <c r="N220" s="314"/>
      <c r="O220" s="314"/>
      <c r="P220" s="314"/>
      <c r="Q220" s="350"/>
      <c r="R220" s="315"/>
      <c r="S220" s="316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</row>
    <row r="221" spans="1:62" s="1" customFormat="1" ht="15.75">
      <c r="A221" s="308"/>
      <c r="B221" s="692"/>
      <c r="C221" s="346"/>
      <c r="D221" s="346"/>
      <c r="E221" s="311"/>
      <c r="F221" s="349"/>
      <c r="G221" s="349"/>
      <c r="H221" s="550"/>
      <c r="I221" s="347"/>
      <c r="J221" s="347"/>
      <c r="K221" s="349"/>
      <c r="L221" s="314"/>
      <c r="M221" s="314"/>
      <c r="N221" s="314"/>
      <c r="O221" s="314"/>
      <c r="P221" s="314"/>
      <c r="Q221" s="350"/>
      <c r="R221" s="315"/>
      <c r="S221" s="316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</row>
    <row r="222" spans="1:62" s="1" customFormat="1" ht="15.75">
      <c r="A222" s="308"/>
      <c r="B222" s="692"/>
      <c r="C222" s="346"/>
      <c r="D222" s="346"/>
      <c r="E222" s="311"/>
      <c r="F222" s="349"/>
      <c r="G222" s="349"/>
      <c r="H222" s="550"/>
      <c r="I222" s="347"/>
      <c r="J222" s="347"/>
      <c r="K222" s="349"/>
      <c r="L222" s="314"/>
      <c r="M222" s="314"/>
      <c r="N222" s="314"/>
      <c r="O222" s="314"/>
      <c r="P222" s="314"/>
      <c r="Q222" s="350"/>
      <c r="R222" s="315"/>
      <c r="S222" s="316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</row>
    <row r="223" spans="1:62" s="1" customFormat="1" ht="15.75">
      <c r="A223" s="308"/>
      <c r="B223" s="692"/>
      <c r="C223" s="346"/>
      <c r="D223" s="346"/>
      <c r="E223" s="311"/>
      <c r="F223" s="349"/>
      <c r="G223" s="349"/>
      <c r="H223" s="550"/>
      <c r="I223" s="347"/>
      <c r="J223" s="347"/>
      <c r="K223" s="349"/>
      <c r="L223" s="314"/>
      <c r="M223" s="314"/>
      <c r="N223" s="314"/>
      <c r="O223" s="314"/>
      <c r="P223" s="314"/>
      <c r="Q223" s="350"/>
      <c r="R223" s="315"/>
      <c r="S223" s="316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</row>
    <row r="224" spans="1:62" s="1" customFormat="1" ht="15.75">
      <c r="A224" s="308"/>
      <c r="B224" s="692"/>
      <c r="C224" s="346"/>
      <c r="D224" s="346"/>
      <c r="E224" s="311"/>
      <c r="F224" s="349"/>
      <c r="G224" s="349"/>
      <c r="H224" s="550"/>
      <c r="I224" s="347"/>
      <c r="J224" s="347"/>
      <c r="K224" s="349"/>
      <c r="L224" s="314"/>
      <c r="M224" s="314"/>
      <c r="N224" s="314"/>
      <c r="O224" s="314"/>
      <c r="P224" s="314"/>
      <c r="Q224" s="350"/>
      <c r="R224" s="315"/>
      <c r="S224" s="316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</row>
    <row r="225" spans="1:62" s="1" customFormat="1" ht="15.75">
      <c r="A225" s="308"/>
      <c r="B225" s="692"/>
      <c r="C225" s="346"/>
      <c r="D225" s="346"/>
      <c r="E225" s="311"/>
      <c r="F225" s="349"/>
      <c r="G225" s="349"/>
      <c r="H225" s="550"/>
      <c r="I225" s="347"/>
      <c r="J225" s="347"/>
      <c r="K225" s="349"/>
      <c r="L225" s="314"/>
      <c r="M225" s="314"/>
      <c r="N225" s="314"/>
      <c r="O225" s="314"/>
      <c r="P225" s="314"/>
      <c r="Q225" s="350"/>
      <c r="R225" s="315"/>
      <c r="S225" s="316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</row>
    <row r="226" spans="1:62" s="1" customFormat="1" ht="15.75">
      <c r="A226" s="308"/>
      <c r="B226" s="692"/>
      <c r="C226" s="346"/>
      <c r="D226" s="346"/>
      <c r="E226" s="311"/>
      <c r="F226" s="349"/>
      <c r="G226" s="349"/>
      <c r="H226" s="550"/>
      <c r="I226" s="347"/>
      <c r="J226" s="347"/>
      <c r="K226" s="349"/>
      <c r="L226" s="314"/>
      <c r="M226" s="314"/>
      <c r="N226" s="314"/>
      <c r="O226" s="314"/>
      <c r="P226" s="314"/>
      <c r="Q226" s="350"/>
      <c r="R226" s="315"/>
      <c r="S226" s="316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</row>
    <row r="227" spans="1:62" s="1" customFormat="1" ht="15.75">
      <c r="A227" s="308"/>
      <c r="B227" s="692"/>
      <c r="C227" s="346"/>
      <c r="D227" s="346"/>
      <c r="E227" s="311"/>
      <c r="F227" s="349"/>
      <c r="G227" s="349"/>
      <c r="H227" s="550"/>
      <c r="I227" s="347"/>
      <c r="J227" s="347"/>
      <c r="K227" s="349"/>
      <c r="L227" s="314"/>
      <c r="M227" s="314"/>
      <c r="N227" s="314"/>
      <c r="O227" s="314"/>
      <c r="P227" s="314"/>
      <c r="Q227" s="350"/>
      <c r="R227" s="315"/>
      <c r="S227" s="316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</row>
    <row r="228" spans="1:62" s="1" customFormat="1" ht="15.75">
      <c r="A228" s="308"/>
      <c r="B228" s="692"/>
      <c r="C228" s="346"/>
      <c r="D228" s="346"/>
      <c r="E228" s="311"/>
      <c r="F228" s="349"/>
      <c r="G228" s="349"/>
      <c r="H228" s="550"/>
      <c r="I228" s="347"/>
      <c r="J228" s="347"/>
      <c r="K228" s="349"/>
      <c r="L228" s="314"/>
      <c r="M228" s="314"/>
      <c r="N228" s="314"/>
      <c r="O228" s="314"/>
      <c r="P228" s="314"/>
      <c r="Q228" s="350"/>
      <c r="R228" s="315"/>
      <c r="S228" s="316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</row>
    <row r="229" spans="1:62" s="1" customFormat="1" ht="15.75">
      <c r="A229" s="308"/>
      <c r="B229" s="692"/>
      <c r="C229" s="346"/>
      <c r="D229" s="346"/>
      <c r="E229" s="311"/>
      <c r="F229" s="349"/>
      <c r="G229" s="349"/>
      <c r="H229" s="550"/>
      <c r="I229" s="347"/>
      <c r="J229" s="347"/>
      <c r="K229" s="349"/>
      <c r="L229" s="314"/>
      <c r="M229" s="314"/>
      <c r="N229" s="314"/>
      <c r="O229" s="314"/>
      <c r="P229" s="314"/>
      <c r="Q229" s="350"/>
      <c r="R229" s="315"/>
      <c r="S229" s="316"/>
    </row>
    <row r="230" spans="1:62" s="1" customFormat="1" ht="15.75">
      <c r="A230" s="308"/>
      <c r="B230" s="692"/>
      <c r="C230" s="346"/>
      <c r="D230" s="346"/>
      <c r="E230" s="311"/>
      <c r="F230" s="349"/>
      <c r="G230" s="349"/>
      <c r="H230" s="550"/>
      <c r="I230" s="347"/>
      <c r="J230" s="347"/>
      <c r="K230" s="349"/>
      <c r="L230" s="314"/>
      <c r="M230" s="314"/>
      <c r="N230" s="314"/>
      <c r="O230" s="314"/>
      <c r="P230" s="314"/>
      <c r="Q230" s="350"/>
      <c r="R230" s="315"/>
      <c r="S230" s="316"/>
    </row>
    <row r="231" spans="1:62" s="1" customFormat="1" ht="15.75">
      <c r="A231" s="408"/>
      <c r="B231" s="1335" t="s">
        <v>94</v>
      </c>
      <c r="C231" s="1335"/>
      <c r="D231" s="1335"/>
      <c r="E231" s="1335"/>
      <c r="F231" s="1335"/>
      <c r="G231" s="1335"/>
      <c r="H231" s="409">
        <f>SUM(H232:H240)</f>
        <v>27680.9</v>
      </c>
      <c r="I231" s="409">
        <f t="shared" ref="I231:P231" si="27">SUM(I232:I240)</f>
        <v>25196.170000000002</v>
      </c>
      <c r="J231" s="409">
        <f t="shared" si="27"/>
        <v>23604.800000000003</v>
      </c>
      <c r="K231" s="409">
        <f t="shared" si="27"/>
        <v>984</v>
      </c>
      <c r="L231" s="415">
        <f t="shared" si="27"/>
        <v>26467626</v>
      </c>
      <c r="M231" s="415">
        <f t="shared" si="27"/>
        <v>0</v>
      </c>
      <c r="N231" s="415">
        <f t="shared" si="27"/>
        <v>0</v>
      </c>
      <c r="O231" s="415">
        <f t="shared" si="27"/>
        <v>26467626</v>
      </c>
      <c r="P231" s="415">
        <f t="shared" si="27"/>
        <v>0</v>
      </c>
      <c r="Q231" s="106" t="s">
        <v>40</v>
      </c>
      <c r="R231" s="106" t="s">
        <v>40</v>
      </c>
      <c r="S231" s="316">
        <v>43100</v>
      </c>
    </row>
    <row r="232" spans="1:62" s="47" customFormat="1" ht="31.5">
      <c r="A232" s="308">
        <v>13</v>
      </c>
      <c r="B232" s="410" t="s">
        <v>529</v>
      </c>
      <c r="C232" s="403">
        <v>1958</v>
      </c>
      <c r="D232" s="311"/>
      <c r="E232" s="311" t="s">
        <v>218</v>
      </c>
      <c r="F232" s="412">
        <v>2</v>
      </c>
      <c r="G232" s="412">
        <v>3</v>
      </c>
      <c r="H232" s="413">
        <v>1472.8</v>
      </c>
      <c r="I232" s="413">
        <v>1340.4</v>
      </c>
      <c r="J232" s="405">
        <v>1340.4</v>
      </c>
      <c r="K232" s="406">
        <v>35</v>
      </c>
      <c r="L232" s="314">
        <v>3993146</v>
      </c>
      <c r="M232" s="314">
        <v>0</v>
      </c>
      <c r="N232" s="314">
        <v>0</v>
      </c>
      <c r="O232" s="314">
        <f t="shared" ref="O232:O240" si="28">L232</f>
        <v>3993146</v>
      </c>
      <c r="P232" s="314">
        <v>0</v>
      </c>
      <c r="Q232" s="405">
        <f t="shared" ref="Q232:Q240" si="29">L232/I232</f>
        <v>2979.0704267382871</v>
      </c>
      <c r="R232" s="315">
        <v>7822</v>
      </c>
      <c r="S232" s="316">
        <v>43100</v>
      </c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</row>
    <row r="233" spans="1:62" s="1" customFormat="1" ht="31.5">
      <c r="A233" s="308">
        <f t="shared" ref="A233:A272" si="30">A232+1</f>
        <v>14</v>
      </c>
      <c r="B233" s="410" t="s">
        <v>530</v>
      </c>
      <c r="C233" s="403">
        <v>1989</v>
      </c>
      <c r="D233" s="311"/>
      <c r="E233" s="311" t="s">
        <v>218</v>
      </c>
      <c r="F233" s="412">
        <v>5</v>
      </c>
      <c r="G233" s="412">
        <v>5</v>
      </c>
      <c r="H233" s="413">
        <v>3077.7</v>
      </c>
      <c r="I233" s="413">
        <v>2760.9</v>
      </c>
      <c r="J233" s="405">
        <v>2631.3</v>
      </c>
      <c r="K233" s="406">
        <v>112</v>
      </c>
      <c r="L233" s="314">
        <v>2211975</v>
      </c>
      <c r="M233" s="314">
        <v>0</v>
      </c>
      <c r="N233" s="314">
        <v>0</v>
      </c>
      <c r="O233" s="314">
        <f t="shared" si="28"/>
        <v>2211975</v>
      </c>
      <c r="P233" s="314">
        <v>0</v>
      </c>
      <c r="Q233" s="405">
        <f t="shared" si="29"/>
        <v>801.17896338150604</v>
      </c>
      <c r="R233" s="315">
        <v>7822</v>
      </c>
      <c r="S233" s="316">
        <v>43100</v>
      </c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spans="1:62" s="1" customFormat="1" ht="15.75">
      <c r="A234" s="308">
        <f t="shared" si="30"/>
        <v>15</v>
      </c>
      <c r="B234" s="410" t="s">
        <v>531</v>
      </c>
      <c r="C234" s="403">
        <v>1970</v>
      </c>
      <c r="D234" s="311"/>
      <c r="E234" s="311" t="s">
        <v>219</v>
      </c>
      <c r="F234" s="412">
        <v>5</v>
      </c>
      <c r="G234" s="412">
        <v>6</v>
      </c>
      <c r="H234" s="413">
        <v>4832.8</v>
      </c>
      <c r="I234" s="413">
        <v>4328.2</v>
      </c>
      <c r="J234" s="404">
        <v>4026.5</v>
      </c>
      <c r="K234" s="406">
        <v>157</v>
      </c>
      <c r="L234" s="314">
        <v>4161815</v>
      </c>
      <c r="M234" s="314">
        <v>0</v>
      </c>
      <c r="N234" s="314">
        <v>0</v>
      </c>
      <c r="O234" s="314">
        <f t="shared" si="28"/>
        <v>4161815</v>
      </c>
      <c r="P234" s="314">
        <v>0</v>
      </c>
      <c r="Q234" s="405">
        <f t="shared" si="29"/>
        <v>961.55792246199348</v>
      </c>
      <c r="R234" s="315">
        <v>7822</v>
      </c>
      <c r="S234" s="316">
        <v>43100</v>
      </c>
    </row>
    <row r="235" spans="1:62" s="1" customFormat="1" ht="15.75">
      <c r="A235" s="308">
        <f t="shared" si="30"/>
        <v>16</v>
      </c>
      <c r="B235" s="411" t="s">
        <v>532</v>
      </c>
      <c r="C235" s="403">
        <v>1974</v>
      </c>
      <c r="D235" s="311"/>
      <c r="E235" s="311" t="s">
        <v>219</v>
      </c>
      <c r="F235" s="412">
        <v>5</v>
      </c>
      <c r="G235" s="412">
        <v>4</v>
      </c>
      <c r="H235" s="413">
        <v>2805.2</v>
      </c>
      <c r="I235" s="413">
        <v>2696.5</v>
      </c>
      <c r="J235" s="405">
        <v>2652.7</v>
      </c>
      <c r="K235" s="406">
        <v>104</v>
      </c>
      <c r="L235" s="314">
        <v>2678707</v>
      </c>
      <c r="M235" s="314">
        <v>0</v>
      </c>
      <c r="N235" s="314">
        <v>0</v>
      </c>
      <c r="O235" s="314">
        <f t="shared" si="28"/>
        <v>2678707</v>
      </c>
      <c r="P235" s="314">
        <v>0</v>
      </c>
      <c r="Q235" s="405">
        <f t="shared" si="29"/>
        <v>993.40144631930275</v>
      </c>
      <c r="R235" s="315">
        <v>7822</v>
      </c>
      <c r="S235" s="316">
        <v>43100</v>
      </c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</row>
    <row r="236" spans="1:62" s="1" customFormat="1" ht="31.5">
      <c r="A236" s="308">
        <f t="shared" si="30"/>
        <v>17</v>
      </c>
      <c r="B236" s="410" t="s">
        <v>533</v>
      </c>
      <c r="C236" s="403">
        <v>1977</v>
      </c>
      <c r="D236" s="311"/>
      <c r="E236" s="311" t="s">
        <v>218</v>
      </c>
      <c r="F236" s="412">
        <v>5</v>
      </c>
      <c r="G236" s="412">
        <v>4</v>
      </c>
      <c r="H236" s="413">
        <v>2967.8</v>
      </c>
      <c r="I236" s="413">
        <v>2815.7</v>
      </c>
      <c r="J236" s="405">
        <v>2754</v>
      </c>
      <c r="K236" s="406">
        <v>117</v>
      </c>
      <c r="L236" s="314">
        <v>2783301</v>
      </c>
      <c r="M236" s="314">
        <v>0</v>
      </c>
      <c r="N236" s="314">
        <v>0</v>
      </c>
      <c r="O236" s="314">
        <f t="shared" si="28"/>
        <v>2783301</v>
      </c>
      <c r="P236" s="314">
        <v>0</v>
      </c>
      <c r="Q236" s="405">
        <f t="shared" si="29"/>
        <v>988.49344745533972</v>
      </c>
      <c r="R236" s="315">
        <v>7822</v>
      </c>
      <c r="S236" s="316">
        <v>43100</v>
      </c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spans="1:62" s="10" customFormat="1" ht="31.5">
      <c r="A237" s="308">
        <f t="shared" si="30"/>
        <v>18</v>
      </c>
      <c r="B237" s="410" t="s">
        <v>534</v>
      </c>
      <c r="C237" s="403">
        <v>1960</v>
      </c>
      <c r="D237" s="311"/>
      <c r="E237" s="311" t="s">
        <v>218</v>
      </c>
      <c r="F237" s="412">
        <v>3</v>
      </c>
      <c r="G237" s="412">
        <v>3</v>
      </c>
      <c r="H237" s="413">
        <v>1944</v>
      </c>
      <c r="I237" s="413">
        <v>1776.8</v>
      </c>
      <c r="J237" s="404">
        <v>1541.1</v>
      </c>
      <c r="K237" s="406">
        <v>61</v>
      </c>
      <c r="L237" s="314">
        <v>3450795</v>
      </c>
      <c r="M237" s="314">
        <v>0</v>
      </c>
      <c r="N237" s="314">
        <v>0</v>
      </c>
      <c r="O237" s="314">
        <f t="shared" si="28"/>
        <v>3450795</v>
      </c>
      <c r="P237" s="314">
        <v>0</v>
      </c>
      <c r="Q237" s="405">
        <f t="shared" si="29"/>
        <v>1942.1403647005855</v>
      </c>
      <c r="R237" s="315">
        <v>7822</v>
      </c>
      <c r="S237" s="316">
        <v>43100</v>
      </c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62" s="10" customFormat="1" ht="15.75">
      <c r="A238" s="308">
        <f t="shared" si="30"/>
        <v>19</v>
      </c>
      <c r="B238" s="410" t="s">
        <v>535</v>
      </c>
      <c r="C238" s="403">
        <v>1960</v>
      </c>
      <c r="D238" s="311"/>
      <c r="E238" s="311" t="s">
        <v>538</v>
      </c>
      <c r="F238" s="412">
        <v>2</v>
      </c>
      <c r="G238" s="412">
        <v>2</v>
      </c>
      <c r="H238" s="414">
        <v>446.4</v>
      </c>
      <c r="I238" s="414">
        <v>385.37</v>
      </c>
      <c r="J238" s="405">
        <v>269.8</v>
      </c>
      <c r="K238" s="406">
        <v>15</v>
      </c>
      <c r="L238" s="314">
        <v>919216</v>
      </c>
      <c r="M238" s="314">
        <v>0</v>
      </c>
      <c r="N238" s="314">
        <v>0</v>
      </c>
      <c r="O238" s="314">
        <f t="shared" si="28"/>
        <v>919216</v>
      </c>
      <c r="P238" s="314">
        <v>0</v>
      </c>
      <c r="Q238" s="405">
        <f t="shared" si="29"/>
        <v>2385.2816773490413</v>
      </c>
      <c r="R238" s="315">
        <v>7822</v>
      </c>
      <c r="S238" s="316">
        <v>43100</v>
      </c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spans="1:62" s="48" customFormat="1" ht="15.75">
      <c r="A239" s="308">
        <f t="shared" si="30"/>
        <v>20</v>
      </c>
      <c r="B239" s="410" t="s">
        <v>536</v>
      </c>
      <c r="C239" s="403">
        <v>1991</v>
      </c>
      <c r="D239" s="311"/>
      <c r="E239" s="311" t="s">
        <v>219</v>
      </c>
      <c r="F239" s="412">
        <v>5</v>
      </c>
      <c r="G239" s="412">
        <v>5</v>
      </c>
      <c r="H239" s="413">
        <v>3981.1</v>
      </c>
      <c r="I239" s="413">
        <v>3488.1</v>
      </c>
      <c r="J239" s="405">
        <v>2967.5</v>
      </c>
      <c r="K239" s="406">
        <v>140</v>
      </c>
      <c r="L239" s="314">
        <v>2376610</v>
      </c>
      <c r="M239" s="314">
        <v>0</v>
      </c>
      <c r="N239" s="314">
        <v>0</v>
      </c>
      <c r="O239" s="314">
        <f t="shared" si="28"/>
        <v>2376610</v>
      </c>
      <c r="P239" s="314">
        <v>0</v>
      </c>
      <c r="Q239" s="405">
        <f t="shared" si="29"/>
        <v>681.34801181158798</v>
      </c>
      <c r="R239" s="315">
        <v>7822</v>
      </c>
      <c r="S239" s="316">
        <v>43100</v>
      </c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spans="1:62" s="49" customFormat="1" ht="31.5">
      <c r="A240" s="308">
        <f t="shared" si="30"/>
        <v>21</v>
      </c>
      <c r="B240" s="410" t="s">
        <v>537</v>
      </c>
      <c r="C240" s="403">
        <v>1991</v>
      </c>
      <c r="D240" s="311"/>
      <c r="E240" s="311" t="s">
        <v>218</v>
      </c>
      <c r="F240" s="412">
        <v>5</v>
      </c>
      <c r="G240" s="412">
        <v>6</v>
      </c>
      <c r="H240" s="413">
        <v>6153.1</v>
      </c>
      <c r="I240" s="413">
        <v>5604.2</v>
      </c>
      <c r="J240" s="405">
        <v>5421.5</v>
      </c>
      <c r="K240" s="406">
        <v>243</v>
      </c>
      <c r="L240" s="314">
        <v>3892061</v>
      </c>
      <c r="M240" s="314">
        <v>0</v>
      </c>
      <c r="N240" s="314">
        <v>0</v>
      </c>
      <c r="O240" s="314">
        <f t="shared" si="28"/>
        <v>3892061</v>
      </c>
      <c r="P240" s="314">
        <v>0</v>
      </c>
      <c r="Q240" s="405">
        <f t="shared" si="29"/>
        <v>694.49002533813928</v>
      </c>
      <c r="R240" s="315">
        <v>7822</v>
      </c>
      <c r="S240" s="316">
        <v>43100</v>
      </c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</row>
    <row r="241" spans="1:30" s="49" customFormat="1" ht="15.75">
      <c r="A241" s="308"/>
      <c r="B241" s="402"/>
      <c r="C241" s="311"/>
      <c r="D241" s="311"/>
      <c r="E241" s="311"/>
      <c r="F241" s="403"/>
      <c r="G241" s="403"/>
      <c r="H241" s="404"/>
      <c r="I241" s="404"/>
      <c r="J241" s="404"/>
      <c r="K241" s="406"/>
      <c r="L241" s="314"/>
      <c r="M241" s="314"/>
      <c r="N241" s="314"/>
      <c r="O241" s="314"/>
      <c r="P241" s="314"/>
      <c r="Q241" s="405"/>
      <c r="R241" s="315"/>
      <c r="S241" s="316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s="49" customFormat="1" ht="15.75">
      <c r="A242" s="308"/>
      <c r="B242" s="402"/>
      <c r="C242" s="311"/>
      <c r="D242" s="311"/>
      <c r="E242" s="311"/>
      <c r="F242" s="403"/>
      <c r="G242" s="403"/>
      <c r="H242" s="404"/>
      <c r="I242" s="405"/>
      <c r="J242" s="405"/>
      <c r="K242" s="406"/>
      <c r="L242" s="314"/>
      <c r="M242" s="314"/>
      <c r="N242" s="314"/>
      <c r="O242" s="314"/>
      <c r="P242" s="314"/>
      <c r="Q242" s="405"/>
      <c r="R242" s="315"/>
      <c r="S242" s="316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s="49" customFormat="1" ht="15.75">
      <c r="A243" s="308"/>
      <c r="B243" s="407"/>
      <c r="C243" s="311"/>
      <c r="D243" s="311"/>
      <c r="E243" s="311"/>
      <c r="F243" s="403"/>
      <c r="G243" s="403"/>
      <c r="H243" s="404"/>
      <c r="I243" s="405"/>
      <c r="J243" s="405"/>
      <c r="K243" s="406"/>
      <c r="L243" s="314"/>
      <c r="M243" s="314"/>
      <c r="N243" s="314"/>
      <c r="O243" s="314"/>
      <c r="P243" s="314"/>
      <c r="Q243" s="405"/>
      <c r="R243" s="315"/>
      <c r="S243" s="316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</row>
    <row r="244" spans="1:30" s="1" customFormat="1" ht="20.45" customHeight="1">
      <c r="A244" s="308"/>
      <c r="B244" s="1293" t="s">
        <v>123</v>
      </c>
      <c r="C244" s="1293"/>
      <c r="D244" s="1293"/>
      <c r="E244" s="1293"/>
      <c r="F244" s="1293"/>
      <c r="G244" s="1293"/>
      <c r="H244" s="347">
        <f>SUM(H245:H249)</f>
        <v>34678.06</v>
      </c>
      <c r="I244" s="347">
        <f t="shared" ref="I244:P244" si="31">SUM(I245:I249)</f>
        <v>20430.3</v>
      </c>
      <c r="J244" s="347">
        <f t="shared" si="31"/>
        <v>10666.880000000001</v>
      </c>
      <c r="K244" s="347">
        <f t="shared" si="31"/>
        <v>1002</v>
      </c>
      <c r="L244" s="670">
        <f t="shared" si="31"/>
        <v>11767484</v>
      </c>
      <c r="M244" s="670">
        <f t="shared" si="31"/>
        <v>0</v>
      </c>
      <c r="N244" s="670">
        <f t="shared" si="31"/>
        <v>0</v>
      </c>
      <c r="O244" s="670">
        <f t="shared" si="31"/>
        <v>11767484</v>
      </c>
      <c r="P244" s="670">
        <f t="shared" si="31"/>
        <v>0</v>
      </c>
      <c r="Q244" s="350" t="s">
        <v>40</v>
      </c>
      <c r="R244" s="346" t="s">
        <v>40</v>
      </c>
      <c r="S244" s="316">
        <v>43100</v>
      </c>
    </row>
    <row r="245" spans="1:30" s="1" customFormat="1" ht="33" customHeight="1">
      <c r="A245" s="308">
        <v>22</v>
      </c>
      <c r="B245" s="875" t="s">
        <v>732</v>
      </c>
      <c r="C245" s="387">
        <v>2004</v>
      </c>
      <c r="D245" s="387"/>
      <c r="E245" s="311" t="s">
        <v>734</v>
      </c>
      <c r="F245" s="346">
        <v>5</v>
      </c>
      <c r="G245" s="346">
        <v>7</v>
      </c>
      <c r="H245" s="347">
        <v>9679.56</v>
      </c>
      <c r="I245" s="346">
        <v>5484.6</v>
      </c>
      <c r="J245" s="346">
        <v>2358.38</v>
      </c>
      <c r="K245" s="390">
        <v>299</v>
      </c>
      <c r="L245" s="314">
        <v>3438972</v>
      </c>
      <c r="M245" s="314">
        <f>SUM(M246:M259)</f>
        <v>0</v>
      </c>
      <c r="N245" s="314">
        <v>0</v>
      </c>
      <c r="O245" s="314">
        <f>L245</f>
        <v>3438972</v>
      </c>
      <c r="P245" s="314">
        <v>0</v>
      </c>
      <c r="Q245" s="350">
        <f t="shared" ref="Q245:Q259" si="32">L245/I245</f>
        <v>627.02330160813915</v>
      </c>
      <c r="R245" s="315">
        <v>7822</v>
      </c>
      <c r="S245" s="316">
        <v>43100</v>
      </c>
    </row>
    <row r="246" spans="1:30" s="1" customFormat="1" ht="28.15" customHeight="1">
      <c r="A246" s="308">
        <f t="shared" si="30"/>
        <v>23</v>
      </c>
      <c r="B246" s="875" t="s">
        <v>363</v>
      </c>
      <c r="C246" s="387">
        <v>2004</v>
      </c>
      <c r="D246" s="387"/>
      <c r="E246" s="311" t="s">
        <v>735</v>
      </c>
      <c r="F246" s="346">
        <v>5</v>
      </c>
      <c r="G246" s="346">
        <v>4</v>
      </c>
      <c r="H246" s="347">
        <v>8574.2999999999993</v>
      </c>
      <c r="I246" s="346">
        <v>4885.1000000000004</v>
      </c>
      <c r="J246" s="346">
        <v>2569.56</v>
      </c>
      <c r="K246" s="390">
        <v>269</v>
      </c>
      <c r="L246" s="314">
        <v>2804575</v>
      </c>
      <c r="M246" s="314">
        <f>SUM(M247:M260)</f>
        <v>0</v>
      </c>
      <c r="N246" s="314">
        <v>0</v>
      </c>
      <c r="O246" s="314">
        <f>L246</f>
        <v>2804575</v>
      </c>
      <c r="P246" s="314">
        <v>0</v>
      </c>
      <c r="Q246" s="350">
        <f t="shared" si="32"/>
        <v>574.10800188327767</v>
      </c>
      <c r="R246" s="315">
        <v>7822</v>
      </c>
      <c r="S246" s="316">
        <v>43100</v>
      </c>
    </row>
    <row r="247" spans="1:30" s="1" customFormat="1" ht="33" customHeight="1">
      <c r="A247" s="308">
        <f t="shared" si="30"/>
        <v>24</v>
      </c>
      <c r="B247" s="875" t="s">
        <v>733</v>
      </c>
      <c r="C247" s="387">
        <v>1994</v>
      </c>
      <c r="D247" s="346"/>
      <c r="E247" s="311" t="s">
        <v>734</v>
      </c>
      <c r="F247" s="346">
        <v>5</v>
      </c>
      <c r="G247" s="346">
        <v>4</v>
      </c>
      <c r="H247" s="347">
        <v>5877.3</v>
      </c>
      <c r="I247" s="346">
        <v>3126.5</v>
      </c>
      <c r="J247" s="346">
        <v>1813.68</v>
      </c>
      <c r="K247" s="390">
        <v>160</v>
      </c>
      <c r="L247" s="314">
        <v>1993932</v>
      </c>
      <c r="M247" s="314">
        <f>SUM(M248:M261)</f>
        <v>0</v>
      </c>
      <c r="N247" s="314">
        <v>0</v>
      </c>
      <c r="O247" s="314">
        <f>L247</f>
        <v>1993932</v>
      </c>
      <c r="P247" s="314">
        <v>0</v>
      </c>
      <c r="Q247" s="350">
        <f t="shared" si="32"/>
        <v>637.75211898288819</v>
      </c>
      <c r="R247" s="315">
        <v>7822</v>
      </c>
      <c r="S247" s="316">
        <v>43100</v>
      </c>
    </row>
    <row r="248" spans="1:30" s="1" customFormat="1" ht="33" customHeight="1">
      <c r="A248" s="308"/>
      <c r="B248" s="875" t="s">
        <v>942</v>
      </c>
      <c r="C248" s="387">
        <v>1966</v>
      </c>
      <c r="D248" s="346"/>
      <c r="E248" s="311" t="s">
        <v>218</v>
      </c>
      <c r="F248" s="346">
        <v>5</v>
      </c>
      <c r="G248" s="346">
        <v>4</v>
      </c>
      <c r="H248" s="347">
        <v>5298</v>
      </c>
      <c r="I248" s="346">
        <v>3567.1</v>
      </c>
      <c r="J248" s="346">
        <v>1608.76</v>
      </c>
      <c r="K248" s="390">
        <v>96</v>
      </c>
      <c r="L248" s="314">
        <v>1656223</v>
      </c>
      <c r="M248" s="314">
        <v>0</v>
      </c>
      <c r="N248" s="314">
        <v>0</v>
      </c>
      <c r="O248" s="314">
        <v>1656223</v>
      </c>
      <c r="P248" s="314">
        <v>0</v>
      </c>
      <c r="Q248" s="350">
        <f t="shared" si="32"/>
        <v>464.30517787558523</v>
      </c>
      <c r="R248" s="315">
        <v>7822</v>
      </c>
      <c r="S248" s="316">
        <v>43100</v>
      </c>
    </row>
    <row r="249" spans="1:30" s="1" customFormat="1" ht="33" customHeight="1">
      <c r="A249" s="308"/>
      <c r="B249" s="875" t="s">
        <v>357</v>
      </c>
      <c r="C249" s="387">
        <v>1964</v>
      </c>
      <c r="D249" s="346"/>
      <c r="E249" s="311" t="s">
        <v>218</v>
      </c>
      <c r="F249" s="346">
        <v>5</v>
      </c>
      <c r="G249" s="346">
        <v>4</v>
      </c>
      <c r="H249" s="347">
        <v>5248.9</v>
      </c>
      <c r="I249" s="346">
        <v>3367</v>
      </c>
      <c r="J249" s="346">
        <v>2316.5</v>
      </c>
      <c r="K249" s="390">
        <v>178</v>
      </c>
      <c r="L249" s="314">
        <v>1873782</v>
      </c>
      <c r="M249" s="314">
        <v>0</v>
      </c>
      <c r="N249" s="314">
        <v>0</v>
      </c>
      <c r="O249" s="314">
        <v>1873782</v>
      </c>
      <c r="P249" s="314">
        <v>0</v>
      </c>
      <c r="Q249" s="350">
        <f t="shared" si="32"/>
        <v>556.51381051381054</v>
      </c>
      <c r="R249" s="315">
        <v>7822</v>
      </c>
      <c r="S249" s="316">
        <v>43100</v>
      </c>
    </row>
    <row r="250" spans="1:30" s="1" customFormat="1" ht="15.75">
      <c r="A250" s="308"/>
      <c r="B250" s="606"/>
      <c r="C250" s="387"/>
      <c r="D250" s="346"/>
      <c r="E250" s="311"/>
      <c r="F250" s="346"/>
      <c r="G250" s="346"/>
      <c r="H250" s="347"/>
      <c r="I250" s="346"/>
      <c r="J250" s="346"/>
      <c r="K250" s="390"/>
      <c r="L250" s="314"/>
      <c r="M250" s="314"/>
      <c r="N250" s="314"/>
      <c r="O250" s="314"/>
      <c r="P250" s="314"/>
      <c r="Q250" s="350"/>
      <c r="R250" s="315"/>
      <c r="S250" s="316">
        <v>43100</v>
      </c>
    </row>
    <row r="251" spans="1:30" s="1" customFormat="1" ht="15.75">
      <c r="A251" s="308"/>
      <c r="B251" s="606"/>
      <c r="C251" s="644"/>
      <c r="D251" s="346"/>
      <c r="E251" s="311"/>
      <c r="F251" s="346"/>
      <c r="G251" s="346"/>
      <c r="H251" s="347"/>
      <c r="I251" s="346"/>
      <c r="J251" s="346"/>
      <c r="K251" s="390"/>
      <c r="L251" s="314"/>
      <c r="M251" s="314"/>
      <c r="N251" s="314"/>
      <c r="O251" s="314"/>
      <c r="P251" s="314"/>
      <c r="Q251" s="350"/>
      <c r="R251" s="315"/>
      <c r="S251" s="316">
        <v>43100</v>
      </c>
    </row>
    <row r="252" spans="1:30" s="1" customFormat="1" ht="15.75">
      <c r="A252" s="308"/>
      <c r="B252" s="606"/>
      <c r="C252" s="644"/>
      <c r="D252" s="346"/>
      <c r="E252" s="311"/>
      <c r="F252" s="346"/>
      <c r="G252" s="346"/>
      <c r="H252" s="347"/>
      <c r="I252" s="346"/>
      <c r="J252" s="346"/>
      <c r="K252" s="390"/>
      <c r="L252" s="314"/>
      <c r="M252" s="314"/>
      <c r="N252" s="314"/>
      <c r="O252" s="314"/>
      <c r="P252" s="314"/>
      <c r="Q252" s="350"/>
      <c r="R252" s="315"/>
      <c r="S252" s="316">
        <v>43100</v>
      </c>
    </row>
    <row r="253" spans="1:30" s="1" customFormat="1" ht="15.75">
      <c r="A253" s="308"/>
      <c r="B253" s="606"/>
      <c r="C253" s="387"/>
      <c r="D253" s="346"/>
      <c r="E253" s="311"/>
      <c r="F253" s="346"/>
      <c r="G253" s="346"/>
      <c r="H253" s="347"/>
      <c r="I253" s="346"/>
      <c r="J253" s="346"/>
      <c r="K253" s="390"/>
      <c r="L253" s="314"/>
      <c r="M253" s="314"/>
      <c r="N253" s="314"/>
      <c r="O253" s="314"/>
      <c r="P253" s="314"/>
      <c r="Q253" s="350"/>
      <c r="R253" s="466"/>
      <c r="S253" s="316">
        <v>43100</v>
      </c>
    </row>
    <row r="254" spans="1:30" s="1" customFormat="1" ht="15.75">
      <c r="A254" s="308"/>
      <c r="B254" s="606"/>
      <c r="C254" s="387"/>
      <c r="D254" s="346"/>
      <c r="E254" s="311"/>
      <c r="F254" s="346"/>
      <c r="G254" s="346"/>
      <c r="H254" s="347"/>
      <c r="I254" s="346"/>
      <c r="J254" s="346"/>
      <c r="K254" s="390"/>
      <c r="L254" s="314"/>
      <c r="M254" s="314"/>
      <c r="N254" s="314"/>
      <c r="O254" s="314"/>
      <c r="P254" s="314"/>
      <c r="Q254" s="350"/>
      <c r="R254" s="315"/>
      <c r="S254" s="316">
        <v>43100</v>
      </c>
    </row>
    <row r="255" spans="1:30" s="1" customFormat="1" ht="15.75">
      <c r="A255" s="308"/>
      <c r="B255" s="606"/>
      <c r="C255" s="387"/>
      <c r="D255" s="346"/>
      <c r="E255" s="311"/>
      <c r="F255" s="346"/>
      <c r="G255" s="346"/>
      <c r="H255" s="347"/>
      <c r="I255" s="346"/>
      <c r="J255" s="346"/>
      <c r="K255" s="390"/>
      <c r="L255" s="314"/>
      <c r="M255" s="314"/>
      <c r="N255" s="314"/>
      <c r="O255" s="314"/>
      <c r="P255" s="314"/>
      <c r="Q255" s="350"/>
      <c r="R255" s="315"/>
      <c r="S255" s="316">
        <v>43100</v>
      </c>
    </row>
    <row r="256" spans="1:30" s="1" customFormat="1" ht="15.75">
      <c r="A256" s="308"/>
      <c r="B256" s="606"/>
      <c r="C256" s="387"/>
      <c r="D256" s="346"/>
      <c r="E256" s="311"/>
      <c r="F256" s="346"/>
      <c r="G256" s="346"/>
      <c r="H256" s="347"/>
      <c r="I256" s="346"/>
      <c r="J256" s="346"/>
      <c r="K256" s="390"/>
      <c r="L256" s="314"/>
      <c r="M256" s="314"/>
      <c r="N256" s="314"/>
      <c r="O256" s="314"/>
      <c r="P256" s="314"/>
      <c r="Q256" s="350"/>
      <c r="R256" s="315"/>
      <c r="S256" s="316">
        <v>43100</v>
      </c>
    </row>
    <row r="257" spans="1:19" s="1" customFormat="1" ht="35.450000000000003" customHeight="1">
      <c r="A257" s="308"/>
      <c r="B257" s="1293" t="s">
        <v>864</v>
      </c>
      <c r="C257" s="1293"/>
      <c r="D257" s="1293"/>
      <c r="E257" s="1293"/>
      <c r="F257" s="1293"/>
      <c r="G257" s="1293"/>
      <c r="H257" s="347">
        <f>H258+H259</f>
        <v>4284.7</v>
      </c>
      <c r="I257" s="347">
        <f t="shared" ref="I257:P257" si="33">I258+I259</f>
        <v>3030.4</v>
      </c>
      <c r="J257" s="347">
        <f t="shared" si="33"/>
        <v>2763.5</v>
      </c>
      <c r="K257" s="347">
        <f t="shared" si="33"/>
        <v>97</v>
      </c>
      <c r="L257" s="670">
        <f t="shared" si="33"/>
        <v>2812692</v>
      </c>
      <c r="M257" s="670">
        <f t="shared" si="33"/>
        <v>0</v>
      </c>
      <c r="N257" s="670">
        <f t="shared" si="33"/>
        <v>0</v>
      </c>
      <c r="O257" s="670">
        <f t="shared" si="33"/>
        <v>2812692</v>
      </c>
      <c r="P257" s="670">
        <f t="shared" si="33"/>
        <v>0</v>
      </c>
      <c r="Q257" s="350" t="s">
        <v>40</v>
      </c>
      <c r="R257" s="346" t="s">
        <v>40</v>
      </c>
      <c r="S257" s="316">
        <v>43100</v>
      </c>
    </row>
    <row r="258" spans="1:19" s="1" customFormat="1" ht="31.5">
      <c r="A258" s="308"/>
      <c r="B258" s="916" t="s">
        <v>865</v>
      </c>
      <c r="C258" s="387">
        <v>1961</v>
      </c>
      <c r="D258" s="346"/>
      <c r="E258" s="311" t="s">
        <v>218</v>
      </c>
      <c r="F258" s="346">
        <v>3</v>
      </c>
      <c r="G258" s="346">
        <v>3</v>
      </c>
      <c r="H258" s="347">
        <v>2106.6999999999998</v>
      </c>
      <c r="I258" s="346">
        <v>1512.5</v>
      </c>
      <c r="J258" s="346">
        <v>1432</v>
      </c>
      <c r="K258" s="390">
        <v>50</v>
      </c>
      <c r="L258" s="314">
        <v>1914360</v>
      </c>
      <c r="M258" s="314">
        <v>0</v>
      </c>
      <c r="N258" s="314">
        <v>0</v>
      </c>
      <c r="O258" s="314">
        <v>1914360</v>
      </c>
      <c r="P258" s="314">
        <v>0</v>
      </c>
      <c r="Q258" s="350">
        <f t="shared" si="32"/>
        <v>1265.692561983471</v>
      </c>
      <c r="R258" s="315">
        <v>7822</v>
      </c>
      <c r="S258" s="316">
        <v>43100</v>
      </c>
    </row>
    <row r="259" spans="1:19" s="1" customFormat="1" ht="31.5">
      <c r="A259" s="308"/>
      <c r="B259" s="916" t="s">
        <v>866</v>
      </c>
      <c r="C259" s="387">
        <v>1963</v>
      </c>
      <c r="D259" s="346"/>
      <c r="E259" s="311" t="s">
        <v>218</v>
      </c>
      <c r="F259" s="346">
        <v>3</v>
      </c>
      <c r="G259" s="346">
        <v>3</v>
      </c>
      <c r="H259" s="347">
        <v>2178</v>
      </c>
      <c r="I259" s="346">
        <v>1517.9</v>
      </c>
      <c r="J259" s="346">
        <v>1331.5</v>
      </c>
      <c r="K259" s="390">
        <v>47</v>
      </c>
      <c r="L259" s="314">
        <v>898332</v>
      </c>
      <c r="M259" s="314">
        <v>0</v>
      </c>
      <c r="N259" s="314">
        <v>0</v>
      </c>
      <c r="O259" s="314">
        <v>898332</v>
      </c>
      <c r="P259" s="314">
        <v>0</v>
      </c>
      <c r="Q259" s="350">
        <f t="shared" si="32"/>
        <v>591.82554845510242</v>
      </c>
      <c r="R259" s="315">
        <v>7822</v>
      </c>
      <c r="S259" s="316">
        <v>43100</v>
      </c>
    </row>
    <row r="260" spans="1:19" s="16" customFormat="1" ht="28.15" customHeight="1">
      <c r="A260" s="308"/>
      <c r="B260" s="1293" t="s">
        <v>72</v>
      </c>
      <c r="C260" s="1293"/>
      <c r="D260" s="1293"/>
      <c r="E260" s="1293"/>
      <c r="F260" s="1293"/>
      <c r="G260" s="1293"/>
      <c r="H260" s="347">
        <f>H261</f>
        <v>3033.7</v>
      </c>
      <c r="I260" s="346">
        <f t="shared" ref="I260:R260" si="34">I261</f>
        <v>2730.3</v>
      </c>
      <c r="J260" s="346">
        <f t="shared" si="34"/>
        <v>2430.5</v>
      </c>
      <c r="K260" s="349">
        <f t="shared" si="34"/>
        <v>100</v>
      </c>
      <c r="L260" s="314">
        <f t="shared" si="34"/>
        <v>5868972</v>
      </c>
      <c r="M260" s="314">
        <f t="shared" si="34"/>
        <v>0</v>
      </c>
      <c r="N260" s="314">
        <f t="shared" si="34"/>
        <v>0</v>
      </c>
      <c r="O260" s="314">
        <f t="shared" si="34"/>
        <v>5868972</v>
      </c>
      <c r="P260" s="314">
        <f t="shared" si="34"/>
        <v>0</v>
      </c>
      <c r="Q260" s="350" t="str">
        <f t="shared" si="34"/>
        <v>Х</v>
      </c>
      <c r="R260" s="346" t="str">
        <f t="shared" si="34"/>
        <v>Х</v>
      </c>
      <c r="S260" s="316">
        <v>43100</v>
      </c>
    </row>
    <row r="261" spans="1:19" s="16" customFormat="1" ht="24.6" customHeight="1">
      <c r="A261" s="308"/>
      <c r="B261" s="1293" t="s">
        <v>95</v>
      </c>
      <c r="C261" s="1293"/>
      <c r="D261" s="1293"/>
      <c r="E261" s="1293"/>
      <c r="F261" s="1293"/>
      <c r="G261" s="1293"/>
      <c r="H261" s="347">
        <f>SUM(H262:H268)</f>
        <v>3033.7</v>
      </c>
      <c r="I261" s="347">
        <f t="shared" ref="I261:P261" si="35">SUM(I262:I268)</f>
        <v>2730.3</v>
      </c>
      <c r="J261" s="347">
        <f t="shared" si="35"/>
        <v>2430.5</v>
      </c>
      <c r="K261" s="347">
        <f t="shared" si="35"/>
        <v>100</v>
      </c>
      <c r="L261" s="820">
        <f t="shared" si="35"/>
        <v>5868972</v>
      </c>
      <c r="M261" s="820">
        <f t="shared" si="35"/>
        <v>0</v>
      </c>
      <c r="N261" s="820">
        <f t="shared" si="35"/>
        <v>0</v>
      </c>
      <c r="O261" s="820">
        <f t="shared" si="35"/>
        <v>5868972</v>
      </c>
      <c r="P261" s="820">
        <f t="shared" si="35"/>
        <v>0</v>
      </c>
      <c r="Q261" s="350" t="s">
        <v>40</v>
      </c>
      <c r="R261" s="387" t="s">
        <v>40</v>
      </c>
      <c r="S261" s="316">
        <v>43100</v>
      </c>
    </row>
    <row r="262" spans="1:19" s="1" customFormat="1" ht="22.9" customHeight="1">
      <c r="A262" s="308">
        <v>25</v>
      </c>
      <c r="B262" s="337" t="s">
        <v>619</v>
      </c>
      <c r="C262" s="310">
        <v>1972</v>
      </c>
      <c r="D262" s="310"/>
      <c r="E262" s="311" t="s">
        <v>220</v>
      </c>
      <c r="F262" s="310">
        <v>2</v>
      </c>
      <c r="G262" s="310">
        <v>1</v>
      </c>
      <c r="H262" s="312">
        <v>351.8</v>
      </c>
      <c r="I262" s="310">
        <v>351.1</v>
      </c>
      <c r="J262" s="362">
        <v>351.1</v>
      </c>
      <c r="K262" s="313">
        <v>11</v>
      </c>
      <c r="L262" s="314">
        <v>620394</v>
      </c>
      <c r="M262" s="314">
        <v>0</v>
      </c>
      <c r="N262" s="314">
        <v>0</v>
      </c>
      <c r="O262" s="314">
        <f>L262</f>
        <v>620394</v>
      </c>
      <c r="P262" s="314">
        <v>0</v>
      </c>
      <c r="Q262" s="315">
        <f t="shared" ref="Q262:Q268" si="36">L262/I262</f>
        <v>1767.0008544574193</v>
      </c>
      <c r="R262" s="608">
        <v>7822</v>
      </c>
      <c r="S262" s="316">
        <v>43100</v>
      </c>
    </row>
    <row r="263" spans="1:19" s="1" customFormat="1" ht="29.45" customHeight="1">
      <c r="A263" s="308">
        <f t="shared" si="30"/>
        <v>26</v>
      </c>
      <c r="B263" s="337" t="s">
        <v>620</v>
      </c>
      <c r="C263" s="310">
        <v>1969</v>
      </c>
      <c r="D263" s="310"/>
      <c r="E263" s="311" t="s">
        <v>220</v>
      </c>
      <c r="F263" s="310">
        <v>2</v>
      </c>
      <c r="G263" s="310">
        <v>1</v>
      </c>
      <c r="H263" s="312">
        <v>363.6</v>
      </c>
      <c r="I263" s="310">
        <v>336</v>
      </c>
      <c r="J263" s="362">
        <v>336</v>
      </c>
      <c r="K263" s="313">
        <v>11</v>
      </c>
      <c r="L263" s="314">
        <v>620324</v>
      </c>
      <c r="M263" s="314">
        <v>0</v>
      </c>
      <c r="N263" s="314">
        <v>0</v>
      </c>
      <c r="O263" s="314">
        <f>L263</f>
        <v>620324</v>
      </c>
      <c r="P263" s="314">
        <v>0</v>
      </c>
      <c r="Q263" s="315">
        <f t="shared" si="36"/>
        <v>1846.202380952381</v>
      </c>
      <c r="R263" s="608">
        <v>7822</v>
      </c>
      <c r="S263" s="316">
        <v>43100</v>
      </c>
    </row>
    <row r="264" spans="1:19" s="1" customFormat="1" ht="31.5">
      <c r="A264" s="308">
        <f t="shared" si="30"/>
        <v>27</v>
      </c>
      <c r="B264" s="337" t="s">
        <v>621</v>
      </c>
      <c r="C264" s="310">
        <v>1971</v>
      </c>
      <c r="D264" s="310"/>
      <c r="E264" s="311" t="s">
        <v>218</v>
      </c>
      <c r="F264" s="310">
        <v>2</v>
      </c>
      <c r="G264" s="310">
        <v>2</v>
      </c>
      <c r="H264" s="312">
        <v>520.6</v>
      </c>
      <c r="I264" s="310">
        <v>466</v>
      </c>
      <c r="J264" s="310">
        <v>466</v>
      </c>
      <c r="K264" s="313">
        <v>18</v>
      </c>
      <c r="L264" s="314">
        <v>626838</v>
      </c>
      <c r="M264" s="314">
        <v>0</v>
      </c>
      <c r="N264" s="314">
        <v>0</v>
      </c>
      <c r="O264" s="314">
        <f>L264</f>
        <v>626838</v>
      </c>
      <c r="P264" s="314">
        <v>0</v>
      </c>
      <c r="Q264" s="315">
        <f t="shared" si="36"/>
        <v>1345.145922746781</v>
      </c>
      <c r="R264" s="315">
        <v>7822</v>
      </c>
      <c r="S264" s="316">
        <v>43100</v>
      </c>
    </row>
    <row r="265" spans="1:19" s="1" customFormat="1" ht="31.5">
      <c r="A265" s="308">
        <f t="shared" si="30"/>
        <v>28</v>
      </c>
      <c r="B265" s="337" t="s">
        <v>622</v>
      </c>
      <c r="C265" s="310">
        <v>1966</v>
      </c>
      <c r="D265" s="310"/>
      <c r="E265" s="311" t="s">
        <v>218</v>
      </c>
      <c r="F265" s="310">
        <v>2</v>
      </c>
      <c r="G265" s="310">
        <v>2</v>
      </c>
      <c r="H265" s="312">
        <v>604.4</v>
      </c>
      <c r="I265" s="310">
        <v>545.6</v>
      </c>
      <c r="J265" s="310">
        <v>506.9</v>
      </c>
      <c r="K265" s="313">
        <v>26</v>
      </c>
      <c r="L265" s="314">
        <v>2055193</v>
      </c>
      <c r="M265" s="314">
        <v>0</v>
      </c>
      <c r="N265" s="314">
        <v>0</v>
      </c>
      <c r="O265" s="314">
        <f t="shared" ref="O265:O268" si="37">L265</f>
        <v>2055193</v>
      </c>
      <c r="P265" s="314">
        <v>0</v>
      </c>
      <c r="Q265" s="315">
        <f t="shared" si="36"/>
        <v>3766.8493401759529</v>
      </c>
      <c r="R265" s="315">
        <v>7822</v>
      </c>
      <c r="S265" s="316">
        <v>43100</v>
      </c>
    </row>
    <row r="266" spans="1:19" s="1" customFormat="1" ht="31.5">
      <c r="A266" s="308">
        <f t="shared" si="30"/>
        <v>29</v>
      </c>
      <c r="B266" s="337" t="s">
        <v>392</v>
      </c>
      <c r="C266" s="310">
        <v>1962</v>
      </c>
      <c r="D266" s="310"/>
      <c r="E266" s="311" t="s">
        <v>218</v>
      </c>
      <c r="F266" s="310">
        <v>2</v>
      </c>
      <c r="G266" s="310">
        <v>1</v>
      </c>
      <c r="H266" s="312">
        <v>342.6</v>
      </c>
      <c r="I266" s="310">
        <v>307.39999999999998</v>
      </c>
      <c r="J266" s="310">
        <v>237.3</v>
      </c>
      <c r="K266" s="313">
        <v>15</v>
      </c>
      <c r="L266" s="314">
        <v>626290</v>
      </c>
      <c r="M266" s="314">
        <v>0</v>
      </c>
      <c r="N266" s="314">
        <v>0</v>
      </c>
      <c r="O266" s="314">
        <f t="shared" si="37"/>
        <v>626290</v>
      </c>
      <c r="P266" s="314">
        <v>0</v>
      </c>
      <c r="Q266" s="315">
        <f t="shared" si="36"/>
        <v>2037.3780091086533</v>
      </c>
      <c r="R266" s="315">
        <v>7822</v>
      </c>
      <c r="S266" s="316">
        <v>43100</v>
      </c>
    </row>
    <row r="267" spans="1:19" s="1" customFormat="1" ht="31.5">
      <c r="A267" s="308">
        <f t="shared" si="30"/>
        <v>30</v>
      </c>
      <c r="B267" s="337" t="s">
        <v>623</v>
      </c>
      <c r="C267" s="310">
        <v>1962</v>
      </c>
      <c r="D267" s="310"/>
      <c r="E267" s="311" t="s">
        <v>218</v>
      </c>
      <c r="F267" s="310">
        <v>2</v>
      </c>
      <c r="G267" s="310">
        <v>1</v>
      </c>
      <c r="H267" s="312">
        <v>416.7</v>
      </c>
      <c r="I267" s="310">
        <v>327.8</v>
      </c>
      <c r="J267" s="310">
        <v>136.80000000000001</v>
      </c>
      <c r="K267" s="313">
        <v>7</v>
      </c>
      <c r="L267" s="314">
        <v>555216</v>
      </c>
      <c r="M267" s="314">
        <v>0</v>
      </c>
      <c r="N267" s="314">
        <v>0</v>
      </c>
      <c r="O267" s="314">
        <f t="shared" si="37"/>
        <v>555216</v>
      </c>
      <c r="P267" s="314">
        <v>0</v>
      </c>
      <c r="Q267" s="315">
        <f t="shared" si="36"/>
        <v>1693.7644905430141</v>
      </c>
      <c r="R267" s="315">
        <v>7822</v>
      </c>
      <c r="S267" s="316">
        <v>43100</v>
      </c>
    </row>
    <row r="268" spans="1:19" s="1" customFormat="1" ht="31.5">
      <c r="A268" s="308">
        <v>31</v>
      </c>
      <c r="B268" s="337" t="s">
        <v>628</v>
      </c>
      <c r="C268" s="310">
        <v>1966</v>
      </c>
      <c r="D268" s="310"/>
      <c r="E268" s="311" t="s">
        <v>218</v>
      </c>
      <c r="F268" s="310">
        <v>2</v>
      </c>
      <c r="G268" s="310">
        <v>2</v>
      </c>
      <c r="H268" s="312">
        <v>434</v>
      </c>
      <c r="I268" s="310">
        <v>396.4</v>
      </c>
      <c r="J268" s="362">
        <v>396.4</v>
      </c>
      <c r="K268" s="313">
        <v>12</v>
      </c>
      <c r="L268" s="314">
        <v>764717</v>
      </c>
      <c r="M268" s="314">
        <v>0</v>
      </c>
      <c r="N268" s="314">
        <v>0</v>
      </c>
      <c r="O268" s="314">
        <f t="shared" si="37"/>
        <v>764717</v>
      </c>
      <c r="P268" s="314">
        <v>0</v>
      </c>
      <c r="Q268" s="315">
        <f t="shared" si="36"/>
        <v>1929.1548940464179</v>
      </c>
      <c r="R268" s="315">
        <v>7822</v>
      </c>
      <c r="S268" s="316">
        <v>43100</v>
      </c>
    </row>
    <row r="269" spans="1:19" s="1" customFormat="1" ht="15.75" customHeight="1">
      <c r="A269" s="107"/>
      <c r="B269" s="1331" t="s">
        <v>41</v>
      </c>
      <c r="C269" s="1331"/>
      <c r="D269" s="1331"/>
      <c r="E269" s="1331"/>
      <c r="F269" s="1331"/>
      <c r="G269" s="1331"/>
      <c r="H269" s="111">
        <f>H270</f>
        <v>21724.199999999997</v>
      </c>
      <c r="I269" s="111">
        <f t="shared" ref="I269:P269" si="38">I270</f>
        <v>17960.030000000002</v>
      </c>
      <c r="J269" s="111">
        <f t="shared" si="38"/>
        <v>16982.93</v>
      </c>
      <c r="K269" s="112">
        <f t="shared" si="38"/>
        <v>832</v>
      </c>
      <c r="L269" s="113">
        <f t="shared" si="38"/>
        <v>22562280</v>
      </c>
      <c r="M269" s="113">
        <f t="shared" si="38"/>
        <v>0</v>
      </c>
      <c r="N269" s="113">
        <f t="shared" si="38"/>
        <v>0</v>
      </c>
      <c r="O269" s="113">
        <f t="shared" si="38"/>
        <v>22562280</v>
      </c>
      <c r="P269" s="113">
        <f t="shared" si="38"/>
        <v>0</v>
      </c>
      <c r="Q269" s="114" t="s">
        <v>40</v>
      </c>
      <c r="R269" s="126" t="s">
        <v>40</v>
      </c>
      <c r="S269" s="316">
        <v>43100</v>
      </c>
    </row>
    <row r="270" spans="1:19" s="1" customFormat="1" ht="30.6" customHeight="1">
      <c r="A270" s="107"/>
      <c r="B270" s="1332" t="s">
        <v>96</v>
      </c>
      <c r="C270" s="1332"/>
      <c r="D270" s="1331"/>
      <c r="E270" s="1331"/>
      <c r="F270" s="1332"/>
      <c r="G270" s="1332"/>
      <c r="H270" s="628">
        <f>SUM(H271:H280)</f>
        <v>21724.199999999997</v>
      </c>
      <c r="I270" s="628">
        <f>SUM(I271:I280)</f>
        <v>17960.030000000002</v>
      </c>
      <c r="J270" s="628">
        <f>SUM(J271:J280)</f>
        <v>16982.93</v>
      </c>
      <c r="K270" s="112">
        <f>SUM(K271:K280)</f>
        <v>832</v>
      </c>
      <c r="L270" s="658">
        <f>SUM(L271:L280)</f>
        <v>22562280</v>
      </c>
      <c r="M270" s="113">
        <f t="shared" ref="M270:P270" si="39">SUM(M271:M280)</f>
        <v>0</v>
      </c>
      <c r="N270" s="113">
        <f t="shared" si="39"/>
        <v>0</v>
      </c>
      <c r="O270" s="113">
        <f t="shared" si="39"/>
        <v>22562280</v>
      </c>
      <c r="P270" s="113">
        <f t="shared" si="39"/>
        <v>0</v>
      </c>
      <c r="Q270" s="114" t="s">
        <v>40</v>
      </c>
      <c r="R270" s="126" t="s">
        <v>40</v>
      </c>
      <c r="S270" s="316">
        <v>43100</v>
      </c>
    </row>
    <row r="271" spans="1:19" s="1" customFormat="1" ht="31.5">
      <c r="A271" s="631">
        <f>A2517+1</f>
        <v>1</v>
      </c>
      <c r="B271" s="762" t="s">
        <v>813</v>
      </c>
      <c r="C271" s="764">
        <v>1966</v>
      </c>
      <c r="D271" s="761"/>
      <c r="E271" s="611" t="s">
        <v>218</v>
      </c>
      <c r="F271" s="769">
        <v>5</v>
      </c>
      <c r="G271" s="769">
        <v>2</v>
      </c>
      <c r="H271" s="767">
        <v>2171.1999999999998</v>
      </c>
      <c r="I271" s="767">
        <v>1607.3</v>
      </c>
      <c r="J271" s="767">
        <f>I271-30.6</f>
        <v>1576.7</v>
      </c>
      <c r="K271" s="770">
        <v>64</v>
      </c>
      <c r="L271" s="773">
        <v>2342562</v>
      </c>
      <c r="M271" s="655">
        <v>0</v>
      </c>
      <c r="N271" s="113">
        <v>0</v>
      </c>
      <c r="O271" s="113">
        <f>L271</f>
        <v>2342562</v>
      </c>
      <c r="P271" s="113">
        <v>0</v>
      </c>
      <c r="Q271" s="114">
        <f>L271/I271</f>
        <v>1457.4516269520313</v>
      </c>
      <c r="R271" s="114">
        <v>7822</v>
      </c>
      <c r="S271" s="316">
        <v>43100</v>
      </c>
    </row>
    <row r="272" spans="1:19" s="1" customFormat="1" ht="31.5">
      <c r="A272" s="631">
        <f t="shared" si="30"/>
        <v>2</v>
      </c>
      <c r="B272" s="762" t="s">
        <v>814</v>
      </c>
      <c r="C272" s="764">
        <v>1933</v>
      </c>
      <c r="D272" s="761"/>
      <c r="E272" s="611" t="s">
        <v>218</v>
      </c>
      <c r="F272" s="769">
        <v>3</v>
      </c>
      <c r="G272" s="769">
        <v>3</v>
      </c>
      <c r="H272" s="767">
        <v>2335.1</v>
      </c>
      <c r="I272" s="767">
        <v>1526.5</v>
      </c>
      <c r="J272" s="767">
        <f>I272-173.6</f>
        <v>1352.9</v>
      </c>
      <c r="K272" s="770">
        <v>90</v>
      </c>
      <c r="L272" s="773">
        <v>2815415</v>
      </c>
      <c r="M272" s="655">
        <v>0</v>
      </c>
      <c r="N272" s="113">
        <v>0</v>
      </c>
      <c r="O272" s="113">
        <f t="shared" ref="O272:O278" si="40">L272</f>
        <v>2815415</v>
      </c>
      <c r="P272" s="113">
        <v>0</v>
      </c>
      <c r="Q272" s="114">
        <f>L272/I272</f>
        <v>1844.3596462495905</v>
      </c>
      <c r="R272" s="114">
        <v>7822</v>
      </c>
      <c r="S272" s="316">
        <v>43100</v>
      </c>
    </row>
    <row r="273" spans="1:34" s="1" customFormat="1" ht="31.5">
      <c r="A273" s="631">
        <f>A272+1</f>
        <v>3</v>
      </c>
      <c r="B273" s="762" t="s">
        <v>815</v>
      </c>
      <c r="C273" s="764">
        <v>1964</v>
      </c>
      <c r="D273" s="761"/>
      <c r="E273" s="611" t="s">
        <v>218</v>
      </c>
      <c r="F273" s="769">
        <v>5</v>
      </c>
      <c r="G273" s="769">
        <v>4</v>
      </c>
      <c r="H273" s="767">
        <v>5031</v>
      </c>
      <c r="I273" s="767">
        <v>3189.4</v>
      </c>
      <c r="J273" s="767">
        <f>I273-83.7</f>
        <v>3105.7000000000003</v>
      </c>
      <c r="K273" s="770">
        <v>112</v>
      </c>
      <c r="L273" s="773">
        <v>3917668</v>
      </c>
      <c r="M273" s="655">
        <v>0</v>
      </c>
      <c r="N273" s="113">
        <v>0</v>
      </c>
      <c r="O273" s="113">
        <f t="shared" si="40"/>
        <v>3917668</v>
      </c>
      <c r="P273" s="113">
        <v>0</v>
      </c>
      <c r="Q273" s="114">
        <f>L273/I273</f>
        <v>1228.340126669593</v>
      </c>
      <c r="R273" s="114">
        <v>7822</v>
      </c>
      <c r="S273" s="316">
        <v>43100</v>
      </c>
    </row>
    <row r="274" spans="1:34" s="1" customFormat="1" ht="31.5">
      <c r="A274" s="631">
        <v>4</v>
      </c>
      <c r="B274" s="762" t="s">
        <v>816</v>
      </c>
      <c r="C274" s="764">
        <v>1990</v>
      </c>
      <c r="D274" s="761"/>
      <c r="E274" s="611" t="s">
        <v>218</v>
      </c>
      <c r="F274" s="769">
        <v>5</v>
      </c>
      <c r="G274" s="769">
        <v>6</v>
      </c>
      <c r="H274" s="767">
        <v>4196.8999999999996</v>
      </c>
      <c r="I274" s="767">
        <v>4190</v>
      </c>
      <c r="J274" s="767">
        <f>I274-170.3</f>
        <v>4019.7</v>
      </c>
      <c r="K274" s="770">
        <v>204</v>
      </c>
      <c r="L274" s="773">
        <v>3136577</v>
      </c>
      <c r="M274" s="655">
        <v>0</v>
      </c>
      <c r="N274" s="113">
        <v>0</v>
      </c>
      <c r="O274" s="113">
        <f t="shared" si="40"/>
        <v>3136577</v>
      </c>
      <c r="P274" s="113">
        <v>0</v>
      </c>
      <c r="Q274" s="114">
        <f t="shared" ref="Q274:Q278" si="41">L274/I274</f>
        <v>748.5863961813842</v>
      </c>
      <c r="R274" s="114">
        <v>7822</v>
      </c>
      <c r="S274" s="316">
        <v>43100</v>
      </c>
    </row>
    <row r="275" spans="1:34" s="1" customFormat="1" ht="31.5">
      <c r="A275" s="631">
        <f t="shared" ref="A275:A279" si="42">A274+1</f>
        <v>5</v>
      </c>
      <c r="B275" s="762" t="s">
        <v>817</v>
      </c>
      <c r="C275" s="764"/>
      <c r="D275" s="761"/>
      <c r="E275" s="611" t="s">
        <v>218</v>
      </c>
      <c r="F275" s="769">
        <v>2</v>
      </c>
      <c r="G275" s="769">
        <v>2</v>
      </c>
      <c r="H275" s="767">
        <v>587.9</v>
      </c>
      <c r="I275" s="767">
        <v>541.4</v>
      </c>
      <c r="J275" s="767">
        <f>I275-226.8</f>
        <v>314.59999999999997</v>
      </c>
      <c r="K275" s="770">
        <v>42</v>
      </c>
      <c r="L275" s="773">
        <v>1046329</v>
      </c>
      <c r="M275" s="655">
        <v>0</v>
      </c>
      <c r="N275" s="113">
        <v>0</v>
      </c>
      <c r="O275" s="113">
        <f t="shared" si="40"/>
        <v>1046329</v>
      </c>
      <c r="P275" s="113">
        <v>0</v>
      </c>
      <c r="Q275" s="114">
        <f t="shared" si="41"/>
        <v>1932.6357591429628</v>
      </c>
      <c r="R275" s="114">
        <v>7822</v>
      </c>
      <c r="S275" s="316">
        <v>43100</v>
      </c>
    </row>
    <row r="276" spans="1:34" s="1" customFormat="1" ht="31.5">
      <c r="A276" s="631">
        <f t="shared" si="42"/>
        <v>6</v>
      </c>
      <c r="B276" s="762" t="s">
        <v>818</v>
      </c>
      <c r="C276" s="764">
        <v>1955</v>
      </c>
      <c r="D276" s="761"/>
      <c r="E276" s="611" t="s">
        <v>218</v>
      </c>
      <c r="F276" s="769">
        <v>3</v>
      </c>
      <c r="G276" s="769">
        <v>2</v>
      </c>
      <c r="H276" s="767">
        <v>1065.8</v>
      </c>
      <c r="I276" s="767">
        <v>959.8</v>
      </c>
      <c r="J276" s="767">
        <f>I276-123.4</f>
        <v>836.4</v>
      </c>
      <c r="K276" s="770">
        <v>38</v>
      </c>
      <c r="L276" s="773">
        <v>2290833</v>
      </c>
      <c r="M276" s="655">
        <v>0</v>
      </c>
      <c r="N276" s="113">
        <v>0</v>
      </c>
      <c r="O276" s="113">
        <f t="shared" si="40"/>
        <v>2290833</v>
      </c>
      <c r="P276" s="113">
        <v>0</v>
      </c>
      <c r="Q276" s="114">
        <f t="shared" si="41"/>
        <v>2386.7816211710774</v>
      </c>
      <c r="R276" s="114">
        <v>7822</v>
      </c>
      <c r="S276" s="316">
        <v>43100</v>
      </c>
    </row>
    <row r="277" spans="1:34" s="1" customFormat="1" ht="31.5">
      <c r="A277" s="631">
        <v>7</v>
      </c>
      <c r="B277" s="762" t="s">
        <v>819</v>
      </c>
      <c r="C277" s="764">
        <v>1952</v>
      </c>
      <c r="D277" s="761"/>
      <c r="E277" s="611" t="s">
        <v>218</v>
      </c>
      <c r="F277" s="769">
        <v>3</v>
      </c>
      <c r="G277" s="769">
        <v>2</v>
      </c>
      <c r="H277" s="767">
        <v>924.5</v>
      </c>
      <c r="I277" s="767">
        <v>878.6</v>
      </c>
      <c r="J277" s="767">
        <f>I277-65.6</f>
        <v>813</v>
      </c>
      <c r="K277" s="770">
        <v>37</v>
      </c>
      <c r="L277" s="773">
        <v>1932078</v>
      </c>
      <c r="M277" s="655">
        <v>0</v>
      </c>
      <c r="N277" s="113">
        <v>0</v>
      </c>
      <c r="O277" s="113">
        <f>L277</f>
        <v>1932078</v>
      </c>
      <c r="P277" s="113">
        <v>0</v>
      </c>
      <c r="Q277" s="114">
        <f t="shared" si="41"/>
        <v>2199.0416571818801</v>
      </c>
      <c r="R277" s="114">
        <v>7822</v>
      </c>
      <c r="S277" s="316">
        <v>43100</v>
      </c>
    </row>
    <row r="278" spans="1:34" s="1" customFormat="1" ht="31.5">
      <c r="A278" s="631">
        <f t="shared" si="42"/>
        <v>8</v>
      </c>
      <c r="B278" s="762" t="s">
        <v>820</v>
      </c>
      <c r="C278" s="764">
        <v>1973</v>
      </c>
      <c r="D278" s="761"/>
      <c r="E278" s="611" t="s">
        <v>218</v>
      </c>
      <c r="F278" s="769">
        <v>5</v>
      </c>
      <c r="G278" s="769">
        <v>6</v>
      </c>
      <c r="H278" s="767">
        <v>4335.5</v>
      </c>
      <c r="I278" s="767">
        <v>4074.77</v>
      </c>
      <c r="J278" s="767">
        <f>I278-103.1</f>
        <v>3971.67</v>
      </c>
      <c r="K278" s="770">
        <v>197</v>
      </c>
      <c r="L278" s="773">
        <v>3354962</v>
      </c>
      <c r="M278" s="655">
        <v>0</v>
      </c>
      <c r="N278" s="113">
        <v>0</v>
      </c>
      <c r="O278" s="113">
        <f t="shared" si="40"/>
        <v>3354962</v>
      </c>
      <c r="P278" s="113">
        <v>0</v>
      </c>
      <c r="Q278" s="114">
        <f t="shared" si="41"/>
        <v>823.35002957222127</v>
      </c>
      <c r="R278" s="114">
        <v>7822</v>
      </c>
      <c r="S278" s="316">
        <v>43100</v>
      </c>
    </row>
    <row r="279" spans="1:34" s="1" customFormat="1" ht="15.75">
      <c r="A279" s="631">
        <f t="shared" si="42"/>
        <v>9</v>
      </c>
      <c r="B279" s="762" t="s">
        <v>821</v>
      </c>
      <c r="C279" s="764">
        <v>1933</v>
      </c>
      <c r="D279" s="761"/>
      <c r="E279" s="611" t="s">
        <v>824</v>
      </c>
      <c r="F279" s="769">
        <v>2</v>
      </c>
      <c r="G279" s="769">
        <v>2</v>
      </c>
      <c r="H279" s="767">
        <v>447.8</v>
      </c>
      <c r="I279" s="767">
        <v>365.06</v>
      </c>
      <c r="J279" s="767">
        <f>I279</f>
        <v>365.06</v>
      </c>
      <c r="K279" s="770">
        <v>18</v>
      </c>
      <c r="L279" s="773">
        <v>280050</v>
      </c>
      <c r="M279" s="655">
        <v>0</v>
      </c>
      <c r="N279" s="113">
        <v>0</v>
      </c>
      <c r="O279" s="113">
        <f>L279</f>
        <v>280050</v>
      </c>
      <c r="P279" s="113">
        <v>0</v>
      </c>
      <c r="Q279" s="114">
        <f>L279/I279</f>
        <v>767.13416972552454</v>
      </c>
      <c r="R279" s="114">
        <v>7822</v>
      </c>
      <c r="S279" s="316">
        <v>43100</v>
      </c>
    </row>
    <row r="280" spans="1:34" s="1" customFormat="1" ht="31.5">
      <c r="A280" s="631">
        <v>10</v>
      </c>
      <c r="B280" s="763" t="s">
        <v>822</v>
      </c>
      <c r="C280" s="656">
        <v>1969</v>
      </c>
      <c r="D280" s="761"/>
      <c r="E280" s="611" t="s">
        <v>823</v>
      </c>
      <c r="F280" s="131">
        <v>2</v>
      </c>
      <c r="G280" s="131">
        <v>2</v>
      </c>
      <c r="H280" s="768">
        <v>628.5</v>
      </c>
      <c r="I280" s="768">
        <v>627.20000000000005</v>
      </c>
      <c r="J280" s="768">
        <f>I280</f>
        <v>627.20000000000005</v>
      </c>
      <c r="K280" s="770">
        <v>30</v>
      </c>
      <c r="L280" s="772">
        <v>1445806</v>
      </c>
      <c r="M280" s="655">
        <v>0</v>
      </c>
      <c r="N280" s="113">
        <v>0</v>
      </c>
      <c r="O280" s="113">
        <f>L280</f>
        <v>1445806</v>
      </c>
      <c r="P280" s="113">
        <v>0</v>
      </c>
      <c r="Q280" s="114">
        <f>L280/I280</f>
        <v>2305.1753826530612</v>
      </c>
      <c r="R280" s="114">
        <v>7822</v>
      </c>
      <c r="S280" s="316">
        <v>43100</v>
      </c>
    </row>
    <row r="281" spans="1:34" s="1" customFormat="1" ht="15.75">
      <c r="A281" s="107"/>
      <c r="B281" s="1333" t="s">
        <v>68</v>
      </c>
      <c r="C281" s="1333"/>
      <c r="D281" s="1292"/>
      <c r="E281" s="1292"/>
      <c r="F281" s="1333"/>
      <c r="G281" s="1333"/>
      <c r="H281" s="765">
        <f>H282</f>
        <v>362.9</v>
      </c>
      <c r="I281" s="766">
        <f t="shared" ref="I281:P281" si="43">I282</f>
        <v>247.4</v>
      </c>
      <c r="J281" s="766">
        <f t="shared" si="43"/>
        <v>159.80000000000001</v>
      </c>
      <c r="K281" s="119">
        <f t="shared" si="43"/>
        <v>15</v>
      </c>
      <c r="L281" s="771">
        <f t="shared" si="43"/>
        <v>241114</v>
      </c>
      <c r="M281" s="113">
        <f t="shared" si="43"/>
        <v>0</v>
      </c>
      <c r="N281" s="113">
        <f t="shared" si="43"/>
        <v>0</v>
      </c>
      <c r="O281" s="113">
        <f t="shared" si="43"/>
        <v>241114</v>
      </c>
      <c r="P281" s="113">
        <f t="shared" si="43"/>
        <v>0</v>
      </c>
      <c r="Q281" s="106" t="s">
        <v>40</v>
      </c>
      <c r="R281" s="106" t="s">
        <v>40</v>
      </c>
      <c r="S281" s="316">
        <v>43100</v>
      </c>
    </row>
    <row r="282" spans="1:34" s="1" customFormat="1" ht="15.75" customHeight="1">
      <c r="A282" s="107"/>
      <c r="B282" s="1294" t="s">
        <v>97</v>
      </c>
      <c r="C282" s="1294"/>
      <c r="D282" s="1294"/>
      <c r="E282" s="1294"/>
      <c r="F282" s="1294"/>
      <c r="G282" s="1294"/>
      <c r="H282" s="128">
        <f>H283</f>
        <v>362.9</v>
      </c>
      <c r="I282" s="106">
        <f t="shared" ref="I282:P282" si="44">I283</f>
        <v>247.4</v>
      </c>
      <c r="J282" s="106">
        <f t="shared" si="44"/>
        <v>159.80000000000001</v>
      </c>
      <c r="K282" s="119">
        <f t="shared" si="44"/>
        <v>15</v>
      </c>
      <c r="L282" s="113">
        <f t="shared" si="44"/>
        <v>241114</v>
      </c>
      <c r="M282" s="113">
        <f t="shared" si="44"/>
        <v>0</v>
      </c>
      <c r="N282" s="113">
        <f t="shared" si="44"/>
        <v>0</v>
      </c>
      <c r="O282" s="113">
        <f t="shared" si="44"/>
        <v>241114</v>
      </c>
      <c r="P282" s="113">
        <f t="shared" si="44"/>
        <v>0</v>
      </c>
      <c r="Q282" s="106" t="s">
        <v>40</v>
      </c>
      <c r="R282" s="106" t="s">
        <v>40</v>
      </c>
      <c r="S282" s="316">
        <v>43100</v>
      </c>
    </row>
    <row r="283" spans="1:34" s="1" customFormat="1" ht="31.5">
      <c r="A283" s="308">
        <f>A280+1</f>
        <v>11</v>
      </c>
      <c r="B283" s="363" t="s">
        <v>505</v>
      </c>
      <c r="C283" s="346">
        <v>1946</v>
      </c>
      <c r="D283" s="346"/>
      <c r="E283" s="311" t="s">
        <v>218</v>
      </c>
      <c r="F283" s="346">
        <v>2</v>
      </c>
      <c r="G283" s="346">
        <v>1</v>
      </c>
      <c r="H283" s="347">
        <v>362.9</v>
      </c>
      <c r="I283" s="350">
        <v>247.4</v>
      </c>
      <c r="J283" s="350">
        <v>159.80000000000001</v>
      </c>
      <c r="K283" s="349">
        <v>15</v>
      </c>
      <c r="L283" s="314">
        <v>241114</v>
      </c>
      <c r="M283" s="314">
        <v>0</v>
      </c>
      <c r="N283" s="314">
        <v>0</v>
      </c>
      <c r="O283" s="314">
        <v>241114</v>
      </c>
      <c r="P283" s="314">
        <v>0</v>
      </c>
      <c r="Q283" s="350">
        <f>L283/I283</f>
        <v>974.591754244139</v>
      </c>
      <c r="R283" s="315">
        <v>7822</v>
      </c>
      <c r="S283" s="316">
        <v>43100</v>
      </c>
    </row>
    <row r="284" spans="1:34" s="16" customFormat="1" ht="15.75">
      <c r="A284" s="107"/>
      <c r="B284" s="1292" t="s">
        <v>43</v>
      </c>
      <c r="C284" s="1292"/>
      <c r="D284" s="1292"/>
      <c r="E284" s="1292"/>
      <c r="F284" s="1292"/>
      <c r="G284" s="1292"/>
      <c r="H284" s="106">
        <f>H285+H300</f>
        <v>23164.559999999998</v>
      </c>
      <c r="I284" s="106">
        <f t="shared" ref="I284:L284" si="45">I285+I300</f>
        <v>21134.959999999999</v>
      </c>
      <c r="J284" s="106">
        <f t="shared" si="45"/>
        <v>19251.09</v>
      </c>
      <c r="K284" s="119">
        <f>K285+K300</f>
        <v>853</v>
      </c>
      <c r="L284" s="113">
        <f t="shared" si="45"/>
        <v>23032470</v>
      </c>
      <c r="M284" s="113">
        <f t="shared" ref="M284" si="46">M285+M300</f>
        <v>0</v>
      </c>
      <c r="N284" s="113">
        <f t="shared" ref="N284" si="47">N285+N300</f>
        <v>1400000</v>
      </c>
      <c r="O284" s="113">
        <f t="shared" ref="O284:P284" si="48">O285+O300</f>
        <v>21632470</v>
      </c>
      <c r="P284" s="113">
        <f t="shared" si="48"/>
        <v>0</v>
      </c>
      <c r="Q284" s="106" t="s">
        <v>40</v>
      </c>
      <c r="R284" s="106" t="s">
        <v>40</v>
      </c>
      <c r="S284" s="316">
        <v>43100</v>
      </c>
    </row>
    <row r="285" spans="1:34" s="10" customFormat="1" ht="15.75" customHeight="1">
      <c r="A285" s="107"/>
      <c r="B285" s="1294" t="s">
        <v>125</v>
      </c>
      <c r="C285" s="1294"/>
      <c r="D285" s="1294"/>
      <c r="E285" s="1294"/>
      <c r="F285" s="1294"/>
      <c r="G285" s="1294"/>
      <c r="H285" s="128">
        <f t="shared" ref="H285:M285" si="49">SUM(H286:H299)</f>
        <v>20106.559999999998</v>
      </c>
      <c r="I285" s="106">
        <f t="shared" si="49"/>
        <v>18426.259999999998</v>
      </c>
      <c r="J285" s="106">
        <f t="shared" si="49"/>
        <v>16665.189999999999</v>
      </c>
      <c r="K285" s="119">
        <f t="shared" si="49"/>
        <v>735</v>
      </c>
      <c r="L285" s="113">
        <f t="shared" si="49"/>
        <v>20696312</v>
      </c>
      <c r="M285" s="113">
        <f t="shared" si="49"/>
        <v>0</v>
      </c>
      <c r="N285" s="113">
        <f t="shared" ref="N285:O285" si="50">SUM(N286:N299)</f>
        <v>0</v>
      </c>
      <c r="O285" s="113">
        <f t="shared" si="50"/>
        <v>20696312</v>
      </c>
      <c r="P285" s="113">
        <f>SUM(P286:P302)</f>
        <v>0</v>
      </c>
      <c r="Q285" s="106" t="s">
        <v>40</v>
      </c>
      <c r="R285" s="106" t="s">
        <v>40</v>
      </c>
      <c r="S285" s="316">
        <v>43100</v>
      </c>
    </row>
    <row r="286" spans="1:34" s="40" customFormat="1" ht="15.75">
      <c r="A286" s="107"/>
      <c r="B286" s="130" t="s">
        <v>405</v>
      </c>
      <c r="C286" s="131">
        <v>1979</v>
      </c>
      <c r="D286" s="132"/>
      <c r="E286" s="109" t="s">
        <v>219</v>
      </c>
      <c r="F286" s="131">
        <v>5</v>
      </c>
      <c r="G286" s="131">
        <v>6</v>
      </c>
      <c r="H286" s="133">
        <v>4364.1000000000004</v>
      </c>
      <c r="I286" s="131">
        <v>3933.3</v>
      </c>
      <c r="J286" s="131">
        <v>3786.33</v>
      </c>
      <c r="K286" s="123">
        <v>163</v>
      </c>
      <c r="L286" s="113">
        <v>2301804</v>
      </c>
      <c r="M286" s="113">
        <v>0</v>
      </c>
      <c r="N286" s="113">
        <v>0</v>
      </c>
      <c r="O286" s="113">
        <f t="shared" ref="O286:O299" si="51">L286</f>
        <v>2301804</v>
      </c>
      <c r="P286" s="113">
        <v>0</v>
      </c>
      <c r="Q286" s="134">
        <f>L286/I286</f>
        <v>585.2093661810693</v>
      </c>
      <c r="R286" s="114">
        <v>6774</v>
      </c>
      <c r="S286" s="316">
        <v>43100</v>
      </c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</row>
    <row r="287" spans="1:34" s="41" customFormat="1" ht="31.5">
      <c r="A287" s="107"/>
      <c r="B287" s="120" t="s">
        <v>393</v>
      </c>
      <c r="C287" s="109">
        <v>1976</v>
      </c>
      <c r="D287" s="109"/>
      <c r="E287" s="109" t="s">
        <v>218</v>
      </c>
      <c r="F287" s="135">
        <v>5</v>
      </c>
      <c r="G287" s="109">
        <v>6</v>
      </c>
      <c r="H287" s="136">
        <v>4869.8</v>
      </c>
      <c r="I287" s="137">
        <v>4494.8</v>
      </c>
      <c r="J287" s="137">
        <v>3910.1</v>
      </c>
      <c r="K287" s="138">
        <v>161</v>
      </c>
      <c r="L287" s="113">
        <v>1743478</v>
      </c>
      <c r="M287" s="113">
        <v>0</v>
      </c>
      <c r="N287" s="113">
        <v>0</v>
      </c>
      <c r="O287" s="113">
        <f t="shared" si="51"/>
        <v>1743478</v>
      </c>
      <c r="P287" s="113">
        <v>0</v>
      </c>
      <c r="Q287" s="139">
        <f>L287/I287</f>
        <v>387.88778143632641</v>
      </c>
      <c r="R287" s="102">
        <v>6774</v>
      </c>
      <c r="S287" s="316">
        <v>43100</v>
      </c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</row>
    <row r="288" spans="1:34" s="41" customFormat="1" ht="31.5">
      <c r="A288" s="107"/>
      <c r="B288" s="140" t="s">
        <v>406</v>
      </c>
      <c r="C288" s="132">
        <v>2005</v>
      </c>
      <c r="D288" s="132"/>
      <c r="E288" s="109" t="s">
        <v>218</v>
      </c>
      <c r="F288" s="131">
        <v>2</v>
      </c>
      <c r="G288" s="131">
        <v>2</v>
      </c>
      <c r="H288" s="133">
        <v>2170.6999999999998</v>
      </c>
      <c r="I288" s="125">
        <v>1890.5</v>
      </c>
      <c r="J288" s="125">
        <v>1756.6</v>
      </c>
      <c r="K288" s="123">
        <v>72</v>
      </c>
      <c r="L288" s="113">
        <v>2485001</v>
      </c>
      <c r="M288" s="113">
        <v>0</v>
      </c>
      <c r="N288" s="113">
        <v>0</v>
      </c>
      <c r="O288" s="113">
        <f t="shared" si="51"/>
        <v>2485001</v>
      </c>
      <c r="P288" s="113">
        <v>0</v>
      </c>
      <c r="Q288" s="126">
        <f>L288/I288</f>
        <v>1314.4676011637132</v>
      </c>
      <c r="R288" s="114">
        <v>6774</v>
      </c>
      <c r="S288" s="316">
        <v>43100</v>
      </c>
    </row>
    <row r="289" spans="1:34" s="41" customFormat="1" ht="31.5">
      <c r="A289" s="107"/>
      <c r="B289" s="130" t="s">
        <v>402</v>
      </c>
      <c r="C289" s="131">
        <v>1961</v>
      </c>
      <c r="D289" s="132"/>
      <c r="E289" s="109" t="s">
        <v>218</v>
      </c>
      <c r="F289" s="131">
        <v>2</v>
      </c>
      <c r="G289" s="132">
        <v>3</v>
      </c>
      <c r="H289" s="141">
        <v>662.8</v>
      </c>
      <c r="I289" s="142">
        <v>612.6</v>
      </c>
      <c r="J289" s="142">
        <v>517</v>
      </c>
      <c r="K289" s="143">
        <v>32</v>
      </c>
      <c r="L289" s="113">
        <v>1237591</v>
      </c>
      <c r="M289" s="113">
        <v>0</v>
      </c>
      <c r="N289" s="113">
        <v>0</v>
      </c>
      <c r="O289" s="113">
        <f t="shared" si="51"/>
        <v>1237591</v>
      </c>
      <c r="P289" s="113">
        <v>0</v>
      </c>
      <c r="Q289" s="144">
        <f>L289/I289</f>
        <v>2020.2269017303297</v>
      </c>
      <c r="R289" s="114">
        <v>6774</v>
      </c>
      <c r="S289" s="316">
        <v>43100</v>
      </c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</row>
    <row r="290" spans="1:34" s="41" customFormat="1" ht="31.5">
      <c r="A290" s="107"/>
      <c r="B290" s="145" t="s">
        <v>397</v>
      </c>
      <c r="C290" s="131">
        <v>1953</v>
      </c>
      <c r="D290" s="132"/>
      <c r="E290" s="109" t="s">
        <v>218</v>
      </c>
      <c r="F290" s="131">
        <v>2</v>
      </c>
      <c r="G290" s="132">
        <v>2</v>
      </c>
      <c r="H290" s="146">
        <v>470.96</v>
      </c>
      <c r="I290" s="147">
        <v>417.36</v>
      </c>
      <c r="J290" s="147">
        <v>356.76</v>
      </c>
      <c r="K290" s="148">
        <v>10</v>
      </c>
      <c r="L290" s="113">
        <v>1448078</v>
      </c>
      <c r="M290" s="113">
        <v>0</v>
      </c>
      <c r="N290" s="113">
        <v>0</v>
      </c>
      <c r="O290" s="113">
        <f t="shared" si="51"/>
        <v>1448078</v>
      </c>
      <c r="P290" s="113">
        <v>0</v>
      </c>
      <c r="Q290" s="144">
        <f>L290/I290</f>
        <v>3469.6137626988689</v>
      </c>
      <c r="R290" s="114">
        <v>6774</v>
      </c>
      <c r="S290" s="316">
        <v>43100</v>
      </c>
    </row>
    <row r="291" spans="1:34" s="41" customFormat="1" ht="31.5">
      <c r="A291" s="107"/>
      <c r="B291" s="145" t="s">
        <v>398</v>
      </c>
      <c r="C291" s="131">
        <v>1954</v>
      </c>
      <c r="D291" s="132"/>
      <c r="E291" s="109" t="s">
        <v>218</v>
      </c>
      <c r="F291" s="131">
        <v>2</v>
      </c>
      <c r="G291" s="132">
        <v>2</v>
      </c>
      <c r="H291" s="141">
        <v>922.3</v>
      </c>
      <c r="I291" s="142">
        <v>862.3</v>
      </c>
      <c r="J291" s="142">
        <v>862.3</v>
      </c>
      <c r="K291" s="123">
        <v>31</v>
      </c>
      <c r="L291" s="113">
        <v>1963797</v>
      </c>
      <c r="M291" s="113">
        <v>0</v>
      </c>
      <c r="N291" s="113">
        <v>0</v>
      </c>
      <c r="O291" s="113">
        <f t="shared" si="51"/>
        <v>1963797</v>
      </c>
      <c r="P291" s="113">
        <v>0</v>
      </c>
      <c r="Q291" s="144">
        <f xml:space="preserve"> L291/I291</f>
        <v>2277.3941783601995</v>
      </c>
      <c r="R291" s="114">
        <v>6774</v>
      </c>
      <c r="S291" s="316">
        <v>43100</v>
      </c>
    </row>
    <row r="292" spans="1:34" s="42" customFormat="1" ht="31.5">
      <c r="A292" s="107"/>
      <c r="B292" s="145" t="s">
        <v>399</v>
      </c>
      <c r="C292" s="131">
        <v>1961</v>
      </c>
      <c r="D292" s="132"/>
      <c r="E292" s="109" t="s">
        <v>218</v>
      </c>
      <c r="F292" s="131">
        <v>4</v>
      </c>
      <c r="G292" s="132">
        <v>4</v>
      </c>
      <c r="H292" s="133">
        <v>2386.6</v>
      </c>
      <c r="I292" s="125">
        <v>2260.4</v>
      </c>
      <c r="J292" s="125">
        <v>2024.9</v>
      </c>
      <c r="K292" s="123">
        <v>66</v>
      </c>
      <c r="L292" s="113">
        <v>2119530</v>
      </c>
      <c r="M292" s="113">
        <v>0</v>
      </c>
      <c r="N292" s="113">
        <v>0</v>
      </c>
      <c r="O292" s="113">
        <f t="shared" si="51"/>
        <v>2119530</v>
      </c>
      <c r="P292" s="113">
        <v>0</v>
      </c>
      <c r="Q292" s="144">
        <f t="shared" ref="Q292:Q299" si="52">L292/I292</f>
        <v>937.67917182799499</v>
      </c>
      <c r="R292" s="114">
        <v>6774</v>
      </c>
      <c r="S292" s="316">
        <v>43100</v>
      </c>
    </row>
    <row r="293" spans="1:34" s="42" customFormat="1" ht="31.5">
      <c r="A293" s="107"/>
      <c r="B293" s="130" t="s">
        <v>403</v>
      </c>
      <c r="C293" s="131">
        <v>1956</v>
      </c>
      <c r="D293" s="132"/>
      <c r="E293" s="109" t="s">
        <v>218</v>
      </c>
      <c r="F293" s="131">
        <v>2</v>
      </c>
      <c r="G293" s="132">
        <v>2</v>
      </c>
      <c r="H293" s="149">
        <v>833.9</v>
      </c>
      <c r="I293" s="142">
        <v>785.9</v>
      </c>
      <c r="J293" s="142">
        <v>675</v>
      </c>
      <c r="K293" s="143">
        <v>32</v>
      </c>
      <c r="L293" s="113">
        <v>1098163</v>
      </c>
      <c r="M293" s="113">
        <v>0</v>
      </c>
      <c r="N293" s="113">
        <v>0</v>
      </c>
      <c r="O293" s="113">
        <f t="shared" si="51"/>
        <v>1098163</v>
      </c>
      <c r="P293" s="113">
        <v>0</v>
      </c>
      <c r="Q293" s="144">
        <f t="shared" si="52"/>
        <v>1397.3317215930781</v>
      </c>
      <c r="R293" s="114">
        <v>6774</v>
      </c>
      <c r="S293" s="316">
        <v>43100</v>
      </c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</row>
    <row r="294" spans="1:34" s="42" customFormat="1" ht="31.5">
      <c r="A294" s="107"/>
      <c r="B294" s="130" t="s">
        <v>404</v>
      </c>
      <c r="C294" s="131">
        <v>1959</v>
      </c>
      <c r="D294" s="132"/>
      <c r="E294" s="109" t="s">
        <v>218</v>
      </c>
      <c r="F294" s="131">
        <v>2</v>
      </c>
      <c r="G294" s="132">
        <v>3</v>
      </c>
      <c r="H294" s="150">
        <v>640.5</v>
      </c>
      <c r="I294" s="147">
        <v>621.79999999999995</v>
      </c>
      <c r="J294" s="147">
        <v>490.9</v>
      </c>
      <c r="K294" s="143">
        <v>35</v>
      </c>
      <c r="L294" s="113">
        <v>1241309</v>
      </c>
      <c r="M294" s="113">
        <v>0</v>
      </c>
      <c r="N294" s="113">
        <v>0</v>
      </c>
      <c r="O294" s="113">
        <f t="shared" si="51"/>
        <v>1241309</v>
      </c>
      <c r="P294" s="113">
        <v>0</v>
      </c>
      <c r="Q294" s="144">
        <f t="shared" si="52"/>
        <v>1996.3155355419751</v>
      </c>
      <c r="R294" s="114">
        <v>6774</v>
      </c>
      <c r="S294" s="316">
        <v>43100</v>
      </c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</row>
    <row r="295" spans="1:34" s="42" customFormat="1" ht="31.5">
      <c r="A295" s="107"/>
      <c r="B295" s="130" t="s">
        <v>400</v>
      </c>
      <c r="C295" s="131">
        <v>1960</v>
      </c>
      <c r="D295" s="132"/>
      <c r="E295" s="109" t="s">
        <v>218</v>
      </c>
      <c r="F295" s="131">
        <v>2</v>
      </c>
      <c r="G295" s="132">
        <v>2</v>
      </c>
      <c r="H295" s="141">
        <v>504.1</v>
      </c>
      <c r="I295" s="142">
        <v>445.3</v>
      </c>
      <c r="J295" s="142">
        <v>373.3</v>
      </c>
      <c r="K295" s="143">
        <v>24</v>
      </c>
      <c r="L295" s="113">
        <v>1041360</v>
      </c>
      <c r="M295" s="113">
        <v>0</v>
      </c>
      <c r="N295" s="113">
        <v>0</v>
      </c>
      <c r="O295" s="113">
        <f t="shared" si="51"/>
        <v>1041360</v>
      </c>
      <c r="P295" s="113">
        <v>0</v>
      </c>
      <c r="Q295" s="144">
        <f t="shared" si="52"/>
        <v>2338.5582753200088</v>
      </c>
      <c r="R295" s="114">
        <v>6774</v>
      </c>
      <c r="S295" s="316">
        <v>43100</v>
      </c>
    </row>
    <row r="296" spans="1:34" s="44" customFormat="1" ht="31.5">
      <c r="A296" s="107"/>
      <c r="B296" s="130" t="s">
        <v>401</v>
      </c>
      <c r="C296" s="131">
        <v>1961</v>
      </c>
      <c r="D296" s="132"/>
      <c r="E296" s="109" t="s">
        <v>218</v>
      </c>
      <c r="F296" s="131">
        <v>2</v>
      </c>
      <c r="G296" s="132">
        <v>2</v>
      </c>
      <c r="H296" s="141">
        <v>506.2</v>
      </c>
      <c r="I296" s="142">
        <v>447.4</v>
      </c>
      <c r="J296" s="142">
        <f>I296</f>
        <v>447.4</v>
      </c>
      <c r="K296" s="143">
        <v>18</v>
      </c>
      <c r="L296" s="113">
        <v>1138866</v>
      </c>
      <c r="M296" s="113">
        <v>0</v>
      </c>
      <c r="N296" s="113">
        <v>0</v>
      </c>
      <c r="O296" s="113">
        <f t="shared" si="51"/>
        <v>1138866</v>
      </c>
      <c r="P296" s="113">
        <v>0</v>
      </c>
      <c r="Q296" s="144">
        <f t="shared" si="52"/>
        <v>2545.5207867679928</v>
      </c>
      <c r="R296" s="114">
        <v>6774</v>
      </c>
      <c r="S296" s="316">
        <v>43100</v>
      </c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</row>
    <row r="297" spans="1:34" s="41" customFormat="1" ht="31.5">
      <c r="A297" s="107"/>
      <c r="B297" s="145" t="s">
        <v>394</v>
      </c>
      <c r="C297" s="131">
        <v>1966</v>
      </c>
      <c r="D297" s="132"/>
      <c r="E297" s="109" t="s">
        <v>218</v>
      </c>
      <c r="F297" s="131">
        <v>2</v>
      </c>
      <c r="G297" s="132">
        <v>2</v>
      </c>
      <c r="H297" s="141">
        <v>482.5</v>
      </c>
      <c r="I297" s="142">
        <v>454.1</v>
      </c>
      <c r="J297" s="142">
        <v>370.7</v>
      </c>
      <c r="K297" s="123">
        <v>31</v>
      </c>
      <c r="L297" s="113">
        <v>848546</v>
      </c>
      <c r="M297" s="113">
        <v>0</v>
      </c>
      <c r="N297" s="113">
        <v>0</v>
      </c>
      <c r="O297" s="113">
        <f t="shared" si="51"/>
        <v>848546</v>
      </c>
      <c r="P297" s="113">
        <v>0</v>
      </c>
      <c r="Q297" s="144">
        <f t="shared" si="52"/>
        <v>1868.6324598106144</v>
      </c>
      <c r="R297" s="114">
        <v>6774</v>
      </c>
      <c r="S297" s="316">
        <v>43100</v>
      </c>
    </row>
    <row r="298" spans="1:34" s="41" customFormat="1" ht="31.5">
      <c r="A298" s="107"/>
      <c r="B298" s="145" t="s">
        <v>395</v>
      </c>
      <c r="C298" s="131">
        <v>1969</v>
      </c>
      <c r="D298" s="132"/>
      <c r="E298" s="109" t="s">
        <v>218</v>
      </c>
      <c r="F298" s="131">
        <v>2</v>
      </c>
      <c r="G298" s="132">
        <v>2</v>
      </c>
      <c r="H298" s="141">
        <v>502.6</v>
      </c>
      <c r="I298" s="151">
        <v>471</v>
      </c>
      <c r="J298" s="142">
        <v>423.8</v>
      </c>
      <c r="K298" s="123">
        <v>21</v>
      </c>
      <c r="L298" s="113">
        <v>848706</v>
      </c>
      <c r="M298" s="113">
        <v>0</v>
      </c>
      <c r="N298" s="113">
        <v>0</v>
      </c>
      <c r="O298" s="113">
        <f t="shared" si="51"/>
        <v>848706</v>
      </c>
      <c r="P298" s="113">
        <v>0</v>
      </c>
      <c r="Q298" s="144">
        <f t="shared" si="52"/>
        <v>1801.9235668789809</v>
      </c>
      <c r="R298" s="114">
        <v>6774</v>
      </c>
      <c r="S298" s="316">
        <v>43100</v>
      </c>
    </row>
    <row r="299" spans="1:34" s="41" customFormat="1" ht="31.5">
      <c r="A299" s="107"/>
      <c r="B299" s="145" t="s">
        <v>396</v>
      </c>
      <c r="C299" s="131">
        <v>1973</v>
      </c>
      <c r="D299" s="132"/>
      <c r="E299" s="109" t="s">
        <v>218</v>
      </c>
      <c r="F299" s="131">
        <v>2</v>
      </c>
      <c r="G299" s="132">
        <v>2</v>
      </c>
      <c r="H299" s="141">
        <v>789.5</v>
      </c>
      <c r="I299" s="142">
        <v>729.5</v>
      </c>
      <c r="J299" s="142">
        <v>670.1</v>
      </c>
      <c r="K299" s="123">
        <v>39</v>
      </c>
      <c r="L299" s="113">
        <v>1180083</v>
      </c>
      <c r="M299" s="113">
        <v>0</v>
      </c>
      <c r="N299" s="113">
        <v>0</v>
      </c>
      <c r="O299" s="113">
        <f t="shared" si="51"/>
        <v>1180083</v>
      </c>
      <c r="P299" s="113">
        <v>0</v>
      </c>
      <c r="Q299" s="144">
        <f t="shared" si="52"/>
        <v>1617.6600411240577</v>
      </c>
      <c r="R299" s="114">
        <v>6774</v>
      </c>
      <c r="S299" s="316">
        <v>43100</v>
      </c>
    </row>
    <row r="300" spans="1:34" s="42" customFormat="1" ht="15.75" customHeight="1">
      <c r="A300" s="107"/>
      <c r="B300" s="1294" t="s">
        <v>210</v>
      </c>
      <c r="C300" s="1294"/>
      <c r="D300" s="1294"/>
      <c r="E300" s="1294"/>
      <c r="F300" s="1294"/>
      <c r="G300" s="1294"/>
      <c r="H300" s="106">
        <f>H301+H302</f>
        <v>3058</v>
      </c>
      <c r="I300" s="106">
        <f t="shared" ref="I300:L300" si="53">I301+I302</f>
        <v>2708.7</v>
      </c>
      <c r="J300" s="106">
        <f t="shared" si="53"/>
        <v>2585.9</v>
      </c>
      <c r="K300" s="119">
        <f t="shared" si="53"/>
        <v>118</v>
      </c>
      <c r="L300" s="113">
        <f t="shared" si="53"/>
        <v>2336158</v>
      </c>
      <c r="M300" s="113">
        <f t="shared" ref="M300" si="54">M301+M302</f>
        <v>0</v>
      </c>
      <c r="N300" s="113">
        <f t="shared" ref="N300" si="55">N301+N302</f>
        <v>1400000</v>
      </c>
      <c r="O300" s="113">
        <f t="shared" ref="O300" si="56">O301+O302</f>
        <v>936158</v>
      </c>
      <c r="P300" s="113">
        <f t="shared" ref="P300" si="57">P301+P302</f>
        <v>0</v>
      </c>
      <c r="Q300" s="106" t="s">
        <v>40</v>
      </c>
      <c r="R300" s="106" t="s">
        <v>40</v>
      </c>
      <c r="S300" s="316">
        <v>43100</v>
      </c>
    </row>
    <row r="301" spans="1:34" s="42" customFormat="1" ht="16.5" customHeight="1">
      <c r="A301" s="107"/>
      <c r="B301" s="140" t="s">
        <v>407</v>
      </c>
      <c r="C301" s="132">
        <v>1986</v>
      </c>
      <c r="D301" s="132"/>
      <c r="E301" s="109" t="s">
        <v>222</v>
      </c>
      <c r="F301" s="131">
        <v>3</v>
      </c>
      <c r="G301" s="132">
        <v>3</v>
      </c>
      <c r="H301" s="152">
        <v>1529</v>
      </c>
      <c r="I301" s="153">
        <v>1345.2</v>
      </c>
      <c r="J301" s="153">
        <v>1345.2</v>
      </c>
      <c r="K301" s="143">
        <v>60</v>
      </c>
      <c r="L301" s="113">
        <f>O301+N301</f>
        <v>1168079</v>
      </c>
      <c r="M301" s="113">
        <v>0</v>
      </c>
      <c r="N301" s="113">
        <v>700000</v>
      </c>
      <c r="O301" s="113">
        <v>468079</v>
      </c>
      <c r="P301" s="113">
        <v>0</v>
      </c>
      <c r="Q301" s="144">
        <f>L301/I301</f>
        <v>868.33110318168303</v>
      </c>
      <c r="R301" s="114">
        <v>6774</v>
      </c>
      <c r="S301" s="316">
        <v>43100</v>
      </c>
    </row>
    <row r="302" spans="1:34" s="42" customFormat="1" ht="18" customHeight="1">
      <c r="A302" s="107"/>
      <c r="B302" s="140" t="s">
        <v>408</v>
      </c>
      <c r="C302" s="132">
        <v>1986</v>
      </c>
      <c r="D302" s="132"/>
      <c r="E302" s="109" t="s">
        <v>222</v>
      </c>
      <c r="F302" s="131">
        <v>3</v>
      </c>
      <c r="G302" s="132">
        <v>3</v>
      </c>
      <c r="H302" s="152">
        <v>1529</v>
      </c>
      <c r="I302" s="153">
        <v>1363.5</v>
      </c>
      <c r="J302" s="153">
        <v>1240.7</v>
      </c>
      <c r="K302" s="143">
        <v>58</v>
      </c>
      <c r="L302" s="113">
        <f>O302+N302</f>
        <v>1168079</v>
      </c>
      <c r="M302" s="113">
        <v>0</v>
      </c>
      <c r="N302" s="113">
        <v>700000</v>
      </c>
      <c r="O302" s="113">
        <v>468079</v>
      </c>
      <c r="P302" s="113">
        <v>0</v>
      </c>
      <c r="Q302" s="144">
        <f>L302/I302</f>
        <v>856.67693436010268</v>
      </c>
      <c r="R302" s="114">
        <v>6774</v>
      </c>
      <c r="S302" s="316">
        <v>43100</v>
      </c>
    </row>
    <row r="303" spans="1:34" s="1" customFormat="1" ht="15.75">
      <c r="A303" s="107"/>
      <c r="B303" s="1292" t="s">
        <v>44</v>
      </c>
      <c r="C303" s="1292"/>
      <c r="D303" s="1292"/>
      <c r="E303" s="1292"/>
      <c r="F303" s="1292"/>
      <c r="G303" s="1292"/>
      <c r="H303" s="128">
        <f>H304</f>
        <v>1753.9</v>
      </c>
      <c r="I303" s="106">
        <f t="shared" ref="I303:P303" si="58">I304</f>
        <v>1753.9</v>
      </c>
      <c r="J303" s="106">
        <f t="shared" si="58"/>
        <v>1134.4000000000001</v>
      </c>
      <c r="K303" s="119">
        <f t="shared" si="58"/>
        <v>60</v>
      </c>
      <c r="L303" s="113">
        <f>L304</f>
        <v>2561132</v>
      </c>
      <c r="M303" s="113">
        <f t="shared" si="58"/>
        <v>0</v>
      </c>
      <c r="N303" s="113">
        <f t="shared" si="58"/>
        <v>0</v>
      </c>
      <c r="O303" s="113">
        <f t="shared" si="58"/>
        <v>2561132</v>
      </c>
      <c r="P303" s="113">
        <f t="shared" si="58"/>
        <v>0</v>
      </c>
      <c r="Q303" s="106" t="s">
        <v>40</v>
      </c>
      <c r="R303" s="114" t="s">
        <v>40</v>
      </c>
      <c r="S303" s="316">
        <v>43100</v>
      </c>
    </row>
    <row r="304" spans="1:34" s="1" customFormat="1" ht="15.75" customHeight="1">
      <c r="A304" s="107"/>
      <c r="B304" s="1294" t="s">
        <v>435</v>
      </c>
      <c r="C304" s="1294"/>
      <c r="D304" s="1294"/>
      <c r="E304" s="1294"/>
      <c r="F304" s="1294"/>
      <c r="G304" s="1294"/>
      <c r="H304" s="128">
        <f>H305+H306</f>
        <v>1753.9</v>
      </c>
      <c r="I304" s="106">
        <f t="shared" ref="I304:P304" si="59">I305+I306</f>
        <v>1753.9</v>
      </c>
      <c r="J304" s="106">
        <f t="shared" si="59"/>
        <v>1134.4000000000001</v>
      </c>
      <c r="K304" s="119">
        <f t="shared" si="59"/>
        <v>60</v>
      </c>
      <c r="L304" s="113">
        <f t="shared" si="59"/>
        <v>2561132</v>
      </c>
      <c r="M304" s="113">
        <f t="shared" si="59"/>
        <v>0</v>
      </c>
      <c r="N304" s="113">
        <f t="shared" si="59"/>
        <v>0</v>
      </c>
      <c r="O304" s="113">
        <f t="shared" si="59"/>
        <v>2561132</v>
      </c>
      <c r="P304" s="113">
        <f t="shared" si="59"/>
        <v>0</v>
      </c>
      <c r="Q304" s="106" t="s">
        <v>40</v>
      </c>
      <c r="R304" s="106" t="s">
        <v>40</v>
      </c>
      <c r="S304" s="316">
        <v>43100</v>
      </c>
    </row>
    <row r="305" spans="1:19" s="1" customFormat="1" ht="15.75">
      <c r="A305" s="308">
        <v>43</v>
      </c>
      <c r="B305" s="337" t="s">
        <v>503</v>
      </c>
      <c r="C305" s="308">
        <v>1981</v>
      </c>
      <c r="D305" s="310"/>
      <c r="E305" s="311" t="s">
        <v>220</v>
      </c>
      <c r="F305" s="310">
        <v>3</v>
      </c>
      <c r="G305" s="310">
        <v>3</v>
      </c>
      <c r="H305" s="312">
        <v>1293</v>
      </c>
      <c r="I305" s="310">
        <v>1293</v>
      </c>
      <c r="J305" s="310">
        <v>702.3</v>
      </c>
      <c r="K305" s="313">
        <v>49</v>
      </c>
      <c r="L305" s="314">
        <v>1416533</v>
      </c>
      <c r="M305" s="314">
        <v>0</v>
      </c>
      <c r="N305" s="314">
        <v>0</v>
      </c>
      <c r="O305" s="314">
        <v>1416533</v>
      </c>
      <c r="P305" s="314">
        <v>0</v>
      </c>
      <c r="Q305" s="315">
        <f>L305/I305</f>
        <v>1095.5398298530549</v>
      </c>
      <c r="R305" s="315">
        <v>7822</v>
      </c>
      <c r="S305" s="316">
        <v>43100</v>
      </c>
    </row>
    <row r="306" spans="1:19" s="1" customFormat="1" ht="31.5">
      <c r="A306" s="308">
        <f t="shared" ref="A306:A334" si="60">A305+1</f>
        <v>44</v>
      </c>
      <c r="B306" s="337" t="s">
        <v>504</v>
      </c>
      <c r="C306" s="310">
        <v>1966</v>
      </c>
      <c r="D306" s="310"/>
      <c r="E306" s="311" t="s">
        <v>218</v>
      </c>
      <c r="F306" s="310">
        <v>2</v>
      </c>
      <c r="G306" s="310">
        <v>2</v>
      </c>
      <c r="H306" s="312">
        <v>460.9</v>
      </c>
      <c r="I306" s="310">
        <v>460.9</v>
      </c>
      <c r="J306" s="310">
        <v>432.1</v>
      </c>
      <c r="K306" s="313">
        <v>11</v>
      </c>
      <c r="L306" s="314">
        <v>1144599</v>
      </c>
      <c r="M306" s="314">
        <v>0</v>
      </c>
      <c r="N306" s="314">
        <v>0</v>
      </c>
      <c r="O306" s="314">
        <v>1144599</v>
      </c>
      <c r="P306" s="314">
        <v>0</v>
      </c>
      <c r="Q306" s="315">
        <f>L306/I306</f>
        <v>2483.3998698199175</v>
      </c>
      <c r="R306" s="315">
        <v>7822</v>
      </c>
      <c r="S306" s="316">
        <v>43100</v>
      </c>
    </row>
    <row r="307" spans="1:19" s="1" customFormat="1" ht="15.75">
      <c r="A307" s="107"/>
      <c r="B307" s="1292" t="s">
        <v>45</v>
      </c>
      <c r="C307" s="1292"/>
      <c r="D307" s="1292"/>
      <c r="E307" s="1292"/>
      <c r="F307" s="1292"/>
      <c r="G307" s="1292"/>
      <c r="H307" s="128">
        <f>H308+H310+H312+H314+H316+H317+H318</f>
        <v>12862.18</v>
      </c>
      <c r="I307" s="128">
        <f t="shared" ref="I307:P307" si="61">I308+I310+I312+I314+I316+I317+I318</f>
        <v>11237.579999999998</v>
      </c>
      <c r="J307" s="128">
        <f t="shared" si="61"/>
        <v>9407.9000000000015</v>
      </c>
      <c r="K307" s="128">
        <f t="shared" si="61"/>
        <v>459</v>
      </c>
      <c r="L307" s="565">
        <f t="shared" si="61"/>
        <v>9578601</v>
      </c>
      <c r="M307" s="565">
        <f t="shared" si="61"/>
        <v>0</v>
      </c>
      <c r="N307" s="565">
        <f t="shared" si="61"/>
        <v>200000</v>
      </c>
      <c r="O307" s="565">
        <f t="shared" si="61"/>
        <v>9378601</v>
      </c>
      <c r="P307" s="565">
        <f t="shared" si="61"/>
        <v>0</v>
      </c>
      <c r="Q307" s="106" t="s">
        <v>40</v>
      </c>
      <c r="R307" s="114" t="s">
        <v>40</v>
      </c>
      <c r="S307" s="316">
        <v>43100</v>
      </c>
    </row>
    <row r="308" spans="1:19" s="1" customFormat="1" ht="15.75">
      <c r="A308" s="308"/>
      <c r="B308" s="1293" t="s">
        <v>98</v>
      </c>
      <c r="C308" s="1293"/>
      <c r="D308" s="1293"/>
      <c r="E308" s="1293"/>
      <c r="F308" s="1293"/>
      <c r="G308" s="1293"/>
      <c r="H308" s="347">
        <f>H309</f>
        <v>3536</v>
      </c>
      <c r="I308" s="347">
        <f t="shared" ref="I308:P308" si="62">I309</f>
        <v>3173</v>
      </c>
      <c r="J308" s="347">
        <f t="shared" si="62"/>
        <v>3014.3</v>
      </c>
      <c r="K308" s="347">
        <f t="shared" si="62"/>
        <v>153</v>
      </c>
      <c r="L308" s="670">
        <f t="shared" si="62"/>
        <v>2256851</v>
      </c>
      <c r="M308" s="670">
        <f t="shared" si="62"/>
        <v>0</v>
      </c>
      <c r="N308" s="670">
        <f t="shared" si="62"/>
        <v>0</v>
      </c>
      <c r="O308" s="670">
        <f t="shared" si="62"/>
        <v>2256851</v>
      </c>
      <c r="P308" s="670">
        <f t="shared" si="62"/>
        <v>0</v>
      </c>
      <c r="Q308" s="350" t="s">
        <v>40</v>
      </c>
      <c r="R308" s="350" t="s">
        <v>40</v>
      </c>
      <c r="S308" s="316">
        <v>43100</v>
      </c>
    </row>
    <row r="309" spans="1:19" s="1" customFormat="1" ht="31.5">
      <c r="A309" s="308">
        <f>A306+1</f>
        <v>45</v>
      </c>
      <c r="B309" s="582" t="s">
        <v>794</v>
      </c>
      <c r="C309" s="308">
        <v>1978</v>
      </c>
      <c r="D309" s="310"/>
      <c r="E309" s="311" t="s">
        <v>218</v>
      </c>
      <c r="F309" s="583">
        <v>5</v>
      </c>
      <c r="G309" s="583">
        <v>4</v>
      </c>
      <c r="H309" s="550">
        <v>3536</v>
      </c>
      <c r="I309" s="584">
        <v>3173</v>
      </c>
      <c r="J309" s="585">
        <v>3014.3</v>
      </c>
      <c r="K309" s="586">
        <v>153</v>
      </c>
      <c r="L309" s="314">
        <v>2256851</v>
      </c>
      <c r="M309" s="314">
        <v>0</v>
      </c>
      <c r="N309" s="314">
        <v>0</v>
      </c>
      <c r="O309" s="314">
        <v>2256851</v>
      </c>
      <c r="P309" s="314">
        <f>SUM(P314:P314)</f>
        <v>0</v>
      </c>
      <c r="Q309" s="315">
        <f>L309/I309</f>
        <v>711.26725496375673</v>
      </c>
      <c r="R309" s="315">
        <v>7822</v>
      </c>
      <c r="S309" s="316">
        <v>43100</v>
      </c>
    </row>
    <row r="310" spans="1:19" s="1" customFormat="1" ht="15.75">
      <c r="A310" s="308"/>
      <c r="B310" s="1293" t="s">
        <v>688</v>
      </c>
      <c r="C310" s="1293"/>
      <c r="D310" s="1293"/>
      <c r="E310" s="1293"/>
      <c r="F310" s="1293"/>
      <c r="G310" s="1293"/>
      <c r="H310" s="550">
        <f>H311</f>
        <v>1426.08</v>
      </c>
      <c r="I310" s="550">
        <f t="shared" ref="I310:P310" si="63">I311</f>
        <v>1426.08</v>
      </c>
      <c r="J310" s="550">
        <f t="shared" si="63"/>
        <v>821.4</v>
      </c>
      <c r="K310" s="550">
        <f t="shared" si="63"/>
        <v>47</v>
      </c>
      <c r="L310" s="581">
        <f t="shared" si="63"/>
        <v>1826091</v>
      </c>
      <c r="M310" s="581">
        <f t="shared" si="63"/>
        <v>0</v>
      </c>
      <c r="N310" s="581">
        <f t="shared" si="63"/>
        <v>0</v>
      </c>
      <c r="O310" s="581">
        <f t="shared" si="63"/>
        <v>1826091</v>
      </c>
      <c r="P310" s="581">
        <f t="shared" si="63"/>
        <v>0</v>
      </c>
      <c r="Q310" s="350" t="s">
        <v>40</v>
      </c>
      <c r="R310" s="350" t="s">
        <v>40</v>
      </c>
      <c r="S310" s="316">
        <v>43100</v>
      </c>
    </row>
    <row r="311" spans="1:19" s="1" customFormat="1" ht="31.5">
      <c r="A311" s="308">
        <v>46</v>
      </c>
      <c r="B311" s="582" t="s">
        <v>689</v>
      </c>
      <c r="C311" s="308">
        <v>1980</v>
      </c>
      <c r="D311" s="310"/>
      <c r="E311" s="311" t="s">
        <v>219</v>
      </c>
      <c r="F311" s="583">
        <v>3</v>
      </c>
      <c r="G311" s="583">
        <v>3</v>
      </c>
      <c r="H311" s="550">
        <v>1426.08</v>
      </c>
      <c r="I311" s="584">
        <v>1426.08</v>
      </c>
      <c r="J311" s="585">
        <v>821.4</v>
      </c>
      <c r="K311" s="586">
        <v>47</v>
      </c>
      <c r="L311" s="314">
        <v>1826091</v>
      </c>
      <c r="M311" s="314">
        <v>0</v>
      </c>
      <c r="N311" s="314">
        <v>0</v>
      </c>
      <c r="O311" s="314">
        <v>1826091</v>
      </c>
      <c r="P311" s="314">
        <v>0</v>
      </c>
      <c r="Q311" s="315">
        <f t="shared" ref="Q311" si="64">L311/I311</f>
        <v>1280.4968865701785</v>
      </c>
      <c r="R311" s="315">
        <v>7822</v>
      </c>
      <c r="S311" s="316">
        <v>43100</v>
      </c>
    </row>
    <row r="312" spans="1:19" s="1" customFormat="1" ht="15.75">
      <c r="A312" s="308"/>
      <c r="B312" s="1293" t="s">
        <v>99</v>
      </c>
      <c r="C312" s="1293"/>
      <c r="D312" s="1293"/>
      <c r="E312" s="1293"/>
      <c r="F312" s="1293"/>
      <c r="G312" s="1293"/>
      <c r="H312" s="347">
        <f>H313</f>
        <v>961.2</v>
      </c>
      <c r="I312" s="347">
        <f t="shared" ref="I312:P312" si="65">I313</f>
        <v>915.9</v>
      </c>
      <c r="J312" s="347">
        <f t="shared" si="65"/>
        <v>870.4</v>
      </c>
      <c r="K312" s="347">
        <f t="shared" si="65"/>
        <v>37</v>
      </c>
      <c r="L312" s="670">
        <f t="shared" si="65"/>
        <v>1602324</v>
      </c>
      <c r="M312" s="670">
        <f t="shared" si="65"/>
        <v>0</v>
      </c>
      <c r="N312" s="670">
        <f t="shared" si="65"/>
        <v>0</v>
      </c>
      <c r="O312" s="670">
        <f t="shared" si="65"/>
        <v>1602324</v>
      </c>
      <c r="P312" s="670">
        <f t="shared" si="65"/>
        <v>0</v>
      </c>
      <c r="Q312" s="350" t="s">
        <v>40</v>
      </c>
      <c r="R312" s="350" t="s">
        <v>40</v>
      </c>
      <c r="S312" s="316">
        <v>43100</v>
      </c>
    </row>
    <row r="313" spans="1:19" s="20" customFormat="1" ht="31.5">
      <c r="A313" s="308">
        <v>47</v>
      </c>
      <c r="B313" s="707" t="s">
        <v>799</v>
      </c>
      <c r="C313" s="387">
        <v>1972</v>
      </c>
      <c r="D313" s="387"/>
      <c r="E313" s="311" t="s">
        <v>218</v>
      </c>
      <c r="F313" s="387">
        <v>2</v>
      </c>
      <c r="G313" s="387">
        <v>3</v>
      </c>
      <c r="H313" s="388">
        <v>961.2</v>
      </c>
      <c r="I313" s="711">
        <v>915.9</v>
      </c>
      <c r="J313" s="711">
        <v>870.4</v>
      </c>
      <c r="K313" s="390">
        <v>37</v>
      </c>
      <c r="L313" s="314">
        <v>1602324</v>
      </c>
      <c r="M313" s="314">
        <v>0</v>
      </c>
      <c r="N313" s="314">
        <v>0</v>
      </c>
      <c r="O313" s="314">
        <f>L313</f>
        <v>1602324</v>
      </c>
      <c r="P313" s="314">
        <v>0</v>
      </c>
      <c r="Q313" s="391">
        <f>L313/I313</f>
        <v>1749.45299705208</v>
      </c>
      <c r="R313" s="315">
        <v>7822</v>
      </c>
      <c r="S313" s="316">
        <v>43100</v>
      </c>
    </row>
    <row r="314" spans="1:19" s="1" customFormat="1" ht="15.75" customHeight="1">
      <c r="A314" s="308"/>
      <c r="B314" s="1313" t="s">
        <v>100</v>
      </c>
      <c r="C314" s="1313"/>
      <c r="D314" s="1313"/>
      <c r="E314" s="1313"/>
      <c r="F314" s="1313"/>
      <c r="G314" s="1313"/>
      <c r="H314" s="550">
        <f>H315</f>
        <v>3346.3</v>
      </c>
      <c r="I314" s="404">
        <f t="shared" ref="I314:P314" si="66">I315</f>
        <v>2997.3</v>
      </c>
      <c r="J314" s="404">
        <f t="shared" si="66"/>
        <v>2852.1</v>
      </c>
      <c r="K314" s="551">
        <f t="shared" si="66"/>
        <v>128</v>
      </c>
      <c r="L314" s="314">
        <f t="shared" si="66"/>
        <v>1986648</v>
      </c>
      <c r="M314" s="314">
        <f t="shared" si="66"/>
        <v>0</v>
      </c>
      <c r="N314" s="314">
        <f>N315</f>
        <v>200000</v>
      </c>
      <c r="O314" s="314">
        <f t="shared" si="66"/>
        <v>1786648</v>
      </c>
      <c r="P314" s="314">
        <f t="shared" si="66"/>
        <v>0</v>
      </c>
      <c r="Q314" s="315" t="s">
        <v>40</v>
      </c>
      <c r="R314" s="315" t="s">
        <v>40</v>
      </c>
      <c r="S314" s="316">
        <v>43100</v>
      </c>
    </row>
    <row r="315" spans="1:19" s="1" customFormat="1" ht="31.5">
      <c r="A315" s="308">
        <v>48</v>
      </c>
      <c r="B315" s="582" t="s">
        <v>693</v>
      </c>
      <c r="C315" s="308">
        <v>1982</v>
      </c>
      <c r="D315" s="310"/>
      <c r="E315" s="311" t="s">
        <v>220</v>
      </c>
      <c r="F315" s="310">
        <v>5</v>
      </c>
      <c r="G315" s="310">
        <v>4</v>
      </c>
      <c r="H315" s="550">
        <v>3346.3</v>
      </c>
      <c r="I315" s="584">
        <v>2997.3</v>
      </c>
      <c r="J315" s="585">
        <v>2852.1</v>
      </c>
      <c r="K315" s="586">
        <v>128</v>
      </c>
      <c r="L315" s="314">
        <v>1986648</v>
      </c>
      <c r="M315" s="314">
        <v>0</v>
      </c>
      <c r="N315" s="314">
        <v>200000</v>
      </c>
      <c r="O315" s="314">
        <v>1786648</v>
      </c>
      <c r="P315" s="314">
        <v>0</v>
      </c>
      <c r="Q315" s="315">
        <f>L315/I315</f>
        <v>662.81253127815035</v>
      </c>
      <c r="R315" s="315">
        <v>7822</v>
      </c>
      <c r="S315" s="316">
        <v>43100</v>
      </c>
    </row>
    <row r="316" spans="1:19" s="1" customFormat="1" ht="23.45" customHeight="1">
      <c r="A316" s="308"/>
      <c r="B316" s="1307" t="s">
        <v>101</v>
      </c>
      <c r="C316" s="1307"/>
      <c r="D316" s="1307"/>
      <c r="E316" s="1307"/>
      <c r="F316" s="1307"/>
      <c r="G316" s="1307"/>
      <c r="H316" s="347">
        <v>0</v>
      </c>
      <c r="I316" s="350">
        <v>0</v>
      </c>
      <c r="J316" s="350">
        <v>0</v>
      </c>
      <c r="K316" s="349">
        <v>0</v>
      </c>
      <c r="L316" s="314">
        <v>0</v>
      </c>
      <c r="M316" s="314">
        <v>0</v>
      </c>
      <c r="N316" s="314">
        <v>0</v>
      </c>
      <c r="O316" s="314">
        <v>0</v>
      </c>
      <c r="P316" s="314">
        <v>0</v>
      </c>
      <c r="Q316" s="350" t="s">
        <v>40</v>
      </c>
      <c r="R316" s="350" t="s">
        <v>40</v>
      </c>
      <c r="S316" s="316">
        <v>43100</v>
      </c>
    </row>
    <row r="317" spans="1:19" s="20" customFormat="1" ht="23.45" customHeight="1">
      <c r="A317" s="308"/>
      <c r="B317" s="1307" t="s">
        <v>126</v>
      </c>
      <c r="C317" s="1307"/>
      <c r="D317" s="1307"/>
      <c r="E317" s="1307"/>
      <c r="F317" s="1307"/>
      <c r="G317" s="1307"/>
      <c r="H317" s="388">
        <v>0</v>
      </c>
      <c r="I317" s="387">
        <v>0</v>
      </c>
      <c r="J317" s="387">
        <v>0</v>
      </c>
      <c r="K317" s="390">
        <v>0</v>
      </c>
      <c r="L317" s="314">
        <v>0</v>
      </c>
      <c r="M317" s="314">
        <v>0</v>
      </c>
      <c r="N317" s="314">
        <v>0</v>
      </c>
      <c r="O317" s="314">
        <v>0</v>
      </c>
      <c r="P317" s="314">
        <v>0</v>
      </c>
      <c r="Q317" s="391" t="s">
        <v>40</v>
      </c>
      <c r="R317" s="387" t="s">
        <v>40</v>
      </c>
      <c r="S317" s="316">
        <v>43100</v>
      </c>
    </row>
    <row r="318" spans="1:19" s="1" customFormat="1" ht="22.9" customHeight="1">
      <c r="A318" s="308"/>
      <c r="B318" s="1307" t="s">
        <v>861</v>
      </c>
      <c r="C318" s="1307"/>
      <c r="D318" s="1307"/>
      <c r="E318" s="1307"/>
      <c r="F318" s="1307"/>
      <c r="G318" s="1307"/>
      <c r="H318" s="759">
        <f>H319</f>
        <v>3592.6</v>
      </c>
      <c r="I318" s="759">
        <f t="shared" ref="I318:P318" si="67">I319</f>
        <v>2725.3</v>
      </c>
      <c r="J318" s="759">
        <f t="shared" si="67"/>
        <v>1849.7</v>
      </c>
      <c r="K318" s="759">
        <f t="shared" si="67"/>
        <v>94</v>
      </c>
      <c r="L318" s="731">
        <f t="shared" si="67"/>
        <v>1906687</v>
      </c>
      <c r="M318" s="731">
        <f t="shared" si="67"/>
        <v>0</v>
      </c>
      <c r="N318" s="731">
        <f t="shared" si="67"/>
        <v>0</v>
      </c>
      <c r="O318" s="731">
        <f t="shared" si="67"/>
        <v>1906687</v>
      </c>
      <c r="P318" s="731">
        <f t="shared" si="67"/>
        <v>0</v>
      </c>
      <c r="Q318" s="391" t="s">
        <v>40</v>
      </c>
      <c r="R318" s="387" t="s">
        <v>40</v>
      </c>
      <c r="S318" s="316">
        <v>43100</v>
      </c>
    </row>
    <row r="319" spans="1:19" s="1" customFormat="1" ht="31.9" customHeight="1">
      <c r="A319" s="308"/>
      <c r="B319" s="610" t="s">
        <v>859</v>
      </c>
      <c r="C319" s="308">
        <v>1973</v>
      </c>
      <c r="D319" s="308"/>
      <c r="E319" s="311" t="s">
        <v>860</v>
      </c>
      <c r="F319" s="308">
        <v>5</v>
      </c>
      <c r="G319" s="308">
        <v>4</v>
      </c>
      <c r="H319" s="759">
        <v>3592.6</v>
      </c>
      <c r="I319" s="308">
        <v>2725.3</v>
      </c>
      <c r="J319" s="308">
        <v>1849.7</v>
      </c>
      <c r="K319" s="586">
        <v>94</v>
      </c>
      <c r="L319" s="314">
        <v>1906687</v>
      </c>
      <c r="M319" s="314">
        <v>0</v>
      </c>
      <c r="N319" s="314">
        <v>0</v>
      </c>
      <c r="O319" s="314">
        <v>1906687</v>
      </c>
      <c r="P319" s="314">
        <v>0</v>
      </c>
      <c r="Q319" s="391">
        <f>L319/I319</f>
        <v>699.62462848126802</v>
      </c>
      <c r="R319" s="315">
        <v>7822</v>
      </c>
      <c r="S319" s="316">
        <v>43100</v>
      </c>
    </row>
    <row r="320" spans="1:19" s="1" customFormat="1" ht="15.75">
      <c r="A320" s="107"/>
      <c r="B320" s="1292" t="s">
        <v>46</v>
      </c>
      <c r="C320" s="1292"/>
      <c r="D320" s="1292"/>
      <c r="E320" s="1292"/>
      <c r="F320" s="1292"/>
      <c r="G320" s="1292"/>
      <c r="H320" s="128">
        <f>H321</f>
        <v>525.4</v>
      </c>
      <c r="I320" s="106">
        <f t="shared" ref="I320:P320" si="68">I321</f>
        <v>469</v>
      </c>
      <c r="J320" s="106">
        <f t="shared" si="68"/>
        <v>384.8</v>
      </c>
      <c r="K320" s="119">
        <f t="shared" si="68"/>
        <v>21</v>
      </c>
      <c r="L320" s="113">
        <f t="shared" si="68"/>
        <v>1415265</v>
      </c>
      <c r="M320" s="113">
        <f t="shared" si="68"/>
        <v>0</v>
      </c>
      <c r="N320" s="113">
        <f t="shared" si="68"/>
        <v>0</v>
      </c>
      <c r="O320" s="113">
        <f t="shared" si="68"/>
        <v>1415265</v>
      </c>
      <c r="P320" s="113">
        <f t="shared" si="68"/>
        <v>0</v>
      </c>
      <c r="Q320" s="106" t="s">
        <v>40</v>
      </c>
      <c r="R320" s="106" t="s">
        <v>40</v>
      </c>
      <c r="S320" s="316">
        <v>43100</v>
      </c>
    </row>
    <row r="321" spans="1:19" s="1" customFormat="1" ht="15.75">
      <c r="A321" s="107"/>
      <c r="B321" s="1292" t="s">
        <v>102</v>
      </c>
      <c r="C321" s="1292"/>
      <c r="D321" s="1292"/>
      <c r="E321" s="1292"/>
      <c r="F321" s="1292"/>
      <c r="G321" s="1292"/>
      <c r="H321" s="128">
        <f>H322+H323</f>
        <v>525.4</v>
      </c>
      <c r="I321" s="106">
        <f t="shared" ref="I321:P321" si="69">I322+I323</f>
        <v>469</v>
      </c>
      <c r="J321" s="106">
        <f t="shared" si="69"/>
        <v>384.8</v>
      </c>
      <c r="K321" s="119">
        <f t="shared" si="69"/>
        <v>21</v>
      </c>
      <c r="L321" s="113">
        <f t="shared" si="69"/>
        <v>1415265</v>
      </c>
      <c r="M321" s="113">
        <f t="shared" si="69"/>
        <v>0</v>
      </c>
      <c r="N321" s="113">
        <f t="shared" si="69"/>
        <v>0</v>
      </c>
      <c r="O321" s="113">
        <f>O322+O323</f>
        <v>1415265</v>
      </c>
      <c r="P321" s="113">
        <f t="shared" si="69"/>
        <v>0</v>
      </c>
      <c r="Q321" s="106" t="s">
        <v>40</v>
      </c>
      <c r="R321" s="106" t="s">
        <v>40</v>
      </c>
      <c r="S321" s="316">
        <v>43100</v>
      </c>
    </row>
    <row r="322" spans="1:19" s="1" customFormat="1" ht="31.5">
      <c r="A322" s="308">
        <v>51</v>
      </c>
      <c r="B322" s="309" t="s">
        <v>485</v>
      </c>
      <c r="C322" s="310">
        <v>1966</v>
      </c>
      <c r="D322" s="361"/>
      <c r="E322" s="311" t="s">
        <v>218</v>
      </c>
      <c r="F322" s="310">
        <v>2</v>
      </c>
      <c r="G322" s="310">
        <v>2</v>
      </c>
      <c r="H322" s="312">
        <v>525.4</v>
      </c>
      <c r="I322" s="362">
        <v>469</v>
      </c>
      <c r="J322" s="310">
        <v>384.8</v>
      </c>
      <c r="K322" s="313">
        <v>21</v>
      </c>
      <c r="L322" s="314">
        <v>1415265</v>
      </c>
      <c r="M322" s="314">
        <v>0</v>
      </c>
      <c r="N322" s="314">
        <v>0</v>
      </c>
      <c r="O322" s="314">
        <v>1415265</v>
      </c>
      <c r="P322" s="314">
        <v>0</v>
      </c>
      <c r="Q322" s="315">
        <f>L322/I322</f>
        <v>3017.6226012793177</v>
      </c>
      <c r="R322" s="315">
        <v>7822</v>
      </c>
      <c r="S322" s="316">
        <v>43100</v>
      </c>
    </row>
    <row r="323" spans="1:19" s="1" customFormat="1" ht="15.75">
      <c r="A323" s="107"/>
      <c r="B323" s="262"/>
      <c r="C323" s="108"/>
      <c r="D323" s="156"/>
      <c r="E323" s="109"/>
      <c r="F323" s="108"/>
      <c r="G323" s="108"/>
      <c r="H323" s="111"/>
      <c r="I323" s="108"/>
      <c r="J323" s="108"/>
      <c r="K323" s="112"/>
      <c r="L323" s="113"/>
      <c r="M323" s="113"/>
      <c r="N323" s="113"/>
      <c r="O323" s="113"/>
      <c r="P323" s="113"/>
      <c r="Q323" s="114"/>
      <c r="R323" s="114"/>
      <c r="S323" s="316"/>
    </row>
    <row r="324" spans="1:19" s="1" customFormat="1" ht="15.75">
      <c r="A324" s="107"/>
      <c r="B324" s="1292" t="s">
        <v>47</v>
      </c>
      <c r="C324" s="1292"/>
      <c r="D324" s="1292"/>
      <c r="E324" s="1292"/>
      <c r="F324" s="1292"/>
      <c r="G324" s="1292"/>
      <c r="H324" s="128">
        <f>H325</f>
        <v>3715.2</v>
      </c>
      <c r="I324" s="106">
        <f t="shared" ref="I324:P324" si="70">I325</f>
        <v>3256.7999999999997</v>
      </c>
      <c r="J324" s="106">
        <f t="shared" si="70"/>
        <v>3256.7999999999997</v>
      </c>
      <c r="K324" s="119">
        <f t="shared" si="70"/>
        <v>106</v>
      </c>
      <c r="L324" s="113">
        <f t="shared" si="70"/>
        <v>6592116</v>
      </c>
      <c r="M324" s="113">
        <f>M325</f>
        <v>0</v>
      </c>
      <c r="N324" s="113">
        <f t="shared" si="70"/>
        <v>3619172.24</v>
      </c>
      <c r="O324" s="113">
        <f t="shared" si="70"/>
        <v>2972943.76</v>
      </c>
      <c r="P324" s="113">
        <f t="shared" si="70"/>
        <v>0</v>
      </c>
      <c r="Q324" s="106" t="s">
        <v>40</v>
      </c>
      <c r="R324" s="114" t="s">
        <v>40</v>
      </c>
      <c r="S324" s="316">
        <v>43100</v>
      </c>
    </row>
    <row r="325" spans="1:19" s="1" customFormat="1" ht="15.75">
      <c r="A325" s="308"/>
      <c r="B325" s="1293" t="s">
        <v>103</v>
      </c>
      <c r="C325" s="1293"/>
      <c r="D325" s="1293"/>
      <c r="E325" s="1293"/>
      <c r="F325" s="1293"/>
      <c r="G325" s="1293"/>
      <c r="H325" s="347">
        <f>SUM(H326:H330)</f>
        <v>3715.2</v>
      </c>
      <c r="I325" s="350">
        <f t="shared" ref="I325:P325" si="71">SUM(I326:I330)</f>
        <v>3256.7999999999997</v>
      </c>
      <c r="J325" s="350">
        <f t="shared" si="71"/>
        <v>3256.7999999999997</v>
      </c>
      <c r="K325" s="349">
        <f t="shared" si="71"/>
        <v>106</v>
      </c>
      <c r="L325" s="314">
        <f t="shared" si="71"/>
        <v>6592116</v>
      </c>
      <c r="M325" s="314">
        <f>SUM(M326:M330)</f>
        <v>0</v>
      </c>
      <c r="N325" s="314">
        <f t="shared" si="71"/>
        <v>3619172.24</v>
      </c>
      <c r="O325" s="314">
        <f t="shared" si="71"/>
        <v>2972943.76</v>
      </c>
      <c r="P325" s="314">
        <f t="shared" si="71"/>
        <v>0</v>
      </c>
      <c r="Q325" s="350" t="s">
        <v>40</v>
      </c>
      <c r="R325" s="350" t="s">
        <v>40</v>
      </c>
      <c r="S325" s="316">
        <v>43100</v>
      </c>
    </row>
    <row r="326" spans="1:19" s="1" customFormat="1" ht="15.75">
      <c r="A326" s="308">
        <v>52</v>
      </c>
      <c r="B326" s="936" t="s">
        <v>723</v>
      </c>
      <c r="C326" s="553" t="s">
        <v>874</v>
      </c>
      <c r="D326" s="553"/>
      <c r="E326" s="311" t="s">
        <v>219</v>
      </c>
      <c r="F326" s="310">
        <v>4</v>
      </c>
      <c r="G326" s="310">
        <v>2</v>
      </c>
      <c r="H326" s="550">
        <v>1813.9</v>
      </c>
      <c r="I326" s="404">
        <v>1502.8</v>
      </c>
      <c r="J326" s="404">
        <v>1502.8</v>
      </c>
      <c r="K326" s="313">
        <v>44</v>
      </c>
      <c r="L326" s="314">
        <v>1682684</v>
      </c>
      <c r="M326" s="314">
        <v>0</v>
      </c>
      <c r="N326" s="314">
        <v>841342</v>
      </c>
      <c r="O326" s="314">
        <v>841342</v>
      </c>
      <c r="P326" s="314">
        <f>SUM(P327:P330)</f>
        <v>0</v>
      </c>
      <c r="Q326" s="404">
        <f>L326/I326</f>
        <v>1119.6992281075327</v>
      </c>
      <c r="R326" s="315">
        <v>7822</v>
      </c>
      <c r="S326" s="316">
        <v>43100</v>
      </c>
    </row>
    <row r="327" spans="1:19" s="1" customFormat="1" ht="33.6" customHeight="1">
      <c r="A327" s="308">
        <f t="shared" si="60"/>
        <v>53</v>
      </c>
      <c r="B327" s="936" t="s">
        <v>870</v>
      </c>
      <c r="C327" s="553" t="s">
        <v>875</v>
      </c>
      <c r="D327" s="553"/>
      <c r="E327" s="311" t="s">
        <v>218</v>
      </c>
      <c r="F327" s="310">
        <v>2</v>
      </c>
      <c r="G327" s="310">
        <v>2</v>
      </c>
      <c r="H327" s="550">
        <v>503</v>
      </c>
      <c r="I327" s="404">
        <v>444.9</v>
      </c>
      <c r="J327" s="404">
        <v>444.9</v>
      </c>
      <c r="K327" s="313">
        <v>19</v>
      </c>
      <c r="L327" s="314">
        <v>1227835</v>
      </c>
      <c r="M327" s="314">
        <v>0</v>
      </c>
      <c r="N327" s="314">
        <v>716701</v>
      </c>
      <c r="O327" s="314">
        <v>511134</v>
      </c>
      <c r="P327" s="314">
        <f>SUM(P328:P330)</f>
        <v>0</v>
      </c>
      <c r="Q327" s="404">
        <f t="shared" ref="Q327:Q330" si="72">L327/I327</f>
        <v>2759.7999550460777</v>
      </c>
      <c r="R327" s="315">
        <v>7822</v>
      </c>
      <c r="S327" s="316">
        <v>43100</v>
      </c>
    </row>
    <row r="328" spans="1:19" s="1" customFormat="1" ht="15.75">
      <c r="A328" s="308">
        <f t="shared" si="60"/>
        <v>54</v>
      </c>
      <c r="B328" s="936" t="s">
        <v>871</v>
      </c>
      <c r="C328" s="553" t="s">
        <v>876</v>
      </c>
      <c r="D328" s="553"/>
      <c r="E328" s="311" t="s">
        <v>220</v>
      </c>
      <c r="F328" s="310">
        <v>2</v>
      </c>
      <c r="G328" s="310">
        <v>2</v>
      </c>
      <c r="H328" s="550">
        <v>593.5</v>
      </c>
      <c r="I328" s="404">
        <v>543.20000000000005</v>
      </c>
      <c r="J328" s="404">
        <v>543.20000000000005</v>
      </c>
      <c r="K328" s="313">
        <v>18</v>
      </c>
      <c r="L328" s="314">
        <v>1562951</v>
      </c>
      <c r="M328" s="314">
        <v>0</v>
      </c>
      <c r="N328" s="314">
        <v>937770</v>
      </c>
      <c r="O328" s="314">
        <v>625181</v>
      </c>
      <c r="P328" s="314">
        <f>SUM(P330:P330)</f>
        <v>0</v>
      </c>
      <c r="Q328" s="404">
        <f t="shared" si="72"/>
        <v>2877.3030191458024</v>
      </c>
      <c r="R328" s="315">
        <v>7822</v>
      </c>
      <c r="S328" s="316">
        <v>43100</v>
      </c>
    </row>
    <row r="329" spans="1:19" s="1" customFormat="1" ht="31.5">
      <c r="A329" s="308">
        <f>A327+1</f>
        <v>54</v>
      </c>
      <c r="B329" s="936" t="s">
        <v>872</v>
      </c>
      <c r="C329" s="553" t="s">
        <v>877</v>
      </c>
      <c r="D329" s="553"/>
      <c r="E329" s="311" t="s">
        <v>218</v>
      </c>
      <c r="F329" s="310">
        <v>2</v>
      </c>
      <c r="G329" s="310">
        <v>2</v>
      </c>
      <c r="H329" s="550">
        <v>331.7</v>
      </c>
      <c r="I329" s="404">
        <v>298.89999999999998</v>
      </c>
      <c r="J329" s="404">
        <v>298.89999999999998</v>
      </c>
      <c r="K329" s="313">
        <v>13</v>
      </c>
      <c r="L329" s="314">
        <v>974952</v>
      </c>
      <c r="M329" s="314">
        <v>0</v>
      </c>
      <c r="N329" s="314">
        <v>509980</v>
      </c>
      <c r="O329" s="314">
        <v>464972</v>
      </c>
      <c r="P329" s="314">
        <f>SUM(P330:P330)</f>
        <v>0</v>
      </c>
      <c r="Q329" s="404">
        <f t="shared" ref="Q329" si="73">L329/I329</f>
        <v>3261.7999330879898</v>
      </c>
      <c r="R329" s="315">
        <v>7822</v>
      </c>
      <c r="S329" s="316">
        <v>43100</v>
      </c>
    </row>
    <row r="330" spans="1:19" s="1" customFormat="1" ht="31.5">
      <c r="A330" s="308">
        <f>A328+1</f>
        <v>55</v>
      </c>
      <c r="B330" s="936" t="s">
        <v>873</v>
      </c>
      <c r="C330" s="553" t="s">
        <v>877</v>
      </c>
      <c r="D330" s="553"/>
      <c r="E330" s="311" t="s">
        <v>218</v>
      </c>
      <c r="F330" s="310">
        <v>2</v>
      </c>
      <c r="G330" s="310">
        <v>2</v>
      </c>
      <c r="H330" s="550">
        <v>473.1</v>
      </c>
      <c r="I330" s="404">
        <v>467</v>
      </c>
      <c r="J330" s="404">
        <v>467</v>
      </c>
      <c r="K330" s="313">
        <v>12</v>
      </c>
      <c r="L330" s="314">
        <v>1143694</v>
      </c>
      <c r="M330" s="314">
        <v>0</v>
      </c>
      <c r="N330" s="314">
        <v>613379.24</v>
      </c>
      <c r="O330" s="314">
        <v>530314.76</v>
      </c>
      <c r="P330" s="314">
        <f>SUM(P331:P331)</f>
        <v>0</v>
      </c>
      <c r="Q330" s="404">
        <f t="shared" si="72"/>
        <v>2449.0235546038543</v>
      </c>
      <c r="R330" s="315">
        <v>7822</v>
      </c>
      <c r="S330" s="316">
        <v>43100</v>
      </c>
    </row>
    <row r="331" spans="1:19" s="1" customFormat="1" ht="15.75">
      <c r="A331" s="107"/>
      <c r="B331" s="1292" t="s">
        <v>48</v>
      </c>
      <c r="C331" s="1292"/>
      <c r="D331" s="1292"/>
      <c r="E331" s="1292"/>
      <c r="F331" s="1292"/>
      <c r="G331" s="1292"/>
      <c r="H331" s="128">
        <f t="shared" ref="H331:P331" si="74">H332+H336</f>
        <v>1348.8000000000002</v>
      </c>
      <c r="I331" s="106">
        <f t="shared" si="74"/>
        <v>1176.6000000000001</v>
      </c>
      <c r="J331" s="106">
        <f t="shared" si="74"/>
        <v>1100.3000000000002</v>
      </c>
      <c r="K331" s="119">
        <f t="shared" si="74"/>
        <v>52</v>
      </c>
      <c r="L331" s="113">
        <f t="shared" si="74"/>
        <v>3699748</v>
      </c>
      <c r="M331" s="113">
        <f t="shared" si="74"/>
        <v>0</v>
      </c>
      <c r="N331" s="113">
        <f t="shared" si="74"/>
        <v>414501.02</v>
      </c>
      <c r="O331" s="113">
        <f t="shared" si="74"/>
        <v>3285246.98</v>
      </c>
      <c r="P331" s="113">
        <f t="shared" si="74"/>
        <v>0</v>
      </c>
      <c r="Q331" s="106" t="s">
        <v>40</v>
      </c>
      <c r="R331" s="114" t="s">
        <v>40</v>
      </c>
      <c r="S331" s="316">
        <v>43100</v>
      </c>
    </row>
    <row r="332" spans="1:19" s="1" customFormat="1" ht="15.75">
      <c r="A332" s="308"/>
      <c r="B332" s="1293" t="s">
        <v>107</v>
      </c>
      <c r="C332" s="1293"/>
      <c r="D332" s="1293"/>
      <c r="E332" s="1293"/>
      <c r="F332" s="1293"/>
      <c r="G332" s="1293"/>
      <c r="H332" s="347">
        <f>SUM(H333:H334)</f>
        <v>1083.3000000000002</v>
      </c>
      <c r="I332" s="347">
        <f t="shared" ref="I332:P332" si="75">SUM(I333:I334)</f>
        <v>933.7</v>
      </c>
      <c r="J332" s="347">
        <f t="shared" si="75"/>
        <v>857.40000000000009</v>
      </c>
      <c r="K332" s="347">
        <f t="shared" si="75"/>
        <v>50</v>
      </c>
      <c r="L332" s="670">
        <f t="shared" si="75"/>
        <v>3145909</v>
      </c>
      <c r="M332" s="670">
        <f t="shared" si="75"/>
        <v>0</v>
      </c>
      <c r="N332" s="670">
        <f t="shared" si="75"/>
        <v>0</v>
      </c>
      <c r="O332" s="670">
        <f t="shared" si="75"/>
        <v>3145909</v>
      </c>
      <c r="P332" s="670">
        <f t="shared" si="75"/>
        <v>0</v>
      </c>
      <c r="Q332" s="350" t="s">
        <v>40</v>
      </c>
      <c r="R332" s="350" t="s">
        <v>40</v>
      </c>
      <c r="S332" s="316">
        <v>43100</v>
      </c>
    </row>
    <row r="333" spans="1:19" s="1" customFormat="1" ht="31.5">
      <c r="A333" s="308">
        <f>A330+1</f>
        <v>56</v>
      </c>
      <c r="B333" s="582" t="s">
        <v>770</v>
      </c>
      <c r="C333" s="666">
        <v>1963</v>
      </c>
      <c r="D333" s="666"/>
      <c r="E333" s="311" t="s">
        <v>218</v>
      </c>
      <c r="F333" s="666">
        <v>2</v>
      </c>
      <c r="G333" s="666">
        <v>2</v>
      </c>
      <c r="H333" s="667">
        <v>560.6</v>
      </c>
      <c r="I333" s="668">
        <v>474.4</v>
      </c>
      <c r="J333" s="668">
        <v>398.1</v>
      </c>
      <c r="K333" s="669">
        <v>25</v>
      </c>
      <c r="L333" s="314">
        <v>1590271</v>
      </c>
      <c r="M333" s="314">
        <v>0</v>
      </c>
      <c r="N333" s="314">
        <v>0</v>
      </c>
      <c r="O333" s="314">
        <f>L333</f>
        <v>1590271</v>
      </c>
      <c r="P333" s="314">
        <v>0</v>
      </c>
      <c r="Q333" s="350">
        <f>L333/I333</f>
        <v>3352.1732715008434</v>
      </c>
      <c r="R333" s="315">
        <v>7822</v>
      </c>
      <c r="S333" s="316">
        <v>43100</v>
      </c>
    </row>
    <row r="334" spans="1:19" s="28" customFormat="1" ht="31.5">
      <c r="A334" s="308">
        <f t="shared" si="60"/>
        <v>57</v>
      </c>
      <c r="B334" s="582" t="s">
        <v>771</v>
      </c>
      <c r="C334" s="346">
        <v>1966</v>
      </c>
      <c r="D334" s="346"/>
      <c r="E334" s="311" t="s">
        <v>218</v>
      </c>
      <c r="F334" s="346">
        <v>2</v>
      </c>
      <c r="G334" s="346">
        <v>2</v>
      </c>
      <c r="H334" s="347">
        <v>522.70000000000005</v>
      </c>
      <c r="I334" s="350">
        <v>459.3</v>
      </c>
      <c r="J334" s="350">
        <v>459.3</v>
      </c>
      <c r="K334" s="349">
        <v>25</v>
      </c>
      <c r="L334" s="314">
        <v>1555638</v>
      </c>
      <c r="M334" s="314">
        <v>0</v>
      </c>
      <c r="N334" s="314">
        <v>0</v>
      </c>
      <c r="O334" s="314">
        <f>L334</f>
        <v>1555638</v>
      </c>
      <c r="P334" s="314">
        <v>0</v>
      </c>
      <c r="Q334" s="350">
        <f>L334/I334</f>
        <v>3386.9758327890268</v>
      </c>
      <c r="R334" s="315">
        <v>7822</v>
      </c>
      <c r="S334" s="316">
        <v>43100</v>
      </c>
    </row>
    <row r="335" spans="1:19" s="28" customFormat="1" ht="15.75">
      <c r="A335" s="308"/>
      <c r="B335" s="665"/>
      <c r="C335" s="666"/>
      <c r="D335" s="666"/>
      <c r="E335" s="311"/>
      <c r="F335" s="666"/>
      <c r="G335" s="666"/>
      <c r="H335" s="667"/>
      <c r="I335" s="668"/>
      <c r="J335" s="668"/>
      <c r="K335" s="669"/>
      <c r="L335" s="314"/>
      <c r="M335" s="314"/>
      <c r="N335" s="314"/>
      <c r="O335" s="314"/>
      <c r="P335" s="314"/>
      <c r="Q335" s="350"/>
      <c r="R335" s="315"/>
      <c r="S335" s="316"/>
    </row>
    <row r="336" spans="1:19" s="1" customFormat="1" ht="15.75" customHeight="1">
      <c r="A336" s="107"/>
      <c r="B336" s="1294" t="s">
        <v>104</v>
      </c>
      <c r="C336" s="1294"/>
      <c r="D336" s="1294"/>
      <c r="E336" s="1294"/>
      <c r="F336" s="1294"/>
      <c r="G336" s="1294"/>
      <c r="H336" s="128">
        <f>H337</f>
        <v>265.5</v>
      </c>
      <c r="I336" s="106">
        <f t="shared" ref="I336:P336" si="76">I337</f>
        <v>242.9</v>
      </c>
      <c r="J336" s="106">
        <f t="shared" si="76"/>
        <v>242.9</v>
      </c>
      <c r="K336" s="119">
        <f t="shared" si="76"/>
        <v>2</v>
      </c>
      <c r="L336" s="113">
        <f t="shared" si="76"/>
        <v>553839</v>
      </c>
      <c r="M336" s="113">
        <f t="shared" si="76"/>
        <v>0</v>
      </c>
      <c r="N336" s="113">
        <f t="shared" si="76"/>
        <v>414501.02</v>
      </c>
      <c r="O336" s="113">
        <f t="shared" si="76"/>
        <v>139337.98000000001</v>
      </c>
      <c r="P336" s="113">
        <f t="shared" si="76"/>
        <v>0</v>
      </c>
      <c r="Q336" s="106" t="s">
        <v>40</v>
      </c>
      <c r="R336" s="114" t="s">
        <v>40</v>
      </c>
      <c r="S336" s="316">
        <v>43100</v>
      </c>
    </row>
    <row r="337" spans="1:19" s="1" customFormat="1" ht="31.5">
      <c r="A337" s="107"/>
      <c r="B337" s="262" t="s">
        <v>458</v>
      </c>
      <c r="C337" s="110">
        <v>1953</v>
      </c>
      <c r="D337" s="108"/>
      <c r="E337" s="109" t="s">
        <v>218</v>
      </c>
      <c r="F337" s="108">
        <v>2</v>
      </c>
      <c r="G337" s="108">
        <v>1</v>
      </c>
      <c r="H337" s="111">
        <v>265.5</v>
      </c>
      <c r="I337" s="108">
        <v>242.9</v>
      </c>
      <c r="J337" s="108">
        <v>242.9</v>
      </c>
      <c r="K337" s="112">
        <v>2</v>
      </c>
      <c r="L337" s="113">
        <f>N337+O337</f>
        <v>553839</v>
      </c>
      <c r="M337" s="113">
        <v>0</v>
      </c>
      <c r="N337" s="113">
        <v>414501.02</v>
      </c>
      <c r="O337" s="113">
        <v>139337.98000000001</v>
      </c>
      <c r="P337" s="113">
        <v>0</v>
      </c>
      <c r="Q337" s="114">
        <f>L337/I337</f>
        <v>2280.1111568546726</v>
      </c>
      <c r="R337" s="114">
        <v>6774</v>
      </c>
      <c r="S337" s="316">
        <v>43100</v>
      </c>
    </row>
    <row r="338" spans="1:19" s="1" customFormat="1" ht="22.9" customHeight="1">
      <c r="A338" s="107"/>
      <c r="B338" s="1292" t="s">
        <v>49</v>
      </c>
      <c r="C338" s="1292"/>
      <c r="D338" s="1292"/>
      <c r="E338" s="1292"/>
      <c r="F338" s="1292"/>
      <c r="G338" s="1292"/>
      <c r="H338" s="128">
        <f t="shared" ref="H338:P338" si="77">H339+H344+H347+H349</f>
        <v>8221.4</v>
      </c>
      <c r="I338" s="128">
        <f t="shared" si="77"/>
        <v>7282.6</v>
      </c>
      <c r="J338" s="128">
        <f t="shared" si="77"/>
        <v>7138</v>
      </c>
      <c r="K338" s="162">
        <f t="shared" si="77"/>
        <v>388</v>
      </c>
      <c r="L338" s="113">
        <f t="shared" si="77"/>
        <v>10902471</v>
      </c>
      <c r="M338" s="113">
        <f t="shared" si="77"/>
        <v>0</v>
      </c>
      <c r="N338" s="113">
        <f t="shared" si="77"/>
        <v>494612.75</v>
      </c>
      <c r="O338" s="113">
        <f t="shared" si="77"/>
        <v>10407858.25</v>
      </c>
      <c r="P338" s="113">
        <f t="shared" si="77"/>
        <v>0</v>
      </c>
      <c r="Q338" s="106" t="s">
        <v>40</v>
      </c>
      <c r="R338" s="114" t="s">
        <v>40</v>
      </c>
      <c r="S338" s="316">
        <v>43100</v>
      </c>
    </row>
    <row r="339" spans="1:19" s="1" customFormat="1" ht="15.75">
      <c r="A339" s="107"/>
      <c r="B339" s="1292" t="s">
        <v>105</v>
      </c>
      <c r="C339" s="1292"/>
      <c r="D339" s="1292"/>
      <c r="E339" s="1292"/>
      <c r="F339" s="1292"/>
      <c r="G339" s="1292"/>
      <c r="H339" s="128">
        <f t="shared" ref="H339:P339" si="78">H340+H343</f>
        <v>1542.7</v>
      </c>
      <c r="I339" s="162">
        <f t="shared" si="78"/>
        <v>908</v>
      </c>
      <c r="J339" s="162">
        <f t="shared" si="78"/>
        <v>863.40000000000009</v>
      </c>
      <c r="K339" s="119">
        <f t="shared" si="78"/>
        <v>78</v>
      </c>
      <c r="L339" s="113">
        <f t="shared" si="78"/>
        <v>5287622</v>
      </c>
      <c r="M339" s="113">
        <f t="shared" si="78"/>
        <v>0</v>
      </c>
      <c r="N339" s="113">
        <f t="shared" si="78"/>
        <v>434808.75</v>
      </c>
      <c r="O339" s="113">
        <f t="shared" si="78"/>
        <v>4852813.25</v>
      </c>
      <c r="P339" s="113">
        <f t="shared" si="78"/>
        <v>0</v>
      </c>
      <c r="Q339" s="106" t="s">
        <v>40</v>
      </c>
      <c r="R339" s="106" t="s">
        <v>40</v>
      </c>
      <c r="S339" s="316">
        <v>43100</v>
      </c>
    </row>
    <row r="340" spans="1:19" s="1" customFormat="1" ht="31.5">
      <c r="A340" s="308">
        <v>58</v>
      </c>
      <c r="B340" s="345" t="s">
        <v>481</v>
      </c>
      <c r="C340" s="346">
        <v>1958</v>
      </c>
      <c r="D340" s="346"/>
      <c r="E340" s="311" t="s">
        <v>218</v>
      </c>
      <c r="F340" s="346">
        <v>2</v>
      </c>
      <c r="G340" s="346">
        <v>2</v>
      </c>
      <c r="H340" s="347">
        <v>640.1</v>
      </c>
      <c r="I340" s="348">
        <v>392.3</v>
      </c>
      <c r="J340" s="348">
        <v>347.7</v>
      </c>
      <c r="K340" s="349">
        <v>32</v>
      </c>
      <c r="L340" s="314">
        <v>1505603</v>
      </c>
      <c r="M340" s="314">
        <v>0</v>
      </c>
      <c r="N340" s="314">
        <v>0</v>
      </c>
      <c r="O340" s="314">
        <f>L340</f>
        <v>1505603</v>
      </c>
      <c r="P340" s="314">
        <v>0</v>
      </c>
      <c r="Q340" s="350">
        <f>L340/I340</f>
        <v>3837.8868213102219</v>
      </c>
      <c r="R340" s="315">
        <v>7822</v>
      </c>
      <c r="S340" s="316">
        <v>43100</v>
      </c>
    </row>
    <row r="341" spans="1:19" s="1" customFormat="1" ht="21.6" customHeight="1">
      <c r="A341" s="107"/>
      <c r="B341" s="1294" t="s">
        <v>985</v>
      </c>
      <c r="C341" s="1294"/>
      <c r="D341" s="1294"/>
      <c r="E341" s="1294"/>
      <c r="F341" s="1294"/>
      <c r="G341" s="1294"/>
      <c r="H341" s="128">
        <f>H342+H343</f>
        <v>1774</v>
      </c>
      <c r="I341" s="128">
        <f t="shared" ref="I341:P341" si="79">I342+I343</f>
        <v>1017.9000000000001</v>
      </c>
      <c r="J341" s="128">
        <f t="shared" si="79"/>
        <v>1017.9000000000001</v>
      </c>
      <c r="K341" s="128">
        <f t="shared" si="79"/>
        <v>99</v>
      </c>
      <c r="L341" s="565">
        <f t="shared" si="79"/>
        <v>7561422.5999999996</v>
      </c>
      <c r="M341" s="565">
        <f t="shared" si="79"/>
        <v>0</v>
      </c>
      <c r="N341" s="565">
        <f t="shared" si="79"/>
        <v>879004.05</v>
      </c>
      <c r="O341" s="565">
        <f t="shared" si="79"/>
        <v>6682418.5499999998</v>
      </c>
      <c r="P341" s="565">
        <f t="shared" si="79"/>
        <v>0</v>
      </c>
      <c r="Q341" s="106" t="s">
        <v>40</v>
      </c>
      <c r="R341" s="106" t="s">
        <v>40</v>
      </c>
      <c r="S341" s="316">
        <v>43100</v>
      </c>
    </row>
    <row r="342" spans="1:19" s="1" customFormat="1" ht="37.15" customHeight="1">
      <c r="A342" s="107"/>
      <c r="B342" s="567" t="s">
        <v>986</v>
      </c>
      <c r="C342" s="118">
        <v>1981</v>
      </c>
      <c r="D342" s="118"/>
      <c r="E342" s="99" t="s">
        <v>988</v>
      </c>
      <c r="F342" s="118">
        <v>2</v>
      </c>
      <c r="G342" s="118">
        <v>3</v>
      </c>
      <c r="H342" s="128">
        <v>871.4</v>
      </c>
      <c r="I342" s="162">
        <v>502.2</v>
      </c>
      <c r="J342" s="162">
        <v>502.2</v>
      </c>
      <c r="K342" s="119">
        <v>53</v>
      </c>
      <c r="L342" s="113">
        <v>3779403.6</v>
      </c>
      <c r="M342" s="113">
        <v>0</v>
      </c>
      <c r="N342" s="113">
        <v>444195.3</v>
      </c>
      <c r="O342" s="113">
        <v>3335208.3</v>
      </c>
      <c r="P342" s="113">
        <v>0</v>
      </c>
      <c r="Q342" s="106">
        <f>L342/I342</f>
        <v>7525.6941457586627</v>
      </c>
      <c r="R342" s="114">
        <v>7822</v>
      </c>
      <c r="S342" s="316">
        <v>43100</v>
      </c>
    </row>
    <row r="343" spans="1:19" s="1" customFormat="1" ht="37.15" customHeight="1">
      <c r="A343" s="107"/>
      <c r="B343" s="567" t="s">
        <v>987</v>
      </c>
      <c r="C343" s="118">
        <v>1975</v>
      </c>
      <c r="D343" s="118"/>
      <c r="E343" s="99" t="s">
        <v>988</v>
      </c>
      <c r="F343" s="118">
        <v>2</v>
      </c>
      <c r="G343" s="118">
        <v>3</v>
      </c>
      <c r="H343" s="128">
        <v>902.6</v>
      </c>
      <c r="I343" s="106">
        <v>515.70000000000005</v>
      </c>
      <c r="J343" s="118">
        <v>515.70000000000005</v>
      </c>
      <c r="K343" s="119">
        <v>46</v>
      </c>
      <c r="L343" s="113">
        <v>3782019</v>
      </c>
      <c r="M343" s="113">
        <v>0</v>
      </c>
      <c r="N343" s="113">
        <v>434808.75</v>
      </c>
      <c r="O343" s="113">
        <v>3347210.25</v>
      </c>
      <c r="P343" s="113">
        <v>0</v>
      </c>
      <c r="Q343" s="106">
        <f>L343/I343</f>
        <v>7333.7579988365324</v>
      </c>
      <c r="R343" s="114">
        <v>7822</v>
      </c>
      <c r="S343" s="316">
        <v>43100</v>
      </c>
    </row>
    <row r="344" spans="1:19" s="1" customFormat="1" ht="15.75" customHeight="1">
      <c r="A344" s="107"/>
      <c r="B344" s="1294" t="s">
        <v>188</v>
      </c>
      <c r="C344" s="1294"/>
      <c r="D344" s="1294"/>
      <c r="E344" s="1294"/>
      <c r="F344" s="1294"/>
      <c r="G344" s="1294"/>
      <c r="H344" s="128">
        <f>H345+H346</f>
        <v>1595.1</v>
      </c>
      <c r="I344" s="128">
        <f t="shared" ref="I344:P344" si="80">I345+I346</f>
        <v>1431.3</v>
      </c>
      <c r="J344" s="128">
        <f t="shared" si="80"/>
        <v>1431.3</v>
      </c>
      <c r="K344" s="162">
        <f>K345+K346</f>
        <v>87</v>
      </c>
      <c r="L344" s="113">
        <f t="shared" si="80"/>
        <v>1905804</v>
      </c>
      <c r="M344" s="113">
        <f t="shared" si="80"/>
        <v>0</v>
      </c>
      <c r="N344" s="113">
        <f t="shared" si="80"/>
        <v>59804</v>
      </c>
      <c r="O344" s="113">
        <f t="shared" si="80"/>
        <v>1846000</v>
      </c>
      <c r="P344" s="113">
        <f t="shared" si="80"/>
        <v>0</v>
      </c>
      <c r="Q344" s="106" t="s">
        <v>40</v>
      </c>
      <c r="R344" s="114" t="s">
        <v>40</v>
      </c>
      <c r="S344" s="316">
        <v>43100</v>
      </c>
    </row>
    <row r="345" spans="1:19" s="1" customFormat="1" ht="15.75">
      <c r="A345" s="107"/>
      <c r="B345" s="264" t="s">
        <v>410</v>
      </c>
      <c r="C345" s="269">
        <v>1968</v>
      </c>
      <c r="D345" s="118"/>
      <c r="E345" s="109" t="s">
        <v>219</v>
      </c>
      <c r="F345" s="118">
        <v>2</v>
      </c>
      <c r="G345" s="118">
        <v>3</v>
      </c>
      <c r="H345" s="128">
        <v>798.1</v>
      </c>
      <c r="I345" s="106">
        <v>714.4</v>
      </c>
      <c r="J345" s="118">
        <v>714.4</v>
      </c>
      <c r="K345" s="119">
        <v>42</v>
      </c>
      <c r="L345" s="113">
        <v>958459</v>
      </c>
      <c r="M345" s="113">
        <v>0</v>
      </c>
      <c r="N345" s="113">
        <v>35459</v>
      </c>
      <c r="O345" s="113">
        <v>923000</v>
      </c>
      <c r="P345" s="113">
        <v>0</v>
      </c>
      <c r="Q345" s="106">
        <f>L345/I345</f>
        <v>1341.6279395296754</v>
      </c>
      <c r="R345" s="114">
        <v>6774</v>
      </c>
      <c r="S345" s="316">
        <v>43100</v>
      </c>
    </row>
    <row r="346" spans="1:19" s="1" customFormat="1" ht="15.75">
      <c r="A346" s="107"/>
      <c r="B346" s="263" t="s">
        <v>411</v>
      </c>
      <c r="C346" s="118">
        <v>1970</v>
      </c>
      <c r="D346" s="118"/>
      <c r="E346" s="109" t="s">
        <v>219</v>
      </c>
      <c r="F346" s="118">
        <v>2</v>
      </c>
      <c r="G346" s="118">
        <v>3</v>
      </c>
      <c r="H346" s="128">
        <v>797</v>
      </c>
      <c r="I346" s="106">
        <v>716.9</v>
      </c>
      <c r="J346" s="118">
        <v>716.9</v>
      </c>
      <c r="K346" s="119">
        <v>45</v>
      </c>
      <c r="L346" s="113">
        <v>947345</v>
      </c>
      <c r="M346" s="113">
        <v>0</v>
      </c>
      <c r="N346" s="113">
        <v>24345</v>
      </c>
      <c r="O346" s="113">
        <v>923000</v>
      </c>
      <c r="P346" s="113">
        <v>0</v>
      </c>
      <c r="Q346" s="106">
        <f>L346/I346</f>
        <v>1321.4465057888131</v>
      </c>
      <c r="R346" s="114">
        <v>6774</v>
      </c>
      <c r="S346" s="316">
        <v>43100</v>
      </c>
    </row>
    <row r="347" spans="1:19" s="1" customFormat="1" ht="15.75">
      <c r="A347" s="107"/>
      <c r="B347" s="1292" t="s">
        <v>189</v>
      </c>
      <c r="C347" s="1292"/>
      <c r="D347" s="1292"/>
      <c r="E347" s="1292"/>
      <c r="F347" s="1292"/>
      <c r="G347" s="1292"/>
      <c r="H347" s="128">
        <f>H348</f>
        <v>506.9</v>
      </c>
      <c r="I347" s="128">
        <f t="shared" ref="I347:P347" si="81">I348</f>
        <v>402.3</v>
      </c>
      <c r="J347" s="128">
        <f t="shared" si="81"/>
        <v>402.3</v>
      </c>
      <c r="K347" s="162">
        <f t="shared" si="81"/>
        <v>7</v>
      </c>
      <c r="L347" s="113">
        <f t="shared" si="81"/>
        <v>820660</v>
      </c>
      <c r="M347" s="113">
        <f t="shared" si="81"/>
        <v>0</v>
      </c>
      <c r="N347" s="113">
        <f t="shared" si="81"/>
        <v>0</v>
      </c>
      <c r="O347" s="113">
        <f t="shared" si="81"/>
        <v>820660</v>
      </c>
      <c r="P347" s="113">
        <f t="shared" si="81"/>
        <v>0</v>
      </c>
      <c r="Q347" s="106" t="s">
        <v>40</v>
      </c>
      <c r="R347" s="114" t="s">
        <v>40</v>
      </c>
      <c r="S347" s="316">
        <v>43100</v>
      </c>
    </row>
    <row r="348" spans="1:19" s="1" customFormat="1" ht="31.5">
      <c r="A348" s="107"/>
      <c r="B348" s="263" t="s">
        <v>412</v>
      </c>
      <c r="C348" s="118">
        <v>1958</v>
      </c>
      <c r="D348" s="118"/>
      <c r="E348" s="109" t="s">
        <v>218</v>
      </c>
      <c r="F348" s="118">
        <v>2</v>
      </c>
      <c r="G348" s="118">
        <v>1</v>
      </c>
      <c r="H348" s="128">
        <v>506.9</v>
      </c>
      <c r="I348" s="106">
        <v>402.3</v>
      </c>
      <c r="J348" s="118">
        <v>402.3</v>
      </c>
      <c r="K348" s="119">
        <v>7</v>
      </c>
      <c r="L348" s="113">
        <v>820660</v>
      </c>
      <c r="M348" s="113">
        <v>0</v>
      </c>
      <c r="N348" s="113">
        <v>0</v>
      </c>
      <c r="O348" s="113">
        <f>L348</f>
        <v>820660</v>
      </c>
      <c r="P348" s="113">
        <v>0</v>
      </c>
      <c r="Q348" s="106">
        <f>L348/I348</f>
        <v>2039.9204573701218</v>
      </c>
      <c r="R348" s="114">
        <v>6774</v>
      </c>
      <c r="S348" s="316">
        <v>43100</v>
      </c>
    </row>
    <row r="349" spans="1:19" s="1" customFormat="1" ht="15.75">
      <c r="A349" s="107"/>
      <c r="B349" s="1292" t="s">
        <v>131</v>
      </c>
      <c r="C349" s="1292"/>
      <c r="D349" s="1292"/>
      <c r="E349" s="1292"/>
      <c r="F349" s="1292"/>
      <c r="G349" s="1292"/>
      <c r="H349" s="128">
        <f>H350</f>
        <v>4576.7</v>
      </c>
      <c r="I349" s="128">
        <f t="shared" ref="I349:P349" si="82">I350</f>
        <v>4541</v>
      </c>
      <c r="J349" s="128">
        <f t="shared" si="82"/>
        <v>4441</v>
      </c>
      <c r="K349" s="128">
        <f t="shared" si="82"/>
        <v>216</v>
      </c>
      <c r="L349" s="366">
        <f t="shared" si="82"/>
        <v>2888385</v>
      </c>
      <c r="M349" s="366">
        <f t="shared" si="82"/>
        <v>0</v>
      </c>
      <c r="N349" s="366">
        <f t="shared" si="82"/>
        <v>0</v>
      </c>
      <c r="O349" s="366">
        <f t="shared" si="82"/>
        <v>2888385</v>
      </c>
      <c r="P349" s="366">
        <f t="shared" si="82"/>
        <v>0</v>
      </c>
      <c r="Q349" s="106" t="s">
        <v>40</v>
      </c>
      <c r="R349" s="114" t="s">
        <v>40</v>
      </c>
      <c r="S349" s="316">
        <v>43100</v>
      </c>
    </row>
    <row r="350" spans="1:19" s="61" customFormat="1">
      <c r="A350" s="107">
        <v>59</v>
      </c>
      <c r="B350" s="163" t="s">
        <v>659</v>
      </c>
      <c r="C350" s="131">
        <v>1985</v>
      </c>
      <c r="D350" s="131"/>
      <c r="E350" s="109" t="s">
        <v>219</v>
      </c>
      <c r="F350" s="131">
        <v>5</v>
      </c>
      <c r="G350" s="131">
        <v>6</v>
      </c>
      <c r="H350" s="131">
        <v>4576.7</v>
      </c>
      <c r="I350" s="131">
        <v>4541</v>
      </c>
      <c r="J350" s="131">
        <v>4441</v>
      </c>
      <c r="K350" s="131">
        <v>216</v>
      </c>
      <c r="L350" s="113">
        <v>2888385</v>
      </c>
      <c r="M350" s="113">
        <v>0</v>
      </c>
      <c r="N350" s="113">
        <v>0</v>
      </c>
      <c r="O350" s="113">
        <v>2888385</v>
      </c>
      <c r="P350" s="113">
        <v>0</v>
      </c>
      <c r="Q350" s="124">
        <f>O350/I350</f>
        <v>636.06804668575205</v>
      </c>
      <c r="R350" s="114">
        <v>7822</v>
      </c>
      <c r="S350" s="316">
        <v>43100</v>
      </c>
    </row>
    <row r="351" spans="1:19" s="61" customFormat="1">
      <c r="A351" s="107"/>
      <c r="B351" s="145"/>
      <c r="C351" s="164"/>
      <c r="D351" s="131"/>
      <c r="E351" s="109"/>
      <c r="F351" s="131"/>
      <c r="G351" s="131"/>
      <c r="H351" s="131"/>
      <c r="I351" s="131"/>
      <c r="J351" s="131"/>
      <c r="K351" s="131"/>
      <c r="L351" s="113"/>
      <c r="M351" s="113"/>
      <c r="N351" s="113"/>
      <c r="O351" s="113"/>
      <c r="P351" s="113"/>
      <c r="Q351" s="124"/>
      <c r="R351" s="114"/>
      <c r="S351" s="316"/>
    </row>
    <row r="352" spans="1:19" s="1" customFormat="1" ht="15.75">
      <c r="A352" s="107"/>
      <c r="B352" s="1292" t="s">
        <v>50</v>
      </c>
      <c r="C352" s="1292"/>
      <c r="D352" s="1292"/>
      <c r="E352" s="1292"/>
      <c r="F352" s="1292"/>
      <c r="G352" s="1292"/>
      <c r="H352" s="106">
        <f>H353</f>
        <v>6412.52</v>
      </c>
      <c r="I352" s="106">
        <f t="shared" ref="I352:P352" si="83">I353</f>
        <v>5554.8</v>
      </c>
      <c r="J352" s="106">
        <f t="shared" si="83"/>
        <v>4851.7</v>
      </c>
      <c r="K352" s="119">
        <f t="shared" si="83"/>
        <v>202</v>
      </c>
      <c r="L352" s="113">
        <f t="shared" si="83"/>
        <v>14213854</v>
      </c>
      <c r="M352" s="113">
        <f t="shared" si="83"/>
        <v>0</v>
      </c>
      <c r="N352" s="113">
        <f t="shared" si="83"/>
        <v>0</v>
      </c>
      <c r="O352" s="113">
        <f t="shared" si="83"/>
        <v>14213854</v>
      </c>
      <c r="P352" s="113">
        <f t="shared" si="83"/>
        <v>0</v>
      </c>
      <c r="Q352" s="106" t="s">
        <v>40</v>
      </c>
      <c r="R352" s="114" t="s">
        <v>40</v>
      </c>
      <c r="S352" s="316">
        <v>43100</v>
      </c>
    </row>
    <row r="353" spans="1:34" s="18" customFormat="1" ht="15.75">
      <c r="A353" s="107"/>
      <c r="B353" s="1292" t="s">
        <v>106</v>
      </c>
      <c r="C353" s="1292"/>
      <c r="D353" s="1292"/>
      <c r="E353" s="1292"/>
      <c r="F353" s="1292"/>
      <c r="G353" s="1292"/>
      <c r="H353" s="409">
        <f t="shared" ref="H353:P353" si="84">SUM(H354:H362)</f>
        <v>6412.52</v>
      </c>
      <c r="I353" s="409">
        <f t="shared" si="84"/>
        <v>5554.8</v>
      </c>
      <c r="J353" s="409">
        <f t="shared" si="84"/>
        <v>4851.7</v>
      </c>
      <c r="K353" s="657">
        <f t="shared" si="84"/>
        <v>202</v>
      </c>
      <c r="L353" s="113">
        <f t="shared" si="84"/>
        <v>14213854</v>
      </c>
      <c r="M353" s="113">
        <f t="shared" si="84"/>
        <v>0</v>
      </c>
      <c r="N353" s="113">
        <f t="shared" si="84"/>
        <v>0</v>
      </c>
      <c r="O353" s="113">
        <f t="shared" si="84"/>
        <v>14213854</v>
      </c>
      <c r="P353" s="113">
        <f t="shared" si="84"/>
        <v>0</v>
      </c>
      <c r="Q353" s="106" t="s">
        <v>40</v>
      </c>
      <c r="R353" s="114" t="s">
        <v>40</v>
      </c>
      <c r="S353" s="316">
        <v>43100</v>
      </c>
    </row>
    <row r="354" spans="1:34" s="66" customFormat="1" ht="31.5">
      <c r="A354" s="107"/>
      <c r="B354" s="165" t="s">
        <v>836</v>
      </c>
      <c r="C354" s="166">
        <v>1972</v>
      </c>
      <c r="D354" s="167"/>
      <c r="E354" s="109" t="s">
        <v>218</v>
      </c>
      <c r="F354" s="169">
        <v>2</v>
      </c>
      <c r="G354" s="790">
        <v>2</v>
      </c>
      <c r="H354" s="769">
        <v>577.79999999999995</v>
      </c>
      <c r="I354" s="769">
        <v>530.4</v>
      </c>
      <c r="J354" s="769">
        <v>344.7</v>
      </c>
      <c r="K354" s="769">
        <v>23</v>
      </c>
      <c r="L354" s="655">
        <v>1666855</v>
      </c>
      <c r="M354" s="113">
        <f>SUM(M355:M362)</f>
        <v>0</v>
      </c>
      <c r="N354" s="113">
        <f>SUM(N355:N362)</f>
        <v>0</v>
      </c>
      <c r="O354" s="113">
        <f t="shared" ref="O354:O362" si="85">L354</f>
        <v>1666855</v>
      </c>
      <c r="P354" s="113">
        <f>SUM(P355:P362)</f>
        <v>0</v>
      </c>
      <c r="Q354" s="168">
        <f t="shared" ref="Q354:Q362" si="86">L354/I354</f>
        <v>3142.6376319758674</v>
      </c>
      <c r="R354" s="114">
        <v>7822</v>
      </c>
      <c r="S354" s="316">
        <v>43100</v>
      </c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</row>
    <row r="355" spans="1:34" s="50" customFormat="1" ht="31.5">
      <c r="A355" s="107"/>
      <c r="B355" s="165" t="s">
        <v>837</v>
      </c>
      <c r="C355" s="166">
        <v>1973</v>
      </c>
      <c r="D355" s="167"/>
      <c r="E355" s="109" t="s">
        <v>218</v>
      </c>
      <c r="F355" s="169">
        <v>2</v>
      </c>
      <c r="G355" s="790">
        <v>3</v>
      </c>
      <c r="H355" s="769">
        <v>1040.7</v>
      </c>
      <c r="I355" s="769">
        <v>953.1</v>
      </c>
      <c r="J355" s="769">
        <v>953.1</v>
      </c>
      <c r="K355" s="769">
        <v>18</v>
      </c>
      <c r="L355" s="655">
        <v>2505131</v>
      </c>
      <c r="M355" s="113">
        <f>SUM(M356:M364)</f>
        <v>0</v>
      </c>
      <c r="N355" s="113">
        <f>SUM(N356:N364)</f>
        <v>0</v>
      </c>
      <c r="O355" s="113">
        <f t="shared" si="85"/>
        <v>2505131</v>
      </c>
      <c r="P355" s="113">
        <f>SUM(P356:P364)</f>
        <v>0</v>
      </c>
      <c r="Q355" s="168">
        <f t="shared" si="86"/>
        <v>2628.4031056552303</v>
      </c>
      <c r="R355" s="114">
        <v>7822</v>
      </c>
      <c r="S355" s="316">
        <v>43100</v>
      </c>
    </row>
    <row r="356" spans="1:34" s="50" customFormat="1" ht="31.5">
      <c r="A356" s="107"/>
      <c r="B356" s="165" t="s">
        <v>838</v>
      </c>
      <c r="C356" s="166">
        <v>1940</v>
      </c>
      <c r="D356" s="167"/>
      <c r="E356" s="109" t="s">
        <v>218</v>
      </c>
      <c r="F356" s="169">
        <v>2</v>
      </c>
      <c r="G356" s="790">
        <v>2</v>
      </c>
      <c r="H356" s="769">
        <v>773.9</v>
      </c>
      <c r="I356" s="769">
        <v>715.9</v>
      </c>
      <c r="J356" s="769">
        <v>642.1</v>
      </c>
      <c r="K356" s="769">
        <v>30</v>
      </c>
      <c r="L356" s="655">
        <v>2532008</v>
      </c>
      <c r="M356" s="113">
        <f>SUM(M357:M363)</f>
        <v>0</v>
      </c>
      <c r="N356" s="113">
        <f>SUM(N357:N363)</f>
        <v>0</v>
      </c>
      <c r="O356" s="113">
        <f t="shared" si="85"/>
        <v>2532008</v>
      </c>
      <c r="P356" s="113">
        <f>SUM(P357:P363)</f>
        <v>0</v>
      </c>
      <c r="Q356" s="168">
        <f t="shared" si="86"/>
        <v>3536.8179913395725</v>
      </c>
      <c r="R356" s="114">
        <v>7822</v>
      </c>
      <c r="S356" s="316">
        <v>43100</v>
      </c>
    </row>
    <row r="357" spans="1:34" s="50" customFormat="1" ht="31.5">
      <c r="A357" s="107"/>
      <c r="B357" s="165" t="s">
        <v>839</v>
      </c>
      <c r="C357" s="166">
        <v>1971</v>
      </c>
      <c r="D357" s="167"/>
      <c r="E357" s="109" t="s">
        <v>218</v>
      </c>
      <c r="F357" s="169">
        <v>2</v>
      </c>
      <c r="G357" s="790">
        <v>2</v>
      </c>
      <c r="H357" s="769">
        <v>574</v>
      </c>
      <c r="I357" s="769">
        <v>524.1</v>
      </c>
      <c r="J357" s="769">
        <v>369.7</v>
      </c>
      <c r="K357" s="769">
        <v>22</v>
      </c>
      <c r="L357" s="655">
        <v>1684781</v>
      </c>
      <c r="M357" s="113">
        <f>SUM(M358:M362)</f>
        <v>0</v>
      </c>
      <c r="N357" s="113">
        <f>SUM(N358:N362)</f>
        <v>0</v>
      </c>
      <c r="O357" s="113">
        <f t="shared" si="85"/>
        <v>1684781</v>
      </c>
      <c r="P357" s="113">
        <f>SUM(P358:P362)</f>
        <v>0</v>
      </c>
      <c r="Q357" s="168">
        <f t="shared" si="86"/>
        <v>3214.6174394199579</v>
      </c>
      <c r="R357" s="114">
        <v>7822</v>
      </c>
      <c r="S357" s="316">
        <v>43100</v>
      </c>
    </row>
    <row r="358" spans="1:34" s="50" customFormat="1" ht="31.5">
      <c r="A358" s="107"/>
      <c r="B358" s="165" t="s">
        <v>840</v>
      </c>
      <c r="C358" s="166">
        <v>1965</v>
      </c>
      <c r="D358" s="167"/>
      <c r="E358" s="109" t="s">
        <v>218</v>
      </c>
      <c r="F358" s="169">
        <v>2</v>
      </c>
      <c r="G358" s="790">
        <v>2</v>
      </c>
      <c r="H358" s="769">
        <v>398.92</v>
      </c>
      <c r="I358" s="769">
        <v>365.3</v>
      </c>
      <c r="J358" s="769">
        <v>244.4</v>
      </c>
      <c r="K358" s="769">
        <v>15</v>
      </c>
      <c r="L358" s="655">
        <v>1111881</v>
      </c>
      <c r="M358" s="113">
        <f>SUM(M360:M365)</f>
        <v>0</v>
      </c>
      <c r="N358" s="113">
        <f>SUM(N360:N365)</f>
        <v>0</v>
      </c>
      <c r="O358" s="113">
        <f t="shared" si="85"/>
        <v>1111881</v>
      </c>
      <c r="P358" s="113">
        <f>SUM(P360:P365)</f>
        <v>0</v>
      </c>
      <c r="Q358" s="168">
        <f t="shared" si="86"/>
        <v>3043.7476047084588</v>
      </c>
      <c r="R358" s="114">
        <v>7822</v>
      </c>
      <c r="S358" s="316">
        <v>43100</v>
      </c>
    </row>
    <row r="359" spans="1:34" s="50" customFormat="1" ht="31.5">
      <c r="A359" s="107"/>
      <c r="B359" s="165" t="s">
        <v>841</v>
      </c>
      <c r="C359" s="166">
        <v>1980</v>
      </c>
      <c r="D359" s="167"/>
      <c r="E359" s="109" t="s">
        <v>218</v>
      </c>
      <c r="F359" s="169">
        <v>2</v>
      </c>
      <c r="G359" s="790">
        <v>2</v>
      </c>
      <c r="H359" s="769">
        <v>560.5</v>
      </c>
      <c r="I359" s="769">
        <v>515.1</v>
      </c>
      <c r="J359" s="769">
        <v>434.6</v>
      </c>
      <c r="K359" s="769">
        <v>20</v>
      </c>
      <c r="L359" s="655">
        <v>1500589</v>
      </c>
      <c r="M359" s="113">
        <f>SUM(M360:M366)</f>
        <v>0</v>
      </c>
      <c r="N359" s="113">
        <f>SUM(N360:N366)</f>
        <v>0</v>
      </c>
      <c r="O359" s="113">
        <f t="shared" si="85"/>
        <v>1500589</v>
      </c>
      <c r="P359" s="113">
        <f>SUM(P360:P366)</f>
        <v>0</v>
      </c>
      <c r="Q359" s="168">
        <f t="shared" si="86"/>
        <v>2913.1993787614056</v>
      </c>
      <c r="R359" s="114">
        <v>7822</v>
      </c>
      <c r="S359" s="316">
        <v>43100</v>
      </c>
    </row>
    <row r="360" spans="1:34" s="50" customFormat="1" ht="30.6" customHeight="1">
      <c r="A360" s="107"/>
      <c r="B360" s="165" t="s">
        <v>842</v>
      </c>
      <c r="C360" s="166">
        <v>1974</v>
      </c>
      <c r="D360" s="167"/>
      <c r="E360" s="109" t="s">
        <v>220</v>
      </c>
      <c r="F360" s="169">
        <v>5</v>
      </c>
      <c r="G360" s="790">
        <v>1</v>
      </c>
      <c r="H360" s="792">
        <v>1861.5</v>
      </c>
      <c r="I360" s="769">
        <v>1532.1</v>
      </c>
      <c r="J360" s="769">
        <v>1444.3</v>
      </c>
      <c r="K360" s="769">
        <v>51</v>
      </c>
      <c r="L360" s="655">
        <v>1161775</v>
      </c>
      <c r="M360" s="113">
        <v>0</v>
      </c>
      <c r="N360" s="113">
        <v>0</v>
      </c>
      <c r="O360" s="113">
        <f t="shared" si="85"/>
        <v>1161775</v>
      </c>
      <c r="P360" s="113">
        <v>0</v>
      </c>
      <c r="Q360" s="168">
        <f t="shared" si="86"/>
        <v>758.28927615690884</v>
      </c>
      <c r="R360" s="114">
        <v>7822</v>
      </c>
      <c r="S360" s="316">
        <v>43100</v>
      </c>
    </row>
    <row r="361" spans="1:34" s="50" customFormat="1" ht="31.5">
      <c r="A361" s="107"/>
      <c r="B361" s="165" t="s">
        <v>846</v>
      </c>
      <c r="C361" s="166">
        <v>1917</v>
      </c>
      <c r="D361" s="167"/>
      <c r="E361" s="109" t="s">
        <v>218</v>
      </c>
      <c r="F361" s="169">
        <v>2</v>
      </c>
      <c r="G361" s="790">
        <v>1</v>
      </c>
      <c r="H361" s="769">
        <v>219.6</v>
      </c>
      <c r="I361" s="769">
        <v>184.6</v>
      </c>
      <c r="J361" s="769">
        <v>184.6</v>
      </c>
      <c r="K361" s="769">
        <v>17</v>
      </c>
      <c r="L361" s="655">
        <v>537007</v>
      </c>
      <c r="M361" s="113">
        <f>SUM(M362:M367)</f>
        <v>0</v>
      </c>
      <c r="N361" s="113">
        <f>SUM(N362:N367)</f>
        <v>0</v>
      </c>
      <c r="O361" s="113">
        <f t="shared" si="85"/>
        <v>537007</v>
      </c>
      <c r="P361" s="113">
        <f>SUM(P362:P367)</f>
        <v>0</v>
      </c>
      <c r="Q361" s="168">
        <f t="shared" si="86"/>
        <v>2909.0303358613219</v>
      </c>
      <c r="R361" s="114">
        <v>7822</v>
      </c>
      <c r="S361" s="316">
        <v>43100</v>
      </c>
    </row>
    <row r="362" spans="1:34" s="50" customFormat="1" ht="31.5">
      <c r="A362" s="107"/>
      <c r="B362" s="165" t="s">
        <v>845</v>
      </c>
      <c r="C362" s="166">
        <v>1967</v>
      </c>
      <c r="D362" s="167"/>
      <c r="E362" s="109" t="s">
        <v>218</v>
      </c>
      <c r="F362" s="169">
        <v>2</v>
      </c>
      <c r="G362" s="790">
        <v>1</v>
      </c>
      <c r="H362" s="131">
        <v>405.6</v>
      </c>
      <c r="I362" s="131">
        <v>234.2</v>
      </c>
      <c r="J362" s="131">
        <v>234.2</v>
      </c>
      <c r="K362" s="131">
        <v>6</v>
      </c>
      <c r="L362" s="655">
        <v>1513827</v>
      </c>
      <c r="M362" s="113">
        <f>SUM(M363:M367)</f>
        <v>0</v>
      </c>
      <c r="N362" s="113">
        <f>SUM(N363:N367)</f>
        <v>0</v>
      </c>
      <c r="O362" s="113">
        <f t="shared" si="85"/>
        <v>1513827</v>
      </c>
      <c r="P362" s="113">
        <f>SUM(P363:P367)</f>
        <v>0</v>
      </c>
      <c r="Q362" s="168">
        <f t="shared" si="86"/>
        <v>6463.821520068318</v>
      </c>
      <c r="R362" s="114">
        <v>7822</v>
      </c>
      <c r="S362" s="316">
        <v>43100</v>
      </c>
    </row>
    <row r="363" spans="1:34" s="1" customFormat="1" ht="15.75">
      <c r="A363" s="107"/>
      <c r="B363" s="1292" t="s">
        <v>51</v>
      </c>
      <c r="C363" s="1292"/>
      <c r="D363" s="1292"/>
      <c r="E363" s="1292"/>
      <c r="F363" s="1292"/>
      <c r="G363" s="1292"/>
      <c r="H363" s="765">
        <f>H364</f>
        <v>7394.6</v>
      </c>
      <c r="I363" s="791">
        <f t="shared" ref="I363:P363" si="87">I364</f>
        <v>7394.6</v>
      </c>
      <c r="J363" s="791">
        <f t="shared" si="87"/>
        <v>4847.7</v>
      </c>
      <c r="K363" s="777">
        <f t="shared" si="87"/>
        <v>302</v>
      </c>
      <c r="L363" s="113">
        <f t="shared" si="87"/>
        <v>11379869</v>
      </c>
      <c r="M363" s="113">
        <f t="shared" si="87"/>
        <v>0</v>
      </c>
      <c r="N363" s="113">
        <f t="shared" si="87"/>
        <v>0</v>
      </c>
      <c r="O363" s="113">
        <f t="shared" si="87"/>
        <v>11379869</v>
      </c>
      <c r="P363" s="113">
        <f t="shared" si="87"/>
        <v>0</v>
      </c>
      <c r="Q363" s="106" t="s">
        <v>40</v>
      </c>
      <c r="R363" s="106" t="s">
        <v>40</v>
      </c>
      <c r="S363" s="316">
        <v>43100</v>
      </c>
    </row>
    <row r="364" spans="1:34" s="1" customFormat="1" ht="22.9" customHeight="1">
      <c r="A364" s="107"/>
      <c r="B364" s="1292" t="s">
        <v>108</v>
      </c>
      <c r="C364" s="1292"/>
      <c r="D364" s="1292"/>
      <c r="E364" s="1292"/>
      <c r="F364" s="1335"/>
      <c r="G364" s="1335"/>
      <c r="H364" s="613">
        <f t="shared" ref="H364:P364" si="88">SUM(H365:H372)</f>
        <v>7394.6</v>
      </c>
      <c r="I364" s="952">
        <f t="shared" si="88"/>
        <v>7394.6</v>
      </c>
      <c r="J364" s="952">
        <f t="shared" si="88"/>
        <v>4847.7</v>
      </c>
      <c r="K364" s="657">
        <f t="shared" si="88"/>
        <v>302</v>
      </c>
      <c r="L364" s="113">
        <f t="shared" si="88"/>
        <v>11379869</v>
      </c>
      <c r="M364" s="113">
        <f t="shared" si="88"/>
        <v>0</v>
      </c>
      <c r="N364" s="113">
        <f t="shared" si="88"/>
        <v>0</v>
      </c>
      <c r="O364" s="113">
        <f t="shared" si="88"/>
        <v>11379869</v>
      </c>
      <c r="P364" s="113">
        <f t="shared" si="88"/>
        <v>0</v>
      </c>
      <c r="Q364" s="106" t="s">
        <v>40</v>
      </c>
      <c r="R364" s="106" t="s">
        <v>40</v>
      </c>
      <c r="S364" s="316">
        <v>43100</v>
      </c>
    </row>
    <row r="365" spans="1:34" s="51" customFormat="1" ht="31.5">
      <c r="A365" s="107"/>
      <c r="B365" s="945" t="s">
        <v>998</v>
      </c>
      <c r="C365" s="118" t="s">
        <v>190</v>
      </c>
      <c r="D365" s="118"/>
      <c r="E365" s="611" t="s">
        <v>218</v>
      </c>
      <c r="F365" s="953">
        <v>1</v>
      </c>
      <c r="G365" s="953">
        <v>2</v>
      </c>
      <c r="H365" s="955">
        <v>333.1</v>
      </c>
      <c r="I365" s="956">
        <v>333.1</v>
      </c>
      <c r="J365" s="955">
        <v>231.8</v>
      </c>
      <c r="K365" s="953">
        <v>11</v>
      </c>
      <c r="L365" s="655">
        <f>O365</f>
        <v>957124</v>
      </c>
      <c r="M365" s="113">
        <v>0</v>
      </c>
      <c r="N365" s="113">
        <v>0</v>
      </c>
      <c r="O365" s="113">
        <v>957124</v>
      </c>
      <c r="P365" s="113">
        <v>0</v>
      </c>
      <c r="Q365" s="170">
        <f t="shared" ref="Q365:Q375" si="89">L365/I365</f>
        <v>2873.3833683578505</v>
      </c>
      <c r="R365" s="114">
        <v>7822</v>
      </c>
      <c r="S365" s="316">
        <v>43100</v>
      </c>
    </row>
    <row r="366" spans="1:34" s="51" customFormat="1" ht="31.5">
      <c r="A366" s="107"/>
      <c r="B366" s="945" t="s">
        <v>999</v>
      </c>
      <c r="C366" s="118">
        <v>1965</v>
      </c>
      <c r="D366" s="118"/>
      <c r="E366" s="611" t="s">
        <v>218</v>
      </c>
      <c r="F366" s="953">
        <v>2</v>
      </c>
      <c r="G366" s="953">
        <v>2</v>
      </c>
      <c r="H366" s="955">
        <v>456</v>
      </c>
      <c r="I366" s="956">
        <v>456</v>
      </c>
      <c r="J366" s="955">
        <v>294.7</v>
      </c>
      <c r="K366" s="953">
        <v>23</v>
      </c>
      <c r="L366" s="655">
        <f t="shared" ref="L366:L372" si="90">O366</f>
        <v>1382612</v>
      </c>
      <c r="M366" s="113">
        <v>0</v>
      </c>
      <c r="N366" s="113">
        <v>0</v>
      </c>
      <c r="O366" s="113">
        <v>1382612</v>
      </c>
      <c r="P366" s="113">
        <v>0</v>
      </c>
      <c r="Q366" s="170">
        <f t="shared" si="89"/>
        <v>3032.0438596491226</v>
      </c>
      <c r="R366" s="114">
        <v>7822</v>
      </c>
      <c r="S366" s="316">
        <v>43100</v>
      </c>
    </row>
    <row r="367" spans="1:34" s="51" customFormat="1" ht="31.5">
      <c r="A367" s="107"/>
      <c r="B367" s="945" t="s">
        <v>1000</v>
      </c>
      <c r="C367" s="118">
        <v>1988</v>
      </c>
      <c r="D367" s="118"/>
      <c r="E367" s="611" t="s">
        <v>218</v>
      </c>
      <c r="F367" s="953">
        <v>4</v>
      </c>
      <c r="G367" s="953">
        <v>1</v>
      </c>
      <c r="H367" s="955">
        <v>1590</v>
      </c>
      <c r="I367" s="956">
        <v>1590</v>
      </c>
      <c r="J367" s="955">
        <v>988.8</v>
      </c>
      <c r="K367" s="953">
        <v>99</v>
      </c>
      <c r="L367" s="655">
        <f t="shared" si="90"/>
        <v>2008170</v>
      </c>
      <c r="M367" s="113">
        <v>0</v>
      </c>
      <c r="N367" s="113">
        <v>0</v>
      </c>
      <c r="O367" s="113">
        <v>2008170</v>
      </c>
      <c r="P367" s="113">
        <v>0</v>
      </c>
      <c r="Q367" s="170">
        <f t="shared" si="89"/>
        <v>1263</v>
      </c>
      <c r="R367" s="114">
        <v>7822</v>
      </c>
      <c r="S367" s="316">
        <v>43100</v>
      </c>
    </row>
    <row r="368" spans="1:34" s="1" customFormat="1" ht="31.5">
      <c r="A368" s="107"/>
      <c r="B368" s="171" t="s">
        <v>1001</v>
      </c>
      <c r="C368" s="172">
        <v>1900</v>
      </c>
      <c r="D368" s="171"/>
      <c r="E368" s="611" t="s">
        <v>218</v>
      </c>
      <c r="F368" s="953">
        <v>2</v>
      </c>
      <c r="G368" s="953">
        <v>2</v>
      </c>
      <c r="H368" s="955">
        <v>762.2</v>
      </c>
      <c r="I368" s="956">
        <v>762.2</v>
      </c>
      <c r="J368" s="955">
        <v>511.6</v>
      </c>
      <c r="K368" s="953">
        <v>22</v>
      </c>
      <c r="L368" s="655">
        <f t="shared" si="90"/>
        <v>1551693</v>
      </c>
      <c r="M368" s="113">
        <v>0</v>
      </c>
      <c r="N368" s="113">
        <v>0</v>
      </c>
      <c r="O368" s="113">
        <v>1551693</v>
      </c>
      <c r="P368" s="113">
        <v>0</v>
      </c>
      <c r="Q368" s="170">
        <f t="shared" si="89"/>
        <v>2035.8081868276042</v>
      </c>
      <c r="R368" s="114">
        <v>7822</v>
      </c>
      <c r="S368" s="316">
        <v>43100</v>
      </c>
    </row>
    <row r="369" spans="1:19" s="1" customFormat="1" ht="31.5">
      <c r="A369" s="107"/>
      <c r="B369" s="945" t="s">
        <v>1002</v>
      </c>
      <c r="C369" s="118">
        <v>1975</v>
      </c>
      <c r="D369" s="118"/>
      <c r="E369" s="611" t="s">
        <v>218</v>
      </c>
      <c r="F369" s="953">
        <v>2</v>
      </c>
      <c r="G369" s="953">
        <v>2</v>
      </c>
      <c r="H369" s="955">
        <v>458.7</v>
      </c>
      <c r="I369" s="956">
        <v>458.7</v>
      </c>
      <c r="J369" s="955">
        <v>288.60000000000002</v>
      </c>
      <c r="K369" s="953">
        <v>15</v>
      </c>
      <c r="L369" s="655">
        <f t="shared" si="90"/>
        <v>1404334</v>
      </c>
      <c r="M369" s="113">
        <v>0</v>
      </c>
      <c r="N369" s="113">
        <v>0</v>
      </c>
      <c r="O369" s="113">
        <v>1404334</v>
      </c>
      <c r="P369" s="113">
        <v>0</v>
      </c>
      <c r="Q369" s="170">
        <f t="shared" si="89"/>
        <v>3061.5522127752342</v>
      </c>
      <c r="R369" s="114">
        <v>7822</v>
      </c>
      <c r="S369" s="316">
        <v>43100</v>
      </c>
    </row>
    <row r="370" spans="1:19" s="23" customFormat="1" ht="31.5">
      <c r="A370" s="107"/>
      <c r="B370" s="567" t="s">
        <v>1003</v>
      </c>
      <c r="C370" s="118" t="s">
        <v>190</v>
      </c>
      <c r="D370" s="118"/>
      <c r="E370" s="611" t="s">
        <v>218</v>
      </c>
      <c r="F370" s="954">
        <v>2</v>
      </c>
      <c r="G370" s="954">
        <v>6</v>
      </c>
      <c r="H370" s="957">
        <v>389</v>
      </c>
      <c r="I370" s="957">
        <v>389</v>
      </c>
      <c r="J370" s="957">
        <v>269.39999999999998</v>
      </c>
      <c r="K370" s="954">
        <v>12</v>
      </c>
      <c r="L370" s="655">
        <f t="shared" si="90"/>
        <v>1321007</v>
      </c>
      <c r="M370" s="113">
        <v>0</v>
      </c>
      <c r="N370" s="113">
        <v>0</v>
      </c>
      <c r="O370" s="113">
        <v>1321007</v>
      </c>
      <c r="P370" s="113">
        <v>0</v>
      </c>
      <c r="Q370" s="170">
        <f t="shared" si="89"/>
        <v>3395.9048843187661</v>
      </c>
      <c r="R370" s="114">
        <v>7822</v>
      </c>
      <c r="S370" s="316">
        <v>43100</v>
      </c>
    </row>
    <row r="371" spans="1:19" s="1" customFormat="1" ht="31.5">
      <c r="A371" s="107"/>
      <c r="B371" s="945" t="s">
        <v>1004</v>
      </c>
      <c r="C371" s="118" t="s">
        <v>190</v>
      </c>
      <c r="D371" s="118"/>
      <c r="E371" s="611" t="s">
        <v>218</v>
      </c>
      <c r="F371" s="954">
        <v>2</v>
      </c>
      <c r="G371" s="954">
        <v>2</v>
      </c>
      <c r="H371" s="957">
        <v>276.5</v>
      </c>
      <c r="I371" s="957">
        <v>276.5</v>
      </c>
      <c r="J371" s="957">
        <v>128.69999999999999</v>
      </c>
      <c r="K371" s="954">
        <v>7</v>
      </c>
      <c r="L371" s="655">
        <f t="shared" si="90"/>
        <v>576885</v>
      </c>
      <c r="M371" s="113">
        <v>0</v>
      </c>
      <c r="N371" s="113">
        <v>0</v>
      </c>
      <c r="O371" s="113">
        <v>576885</v>
      </c>
      <c r="P371" s="113">
        <v>0</v>
      </c>
      <c r="Q371" s="170">
        <f t="shared" si="89"/>
        <v>2086.3833634719713</v>
      </c>
      <c r="R371" s="114">
        <v>7822</v>
      </c>
      <c r="S371" s="316">
        <v>43100</v>
      </c>
    </row>
    <row r="372" spans="1:19" s="1" customFormat="1" ht="31.5">
      <c r="A372" s="107"/>
      <c r="B372" s="945" t="s">
        <v>1005</v>
      </c>
      <c r="C372" s="118">
        <v>1975</v>
      </c>
      <c r="D372" s="118"/>
      <c r="E372" s="611" t="s">
        <v>218</v>
      </c>
      <c r="F372" s="954">
        <v>5</v>
      </c>
      <c r="G372" s="954">
        <v>4</v>
      </c>
      <c r="H372" s="957">
        <v>3129.1</v>
      </c>
      <c r="I372" s="957">
        <v>3129.1</v>
      </c>
      <c r="J372" s="957">
        <v>2134.1</v>
      </c>
      <c r="K372" s="954">
        <v>113</v>
      </c>
      <c r="L372" s="655">
        <f t="shared" si="90"/>
        <v>2178044</v>
      </c>
      <c r="M372" s="113">
        <v>0</v>
      </c>
      <c r="N372" s="113">
        <v>0</v>
      </c>
      <c r="O372" s="113">
        <v>2178044</v>
      </c>
      <c r="P372" s="113">
        <v>0</v>
      </c>
      <c r="Q372" s="170">
        <f t="shared" si="89"/>
        <v>696.06084816720465</v>
      </c>
      <c r="R372" s="114">
        <v>7822</v>
      </c>
      <c r="S372" s="316">
        <v>43100</v>
      </c>
    </row>
    <row r="373" spans="1:19" s="1" customFormat="1" ht="15.75">
      <c r="A373" s="308"/>
      <c r="B373" s="1293" t="s">
        <v>882</v>
      </c>
      <c r="C373" s="1293"/>
      <c r="D373" s="1293"/>
      <c r="E373" s="1293"/>
      <c r="F373" s="1339"/>
      <c r="G373" s="1339"/>
      <c r="H373" s="961">
        <f>H374+H375</f>
        <v>1087.7</v>
      </c>
      <c r="I373" s="961">
        <f t="shared" ref="I373:P373" si="91">I374+I375</f>
        <v>1087.7</v>
      </c>
      <c r="J373" s="961">
        <f t="shared" si="91"/>
        <v>838.8</v>
      </c>
      <c r="K373" s="961">
        <f t="shared" si="91"/>
        <v>55</v>
      </c>
      <c r="L373" s="962">
        <f t="shared" si="91"/>
        <v>2903743</v>
      </c>
      <c r="M373" s="962">
        <f t="shared" si="91"/>
        <v>0</v>
      </c>
      <c r="N373" s="962">
        <f t="shared" si="91"/>
        <v>0</v>
      </c>
      <c r="O373" s="962">
        <f t="shared" si="91"/>
        <v>2903743</v>
      </c>
      <c r="P373" s="962">
        <f t="shared" si="91"/>
        <v>0</v>
      </c>
      <c r="Q373" s="350" t="s">
        <v>40</v>
      </c>
      <c r="R373" s="350" t="s">
        <v>40</v>
      </c>
      <c r="S373" s="316">
        <v>43100</v>
      </c>
    </row>
    <row r="374" spans="1:19" s="1" customFormat="1" ht="38.450000000000003" customHeight="1">
      <c r="A374" s="308"/>
      <c r="B374" s="963" t="s">
        <v>883</v>
      </c>
      <c r="C374" s="964">
        <v>1969</v>
      </c>
      <c r="D374" s="963"/>
      <c r="E374" s="311" t="s">
        <v>218</v>
      </c>
      <c r="F374" s="964">
        <v>2</v>
      </c>
      <c r="G374" s="964">
        <v>2</v>
      </c>
      <c r="H374" s="965">
        <v>571.20000000000005</v>
      </c>
      <c r="I374" s="965">
        <v>571.20000000000005</v>
      </c>
      <c r="J374" s="964">
        <v>522.79999999999995</v>
      </c>
      <c r="K374" s="966">
        <v>33</v>
      </c>
      <c r="L374" s="314">
        <v>1605412</v>
      </c>
      <c r="M374" s="314">
        <v>0</v>
      </c>
      <c r="N374" s="314">
        <v>0</v>
      </c>
      <c r="O374" s="314">
        <v>1605412</v>
      </c>
      <c r="P374" s="314">
        <v>0</v>
      </c>
      <c r="Q374" s="967">
        <f t="shared" si="89"/>
        <v>2810.5952380952381</v>
      </c>
      <c r="R374" s="315">
        <v>7822</v>
      </c>
      <c r="S374" s="316">
        <v>43100</v>
      </c>
    </row>
    <row r="375" spans="1:19" s="1" customFormat="1" ht="27" customHeight="1">
      <c r="A375" s="308"/>
      <c r="B375" s="963" t="s">
        <v>884</v>
      </c>
      <c r="C375" s="964">
        <v>1948</v>
      </c>
      <c r="D375" s="963"/>
      <c r="E375" s="311" t="s">
        <v>221</v>
      </c>
      <c r="F375" s="964">
        <v>2</v>
      </c>
      <c r="G375" s="964">
        <v>2</v>
      </c>
      <c r="H375" s="965">
        <v>516.5</v>
      </c>
      <c r="I375" s="965">
        <v>516.5</v>
      </c>
      <c r="J375" s="964">
        <v>316</v>
      </c>
      <c r="K375" s="966">
        <v>22</v>
      </c>
      <c r="L375" s="314">
        <v>1298331</v>
      </c>
      <c r="M375" s="314">
        <v>0</v>
      </c>
      <c r="N375" s="314">
        <v>0</v>
      </c>
      <c r="O375" s="314">
        <v>1298331</v>
      </c>
      <c r="P375" s="314">
        <v>0</v>
      </c>
      <c r="Q375" s="967">
        <f t="shared" si="89"/>
        <v>2513.7095837366892</v>
      </c>
      <c r="R375" s="315">
        <v>7822</v>
      </c>
      <c r="S375" s="316">
        <v>43100</v>
      </c>
    </row>
    <row r="376" spans="1:19" s="1" customFormat="1" ht="15.75">
      <c r="A376" s="107"/>
      <c r="B376" s="1292" t="s">
        <v>52</v>
      </c>
      <c r="C376" s="1292"/>
      <c r="D376" s="1292"/>
      <c r="E376" s="1292"/>
      <c r="F376" s="1292"/>
      <c r="G376" s="1292"/>
      <c r="H376" s="128">
        <f t="shared" ref="H376:P376" si="92">H380+H377+H382</f>
        <v>2360.4</v>
      </c>
      <c r="I376" s="128">
        <f t="shared" si="92"/>
        <v>2297</v>
      </c>
      <c r="J376" s="128">
        <f t="shared" si="92"/>
        <v>1849.6999999999998</v>
      </c>
      <c r="K376" s="162">
        <f t="shared" si="92"/>
        <v>81</v>
      </c>
      <c r="L376" s="113">
        <f t="shared" si="92"/>
        <v>3121077</v>
      </c>
      <c r="M376" s="113">
        <f t="shared" si="92"/>
        <v>0</v>
      </c>
      <c r="N376" s="113">
        <f t="shared" si="92"/>
        <v>92056</v>
      </c>
      <c r="O376" s="113">
        <f t="shared" si="92"/>
        <v>3029021</v>
      </c>
      <c r="P376" s="113">
        <f t="shared" si="92"/>
        <v>0</v>
      </c>
      <c r="Q376" s="106" t="s">
        <v>40</v>
      </c>
      <c r="R376" s="106" t="s">
        <v>40</v>
      </c>
      <c r="S376" s="316">
        <v>43100</v>
      </c>
    </row>
    <row r="377" spans="1:19" s="1" customFormat="1" ht="15.75">
      <c r="A377" s="308"/>
      <c r="B377" s="1293" t="s">
        <v>130</v>
      </c>
      <c r="C377" s="1293"/>
      <c r="D377" s="1293"/>
      <c r="E377" s="1293"/>
      <c r="F377" s="1293"/>
      <c r="G377" s="1293"/>
      <c r="H377" s="347">
        <f>H378</f>
        <v>704.6</v>
      </c>
      <c r="I377" s="347">
        <f t="shared" ref="I377:P377" si="93">I378</f>
        <v>704.6</v>
      </c>
      <c r="J377" s="347">
        <f t="shared" si="93"/>
        <v>655.9</v>
      </c>
      <c r="K377" s="347">
        <f t="shared" si="93"/>
        <v>16</v>
      </c>
      <c r="L377" s="670">
        <f t="shared" si="93"/>
        <v>1828731</v>
      </c>
      <c r="M377" s="670">
        <f t="shared" si="93"/>
        <v>0</v>
      </c>
      <c r="N377" s="670">
        <f t="shared" si="93"/>
        <v>0</v>
      </c>
      <c r="O377" s="670">
        <f t="shared" si="93"/>
        <v>1828731</v>
      </c>
      <c r="P377" s="670">
        <f t="shared" si="93"/>
        <v>0</v>
      </c>
      <c r="Q377" s="350" t="s">
        <v>40</v>
      </c>
      <c r="R377" s="350" t="s">
        <v>40</v>
      </c>
      <c r="S377" s="316">
        <v>43100</v>
      </c>
    </row>
    <row r="378" spans="1:19" s="41" customFormat="1" ht="31.5">
      <c r="A378" s="308">
        <v>60</v>
      </c>
      <c r="B378" s="870" t="s">
        <v>672</v>
      </c>
      <c r="C378" s="387">
        <v>1962</v>
      </c>
      <c r="D378" s="387"/>
      <c r="E378" s="311" t="s">
        <v>218</v>
      </c>
      <c r="F378" s="387">
        <v>2</v>
      </c>
      <c r="G378" s="387">
        <v>2</v>
      </c>
      <c r="H378" s="387">
        <v>704.6</v>
      </c>
      <c r="I378" s="387">
        <v>704.6</v>
      </c>
      <c r="J378" s="387">
        <v>655.9</v>
      </c>
      <c r="K378" s="387">
        <v>16</v>
      </c>
      <c r="L378" s="314">
        <v>1828731</v>
      </c>
      <c r="M378" s="314">
        <v>0</v>
      </c>
      <c r="N378" s="314">
        <v>0</v>
      </c>
      <c r="O378" s="314">
        <f>L378</f>
        <v>1828731</v>
      </c>
      <c r="P378" s="314">
        <v>0</v>
      </c>
      <c r="Q378" s="315">
        <f>L378/I378</f>
        <v>2595.4172580187342</v>
      </c>
      <c r="R378" s="608">
        <v>7822</v>
      </c>
      <c r="S378" s="316">
        <v>43100</v>
      </c>
    </row>
    <row r="379" spans="1:19" s="41" customFormat="1" ht="15.75">
      <c r="A379" s="308"/>
      <c r="B379" s="337"/>
      <c r="C379" s="308"/>
      <c r="D379" s="308"/>
      <c r="E379" s="311"/>
      <c r="F379" s="308"/>
      <c r="G379" s="308"/>
      <c r="H379" s="609"/>
      <c r="I379" s="609"/>
      <c r="J379" s="308"/>
      <c r="K379" s="308"/>
      <c r="L379" s="314"/>
      <c r="M379" s="314"/>
      <c r="N379" s="314"/>
      <c r="O379" s="314"/>
      <c r="P379" s="314"/>
      <c r="Q379" s="315"/>
      <c r="R379" s="608"/>
      <c r="S379" s="316"/>
    </row>
    <row r="380" spans="1:19" s="1" customFormat="1" ht="15.75" customHeight="1">
      <c r="A380" s="107"/>
      <c r="B380" s="1294" t="s">
        <v>109</v>
      </c>
      <c r="C380" s="1294"/>
      <c r="D380" s="1294"/>
      <c r="E380" s="1294"/>
      <c r="F380" s="1294"/>
      <c r="G380" s="1294"/>
      <c r="H380" s="128">
        <f>H381</f>
        <v>799.3</v>
      </c>
      <c r="I380" s="106">
        <f t="shared" ref="I380:P380" si="94">I381</f>
        <v>735.9</v>
      </c>
      <c r="J380" s="106">
        <f t="shared" si="94"/>
        <v>693.8</v>
      </c>
      <c r="K380" s="119">
        <f t="shared" si="94"/>
        <v>32</v>
      </c>
      <c r="L380" s="113">
        <v>201010</v>
      </c>
      <c r="M380" s="113">
        <f t="shared" si="94"/>
        <v>0</v>
      </c>
      <c r="N380" s="113">
        <f t="shared" si="94"/>
        <v>92056</v>
      </c>
      <c r="O380" s="113">
        <f t="shared" si="94"/>
        <v>108954</v>
      </c>
      <c r="P380" s="113">
        <f t="shared" si="94"/>
        <v>0</v>
      </c>
      <c r="Q380" s="106" t="s">
        <v>40</v>
      </c>
      <c r="R380" s="106" t="s">
        <v>40</v>
      </c>
      <c r="S380" s="316">
        <v>43100</v>
      </c>
    </row>
    <row r="381" spans="1:19" s="1" customFormat="1" ht="15.75">
      <c r="A381" s="107"/>
      <c r="B381" s="261" t="s">
        <v>414</v>
      </c>
      <c r="C381" s="269">
        <v>1977</v>
      </c>
      <c r="D381" s="118"/>
      <c r="E381" s="109" t="s">
        <v>219</v>
      </c>
      <c r="F381" s="118">
        <v>2</v>
      </c>
      <c r="G381" s="118">
        <v>2</v>
      </c>
      <c r="H381" s="128">
        <v>799.3</v>
      </c>
      <c r="I381" s="106">
        <v>735.9</v>
      </c>
      <c r="J381" s="106">
        <v>693.8</v>
      </c>
      <c r="K381" s="119">
        <v>32</v>
      </c>
      <c r="L381" s="113">
        <v>201010</v>
      </c>
      <c r="M381" s="113">
        <v>0</v>
      </c>
      <c r="N381" s="113">
        <v>92056</v>
      </c>
      <c r="O381" s="113">
        <v>108954</v>
      </c>
      <c r="P381" s="113">
        <v>0</v>
      </c>
      <c r="Q381" s="106">
        <f>L381/I381</f>
        <v>273.14852561489334</v>
      </c>
      <c r="R381" s="114">
        <v>6774</v>
      </c>
      <c r="S381" s="316">
        <v>43100</v>
      </c>
    </row>
    <row r="382" spans="1:19" s="23" customFormat="1" ht="15.75" customHeight="1">
      <c r="A382" s="107"/>
      <c r="B382" s="1328" t="s">
        <v>198</v>
      </c>
      <c r="C382" s="1328"/>
      <c r="D382" s="1328"/>
      <c r="E382" s="1328"/>
      <c r="F382" s="1328"/>
      <c r="G382" s="1328"/>
      <c r="H382" s="128">
        <f>H383</f>
        <v>856.5</v>
      </c>
      <c r="I382" s="128">
        <f t="shared" ref="I382:P382" si="95">I383</f>
        <v>856.5</v>
      </c>
      <c r="J382" s="128">
        <f t="shared" si="95"/>
        <v>500</v>
      </c>
      <c r="K382" s="175">
        <f t="shared" si="95"/>
        <v>33</v>
      </c>
      <c r="L382" s="113">
        <f t="shared" si="95"/>
        <v>1091336</v>
      </c>
      <c r="M382" s="113">
        <f t="shared" si="95"/>
        <v>0</v>
      </c>
      <c r="N382" s="113">
        <f t="shared" si="95"/>
        <v>0</v>
      </c>
      <c r="O382" s="113">
        <f t="shared" si="95"/>
        <v>1091336</v>
      </c>
      <c r="P382" s="113">
        <f t="shared" si="95"/>
        <v>0</v>
      </c>
      <c r="Q382" s="106" t="s">
        <v>40</v>
      </c>
      <c r="R382" s="114" t="s">
        <v>40</v>
      </c>
      <c r="S382" s="316">
        <v>43100</v>
      </c>
    </row>
    <row r="383" spans="1:19" s="23" customFormat="1" ht="31.5">
      <c r="A383" s="107"/>
      <c r="B383" s="264" t="s">
        <v>415</v>
      </c>
      <c r="C383" s="269">
        <v>1982</v>
      </c>
      <c r="D383" s="118"/>
      <c r="E383" s="109" t="s">
        <v>218</v>
      </c>
      <c r="F383" s="118">
        <v>2</v>
      </c>
      <c r="G383" s="118">
        <v>3</v>
      </c>
      <c r="H383" s="128">
        <v>856.5</v>
      </c>
      <c r="I383" s="106">
        <v>856.5</v>
      </c>
      <c r="J383" s="106">
        <v>500</v>
      </c>
      <c r="K383" s="119">
        <v>33</v>
      </c>
      <c r="L383" s="113">
        <v>1091336</v>
      </c>
      <c r="M383" s="113">
        <v>0</v>
      </c>
      <c r="N383" s="113">
        <v>0</v>
      </c>
      <c r="O383" s="113">
        <f>L383</f>
        <v>1091336</v>
      </c>
      <c r="P383" s="113">
        <v>0</v>
      </c>
      <c r="Q383" s="106">
        <f>L383/I383</f>
        <v>1274.1809690601285</v>
      </c>
      <c r="R383" s="114">
        <v>6774</v>
      </c>
      <c r="S383" s="316">
        <v>43100</v>
      </c>
    </row>
    <row r="384" spans="1:19" s="1" customFormat="1" ht="15.75">
      <c r="A384" s="107"/>
      <c r="B384" s="1292" t="s">
        <v>53</v>
      </c>
      <c r="C384" s="1292"/>
      <c r="D384" s="1292"/>
      <c r="E384" s="1292"/>
      <c r="F384" s="1292"/>
      <c r="G384" s="1292"/>
      <c r="H384" s="106">
        <f>H385+H401+H403+H405+H415+H417+H419+H412</f>
        <v>102181.8</v>
      </c>
      <c r="I384" s="106">
        <f t="shared" ref="I384:P384" si="96">I385+I401+I403+I405+I415+I417+I419+I412</f>
        <v>76056.159999999989</v>
      </c>
      <c r="J384" s="106">
        <f t="shared" si="96"/>
        <v>73347.16</v>
      </c>
      <c r="K384" s="106">
        <f t="shared" si="96"/>
        <v>3020</v>
      </c>
      <c r="L384" s="106">
        <f t="shared" si="96"/>
        <v>55852955.920000002</v>
      </c>
      <c r="M384" s="106">
        <f t="shared" si="96"/>
        <v>0</v>
      </c>
      <c r="N384" s="106">
        <f t="shared" si="96"/>
        <v>371832.54000000004</v>
      </c>
      <c r="O384" s="106">
        <f t="shared" si="96"/>
        <v>55481123.379999995</v>
      </c>
      <c r="P384" s="106">
        <f t="shared" si="96"/>
        <v>0</v>
      </c>
      <c r="Q384" s="106" t="s">
        <v>40</v>
      </c>
      <c r="R384" s="106" t="s">
        <v>40</v>
      </c>
      <c r="S384" s="316">
        <v>43100</v>
      </c>
    </row>
    <row r="385" spans="1:34" s="1" customFormat="1" ht="15.75">
      <c r="A385" s="107"/>
      <c r="B385" s="1292" t="s">
        <v>88</v>
      </c>
      <c r="C385" s="1292"/>
      <c r="D385" s="1292"/>
      <c r="E385" s="1292"/>
      <c r="F385" s="1292"/>
      <c r="G385" s="1292"/>
      <c r="H385" s="613">
        <f>SUM(H386:H395)</f>
        <v>77350</v>
      </c>
      <c r="I385" s="613">
        <f t="shared" ref="I385:P385" si="97">SUM(I386:I395)</f>
        <v>54170</v>
      </c>
      <c r="J385" s="613">
        <f t="shared" si="97"/>
        <v>53000.799999999996</v>
      </c>
      <c r="K385" s="613">
        <f t="shared" si="97"/>
        <v>2037</v>
      </c>
      <c r="L385" s="415">
        <f t="shared" si="97"/>
        <v>31676745</v>
      </c>
      <c r="M385" s="415">
        <f t="shared" si="97"/>
        <v>0</v>
      </c>
      <c r="N385" s="415">
        <f t="shared" si="97"/>
        <v>0</v>
      </c>
      <c r="O385" s="415">
        <f t="shared" si="97"/>
        <v>31676745</v>
      </c>
      <c r="P385" s="415">
        <f t="shared" si="97"/>
        <v>0</v>
      </c>
      <c r="Q385" s="106" t="s">
        <v>40</v>
      </c>
      <c r="R385" s="106" t="s">
        <v>40</v>
      </c>
      <c r="S385" s="316">
        <v>43100</v>
      </c>
    </row>
    <row r="386" spans="1:34" s="21" customFormat="1" ht="18" customHeight="1">
      <c r="A386" s="308">
        <v>61</v>
      </c>
      <c r="B386" s="549" t="s">
        <v>416</v>
      </c>
      <c r="C386" s="403">
        <v>1987</v>
      </c>
      <c r="D386" s="403"/>
      <c r="E386" s="311" t="s">
        <v>219</v>
      </c>
      <c r="F386" s="403">
        <v>9</v>
      </c>
      <c r="G386" s="845">
        <v>3</v>
      </c>
      <c r="H386" s="846">
        <v>7788.1</v>
      </c>
      <c r="I386" s="846">
        <v>5529.2</v>
      </c>
      <c r="J386" s="846">
        <f>I386</f>
        <v>5529.2</v>
      </c>
      <c r="K386" s="846">
        <v>219</v>
      </c>
      <c r="L386" s="847">
        <v>3883714</v>
      </c>
      <c r="M386" s="848">
        <v>0</v>
      </c>
      <c r="N386" s="849">
        <v>0</v>
      </c>
      <c r="O386" s="849">
        <f t="shared" ref="O386:O395" si="98">L386</f>
        <v>3883714</v>
      </c>
      <c r="P386" s="849">
        <v>0</v>
      </c>
      <c r="Q386" s="315">
        <f t="shared" ref="Q386:Q400" si="99">L386/I386</f>
        <v>702.40070896332202</v>
      </c>
      <c r="R386" s="315">
        <v>7822</v>
      </c>
      <c r="S386" s="316">
        <v>43100</v>
      </c>
    </row>
    <row r="387" spans="1:34" s="21" customFormat="1" ht="20.45" customHeight="1">
      <c r="A387" s="308">
        <v>62</v>
      </c>
      <c r="B387" s="549" t="s">
        <v>743</v>
      </c>
      <c r="C387" s="403">
        <v>1988</v>
      </c>
      <c r="D387" s="403"/>
      <c r="E387" s="311" t="s">
        <v>219</v>
      </c>
      <c r="F387" s="403">
        <v>9</v>
      </c>
      <c r="G387" s="845">
        <v>4</v>
      </c>
      <c r="H387" s="846">
        <v>10415.1</v>
      </c>
      <c r="I387" s="846">
        <v>7937.2</v>
      </c>
      <c r="J387" s="846">
        <f>I387-54.8</f>
        <v>7882.4</v>
      </c>
      <c r="K387" s="846">
        <v>144</v>
      </c>
      <c r="L387" s="847">
        <v>3894862</v>
      </c>
      <c r="M387" s="848">
        <v>0</v>
      </c>
      <c r="N387" s="849">
        <v>0</v>
      </c>
      <c r="O387" s="849">
        <f t="shared" si="98"/>
        <v>3894862</v>
      </c>
      <c r="P387" s="849">
        <v>0</v>
      </c>
      <c r="Q387" s="315">
        <f t="shared" si="99"/>
        <v>490.70982210351258</v>
      </c>
      <c r="R387" s="315">
        <v>7822</v>
      </c>
      <c r="S387" s="316">
        <v>43100</v>
      </c>
    </row>
    <row r="388" spans="1:34" s="21" customFormat="1" ht="23.45" customHeight="1">
      <c r="A388" s="308">
        <v>63</v>
      </c>
      <c r="B388" s="549" t="s">
        <v>417</v>
      </c>
      <c r="C388" s="403">
        <v>1990</v>
      </c>
      <c r="D388" s="403"/>
      <c r="E388" s="311" t="s">
        <v>219</v>
      </c>
      <c r="F388" s="403">
        <v>9</v>
      </c>
      <c r="G388" s="845">
        <v>3</v>
      </c>
      <c r="H388" s="846">
        <v>7717.9</v>
      </c>
      <c r="I388" s="846">
        <v>5472.2</v>
      </c>
      <c r="J388" s="846">
        <f>I388-142.7</f>
        <v>5329.5</v>
      </c>
      <c r="K388" s="846">
        <v>236</v>
      </c>
      <c r="L388" s="847">
        <v>3877521</v>
      </c>
      <c r="M388" s="848">
        <v>0</v>
      </c>
      <c r="N388" s="849">
        <v>0</v>
      </c>
      <c r="O388" s="849">
        <f t="shared" si="98"/>
        <v>3877521</v>
      </c>
      <c r="P388" s="849">
        <v>0</v>
      </c>
      <c r="Q388" s="315">
        <f t="shared" si="99"/>
        <v>708.58539527064067</v>
      </c>
      <c r="R388" s="315">
        <v>7822</v>
      </c>
      <c r="S388" s="316">
        <v>43100</v>
      </c>
    </row>
    <row r="389" spans="1:34" s="21" customFormat="1" ht="19.149999999999999" customHeight="1">
      <c r="A389" s="308">
        <v>64</v>
      </c>
      <c r="B389" s="549" t="s">
        <v>418</v>
      </c>
      <c r="C389" s="403">
        <v>1989</v>
      </c>
      <c r="D389" s="403"/>
      <c r="E389" s="311" t="s">
        <v>219</v>
      </c>
      <c r="F389" s="403">
        <v>9</v>
      </c>
      <c r="G389" s="845">
        <v>2</v>
      </c>
      <c r="H389" s="846">
        <v>5173.6000000000004</v>
      </c>
      <c r="I389" s="846">
        <v>3702.9</v>
      </c>
      <c r="J389" s="846">
        <f>I389-159.5</f>
        <v>3543.4</v>
      </c>
      <c r="K389" s="846">
        <v>148</v>
      </c>
      <c r="L389" s="847">
        <v>1943688</v>
      </c>
      <c r="M389" s="848">
        <v>0</v>
      </c>
      <c r="N389" s="849">
        <v>0</v>
      </c>
      <c r="O389" s="849">
        <f t="shared" si="98"/>
        <v>1943688</v>
      </c>
      <c r="P389" s="849">
        <v>0</v>
      </c>
      <c r="Q389" s="315">
        <f t="shared" si="99"/>
        <v>524.90966539739122</v>
      </c>
      <c r="R389" s="315">
        <v>7822</v>
      </c>
      <c r="S389" s="316">
        <v>43100</v>
      </c>
    </row>
    <row r="390" spans="1:34" s="21" customFormat="1" ht="23.45" customHeight="1">
      <c r="A390" s="308">
        <v>65</v>
      </c>
      <c r="B390" s="549" t="s">
        <v>757</v>
      </c>
      <c r="C390" s="403">
        <v>1963</v>
      </c>
      <c r="D390" s="403"/>
      <c r="E390" s="311" t="s">
        <v>220</v>
      </c>
      <c r="F390" s="403">
        <v>4</v>
      </c>
      <c r="G390" s="845">
        <v>4</v>
      </c>
      <c r="H390" s="850">
        <v>4542.7</v>
      </c>
      <c r="I390" s="850">
        <v>2527.8000000000002</v>
      </c>
      <c r="J390" s="850">
        <v>2473.4</v>
      </c>
      <c r="K390" s="850">
        <v>104</v>
      </c>
      <c r="L390" s="847">
        <v>2656189</v>
      </c>
      <c r="M390" s="848">
        <v>0</v>
      </c>
      <c r="N390" s="849">
        <v>0</v>
      </c>
      <c r="O390" s="849">
        <f t="shared" si="98"/>
        <v>2656189</v>
      </c>
      <c r="P390" s="849">
        <v>0</v>
      </c>
      <c r="Q390" s="315">
        <f t="shared" si="99"/>
        <v>1050.7908062346703</v>
      </c>
      <c r="R390" s="315">
        <v>7822</v>
      </c>
      <c r="S390" s="316">
        <v>43100</v>
      </c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</row>
    <row r="391" spans="1:34" s="21" customFormat="1" ht="21.6" customHeight="1">
      <c r="A391" s="308">
        <v>66</v>
      </c>
      <c r="B391" s="549" t="s">
        <v>758</v>
      </c>
      <c r="C391" s="403">
        <v>1964</v>
      </c>
      <c r="D391" s="403"/>
      <c r="E391" s="311" t="s">
        <v>220</v>
      </c>
      <c r="F391" s="403">
        <v>5</v>
      </c>
      <c r="G391" s="845">
        <v>4</v>
      </c>
      <c r="H391" s="850">
        <v>5355</v>
      </c>
      <c r="I391" s="850">
        <v>3440.4</v>
      </c>
      <c r="J391" s="850">
        <v>3242.8</v>
      </c>
      <c r="K391" s="850">
        <v>136</v>
      </c>
      <c r="L391" s="847">
        <v>2621402</v>
      </c>
      <c r="M391" s="848">
        <v>0</v>
      </c>
      <c r="N391" s="849">
        <v>0</v>
      </c>
      <c r="O391" s="849">
        <f t="shared" si="98"/>
        <v>2621402</v>
      </c>
      <c r="P391" s="849">
        <v>0</v>
      </c>
      <c r="Q391" s="315">
        <f t="shared" si="99"/>
        <v>761.9468666434135</v>
      </c>
      <c r="R391" s="315">
        <v>7822</v>
      </c>
      <c r="S391" s="316">
        <v>43100</v>
      </c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</row>
    <row r="392" spans="1:34" s="52" customFormat="1" ht="31.5">
      <c r="A392" s="308">
        <v>67</v>
      </c>
      <c r="B392" s="549" t="s">
        <v>744</v>
      </c>
      <c r="C392" s="403">
        <v>1972</v>
      </c>
      <c r="D392" s="403"/>
      <c r="E392" s="311" t="s">
        <v>218</v>
      </c>
      <c r="F392" s="403">
        <v>9</v>
      </c>
      <c r="G392" s="845">
        <v>4</v>
      </c>
      <c r="H392" s="846">
        <v>8529.7999999999993</v>
      </c>
      <c r="I392" s="846">
        <v>6190.9</v>
      </c>
      <c r="J392" s="846">
        <f>I392-164</f>
        <v>6026.9</v>
      </c>
      <c r="K392" s="846">
        <v>261</v>
      </c>
      <c r="L392" s="847">
        <v>3471287</v>
      </c>
      <c r="M392" s="848">
        <v>0</v>
      </c>
      <c r="N392" s="849">
        <v>0</v>
      </c>
      <c r="O392" s="849">
        <f t="shared" si="98"/>
        <v>3471287</v>
      </c>
      <c r="P392" s="849">
        <v>0</v>
      </c>
      <c r="Q392" s="315">
        <f t="shared" si="99"/>
        <v>560.70797460789231</v>
      </c>
      <c r="R392" s="315">
        <v>7822</v>
      </c>
      <c r="S392" s="316">
        <v>43100</v>
      </c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</row>
    <row r="393" spans="1:34" s="21" customFormat="1" ht="31.5">
      <c r="A393" s="308">
        <v>68</v>
      </c>
      <c r="B393" s="549" t="s">
        <v>745</v>
      </c>
      <c r="C393" s="403">
        <v>1971</v>
      </c>
      <c r="D393" s="403"/>
      <c r="E393" s="311" t="s">
        <v>218</v>
      </c>
      <c r="F393" s="403">
        <v>9</v>
      </c>
      <c r="G393" s="845">
        <v>4</v>
      </c>
      <c r="H393" s="846">
        <v>8409.5</v>
      </c>
      <c r="I393" s="846">
        <v>6117</v>
      </c>
      <c r="J393" s="846">
        <f>I393-301.5</f>
        <v>5815.5</v>
      </c>
      <c r="K393" s="846">
        <v>258</v>
      </c>
      <c r="L393" s="847">
        <v>3471167</v>
      </c>
      <c r="M393" s="848">
        <v>0</v>
      </c>
      <c r="N393" s="849">
        <v>0</v>
      </c>
      <c r="O393" s="849">
        <f t="shared" si="98"/>
        <v>3471167</v>
      </c>
      <c r="P393" s="849">
        <v>0</v>
      </c>
      <c r="Q393" s="315">
        <f t="shared" si="99"/>
        <v>567.46231812980216</v>
      </c>
      <c r="R393" s="315">
        <v>7822</v>
      </c>
      <c r="S393" s="316">
        <v>43100</v>
      </c>
    </row>
    <row r="394" spans="1:34" s="52" customFormat="1" ht="31.5">
      <c r="A394" s="308">
        <v>69</v>
      </c>
      <c r="B394" s="549" t="s">
        <v>746</v>
      </c>
      <c r="C394" s="403">
        <v>1991</v>
      </c>
      <c r="D394" s="403"/>
      <c r="E394" s="311" t="s">
        <v>218</v>
      </c>
      <c r="F394" s="403">
        <v>12</v>
      </c>
      <c r="G394" s="845">
        <v>1</v>
      </c>
      <c r="H394" s="846">
        <v>5703.1</v>
      </c>
      <c r="I394" s="846">
        <v>3976.5</v>
      </c>
      <c r="J394" s="846">
        <f>I394</f>
        <v>3976.5</v>
      </c>
      <c r="K394" s="846">
        <v>152</v>
      </c>
      <c r="L394" s="847">
        <v>3891338</v>
      </c>
      <c r="M394" s="848">
        <v>0</v>
      </c>
      <c r="N394" s="849">
        <v>0</v>
      </c>
      <c r="O394" s="849">
        <f t="shared" si="98"/>
        <v>3891338</v>
      </c>
      <c r="P394" s="849">
        <v>0</v>
      </c>
      <c r="Q394" s="315">
        <f t="shared" si="99"/>
        <v>978.58367911479945</v>
      </c>
      <c r="R394" s="315">
        <v>7822</v>
      </c>
      <c r="S394" s="316">
        <v>43100</v>
      </c>
    </row>
    <row r="395" spans="1:34" s="21" customFormat="1" ht="15.75">
      <c r="A395" s="308">
        <v>70</v>
      </c>
      <c r="B395" s="549" t="s">
        <v>747</v>
      </c>
      <c r="C395" s="403">
        <v>1985</v>
      </c>
      <c r="D395" s="403"/>
      <c r="E395" s="311" t="s">
        <v>219</v>
      </c>
      <c r="F395" s="403">
        <v>9</v>
      </c>
      <c r="G395" s="845">
        <v>5</v>
      </c>
      <c r="H395" s="846">
        <v>13715.2</v>
      </c>
      <c r="I395" s="846">
        <v>9275.9</v>
      </c>
      <c r="J395" s="846">
        <f>I395-94.7</f>
        <v>9181.1999999999989</v>
      </c>
      <c r="K395" s="846">
        <v>379</v>
      </c>
      <c r="L395" s="468">
        <v>1965577</v>
      </c>
      <c r="M395" s="687">
        <v>0</v>
      </c>
      <c r="N395" s="314">
        <v>0</v>
      </c>
      <c r="O395" s="314">
        <f t="shared" si="98"/>
        <v>1965577</v>
      </c>
      <c r="P395" s="314">
        <v>0</v>
      </c>
      <c r="Q395" s="315">
        <f t="shared" si="99"/>
        <v>211.90148664819588</v>
      </c>
      <c r="R395" s="315">
        <v>7822</v>
      </c>
      <c r="S395" s="316">
        <v>43100</v>
      </c>
    </row>
    <row r="396" spans="1:34" s="21" customFormat="1" ht="15.75">
      <c r="A396" s="308"/>
      <c r="B396" s="654"/>
      <c r="C396" s="403"/>
      <c r="D396" s="403"/>
      <c r="E396" s="311"/>
      <c r="F396" s="403"/>
      <c r="G396" s="403"/>
      <c r="H396" s="550"/>
      <c r="I396" s="653"/>
      <c r="J396" s="653"/>
      <c r="K396" s="551"/>
      <c r="L396" s="314"/>
      <c r="M396" s="314"/>
      <c r="N396" s="314"/>
      <c r="O396" s="314"/>
      <c r="P396" s="314"/>
      <c r="Q396" s="315"/>
      <c r="R396" s="315"/>
      <c r="S396" s="316"/>
    </row>
    <row r="397" spans="1:34" s="21" customFormat="1" ht="23.45" customHeight="1">
      <c r="A397" s="107"/>
      <c r="B397" s="1292" t="s">
        <v>132</v>
      </c>
      <c r="C397" s="1292"/>
      <c r="D397" s="1292"/>
      <c r="E397" s="1292"/>
      <c r="F397" s="1292"/>
      <c r="G397" s="1292"/>
      <c r="H397" s="117">
        <f>H398+H399+H400</f>
        <v>2337.4</v>
      </c>
      <c r="I397" s="117">
        <f t="shared" ref="I397:P397" si="100">I398+I399+I400</f>
        <v>2118.9</v>
      </c>
      <c r="J397" s="117">
        <f t="shared" si="100"/>
        <v>1840.3999999999999</v>
      </c>
      <c r="K397" s="117">
        <f t="shared" si="100"/>
        <v>91</v>
      </c>
      <c r="L397" s="604">
        <f t="shared" si="100"/>
        <v>5439639</v>
      </c>
      <c r="M397" s="604">
        <f t="shared" si="100"/>
        <v>0</v>
      </c>
      <c r="N397" s="604">
        <f t="shared" si="100"/>
        <v>325798</v>
      </c>
      <c r="O397" s="604">
        <f t="shared" si="100"/>
        <v>5113841</v>
      </c>
      <c r="P397" s="604">
        <f t="shared" si="100"/>
        <v>0</v>
      </c>
      <c r="Q397" s="114" t="s">
        <v>40</v>
      </c>
      <c r="R397" s="114" t="s">
        <v>40</v>
      </c>
      <c r="S397" s="316">
        <v>43100</v>
      </c>
    </row>
    <row r="398" spans="1:34" s="21" customFormat="1" ht="31.5">
      <c r="A398" s="308">
        <v>71</v>
      </c>
      <c r="B398" s="654" t="s">
        <v>697</v>
      </c>
      <c r="C398" s="403">
        <v>1984</v>
      </c>
      <c r="D398" s="403"/>
      <c r="E398" s="311" t="s">
        <v>218</v>
      </c>
      <c r="F398" s="403">
        <v>3</v>
      </c>
      <c r="G398" s="403">
        <v>2</v>
      </c>
      <c r="H398" s="550">
        <v>1130.0999999999999</v>
      </c>
      <c r="I398" s="653">
        <v>1039.4000000000001</v>
      </c>
      <c r="J398" s="653">
        <v>923.5</v>
      </c>
      <c r="K398" s="551">
        <v>48</v>
      </c>
      <c r="L398" s="314">
        <v>1207837</v>
      </c>
      <c r="M398" s="314">
        <v>0</v>
      </c>
      <c r="N398" s="314">
        <v>0</v>
      </c>
      <c r="O398" s="314">
        <v>1207837</v>
      </c>
      <c r="P398" s="314">
        <v>0</v>
      </c>
      <c r="Q398" s="315">
        <f t="shared" si="99"/>
        <v>1162.0521454685395</v>
      </c>
      <c r="R398" s="315">
        <v>7822</v>
      </c>
      <c r="S398" s="316">
        <v>43100</v>
      </c>
    </row>
    <row r="399" spans="1:34" s="21" customFormat="1" ht="31.5">
      <c r="A399" s="308">
        <v>72</v>
      </c>
      <c r="B399" s="654" t="s">
        <v>698</v>
      </c>
      <c r="C399" s="403">
        <v>1952</v>
      </c>
      <c r="D399" s="403"/>
      <c r="E399" s="311" t="s">
        <v>700</v>
      </c>
      <c r="F399" s="403">
        <v>2</v>
      </c>
      <c r="G399" s="403">
        <v>2</v>
      </c>
      <c r="H399" s="550">
        <v>442.4</v>
      </c>
      <c r="I399" s="653">
        <v>397.7</v>
      </c>
      <c r="J399" s="653">
        <v>299.10000000000002</v>
      </c>
      <c r="K399" s="551">
        <v>13</v>
      </c>
      <c r="L399" s="314">
        <v>1871260</v>
      </c>
      <c r="M399" s="314">
        <v>0</v>
      </c>
      <c r="N399" s="314">
        <v>325798</v>
      </c>
      <c r="O399" s="314">
        <v>1545462</v>
      </c>
      <c r="P399" s="314">
        <v>0</v>
      </c>
      <c r="Q399" s="315">
        <f t="shared" si="99"/>
        <v>4705.2049283379429</v>
      </c>
      <c r="R399" s="315">
        <v>7822</v>
      </c>
      <c r="S399" s="316">
        <v>43100</v>
      </c>
    </row>
    <row r="400" spans="1:34" s="21" customFormat="1" ht="31.5">
      <c r="A400" s="308">
        <v>73</v>
      </c>
      <c r="B400" s="654" t="s">
        <v>699</v>
      </c>
      <c r="C400" s="403">
        <v>1958</v>
      </c>
      <c r="D400" s="403"/>
      <c r="E400" s="311" t="s">
        <v>218</v>
      </c>
      <c r="F400" s="403">
        <v>2</v>
      </c>
      <c r="G400" s="403">
        <v>2</v>
      </c>
      <c r="H400" s="550">
        <v>764.9</v>
      </c>
      <c r="I400" s="653">
        <v>681.8</v>
      </c>
      <c r="J400" s="653">
        <v>617.79999999999995</v>
      </c>
      <c r="K400" s="551">
        <v>30</v>
      </c>
      <c r="L400" s="314">
        <v>2360542</v>
      </c>
      <c r="M400" s="314">
        <v>0</v>
      </c>
      <c r="N400" s="314">
        <v>0</v>
      </c>
      <c r="O400" s="314">
        <v>2360542</v>
      </c>
      <c r="P400" s="314"/>
      <c r="Q400" s="315">
        <f t="shared" si="99"/>
        <v>3462.2205925491348</v>
      </c>
      <c r="R400" s="315">
        <v>7822</v>
      </c>
      <c r="S400" s="316">
        <v>43100</v>
      </c>
    </row>
    <row r="401" spans="1:19" s="21" customFormat="1" ht="15.75" customHeight="1">
      <c r="A401" s="107"/>
      <c r="B401" s="1304" t="s">
        <v>593</v>
      </c>
      <c r="C401" s="1304"/>
      <c r="D401" s="1304"/>
      <c r="E401" s="1304"/>
      <c r="F401" s="1304"/>
      <c r="G401" s="1304"/>
      <c r="H401" s="117">
        <f>H402</f>
        <v>1575.1</v>
      </c>
      <c r="I401" s="117">
        <f t="shared" ref="I401:P401" si="101">I402</f>
        <v>1438.1</v>
      </c>
      <c r="J401" s="117">
        <f t="shared" si="101"/>
        <v>1438.1</v>
      </c>
      <c r="K401" s="155">
        <f t="shared" si="101"/>
        <v>54</v>
      </c>
      <c r="L401" s="113">
        <f t="shared" si="101"/>
        <v>2479354</v>
      </c>
      <c r="M401" s="113">
        <f t="shared" si="101"/>
        <v>0</v>
      </c>
      <c r="N401" s="113">
        <f t="shared" si="101"/>
        <v>0</v>
      </c>
      <c r="O401" s="113">
        <f t="shared" si="101"/>
        <v>2479354</v>
      </c>
      <c r="P401" s="113">
        <f t="shared" si="101"/>
        <v>0</v>
      </c>
      <c r="Q401" s="114" t="s">
        <v>40</v>
      </c>
      <c r="R401" s="114" t="s">
        <v>40</v>
      </c>
      <c r="S401" s="316">
        <v>43100</v>
      </c>
    </row>
    <row r="402" spans="1:19" s="21" customFormat="1" ht="31.5">
      <c r="A402" s="308">
        <v>74</v>
      </c>
      <c r="B402" s="549" t="s">
        <v>594</v>
      </c>
      <c r="C402" s="403">
        <v>1969</v>
      </c>
      <c r="D402" s="403"/>
      <c r="E402" s="311" t="s">
        <v>218</v>
      </c>
      <c r="F402" s="403">
        <v>3</v>
      </c>
      <c r="G402" s="403">
        <v>3</v>
      </c>
      <c r="H402" s="550">
        <v>1575.1</v>
      </c>
      <c r="I402" s="550">
        <v>1438.1</v>
      </c>
      <c r="J402" s="550">
        <v>1438.1</v>
      </c>
      <c r="K402" s="551">
        <v>54</v>
      </c>
      <c r="L402" s="314">
        <v>2479354</v>
      </c>
      <c r="M402" s="314">
        <v>0</v>
      </c>
      <c r="N402" s="314">
        <v>0</v>
      </c>
      <c r="O402" s="314">
        <f>L402</f>
        <v>2479354</v>
      </c>
      <c r="P402" s="314">
        <v>0</v>
      </c>
      <c r="Q402" s="315">
        <f>L402/I402</f>
        <v>1724.0483971907379</v>
      </c>
      <c r="R402" s="315">
        <v>6774</v>
      </c>
      <c r="S402" s="316">
        <v>43100</v>
      </c>
    </row>
    <row r="403" spans="1:19" s="1" customFormat="1" ht="15.75" customHeight="1">
      <c r="A403" s="107"/>
      <c r="B403" s="1294" t="s">
        <v>110</v>
      </c>
      <c r="C403" s="1294"/>
      <c r="D403" s="1294"/>
      <c r="E403" s="1294"/>
      <c r="F403" s="1294"/>
      <c r="G403" s="1294"/>
      <c r="H403" s="128">
        <f t="shared" ref="H403:O403" si="102">SUM(H404:H404)</f>
        <v>1494</v>
      </c>
      <c r="I403" s="106">
        <f t="shared" si="102"/>
        <v>1040.8</v>
      </c>
      <c r="J403" s="106">
        <f t="shared" si="102"/>
        <v>1040.8</v>
      </c>
      <c r="K403" s="119">
        <f t="shared" si="102"/>
        <v>59</v>
      </c>
      <c r="L403" s="113">
        <f t="shared" si="102"/>
        <v>2476043</v>
      </c>
      <c r="M403" s="113">
        <f t="shared" si="102"/>
        <v>0</v>
      </c>
      <c r="N403" s="113">
        <f t="shared" si="102"/>
        <v>0</v>
      </c>
      <c r="O403" s="113">
        <f t="shared" si="102"/>
        <v>2476043</v>
      </c>
      <c r="P403" s="113">
        <v>0</v>
      </c>
      <c r="Q403" s="106" t="s">
        <v>40</v>
      </c>
      <c r="R403" s="106" t="s">
        <v>40</v>
      </c>
      <c r="S403" s="316">
        <v>43100</v>
      </c>
    </row>
    <row r="404" spans="1:19" s="1" customFormat="1" ht="15.75">
      <c r="A404" s="308">
        <f>A402+1</f>
        <v>75</v>
      </c>
      <c r="B404" s="309" t="s">
        <v>472</v>
      </c>
      <c r="C404" s="308">
        <v>1964</v>
      </c>
      <c r="D404" s="310"/>
      <c r="E404" s="311" t="s">
        <v>473</v>
      </c>
      <c r="F404" s="310">
        <v>3</v>
      </c>
      <c r="G404" s="310">
        <v>3</v>
      </c>
      <c r="H404" s="312">
        <v>1494</v>
      </c>
      <c r="I404" s="310">
        <v>1040.8</v>
      </c>
      <c r="J404" s="310">
        <v>1040.8</v>
      </c>
      <c r="K404" s="313">
        <v>59</v>
      </c>
      <c r="L404" s="314">
        <v>2476043</v>
      </c>
      <c r="M404" s="314">
        <v>0</v>
      </c>
      <c r="N404" s="314">
        <v>0</v>
      </c>
      <c r="O404" s="314">
        <v>2476043</v>
      </c>
      <c r="P404" s="314">
        <v>0</v>
      </c>
      <c r="Q404" s="315">
        <f>L404/I404</f>
        <v>2378.9805918524212</v>
      </c>
      <c r="R404" s="315">
        <v>7822</v>
      </c>
      <c r="S404" s="316">
        <v>43100</v>
      </c>
    </row>
    <row r="405" spans="1:19" s="1" customFormat="1" ht="15.6" customHeight="1">
      <c r="A405" s="308"/>
      <c r="B405" s="1318" t="s">
        <v>128</v>
      </c>
      <c r="C405" s="1318"/>
      <c r="D405" s="1318"/>
      <c r="E405" s="1318"/>
      <c r="F405" s="1319"/>
      <c r="G405" s="1319"/>
      <c r="H405" s="796">
        <f>SUM(H406:H409)</f>
        <v>13933</v>
      </c>
      <c r="I405" s="796">
        <f t="shared" ref="I405:P405" si="103">SUM(I406:I409)</f>
        <v>12244</v>
      </c>
      <c r="J405" s="796">
        <f t="shared" si="103"/>
        <v>11051.5</v>
      </c>
      <c r="K405" s="796">
        <f t="shared" si="103"/>
        <v>553</v>
      </c>
      <c r="L405" s="797">
        <f t="shared" si="103"/>
        <v>11027716</v>
      </c>
      <c r="M405" s="797">
        <f t="shared" si="103"/>
        <v>0</v>
      </c>
      <c r="N405" s="797">
        <f t="shared" si="103"/>
        <v>0</v>
      </c>
      <c r="O405" s="797">
        <f t="shared" si="103"/>
        <v>11027716</v>
      </c>
      <c r="P405" s="797">
        <f t="shared" si="103"/>
        <v>0</v>
      </c>
      <c r="Q405" s="796" t="s">
        <v>40</v>
      </c>
      <c r="R405" s="730" t="s">
        <v>40</v>
      </c>
      <c r="S405" s="316">
        <v>43100</v>
      </c>
    </row>
    <row r="406" spans="1:19" s="59" customFormat="1" ht="22.9" customHeight="1">
      <c r="A406" s="308">
        <v>76</v>
      </c>
      <c r="B406" s="337" t="s">
        <v>721</v>
      </c>
      <c r="C406" s="308">
        <v>1977</v>
      </c>
      <c r="D406" s="310"/>
      <c r="E406" s="685" t="s">
        <v>219</v>
      </c>
      <c r="F406" s="798">
        <v>5</v>
      </c>
      <c r="G406" s="798">
        <v>4</v>
      </c>
      <c r="H406" s="799">
        <v>3299.5</v>
      </c>
      <c r="I406" s="799">
        <v>3053.5</v>
      </c>
      <c r="J406" s="799">
        <v>2987.3</v>
      </c>
      <c r="K406" s="798">
        <v>133</v>
      </c>
      <c r="L406" s="800">
        <v>2009466</v>
      </c>
      <c r="M406" s="800">
        <v>0</v>
      </c>
      <c r="N406" s="800">
        <v>0</v>
      </c>
      <c r="O406" s="800">
        <f>L406</f>
        <v>2009466</v>
      </c>
      <c r="P406" s="800">
        <v>0</v>
      </c>
      <c r="Q406" s="800">
        <f t="shared" ref="Q406:Q409" si="104">L406/I406</f>
        <v>658.08613066972327</v>
      </c>
      <c r="R406" s="800">
        <v>7822</v>
      </c>
      <c r="S406" s="612">
        <v>43100</v>
      </c>
    </row>
    <row r="407" spans="1:19" s="59" customFormat="1" ht="31.5">
      <c r="A407" s="308">
        <v>77</v>
      </c>
      <c r="B407" s="337" t="s">
        <v>722</v>
      </c>
      <c r="C407" s="308">
        <v>1959</v>
      </c>
      <c r="D407" s="310"/>
      <c r="E407" s="685" t="s">
        <v>218</v>
      </c>
      <c r="F407" s="798">
        <v>2</v>
      </c>
      <c r="G407" s="798">
        <v>2</v>
      </c>
      <c r="H407" s="799">
        <v>515</v>
      </c>
      <c r="I407" s="799">
        <v>459.4</v>
      </c>
      <c r="J407" s="799">
        <v>459.4</v>
      </c>
      <c r="K407" s="798">
        <v>15</v>
      </c>
      <c r="L407" s="800">
        <v>1709729</v>
      </c>
      <c r="M407" s="800">
        <v>0</v>
      </c>
      <c r="N407" s="800">
        <v>0</v>
      </c>
      <c r="O407" s="800">
        <f t="shared" ref="O407:O409" si="105">L407</f>
        <v>1709729</v>
      </c>
      <c r="P407" s="800">
        <v>0</v>
      </c>
      <c r="Q407" s="800">
        <f t="shared" si="104"/>
        <v>3721.6565084893341</v>
      </c>
      <c r="R407" s="800">
        <v>7822</v>
      </c>
      <c r="S407" s="612">
        <v>43100</v>
      </c>
    </row>
    <row r="408" spans="1:19" s="59" customFormat="1" ht="31.9" customHeight="1">
      <c r="A408" s="308">
        <v>78</v>
      </c>
      <c r="B408" s="337" t="s">
        <v>723</v>
      </c>
      <c r="C408" s="308">
        <v>1989</v>
      </c>
      <c r="D408" s="310"/>
      <c r="E408" s="685" t="s">
        <v>219</v>
      </c>
      <c r="F408" s="798">
        <v>5</v>
      </c>
      <c r="G408" s="798">
        <v>7</v>
      </c>
      <c r="H408" s="799">
        <v>5924.3</v>
      </c>
      <c r="I408" s="799">
        <v>5373.7</v>
      </c>
      <c r="J408" s="799">
        <v>4875.2</v>
      </c>
      <c r="K408" s="798">
        <v>217</v>
      </c>
      <c r="L408" s="800">
        <v>4267870</v>
      </c>
      <c r="M408" s="800">
        <v>0</v>
      </c>
      <c r="N408" s="800">
        <v>0</v>
      </c>
      <c r="O408" s="800">
        <f t="shared" si="105"/>
        <v>4267870</v>
      </c>
      <c r="P408" s="800">
        <v>0</v>
      </c>
      <c r="Q408" s="800">
        <f t="shared" si="104"/>
        <v>794.21441464912448</v>
      </c>
      <c r="R408" s="800">
        <v>7822</v>
      </c>
      <c r="S408" s="612">
        <v>43100</v>
      </c>
    </row>
    <row r="409" spans="1:19" s="59" customFormat="1" ht="31.5">
      <c r="A409" s="308">
        <v>79</v>
      </c>
      <c r="B409" s="337" t="s">
        <v>724</v>
      </c>
      <c r="C409" s="308">
        <v>1980</v>
      </c>
      <c r="D409" s="310"/>
      <c r="E409" s="685" t="s">
        <v>218</v>
      </c>
      <c r="F409" s="798">
        <v>5</v>
      </c>
      <c r="G409" s="798">
        <v>2</v>
      </c>
      <c r="H409" s="799">
        <v>4194.2</v>
      </c>
      <c r="I409" s="799">
        <v>3357.4</v>
      </c>
      <c r="J409" s="799">
        <v>2729.6</v>
      </c>
      <c r="K409" s="798">
        <v>188</v>
      </c>
      <c r="L409" s="800">
        <v>3040651</v>
      </c>
      <c r="M409" s="800">
        <v>0</v>
      </c>
      <c r="N409" s="800">
        <v>0</v>
      </c>
      <c r="O409" s="800">
        <f t="shared" si="105"/>
        <v>3040651</v>
      </c>
      <c r="P409" s="800">
        <v>0</v>
      </c>
      <c r="Q409" s="800">
        <f t="shared" si="104"/>
        <v>905.65646035622797</v>
      </c>
      <c r="R409" s="800">
        <v>7822</v>
      </c>
      <c r="S409" s="612">
        <v>43100</v>
      </c>
    </row>
    <row r="410" spans="1:19" s="59" customFormat="1" ht="15.75">
      <c r="A410" s="308"/>
      <c r="B410" s="337"/>
      <c r="C410" s="308"/>
      <c r="D410" s="310"/>
      <c r="E410" s="311"/>
      <c r="F410" s="629"/>
      <c r="G410" s="629"/>
      <c r="H410" s="629"/>
      <c r="I410" s="630"/>
      <c r="J410" s="629"/>
      <c r="K410" s="629"/>
      <c r="L410" s="614"/>
      <c r="M410" s="614"/>
      <c r="N410" s="614"/>
      <c r="O410" s="614"/>
      <c r="P410" s="614"/>
      <c r="Q410" s="615"/>
      <c r="R410" s="615"/>
      <c r="S410" s="316"/>
    </row>
    <row r="411" spans="1:19" s="59" customFormat="1" ht="15.75">
      <c r="A411" s="308"/>
      <c r="B411" s="337"/>
      <c r="C411" s="308"/>
      <c r="D411" s="310"/>
      <c r="E411" s="311"/>
      <c r="F411" s="310"/>
      <c r="G411" s="310"/>
      <c r="H411" s="310"/>
      <c r="I411" s="346"/>
      <c r="J411" s="310"/>
      <c r="K411" s="310"/>
      <c r="L411" s="314"/>
      <c r="M411" s="314"/>
      <c r="N411" s="314"/>
      <c r="O411" s="314"/>
      <c r="P411" s="314"/>
      <c r="Q411" s="315"/>
      <c r="R411" s="315"/>
      <c r="S411" s="316"/>
    </row>
    <row r="412" spans="1:19" s="59" customFormat="1" ht="24" customHeight="1">
      <c r="A412" s="308"/>
      <c r="B412" s="1336" t="s">
        <v>668</v>
      </c>
      <c r="C412" s="1337"/>
      <c r="D412" s="1337"/>
      <c r="E412" s="1337"/>
      <c r="F412" s="1337"/>
      <c r="G412" s="1338"/>
      <c r="H412" s="310">
        <f>H413+H414</f>
        <v>5520.2</v>
      </c>
      <c r="I412" s="310">
        <f t="shared" ref="I412:P412" si="106">I413+I414</f>
        <v>4958.3599999999997</v>
      </c>
      <c r="J412" s="310">
        <f t="shared" si="106"/>
        <v>4941.46</v>
      </c>
      <c r="K412" s="310">
        <f t="shared" si="106"/>
        <v>173</v>
      </c>
      <c r="L412" s="709">
        <f t="shared" si="106"/>
        <v>4521219</v>
      </c>
      <c r="M412" s="709">
        <f t="shared" si="106"/>
        <v>0</v>
      </c>
      <c r="N412" s="709">
        <f t="shared" si="106"/>
        <v>0</v>
      </c>
      <c r="O412" s="709">
        <f t="shared" si="106"/>
        <v>4521219</v>
      </c>
      <c r="P412" s="709">
        <f t="shared" si="106"/>
        <v>0</v>
      </c>
      <c r="Q412" s="350" t="s">
        <v>40</v>
      </c>
      <c r="R412" s="315" t="s">
        <v>40</v>
      </c>
      <c r="S412" s="316">
        <v>43100</v>
      </c>
    </row>
    <row r="413" spans="1:19" s="59" customFormat="1" ht="24" customHeight="1">
      <c r="A413" s="308">
        <v>80</v>
      </c>
      <c r="B413" s="710" t="s">
        <v>669</v>
      </c>
      <c r="C413" s="308">
        <v>1974</v>
      </c>
      <c r="D413" s="308"/>
      <c r="E413" s="308" t="s">
        <v>219</v>
      </c>
      <c r="F413" s="308">
        <v>5</v>
      </c>
      <c r="G413" s="308">
        <v>6</v>
      </c>
      <c r="H413" s="310">
        <v>4829</v>
      </c>
      <c r="I413" s="346">
        <v>4323.96</v>
      </c>
      <c r="J413" s="310">
        <v>4307.0600000000004</v>
      </c>
      <c r="K413" s="310">
        <v>141</v>
      </c>
      <c r="L413" s="314">
        <v>2857112</v>
      </c>
      <c r="M413" s="314">
        <v>0</v>
      </c>
      <c r="N413" s="314">
        <v>0</v>
      </c>
      <c r="O413" s="314">
        <v>2857112</v>
      </c>
      <c r="P413" s="314">
        <v>0</v>
      </c>
      <c r="Q413" s="315">
        <f t="shared" ref="Q413:Q414" si="107">L413/I413</f>
        <v>660.76281926752324</v>
      </c>
      <c r="R413" s="315">
        <v>7822</v>
      </c>
      <c r="S413" s="316">
        <v>43100</v>
      </c>
    </row>
    <row r="414" spans="1:19" s="59" customFormat="1" ht="31.5">
      <c r="A414" s="308">
        <v>81</v>
      </c>
      <c r="B414" s="337" t="s">
        <v>670</v>
      </c>
      <c r="C414" s="308">
        <v>1961</v>
      </c>
      <c r="D414" s="310"/>
      <c r="E414" s="311" t="s">
        <v>218</v>
      </c>
      <c r="F414" s="310">
        <v>2</v>
      </c>
      <c r="G414" s="310">
        <v>2</v>
      </c>
      <c r="H414" s="310">
        <v>691.2</v>
      </c>
      <c r="I414" s="346">
        <v>634.4</v>
      </c>
      <c r="J414" s="310">
        <v>634.4</v>
      </c>
      <c r="K414" s="310">
        <v>32</v>
      </c>
      <c r="L414" s="314">
        <v>1664107</v>
      </c>
      <c r="M414" s="314">
        <v>0</v>
      </c>
      <c r="N414" s="314">
        <v>0</v>
      </c>
      <c r="O414" s="314">
        <v>1664107</v>
      </c>
      <c r="P414" s="314">
        <v>0</v>
      </c>
      <c r="Q414" s="315">
        <f t="shared" si="107"/>
        <v>2623.1194829760407</v>
      </c>
      <c r="R414" s="315">
        <v>7822</v>
      </c>
      <c r="S414" s="316">
        <v>43100</v>
      </c>
    </row>
    <row r="415" spans="1:19" s="1" customFormat="1" ht="15.75">
      <c r="A415" s="107"/>
      <c r="B415" s="1292" t="s">
        <v>994</v>
      </c>
      <c r="C415" s="1292"/>
      <c r="D415" s="1292"/>
      <c r="E415" s="1292"/>
      <c r="F415" s="1292"/>
      <c r="G415" s="1292"/>
      <c r="H415" s="128">
        <f>H416</f>
        <v>625.9</v>
      </c>
      <c r="I415" s="106">
        <f t="shared" ref="I415:N415" si="108">I416</f>
        <v>625.9</v>
      </c>
      <c r="J415" s="106">
        <f t="shared" si="108"/>
        <v>526.9</v>
      </c>
      <c r="K415" s="119">
        <f t="shared" si="108"/>
        <v>32</v>
      </c>
      <c r="L415" s="113">
        <f t="shared" si="108"/>
        <v>1540610</v>
      </c>
      <c r="M415" s="113">
        <f t="shared" si="108"/>
        <v>0</v>
      </c>
      <c r="N415" s="113">
        <f t="shared" si="108"/>
        <v>225510.7</v>
      </c>
      <c r="O415" s="113">
        <f>O416</f>
        <v>1315099.3</v>
      </c>
      <c r="P415" s="113">
        <v>0</v>
      </c>
      <c r="Q415" s="106" t="s">
        <v>40</v>
      </c>
      <c r="R415" s="114" t="s">
        <v>40</v>
      </c>
      <c r="S415" s="316">
        <v>43100</v>
      </c>
    </row>
    <row r="416" spans="1:19" s="1" customFormat="1" ht="31.5">
      <c r="A416" s="107"/>
      <c r="B416" s="943" t="s">
        <v>995</v>
      </c>
      <c r="C416" s="118">
        <v>1963</v>
      </c>
      <c r="D416" s="260"/>
      <c r="E416" s="109" t="s">
        <v>218</v>
      </c>
      <c r="F416" s="118">
        <v>2</v>
      </c>
      <c r="G416" s="118">
        <v>2</v>
      </c>
      <c r="H416" s="128">
        <v>625.9</v>
      </c>
      <c r="I416" s="106">
        <v>625.9</v>
      </c>
      <c r="J416" s="106">
        <v>526.9</v>
      </c>
      <c r="K416" s="119">
        <v>32</v>
      </c>
      <c r="L416" s="113">
        <v>1540610</v>
      </c>
      <c r="M416" s="113">
        <v>0</v>
      </c>
      <c r="N416" s="113">
        <v>225510.7</v>
      </c>
      <c r="O416" s="113">
        <v>1315099.3</v>
      </c>
      <c r="P416" s="113">
        <v>0</v>
      </c>
      <c r="Q416" s="106">
        <f>L416/I416</f>
        <v>2461.4315385844384</v>
      </c>
      <c r="R416" s="114">
        <v>7822</v>
      </c>
      <c r="S416" s="316">
        <v>43100</v>
      </c>
    </row>
    <row r="417" spans="1:19" s="1" customFormat="1" ht="15.75" customHeight="1">
      <c r="A417" s="107"/>
      <c r="B417" s="1294" t="s">
        <v>111</v>
      </c>
      <c r="C417" s="1294"/>
      <c r="D417" s="1294"/>
      <c r="E417" s="1294"/>
      <c r="F417" s="1294"/>
      <c r="G417" s="1294"/>
      <c r="H417" s="128">
        <f>H418</f>
        <v>533.5</v>
      </c>
      <c r="I417" s="128">
        <f t="shared" ref="I417:J417" si="109">I418</f>
        <v>525.5</v>
      </c>
      <c r="J417" s="128">
        <f t="shared" si="109"/>
        <v>294.10000000000002</v>
      </c>
      <c r="K417" s="119">
        <f>K418</f>
        <v>54</v>
      </c>
      <c r="L417" s="113">
        <f>L418</f>
        <v>657835.92000000004</v>
      </c>
      <c r="M417" s="113">
        <f t="shared" ref="M417:N417" si="110">M418</f>
        <v>0</v>
      </c>
      <c r="N417" s="113">
        <f t="shared" si="110"/>
        <v>146321.84</v>
      </c>
      <c r="O417" s="113">
        <f t="shared" ref="O417" si="111">O418</f>
        <v>511514.08</v>
      </c>
      <c r="P417" s="113">
        <f t="shared" ref="P417" si="112">P418</f>
        <v>0</v>
      </c>
      <c r="Q417" s="106" t="s">
        <v>40</v>
      </c>
      <c r="R417" s="106" t="s">
        <v>40</v>
      </c>
      <c r="S417" s="316">
        <v>43100</v>
      </c>
    </row>
    <row r="418" spans="1:19" s="1" customFormat="1" ht="31.5">
      <c r="A418" s="107"/>
      <c r="B418" s="261" t="s">
        <v>420</v>
      </c>
      <c r="C418" s="269">
        <v>1967</v>
      </c>
      <c r="D418" s="260"/>
      <c r="E418" s="109" t="s">
        <v>218</v>
      </c>
      <c r="F418" s="118">
        <v>2</v>
      </c>
      <c r="G418" s="118">
        <v>2</v>
      </c>
      <c r="H418" s="128">
        <v>533.5</v>
      </c>
      <c r="I418" s="106">
        <v>525.5</v>
      </c>
      <c r="J418" s="106">
        <v>294.10000000000002</v>
      </c>
      <c r="K418" s="119">
        <v>54</v>
      </c>
      <c r="L418" s="113">
        <v>657835.92000000004</v>
      </c>
      <c r="M418" s="113">
        <v>0</v>
      </c>
      <c r="N418" s="113">
        <v>146321.84</v>
      </c>
      <c r="O418" s="113">
        <v>511514.08</v>
      </c>
      <c r="P418" s="113">
        <v>0</v>
      </c>
      <c r="Q418" s="106">
        <f>L417/I418</f>
        <v>1251.828582302569</v>
      </c>
      <c r="R418" s="114">
        <v>6774</v>
      </c>
      <c r="S418" s="316">
        <v>43100</v>
      </c>
    </row>
    <row r="419" spans="1:19" s="1" customFormat="1" ht="15.75">
      <c r="A419" s="308"/>
      <c r="B419" s="1293" t="s">
        <v>129</v>
      </c>
      <c r="C419" s="1293"/>
      <c r="D419" s="1293"/>
      <c r="E419" s="1293"/>
      <c r="F419" s="1293"/>
      <c r="G419" s="1293"/>
      <c r="H419" s="347">
        <f>SUM(H420:H421)</f>
        <v>1150.0999999999999</v>
      </c>
      <c r="I419" s="347">
        <f t="shared" ref="I419:P419" si="113">SUM(I420:I421)</f>
        <v>1053.5</v>
      </c>
      <c r="J419" s="347">
        <f t="shared" si="113"/>
        <v>1053.5</v>
      </c>
      <c r="K419" s="347">
        <f t="shared" si="113"/>
        <v>58</v>
      </c>
      <c r="L419" s="670">
        <f t="shared" si="113"/>
        <v>1473433</v>
      </c>
      <c r="M419" s="670">
        <f t="shared" si="113"/>
        <v>0</v>
      </c>
      <c r="N419" s="670">
        <f t="shared" si="113"/>
        <v>0</v>
      </c>
      <c r="O419" s="670">
        <f t="shared" si="113"/>
        <v>1473433</v>
      </c>
      <c r="P419" s="670">
        <f t="shared" si="113"/>
        <v>0</v>
      </c>
      <c r="Q419" s="350" t="s">
        <v>40</v>
      </c>
      <c r="R419" s="315" t="s">
        <v>40</v>
      </c>
      <c r="S419" s="316">
        <v>43100</v>
      </c>
    </row>
    <row r="420" spans="1:19" s="59" customFormat="1" ht="31.5">
      <c r="A420" s="308">
        <v>82</v>
      </c>
      <c r="B420" s="337" t="s">
        <v>680</v>
      </c>
      <c r="C420" s="310">
        <v>1964</v>
      </c>
      <c r="D420" s="310"/>
      <c r="E420" s="311" t="s">
        <v>218</v>
      </c>
      <c r="F420" s="310">
        <v>2</v>
      </c>
      <c r="G420" s="310">
        <v>2</v>
      </c>
      <c r="H420" s="308">
        <v>571.29999999999995</v>
      </c>
      <c r="I420" s="310">
        <v>522.9</v>
      </c>
      <c r="J420" s="310">
        <v>522.9</v>
      </c>
      <c r="K420" s="310">
        <v>29</v>
      </c>
      <c r="L420" s="314">
        <v>734707</v>
      </c>
      <c r="M420" s="314">
        <v>0</v>
      </c>
      <c r="N420" s="314">
        <v>0</v>
      </c>
      <c r="O420" s="314">
        <v>734707</v>
      </c>
      <c r="P420" s="314">
        <v>0</v>
      </c>
      <c r="Q420" s="315">
        <f>L420/I420</f>
        <v>1405.0621533754065</v>
      </c>
      <c r="R420" s="315">
        <v>7822</v>
      </c>
      <c r="S420" s="316">
        <v>43100</v>
      </c>
    </row>
    <row r="421" spans="1:19" s="59" customFormat="1" ht="31.5">
      <c r="A421" s="308">
        <v>83</v>
      </c>
      <c r="B421" s="337" t="s">
        <v>681</v>
      </c>
      <c r="C421" s="310">
        <v>1964</v>
      </c>
      <c r="D421" s="310"/>
      <c r="E421" s="311" t="s">
        <v>218</v>
      </c>
      <c r="F421" s="310">
        <v>2</v>
      </c>
      <c r="G421" s="310">
        <v>2</v>
      </c>
      <c r="H421" s="310">
        <v>578.79999999999995</v>
      </c>
      <c r="I421" s="310">
        <v>530.6</v>
      </c>
      <c r="J421" s="310">
        <v>530.6</v>
      </c>
      <c r="K421" s="310">
        <v>29</v>
      </c>
      <c r="L421" s="314">
        <v>738726</v>
      </c>
      <c r="M421" s="314">
        <v>0</v>
      </c>
      <c r="N421" s="314">
        <v>0</v>
      </c>
      <c r="O421" s="314">
        <v>738726</v>
      </c>
      <c r="P421" s="314">
        <v>0</v>
      </c>
      <c r="Q421" s="315">
        <f t="shared" ref="Q421" si="114">L421/I421</f>
        <v>1392.2465133810779</v>
      </c>
      <c r="R421" s="315">
        <v>7822</v>
      </c>
      <c r="S421" s="316">
        <v>43100</v>
      </c>
    </row>
    <row r="422" spans="1:19" s="59" customFormat="1" ht="15.75">
      <c r="A422" s="308"/>
      <c r="B422" s="337"/>
      <c r="C422" s="310"/>
      <c r="D422" s="310"/>
      <c r="E422" s="311"/>
      <c r="F422" s="310"/>
      <c r="G422" s="310"/>
      <c r="H422" s="310"/>
      <c r="I422" s="310"/>
      <c r="J422" s="310"/>
      <c r="K422" s="310"/>
      <c r="L422" s="314"/>
      <c r="M422" s="314"/>
      <c r="N422" s="314"/>
      <c r="O422" s="314"/>
      <c r="P422" s="314"/>
      <c r="Q422" s="315"/>
      <c r="R422" s="315"/>
      <c r="S422" s="316"/>
    </row>
    <row r="423" spans="1:19" s="59" customFormat="1" ht="15.75">
      <c r="A423" s="308"/>
      <c r="B423" s="337"/>
      <c r="C423" s="310"/>
      <c r="D423" s="310"/>
      <c r="E423" s="311"/>
      <c r="F423" s="310"/>
      <c r="G423" s="310"/>
      <c r="H423" s="310"/>
      <c r="I423" s="310"/>
      <c r="J423" s="310"/>
      <c r="K423" s="310"/>
      <c r="L423" s="314"/>
      <c r="M423" s="314"/>
      <c r="N423" s="314"/>
      <c r="O423" s="314"/>
      <c r="P423" s="314"/>
      <c r="Q423" s="315"/>
      <c r="R423" s="315"/>
      <c r="S423" s="316"/>
    </row>
    <row r="424" spans="1:19" s="1" customFormat="1" ht="15.75">
      <c r="A424" s="107"/>
      <c r="B424" s="1292" t="s">
        <v>54</v>
      </c>
      <c r="C424" s="1292"/>
      <c r="D424" s="1292"/>
      <c r="E424" s="1292"/>
      <c r="F424" s="1292"/>
      <c r="G424" s="1292"/>
      <c r="H424" s="128">
        <f>H425</f>
        <v>1983</v>
      </c>
      <c r="I424" s="106">
        <f t="shared" ref="I424:P424" si="115">I425</f>
        <v>1780.1</v>
      </c>
      <c r="J424" s="106">
        <f t="shared" si="115"/>
        <v>1780.1</v>
      </c>
      <c r="K424" s="119">
        <f t="shared" si="115"/>
        <v>80</v>
      </c>
      <c r="L424" s="113">
        <f t="shared" si="115"/>
        <v>2222747</v>
      </c>
      <c r="M424" s="113">
        <f t="shared" si="115"/>
        <v>0</v>
      </c>
      <c r="N424" s="113">
        <f t="shared" si="115"/>
        <v>0</v>
      </c>
      <c r="O424" s="113">
        <f t="shared" si="115"/>
        <v>2222747</v>
      </c>
      <c r="P424" s="113">
        <f t="shared" si="115"/>
        <v>0</v>
      </c>
      <c r="Q424" s="106" t="s">
        <v>40</v>
      </c>
      <c r="R424" s="106" t="s">
        <v>40</v>
      </c>
      <c r="S424" s="316">
        <v>43100</v>
      </c>
    </row>
    <row r="425" spans="1:19" s="1" customFormat="1" ht="15.75" customHeight="1">
      <c r="A425" s="107"/>
      <c r="B425" s="1294" t="s">
        <v>112</v>
      </c>
      <c r="C425" s="1294"/>
      <c r="D425" s="1294"/>
      <c r="E425" s="1294"/>
      <c r="F425" s="1294"/>
      <c r="G425" s="1294"/>
      <c r="H425" s="128">
        <f>SUM(H426:H428)</f>
        <v>1983</v>
      </c>
      <c r="I425" s="106">
        <f t="shared" ref="I425:P425" si="116">SUM(I426:I428)</f>
        <v>1780.1</v>
      </c>
      <c r="J425" s="106">
        <f t="shared" si="116"/>
        <v>1780.1</v>
      </c>
      <c r="K425" s="119">
        <f t="shared" si="116"/>
        <v>80</v>
      </c>
      <c r="L425" s="113">
        <f t="shared" si="116"/>
        <v>2222747</v>
      </c>
      <c r="M425" s="113">
        <f t="shared" si="116"/>
        <v>0</v>
      </c>
      <c r="N425" s="113">
        <f t="shared" si="116"/>
        <v>0</v>
      </c>
      <c r="O425" s="113">
        <f t="shared" si="116"/>
        <v>2222747</v>
      </c>
      <c r="P425" s="113">
        <f t="shared" si="116"/>
        <v>0</v>
      </c>
      <c r="Q425" s="106" t="s">
        <v>40</v>
      </c>
      <c r="R425" s="106" t="s">
        <v>40</v>
      </c>
      <c r="S425" s="316">
        <v>43100</v>
      </c>
    </row>
    <row r="426" spans="1:19" s="35" customFormat="1" ht="31.5">
      <c r="A426" s="107"/>
      <c r="B426" s="262" t="s">
        <v>422</v>
      </c>
      <c r="C426" s="107">
        <v>1972</v>
      </c>
      <c r="D426" s="173"/>
      <c r="E426" s="109" t="s">
        <v>218</v>
      </c>
      <c r="F426" s="108">
        <v>2</v>
      </c>
      <c r="G426" s="108">
        <v>2</v>
      </c>
      <c r="H426" s="111">
        <v>778.9</v>
      </c>
      <c r="I426" s="126">
        <v>719.8</v>
      </c>
      <c r="J426" s="126">
        <v>719.8</v>
      </c>
      <c r="K426" s="112">
        <v>27</v>
      </c>
      <c r="L426" s="113">
        <v>1003542</v>
      </c>
      <c r="M426" s="113">
        <v>0</v>
      </c>
      <c r="N426" s="113">
        <v>0</v>
      </c>
      <c r="O426" s="113">
        <f>L426</f>
        <v>1003542</v>
      </c>
      <c r="P426" s="113">
        <v>0</v>
      </c>
      <c r="Q426" s="114">
        <f>L426/I426</f>
        <v>1394.1956098916366</v>
      </c>
      <c r="R426" s="114">
        <v>6774</v>
      </c>
      <c r="S426" s="316">
        <v>43100</v>
      </c>
    </row>
    <row r="427" spans="1:19" s="35" customFormat="1" ht="31.5">
      <c r="A427" s="107"/>
      <c r="B427" s="262" t="s">
        <v>421</v>
      </c>
      <c r="C427" s="177">
        <v>1980</v>
      </c>
      <c r="D427" s="178"/>
      <c r="E427" s="109" t="s">
        <v>218</v>
      </c>
      <c r="F427" s="108">
        <v>3</v>
      </c>
      <c r="G427" s="108">
        <v>2</v>
      </c>
      <c r="H427" s="111">
        <v>928.6</v>
      </c>
      <c r="I427" s="126">
        <v>843.2</v>
      </c>
      <c r="J427" s="126">
        <v>843.2</v>
      </c>
      <c r="K427" s="112">
        <v>39</v>
      </c>
      <c r="L427" s="113">
        <v>740146</v>
      </c>
      <c r="M427" s="113">
        <v>0</v>
      </c>
      <c r="N427" s="113">
        <v>0</v>
      </c>
      <c r="O427" s="113">
        <f>L427</f>
        <v>740146</v>
      </c>
      <c r="P427" s="113">
        <v>0</v>
      </c>
      <c r="Q427" s="114">
        <f>L427/I427</f>
        <v>877.7822580645161</v>
      </c>
      <c r="R427" s="114">
        <v>6774</v>
      </c>
      <c r="S427" s="316">
        <v>43100</v>
      </c>
    </row>
    <row r="428" spans="1:19" s="35" customFormat="1" ht="15.75">
      <c r="A428" s="107"/>
      <c r="B428" s="262" t="s">
        <v>423</v>
      </c>
      <c r="C428" s="108">
        <v>1965</v>
      </c>
      <c r="D428" s="173"/>
      <c r="E428" s="109" t="s">
        <v>221</v>
      </c>
      <c r="F428" s="108">
        <v>2</v>
      </c>
      <c r="G428" s="108">
        <v>2</v>
      </c>
      <c r="H428" s="111">
        <v>275.5</v>
      </c>
      <c r="I428" s="126">
        <v>217.1</v>
      </c>
      <c r="J428" s="126">
        <v>217.1</v>
      </c>
      <c r="K428" s="112">
        <v>14</v>
      </c>
      <c r="L428" s="113">
        <v>479059</v>
      </c>
      <c r="M428" s="113">
        <v>0</v>
      </c>
      <c r="N428" s="113">
        <v>0</v>
      </c>
      <c r="O428" s="113">
        <f>L428</f>
        <v>479059</v>
      </c>
      <c r="P428" s="113">
        <v>0</v>
      </c>
      <c r="Q428" s="114">
        <f>L428/I428</f>
        <v>2206.6282818977429</v>
      </c>
      <c r="R428" s="114">
        <v>6774</v>
      </c>
      <c r="S428" s="316">
        <v>43100</v>
      </c>
    </row>
    <row r="429" spans="1:19" s="1" customFormat="1" ht="15.75">
      <c r="A429" s="107"/>
      <c r="B429" s="1292" t="s">
        <v>55</v>
      </c>
      <c r="C429" s="1292"/>
      <c r="D429" s="1292"/>
      <c r="E429" s="1292"/>
      <c r="F429" s="1292"/>
      <c r="G429" s="1292"/>
      <c r="H429" s="128">
        <f>H430</f>
        <v>912.1</v>
      </c>
      <c r="I429" s="106">
        <f t="shared" ref="I429:R429" si="117">I430</f>
        <v>794.9</v>
      </c>
      <c r="J429" s="106">
        <f t="shared" si="117"/>
        <v>679.2</v>
      </c>
      <c r="K429" s="119">
        <f t="shared" si="117"/>
        <v>39</v>
      </c>
      <c r="L429" s="113">
        <f t="shared" si="117"/>
        <v>2809430</v>
      </c>
      <c r="M429" s="113">
        <f t="shared" si="117"/>
        <v>0</v>
      </c>
      <c r="N429" s="113">
        <f t="shared" si="117"/>
        <v>0</v>
      </c>
      <c r="O429" s="113">
        <f t="shared" si="117"/>
        <v>2809430</v>
      </c>
      <c r="P429" s="113">
        <f t="shared" si="117"/>
        <v>0</v>
      </c>
      <c r="Q429" s="106" t="str">
        <f t="shared" si="117"/>
        <v>Х</v>
      </c>
      <c r="R429" s="106" t="str">
        <f t="shared" si="117"/>
        <v>Х</v>
      </c>
      <c r="S429" s="316">
        <v>43100</v>
      </c>
    </row>
    <row r="430" spans="1:19" s="1" customFormat="1" ht="15.75">
      <c r="A430" s="107"/>
      <c r="B430" s="1292" t="s">
        <v>122</v>
      </c>
      <c r="C430" s="1292"/>
      <c r="D430" s="1292"/>
      <c r="E430" s="1292"/>
      <c r="F430" s="1292"/>
      <c r="G430" s="1292"/>
      <c r="H430" s="128">
        <f>SUM(H431:H432)</f>
        <v>912.1</v>
      </c>
      <c r="I430" s="128">
        <f t="shared" ref="I430:P430" si="118">SUM(I431:I432)</f>
        <v>794.9</v>
      </c>
      <c r="J430" s="128">
        <f t="shared" si="118"/>
        <v>679.2</v>
      </c>
      <c r="K430" s="128">
        <f t="shared" si="118"/>
        <v>39</v>
      </c>
      <c r="L430" s="366">
        <f t="shared" si="118"/>
        <v>2809430</v>
      </c>
      <c r="M430" s="366">
        <f t="shared" si="118"/>
        <v>0</v>
      </c>
      <c r="N430" s="366">
        <f t="shared" si="118"/>
        <v>0</v>
      </c>
      <c r="O430" s="366">
        <f t="shared" si="118"/>
        <v>2809430</v>
      </c>
      <c r="P430" s="366">
        <f t="shared" si="118"/>
        <v>0</v>
      </c>
      <c r="Q430" s="106" t="s">
        <v>40</v>
      </c>
      <c r="R430" s="114" t="s">
        <v>40</v>
      </c>
      <c r="S430" s="316">
        <v>43100</v>
      </c>
    </row>
    <row r="431" spans="1:19" s="1" customFormat="1" ht="31.5">
      <c r="A431" s="308">
        <v>84</v>
      </c>
      <c r="B431" s="337" t="s">
        <v>598</v>
      </c>
      <c r="C431" s="553" t="s">
        <v>600</v>
      </c>
      <c r="D431" s="310"/>
      <c r="E431" s="311" t="s">
        <v>218</v>
      </c>
      <c r="F431" s="310">
        <v>2</v>
      </c>
      <c r="G431" s="310">
        <v>2</v>
      </c>
      <c r="H431" s="312">
        <v>542.5</v>
      </c>
      <c r="I431" s="315">
        <v>490.5</v>
      </c>
      <c r="J431" s="315">
        <v>460.2</v>
      </c>
      <c r="K431" s="313">
        <v>16</v>
      </c>
      <c r="L431" s="314">
        <v>1550741</v>
      </c>
      <c r="M431" s="314">
        <v>0</v>
      </c>
      <c r="N431" s="314">
        <v>0</v>
      </c>
      <c r="O431" s="314">
        <v>1550741</v>
      </c>
      <c r="P431" s="314">
        <v>0</v>
      </c>
      <c r="Q431" s="315">
        <f>L431/I431</f>
        <v>3161.5514780835883</v>
      </c>
      <c r="R431" s="315">
        <v>7822</v>
      </c>
      <c r="S431" s="316">
        <v>43100</v>
      </c>
    </row>
    <row r="432" spans="1:19" s="1" customFormat="1" ht="31.5">
      <c r="A432" s="308">
        <v>85</v>
      </c>
      <c r="B432" s="337" t="s">
        <v>599</v>
      </c>
      <c r="C432" s="553" t="s">
        <v>601</v>
      </c>
      <c r="D432" s="310"/>
      <c r="E432" s="311" t="s">
        <v>218</v>
      </c>
      <c r="F432" s="310">
        <v>2</v>
      </c>
      <c r="G432" s="310">
        <v>1</v>
      </c>
      <c r="H432" s="312">
        <v>369.6</v>
      </c>
      <c r="I432" s="315">
        <v>304.39999999999998</v>
      </c>
      <c r="J432" s="315">
        <v>219</v>
      </c>
      <c r="K432" s="313">
        <v>23</v>
      </c>
      <c r="L432" s="314">
        <v>1258689</v>
      </c>
      <c r="M432" s="314">
        <v>0</v>
      </c>
      <c r="N432" s="314">
        <v>0</v>
      </c>
      <c r="O432" s="314">
        <f>L432</f>
        <v>1258689</v>
      </c>
      <c r="P432" s="314">
        <v>0</v>
      </c>
      <c r="Q432" s="315">
        <f>L432/I432</f>
        <v>4134.9835742444156</v>
      </c>
      <c r="R432" s="315">
        <v>7822</v>
      </c>
      <c r="S432" s="316">
        <v>43100</v>
      </c>
    </row>
    <row r="433" spans="1:19" s="1" customFormat="1" ht="15.75">
      <c r="A433" s="308"/>
      <c r="B433" s="337"/>
      <c r="C433" s="553"/>
      <c r="D433" s="310"/>
      <c r="E433" s="311"/>
      <c r="F433" s="310"/>
      <c r="G433" s="310"/>
      <c r="H433" s="312"/>
      <c r="I433" s="315"/>
      <c r="J433" s="315"/>
      <c r="K433" s="313"/>
      <c r="L433" s="314"/>
      <c r="M433" s="314"/>
      <c r="N433" s="314"/>
      <c r="O433" s="314"/>
      <c r="P433" s="314"/>
      <c r="Q433" s="315"/>
      <c r="R433" s="315"/>
      <c r="S433" s="316"/>
    </row>
    <row r="434" spans="1:19" s="1" customFormat="1" ht="15.75">
      <c r="A434" s="107"/>
      <c r="B434" s="1292" t="s">
        <v>56</v>
      </c>
      <c r="C434" s="1292"/>
      <c r="D434" s="1292"/>
      <c r="E434" s="1292"/>
      <c r="F434" s="1292"/>
      <c r="G434" s="1292"/>
      <c r="H434" s="128">
        <f t="shared" ref="H434:P434" si="119">H441+H435+H443</f>
        <v>10396</v>
      </c>
      <c r="I434" s="106">
        <f t="shared" si="119"/>
        <v>8219.3000000000011</v>
      </c>
      <c r="J434" s="106">
        <f t="shared" si="119"/>
        <v>7766.0999999999995</v>
      </c>
      <c r="K434" s="119">
        <f t="shared" si="119"/>
        <v>320</v>
      </c>
      <c r="L434" s="113">
        <f t="shared" si="119"/>
        <v>10789271</v>
      </c>
      <c r="M434" s="113">
        <f t="shared" si="119"/>
        <v>0</v>
      </c>
      <c r="N434" s="113">
        <f t="shared" si="119"/>
        <v>0</v>
      </c>
      <c r="O434" s="113">
        <f t="shared" si="119"/>
        <v>10533352</v>
      </c>
      <c r="P434" s="113">
        <f t="shared" si="119"/>
        <v>255919</v>
      </c>
      <c r="Q434" s="106" t="str">
        <f t="shared" ref="Q434:R434" si="120">Q435</f>
        <v>Х</v>
      </c>
      <c r="R434" s="106" t="str">
        <f t="shared" si="120"/>
        <v>Х</v>
      </c>
      <c r="S434" s="316">
        <v>43100</v>
      </c>
    </row>
    <row r="435" spans="1:19" s="18" customFormat="1" ht="19.149999999999999" customHeight="1">
      <c r="A435" s="308"/>
      <c r="B435" s="1307" t="s">
        <v>424</v>
      </c>
      <c r="C435" s="1307"/>
      <c r="D435" s="1307"/>
      <c r="E435" s="1307"/>
      <c r="F435" s="1308"/>
      <c r="G435" s="1308"/>
      <c r="H435" s="727">
        <f t="shared" ref="H435:P435" si="121">SUM(H436:H440)</f>
        <v>4140.7</v>
      </c>
      <c r="I435" s="727">
        <f t="shared" si="121"/>
        <v>3087.8</v>
      </c>
      <c r="J435" s="727">
        <f t="shared" si="121"/>
        <v>2634.6</v>
      </c>
      <c r="K435" s="727">
        <f t="shared" si="121"/>
        <v>125</v>
      </c>
      <c r="L435" s="728">
        <f t="shared" si="121"/>
        <v>6762929</v>
      </c>
      <c r="M435" s="728">
        <f t="shared" si="121"/>
        <v>0</v>
      </c>
      <c r="N435" s="728">
        <f t="shared" si="121"/>
        <v>0</v>
      </c>
      <c r="O435" s="728">
        <f t="shared" si="121"/>
        <v>6762929</v>
      </c>
      <c r="P435" s="728">
        <f t="shared" si="121"/>
        <v>0</v>
      </c>
      <c r="Q435" s="729" t="s">
        <v>40</v>
      </c>
      <c r="R435" s="730" t="s">
        <v>40</v>
      </c>
      <c r="S435" s="316">
        <v>43100</v>
      </c>
    </row>
    <row r="436" spans="1:19" s="62" customFormat="1" ht="31.5">
      <c r="A436" s="308">
        <v>86</v>
      </c>
      <c r="B436" s="610" t="s">
        <v>703</v>
      </c>
      <c r="C436" s="308">
        <v>1918</v>
      </c>
      <c r="D436" s="308"/>
      <c r="E436" s="685" t="s">
        <v>218</v>
      </c>
      <c r="F436" s="308">
        <v>2</v>
      </c>
      <c r="G436" s="308">
        <v>1</v>
      </c>
      <c r="H436" s="609">
        <v>386.4</v>
      </c>
      <c r="I436" s="609">
        <v>279.39999999999998</v>
      </c>
      <c r="J436" s="609">
        <v>219</v>
      </c>
      <c r="K436" s="308">
        <v>9</v>
      </c>
      <c r="L436" s="731">
        <v>749745</v>
      </c>
      <c r="M436" s="731">
        <v>0</v>
      </c>
      <c r="N436" s="731">
        <v>0</v>
      </c>
      <c r="O436" s="731">
        <v>749745</v>
      </c>
      <c r="P436" s="731">
        <v>0</v>
      </c>
      <c r="Q436" s="731">
        <f>L436/I436</f>
        <v>2683.4108804581247</v>
      </c>
      <c r="R436" s="608">
        <v>7822</v>
      </c>
      <c r="S436" s="612">
        <v>43100</v>
      </c>
    </row>
    <row r="437" spans="1:19" s="62" customFormat="1" ht="31.5">
      <c r="A437" s="308">
        <v>87</v>
      </c>
      <c r="B437" s="732" t="s">
        <v>704</v>
      </c>
      <c r="C437" s="308">
        <v>1963</v>
      </c>
      <c r="D437" s="308"/>
      <c r="E437" s="685" t="s">
        <v>218</v>
      </c>
      <c r="F437" s="308">
        <v>3</v>
      </c>
      <c r="G437" s="308">
        <v>3</v>
      </c>
      <c r="H437" s="609">
        <v>2235.5</v>
      </c>
      <c r="I437" s="609">
        <v>1556</v>
      </c>
      <c r="J437" s="609">
        <v>1556</v>
      </c>
      <c r="K437" s="308">
        <v>50</v>
      </c>
      <c r="L437" s="731">
        <v>2218282</v>
      </c>
      <c r="M437" s="731">
        <v>0</v>
      </c>
      <c r="N437" s="731">
        <v>0</v>
      </c>
      <c r="O437" s="731">
        <v>2218282</v>
      </c>
      <c r="P437" s="731">
        <v>0</v>
      </c>
      <c r="Q437" s="731">
        <f t="shared" ref="Q437:Q440" si="122">L437/I437</f>
        <v>1425.6311053984575</v>
      </c>
      <c r="R437" s="608">
        <v>7822</v>
      </c>
      <c r="S437" s="612">
        <v>43100</v>
      </c>
    </row>
    <row r="438" spans="1:19" s="62" customFormat="1" ht="36" customHeight="1">
      <c r="A438" s="308">
        <v>88</v>
      </c>
      <c r="B438" s="610" t="s">
        <v>705</v>
      </c>
      <c r="C438" s="308">
        <v>1962</v>
      </c>
      <c r="D438" s="308"/>
      <c r="E438" s="685" t="s">
        <v>218</v>
      </c>
      <c r="F438" s="308">
        <v>2</v>
      </c>
      <c r="G438" s="308">
        <v>2</v>
      </c>
      <c r="H438" s="609">
        <v>522.5</v>
      </c>
      <c r="I438" s="609">
        <v>458.9</v>
      </c>
      <c r="J438" s="609">
        <v>381</v>
      </c>
      <c r="K438" s="308">
        <v>21</v>
      </c>
      <c r="L438" s="731">
        <v>1808957</v>
      </c>
      <c r="M438" s="731">
        <v>0</v>
      </c>
      <c r="N438" s="731">
        <v>0</v>
      </c>
      <c r="O438" s="731">
        <v>1808957</v>
      </c>
      <c r="P438" s="731">
        <v>0</v>
      </c>
      <c r="Q438" s="731">
        <f t="shared" si="122"/>
        <v>3941.9415994770106</v>
      </c>
      <c r="R438" s="608">
        <v>7822</v>
      </c>
      <c r="S438" s="612">
        <v>43100</v>
      </c>
    </row>
    <row r="439" spans="1:19" s="62" customFormat="1" ht="15.75">
      <c r="A439" s="308">
        <v>89</v>
      </c>
      <c r="B439" s="610" t="s">
        <v>706</v>
      </c>
      <c r="C439" s="308">
        <v>1891</v>
      </c>
      <c r="D439" s="308"/>
      <c r="E439" s="685" t="s">
        <v>221</v>
      </c>
      <c r="F439" s="308">
        <v>2</v>
      </c>
      <c r="G439" s="308">
        <v>3</v>
      </c>
      <c r="H439" s="609">
        <v>571.9</v>
      </c>
      <c r="I439" s="609">
        <v>403.1</v>
      </c>
      <c r="J439" s="609">
        <v>208.6</v>
      </c>
      <c r="K439" s="308">
        <v>20</v>
      </c>
      <c r="L439" s="731">
        <v>275807</v>
      </c>
      <c r="M439" s="731">
        <v>0</v>
      </c>
      <c r="N439" s="731">
        <v>0</v>
      </c>
      <c r="O439" s="731">
        <v>275807</v>
      </c>
      <c r="P439" s="731">
        <v>0</v>
      </c>
      <c r="Q439" s="731">
        <f t="shared" si="122"/>
        <v>684.21483502852891</v>
      </c>
      <c r="R439" s="608">
        <v>7822</v>
      </c>
      <c r="S439" s="612">
        <v>43100</v>
      </c>
    </row>
    <row r="440" spans="1:19" s="62" customFormat="1" ht="31.5">
      <c r="A440" s="308">
        <v>91</v>
      </c>
      <c r="B440" s="607" t="s">
        <v>707</v>
      </c>
      <c r="C440" s="308">
        <v>1956</v>
      </c>
      <c r="D440" s="308"/>
      <c r="E440" s="685" t="s">
        <v>218</v>
      </c>
      <c r="F440" s="308">
        <v>2</v>
      </c>
      <c r="G440" s="308">
        <v>1</v>
      </c>
      <c r="H440" s="609">
        <v>424.4</v>
      </c>
      <c r="I440" s="609">
        <v>390.4</v>
      </c>
      <c r="J440" s="609">
        <v>270</v>
      </c>
      <c r="K440" s="308">
        <v>25</v>
      </c>
      <c r="L440" s="731">
        <v>1710138</v>
      </c>
      <c r="M440" s="731">
        <v>0</v>
      </c>
      <c r="N440" s="731">
        <v>0</v>
      </c>
      <c r="O440" s="731">
        <v>1710138</v>
      </c>
      <c r="P440" s="731">
        <v>0</v>
      </c>
      <c r="Q440" s="731">
        <f t="shared" si="122"/>
        <v>4380.4764344262294</v>
      </c>
      <c r="R440" s="608">
        <v>7822</v>
      </c>
      <c r="S440" s="612">
        <v>43100</v>
      </c>
    </row>
    <row r="441" spans="1:19" s="1" customFormat="1" ht="15.75" customHeight="1">
      <c r="A441" s="107"/>
      <c r="B441" s="1294" t="s">
        <v>121</v>
      </c>
      <c r="C441" s="1294"/>
      <c r="D441" s="1294"/>
      <c r="E441" s="1294"/>
      <c r="F441" s="1294"/>
      <c r="G441" s="1294"/>
      <c r="H441" s="128">
        <f>H442</f>
        <v>4874.1000000000004</v>
      </c>
      <c r="I441" s="106">
        <f t="shared" ref="I441:P441" si="123">I442</f>
        <v>3750.3</v>
      </c>
      <c r="J441" s="106">
        <f t="shared" si="123"/>
        <v>3750.3</v>
      </c>
      <c r="K441" s="119">
        <f t="shared" si="123"/>
        <v>127</v>
      </c>
      <c r="L441" s="113">
        <f t="shared" si="123"/>
        <v>2515554</v>
      </c>
      <c r="M441" s="113">
        <f t="shared" si="123"/>
        <v>0</v>
      </c>
      <c r="N441" s="113">
        <f t="shared" si="123"/>
        <v>0</v>
      </c>
      <c r="O441" s="113">
        <f t="shared" si="123"/>
        <v>2515554</v>
      </c>
      <c r="P441" s="113">
        <f t="shared" si="123"/>
        <v>0</v>
      </c>
      <c r="Q441" s="106" t="s">
        <v>40</v>
      </c>
      <c r="R441" s="106" t="s">
        <v>40</v>
      </c>
      <c r="S441" s="316">
        <v>43100</v>
      </c>
    </row>
    <row r="442" spans="1:19" s="1" customFormat="1" ht="36.6" customHeight="1">
      <c r="A442" s="107"/>
      <c r="B442" s="934" t="s">
        <v>989</v>
      </c>
      <c r="C442" s="269">
        <v>1981</v>
      </c>
      <c r="D442" s="118"/>
      <c r="E442" s="109" t="s">
        <v>219</v>
      </c>
      <c r="F442" s="118">
        <v>5</v>
      </c>
      <c r="G442" s="118">
        <v>5</v>
      </c>
      <c r="H442" s="128">
        <v>4874.1000000000004</v>
      </c>
      <c r="I442" s="106">
        <v>3750.3</v>
      </c>
      <c r="J442" s="106">
        <v>3750.3</v>
      </c>
      <c r="K442" s="119">
        <v>127</v>
      </c>
      <c r="L442" s="113">
        <v>2515554</v>
      </c>
      <c r="M442" s="113">
        <v>0</v>
      </c>
      <c r="N442" s="113">
        <v>0</v>
      </c>
      <c r="O442" s="113">
        <f>L442</f>
        <v>2515554</v>
      </c>
      <c r="P442" s="113">
        <v>0</v>
      </c>
      <c r="Q442" s="106">
        <f>L442/I442</f>
        <v>670.76073914086874</v>
      </c>
      <c r="R442" s="114">
        <v>7822</v>
      </c>
      <c r="S442" s="316">
        <v>43100</v>
      </c>
    </row>
    <row r="443" spans="1:19" s="1" customFormat="1" ht="15.75" customHeight="1">
      <c r="A443" s="107"/>
      <c r="B443" s="1294" t="s">
        <v>807</v>
      </c>
      <c r="C443" s="1294"/>
      <c r="D443" s="1294"/>
      <c r="E443" s="1294"/>
      <c r="F443" s="1294"/>
      <c r="G443" s="1294"/>
      <c r="H443" s="128">
        <f>H444</f>
        <v>1381.2</v>
      </c>
      <c r="I443" s="106">
        <f t="shared" ref="I443:P443" si="124">I444</f>
        <v>1381.2</v>
      </c>
      <c r="J443" s="106">
        <f t="shared" si="124"/>
        <v>1381.2</v>
      </c>
      <c r="K443" s="119">
        <f t="shared" si="124"/>
        <v>68</v>
      </c>
      <c r="L443" s="113">
        <f t="shared" si="124"/>
        <v>1510788</v>
      </c>
      <c r="M443" s="113">
        <f t="shared" si="124"/>
        <v>0</v>
      </c>
      <c r="N443" s="113">
        <f t="shared" si="124"/>
        <v>0</v>
      </c>
      <c r="O443" s="113">
        <f t="shared" si="124"/>
        <v>1254869</v>
      </c>
      <c r="P443" s="113">
        <f t="shared" si="124"/>
        <v>255919</v>
      </c>
      <c r="Q443" s="106" t="s">
        <v>40</v>
      </c>
      <c r="R443" s="106" t="s">
        <v>40</v>
      </c>
      <c r="S443" s="316">
        <v>43100</v>
      </c>
    </row>
    <row r="444" spans="1:19" s="1" customFormat="1" ht="15.75">
      <c r="A444" s="107"/>
      <c r="B444" s="751" t="s">
        <v>808</v>
      </c>
      <c r="C444" s="269">
        <v>1979</v>
      </c>
      <c r="D444" s="118"/>
      <c r="E444" s="109" t="s">
        <v>219</v>
      </c>
      <c r="F444" s="118">
        <v>3</v>
      </c>
      <c r="G444" s="118">
        <v>3</v>
      </c>
      <c r="H444" s="128">
        <v>1381.2</v>
      </c>
      <c r="I444" s="106">
        <v>1381.2</v>
      </c>
      <c r="J444" s="106">
        <v>1381.2</v>
      </c>
      <c r="K444" s="119">
        <v>68</v>
      </c>
      <c r="L444" s="113">
        <v>1510788</v>
      </c>
      <c r="M444" s="113">
        <v>0</v>
      </c>
      <c r="N444" s="113">
        <v>0</v>
      </c>
      <c r="O444" s="113">
        <v>1254869</v>
      </c>
      <c r="P444" s="113">
        <v>255919</v>
      </c>
      <c r="Q444" s="106">
        <f>L444/I444</f>
        <v>1093.8227628149434</v>
      </c>
      <c r="R444" s="114">
        <v>7822</v>
      </c>
      <c r="S444" s="316">
        <v>43100</v>
      </c>
    </row>
    <row r="445" spans="1:19" s="1" customFormat="1" ht="15.75">
      <c r="A445" s="107"/>
      <c r="B445" s="1292" t="s">
        <v>57</v>
      </c>
      <c r="C445" s="1292"/>
      <c r="D445" s="1292"/>
      <c r="E445" s="1292"/>
      <c r="F445" s="1292"/>
      <c r="G445" s="1292"/>
      <c r="H445" s="128">
        <f>H446</f>
        <v>8010.4</v>
      </c>
      <c r="I445" s="128">
        <f t="shared" ref="I445:P445" si="125">I446</f>
        <v>7196.9</v>
      </c>
      <c r="J445" s="128">
        <f t="shared" si="125"/>
        <v>7104.4</v>
      </c>
      <c r="K445" s="119">
        <f t="shared" si="125"/>
        <v>199</v>
      </c>
      <c r="L445" s="113">
        <f t="shared" si="125"/>
        <v>2579247</v>
      </c>
      <c r="M445" s="113">
        <f t="shared" si="125"/>
        <v>0</v>
      </c>
      <c r="N445" s="113">
        <f t="shared" si="125"/>
        <v>0</v>
      </c>
      <c r="O445" s="113">
        <f t="shared" si="125"/>
        <v>2579247</v>
      </c>
      <c r="P445" s="113">
        <f t="shared" si="125"/>
        <v>0</v>
      </c>
      <c r="Q445" s="106" t="s">
        <v>40</v>
      </c>
      <c r="R445" s="114" t="s">
        <v>40</v>
      </c>
      <c r="S445" s="316">
        <v>43100</v>
      </c>
    </row>
    <row r="446" spans="1:19" s="1" customFormat="1" ht="15.75" customHeight="1">
      <c r="A446" s="107"/>
      <c r="B446" s="1294" t="s">
        <v>119</v>
      </c>
      <c r="C446" s="1294"/>
      <c r="D446" s="1294"/>
      <c r="E446" s="1294"/>
      <c r="F446" s="1294"/>
      <c r="G446" s="1294"/>
      <c r="H446" s="128">
        <f t="shared" ref="H446:P446" si="126">H447+H448</f>
        <v>8010.4</v>
      </c>
      <c r="I446" s="128">
        <f t="shared" si="126"/>
        <v>7196.9</v>
      </c>
      <c r="J446" s="128">
        <f t="shared" si="126"/>
        <v>7104.4</v>
      </c>
      <c r="K446" s="119">
        <f t="shared" si="126"/>
        <v>199</v>
      </c>
      <c r="L446" s="113">
        <f t="shared" si="126"/>
        <v>2579247</v>
      </c>
      <c r="M446" s="113">
        <f t="shared" si="126"/>
        <v>0</v>
      </c>
      <c r="N446" s="113">
        <f t="shared" si="126"/>
        <v>0</v>
      </c>
      <c r="O446" s="113">
        <f t="shared" si="126"/>
        <v>2579247</v>
      </c>
      <c r="P446" s="113">
        <f t="shared" si="126"/>
        <v>0</v>
      </c>
      <c r="Q446" s="106" t="s">
        <v>40</v>
      </c>
      <c r="R446" s="106" t="s">
        <v>40</v>
      </c>
      <c r="S446" s="316">
        <v>43100</v>
      </c>
    </row>
    <row r="447" spans="1:19" s="1" customFormat="1" ht="15.75">
      <c r="A447" s="107"/>
      <c r="B447" s="907" t="s">
        <v>980</v>
      </c>
      <c r="C447" s="269">
        <v>1985</v>
      </c>
      <c r="D447" s="118"/>
      <c r="E447" s="109" t="s">
        <v>219</v>
      </c>
      <c r="F447" s="118">
        <v>5</v>
      </c>
      <c r="G447" s="118">
        <v>8</v>
      </c>
      <c r="H447" s="128">
        <v>6272.4</v>
      </c>
      <c r="I447" s="128">
        <v>5594.8</v>
      </c>
      <c r="J447" s="128">
        <v>5502.3</v>
      </c>
      <c r="K447" s="119">
        <v>157</v>
      </c>
      <c r="L447" s="113">
        <v>1384480</v>
      </c>
      <c r="M447" s="113">
        <v>0</v>
      </c>
      <c r="N447" s="113">
        <v>0</v>
      </c>
      <c r="O447" s="113">
        <f>L447</f>
        <v>1384480</v>
      </c>
      <c r="P447" s="113">
        <v>0</v>
      </c>
      <c r="Q447" s="106">
        <f>L447/I447</f>
        <v>247.45835418602988</v>
      </c>
      <c r="R447" s="114">
        <v>7822</v>
      </c>
      <c r="S447" s="316">
        <v>43100</v>
      </c>
    </row>
    <row r="448" spans="1:19" s="23" customFormat="1" ht="31.5">
      <c r="A448" s="107"/>
      <c r="B448" s="908" t="s">
        <v>981</v>
      </c>
      <c r="C448" s="269">
        <v>1988</v>
      </c>
      <c r="D448" s="118"/>
      <c r="E448" s="109" t="s">
        <v>218</v>
      </c>
      <c r="F448" s="118">
        <v>3</v>
      </c>
      <c r="G448" s="118">
        <v>3</v>
      </c>
      <c r="H448" s="128">
        <v>1738</v>
      </c>
      <c r="I448" s="128">
        <v>1602.1</v>
      </c>
      <c r="J448" s="128">
        <v>1602.1</v>
      </c>
      <c r="K448" s="119">
        <v>42</v>
      </c>
      <c r="L448" s="113">
        <v>1194767</v>
      </c>
      <c r="M448" s="113">
        <v>0</v>
      </c>
      <c r="N448" s="113">
        <v>0</v>
      </c>
      <c r="O448" s="113">
        <f>L448</f>
        <v>1194767</v>
      </c>
      <c r="P448" s="113">
        <v>0</v>
      </c>
      <c r="Q448" s="106">
        <f>L448/I448</f>
        <v>745.75057736720555</v>
      </c>
      <c r="R448" s="114">
        <v>7822</v>
      </c>
      <c r="S448" s="316">
        <v>43100</v>
      </c>
    </row>
    <row r="449" spans="1:19" s="1" customFormat="1" ht="15.75">
      <c r="A449" s="107"/>
      <c r="B449" s="1292" t="s">
        <v>58</v>
      </c>
      <c r="C449" s="1292"/>
      <c r="D449" s="1292"/>
      <c r="E449" s="1292"/>
      <c r="F449" s="1292"/>
      <c r="G449" s="1292"/>
      <c r="H449" s="128">
        <f>H450</f>
        <v>15250.300000000001</v>
      </c>
      <c r="I449" s="128">
        <f t="shared" ref="I449:P449" si="127">I450</f>
        <v>13418.4</v>
      </c>
      <c r="J449" s="128">
        <f t="shared" si="127"/>
        <v>12151.1</v>
      </c>
      <c r="K449" s="119">
        <f t="shared" si="127"/>
        <v>490</v>
      </c>
      <c r="L449" s="113">
        <f t="shared" si="127"/>
        <v>12013200</v>
      </c>
      <c r="M449" s="113">
        <f t="shared" si="127"/>
        <v>0</v>
      </c>
      <c r="N449" s="113">
        <f t="shared" si="127"/>
        <v>0</v>
      </c>
      <c r="O449" s="113">
        <f t="shared" si="127"/>
        <v>12013200</v>
      </c>
      <c r="P449" s="113">
        <f t="shared" si="127"/>
        <v>0</v>
      </c>
      <c r="Q449" s="106" t="s">
        <v>40</v>
      </c>
      <c r="R449" s="106" t="s">
        <v>40</v>
      </c>
      <c r="S449" s="316">
        <v>43100</v>
      </c>
    </row>
    <row r="450" spans="1:19" s="1" customFormat="1" ht="15.75" customHeight="1">
      <c r="A450" s="107"/>
      <c r="B450" s="1294" t="s">
        <v>87</v>
      </c>
      <c r="C450" s="1294"/>
      <c r="D450" s="1294"/>
      <c r="E450" s="1294"/>
      <c r="F450" s="1294"/>
      <c r="G450" s="1294"/>
      <c r="H450" s="128">
        <f>SUM(H451:H459)</f>
        <v>15250.300000000001</v>
      </c>
      <c r="I450" s="106">
        <f t="shared" ref="I450:N450" si="128">SUM(I451:I459)</f>
        <v>13418.4</v>
      </c>
      <c r="J450" s="106">
        <f t="shared" si="128"/>
        <v>12151.1</v>
      </c>
      <c r="K450" s="119">
        <f t="shared" si="128"/>
        <v>490</v>
      </c>
      <c r="L450" s="113">
        <f t="shared" si="128"/>
        <v>12013200</v>
      </c>
      <c r="M450" s="113">
        <f t="shared" si="128"/>
        <v>0</v>
      </c>
      <c r="N450" s="113">
        <f t="shared" si="128"/>
        <v>0</v>
      </c>
      <c r="O450" s="113">
        <f>SUM(O451:O459)</f>
        <v>12013200</v>
      </c>
      <c r="P450" s="113">
        <v>0</v>
      </c>
      <c r="Q450" s="106" t="s">
        <v>40</v>
      </c>
      <c r="R450" s="106" t="s">
        <v>40</v>
      </c>
      <c r="S450" s="316">
        <v>43100</v>
      </c>
    </row>
    <row r="451" spans="1:19" s="30" customFormat="1" ht="31.5">
      <c r="A451" s="107"/>
      <c r="B451" s="264" t="s">
        <v>425</v>
      </c>
      <c r="C451" s="179">
        <v>1962</v>
      </c>
      <c r="D451" s="99"/>
      <c r="E451" s="109" t="s">
        <v>218</v>
      </c>
      <c r="F451" s="99">
        <v>5</v>
      </c>
      <c r="G451" s="99">
        <v>4</v>
      </c>
      <c r="H451" s="180">
        <v>3382</v>
      </c>
      <c r="I451" s="115">
        <v>3164.5</v>
      </c>
      <c r="J451" s="115">
        <v>2546.4</v>
      </c>
      <c r="K451" s="154">
        <v>88</v>
      </c>
      <c r="L451" s="113">
        <f t="shared" ref="L451:L459" si="129">O451</f>
        <v>2239107</v>
      </c>
      <c r="M451" s="113">
        <v>0</v>
      </c>
      <c r="N451" s="113">
        <v>0</v>
      </c>
      <c r="O451" s="113">
        <v>2239107</v>
      </c>
      <c r="P451" s="113">
        <v>0</v>
      </c>
      <c r="Q451" s="100">
        <f t="shared" ref="Q451:Q459" si="130">L451/I451</f>
        <v>707.57054826986882</v>
      </c>
      <c r="R451" s="114">
        <v>6774</v>
      </c>
      <c r="S451" s="316">
        <v>43100</v>
      </c>
    </row>
    <row r="452" spans="1:19" s="30" customFormat="1" ht="15.75">
      <c r="A452" s="107"/>
      <c r="B452" s="264" t="s">
        <v>79</v>
      </c>
      <c r="C452" s="99">
        <v>1949</v>
      </c>
      <c r="D452" s="99"/>
      <c r="E452" s="109" t="s">
        <v>222</v>
      </c>
      <c r="F452" s="99">
        <v>2</v>
      </c>
      <c r="G452" s="99">
        <v>2</v>
      </c>
      <c r="H452" s="180">
        <v>448.3</v>
      </c>
      <c r="I452" s="100">
        <v>402.5</v>
      </c>
      <c r="J452" s="100">
        <v>346.7</v>
      </c>
      <c r="K452" s="101">
        <v>16</v>
      </c>
      <c r="L452" s="113">
        <f t="shared" si="129"/>
        <v>706234</v>
      </c>
      <c r="M452" s="113">
        <v>0</v>
      </c>
      <c r="N452" s="113">
        <v>0</v>
      </c>
      <c r="O452" s="113">
        <v>706234</v>
      </c>
      <c r="P452" s="113">
        <v>0</v>
      </c>
      <c r="Q452" s="100">
        <f t="shared" si="130"/>
        <v>1754.6186335403727</v>
      </c>
      <c r="R452" s="114">
        <v>6774</v>
      </c>
      <c r="S452" s="316">
        <v>43100</v>
      </c>
    </row>
    <row r="453" spans="1:19" s="30" customFormat="1" ht="15.75">
      <c r="A453" s="107"/>
      <c r="B453" s="264" t="s">
        <v>78</v>
      </c>
      <c r="C453" s="99">
        <v>1949</v>
      </c>
      <c r="D453" s="99"/>
      <c r="E453" s="109" t="s">
        <v>221</v>
      </c>
      <c r="F453" s="99">
        <v>2</v>
      </c>
      <c r="G453" s="99">
        <v>2</v>
      </c>
      <c r="H453" s="180">
        <v>438.3</v>
      </c>
      <c r="I453" s="100">
        <v>393.5</v>
      </c>
      <c r="J453" s="100">
        <f>I453-49.9</f>
        <v>343.6</v>
      </c>
      <c r="K453" s="101">
        <v>16</v>
      </c>
      <c r="L453" s="113">
        <f t="shared" si="129"/>
        <v>651603</v>
      </c>
      <c r="M453" s="113">
        <v>0</v>
      </c>
      <c r="N453" s="113">
        <v>0</v>
      </c>
      <c r="O453" s="113">
        <v>651603</v>
      </c>
      <c r="P453" s="113">
        <v>0</v>
      </c>
      <c r="Q453" s="100">
        <f t="shared" si="130"/>
        <v>1655.9161372299873</v>
      </c>
      <c r="R453" s="114">
        <v>6774</v>
      </c>
      <c r="S453" s="316">
        <v>43100</v>
      </c>
    </row>
    <row r="454" spans="1:19" s="30" customFormat="1" ht="31.5">
      <c r="A454" s="107"/>
      <c r="B454" s="264" t="s">
        <v>426</v>
      </c>
      <c r="C454" s="179">
        <v>1990</v>
      </c>
      <c r="D454" s="99"/>
      <c r="E454" s="109" t="s">
        <v>218</v>
      </c>
      <c r="F454" s="99">
        <v>3</v>
      </c>
      <c r="G454" s="99">
        <v>1</v>
      </c>
      <c r="H454" s="180">
        <v>700.1</v>
      </c>
      <c r="I454" s="115">
        <v>650.70000000000005</v>
      </c>
      <c r="J454" s="115">
        <v>650.70000000000005</v>
      </c>
      <c r="K454" s="154">
        <v>18</v>
      </c>
      <c r="L454" s="113">
        <f t="shared" si="129"/>
        <v>698701</v>
      </c>
      <c r="M454" s="113">
        <v>0</v>
      </c>
      <c r="N454" s="113">
        <v>0</v>
      </c>
      <c r="O454" s="113">
        <v>698701</v>
      </c>
      <c r="P454" s="113">
        <v>0</v>
      </c>
      <c r="Q454" s="100">
        <f t="shared" si="130"/>
        <v>1073.7682495773781</v>
      </c>
      <c r="R454" s="114">
        <v>6774</v>
      </c>
      <c r="S454" s="316">
        <v>43100</v>
      </c>
    </row>
    <row r="455" spans="1:19" s="30" customFormat="1" ht="31.5">
      <c r="A455" s="107"/>
      <c r="B455" s="264" t="s">
        <v>80</v>
      </c>
      <c r="C455" s="179">
        <v>1982</v>
      </c>
      <c r="D455" s="99"/>
      <c r="E455" s="109" t="s">
        <v>218</v>
      </c>
      <c r="F455" s="99">
        <v>5</v>
      </c>
      <c r="G455" s="99">
        <v>4</v>
      </c>
      <c r="H455" s="181">
        <v>3159.2</v>
      </c>
      <c r="I455" s="115">
        <v>2600.8000000000002</v>
      </c>
      <c r="J455" s="115">
        <v>2455.5</v>
      </c>
      <c r="K455" s="154">
        <v>106</v>
      </c>
      <c r="L455" s="113">
        <f t="shared" si="129"/>
        <v>1512903</v>
      </c>
      <c r="M455" s="113">
        <v>0</v>
      </c>
      <c r="N455" s="113">
        <v>0</v>
      </c>
      <c r="O455" s="113">
        <v>1512903</v>
      </c>
      <c r="P455" s="113">
        <v>0</v>
      </c>
      <c r="Q455" s="100">
        <f t="shared" si="130"/>
        <v>581.70678252845278</v>
      </c>
      <c r="R455" s="114">
        <v>6774</v>
      </c>
      <c r="S455" s="316">
        <v>43100</v>
      </c>
    </row>
    <row r="456" spans="1:19" s="30" customFormat="1" ht="15.75">
      <c r="A456" s="107"/>
      <c r="B456" s="264" t="s">
        <v>84</v>
      </c>
      <c r="C456" s="179">
        <v>1953</v>
      </c>
      <c r="D456" s="99"/>
      <c r="E456" s="109" t="s">
        <v>220</v>
      </c>
      <c r="F456" s="99">
        <v>2</v>
      </c>
      <c r="G456" s="99">
        <v>2</v>
      </c>
      <c r="H456" s="181">
        <v>664.5</v>
      </c>
      <c r="I456" s="115">
        <v>609.4</v>
      </c>
      <c r="J456" s="115">
        <f>450.2-48.3</f>
        <v>401.9</v>
      </c>
      <c r="K456" s="154">
        <v>15</v>
      </c>
      <c r="L456" s="113">
        <f t="shared" si="129"/>
        <v>1668544</v>
      </c>
      <c r="M456" s="113">
        <v>0</v>
      </c>
      <c r="N456" s="113">
        <v>0</v>
      </c>
      <c r="O456" s="113">
        <v>1668544</v>
      </c>
      <c r="P456" s="113">
        <v>0</v>
      </c>
      <c r="Q456" s="100">
        <f t="shared" si="130"/>
        <v>2738.0111585165737</v>
      </c>
      <c r="R456" s="114">
        <v>6774</v>
      </c>
      <c r="S456" s="316">
        <v>43100</v>
      </c>
    </row>
    <row r="457" spans="1:19" s="30" customFormat="1" ht="31.5">
      <c r="A457" s="107"/>
      <c r="B457" s="264" t="s">
        <v>81</v>
      </c>
      <c r="C457" s="179">
        <v>1988</v>
      </c>
      <c r="D457" s="99"/>
      <c r="E457" s="109" t="s">
        <v>218</v>
      </c>
      <c r="F457" s="99">
        <v>5</v>
      </c>
      <c r="G457" s="99">
        <v>6</v>
      </c>
      <c r="H457" s="181">
        <v>4806.3999999999996</v>
      </c>
      <c r="I457" s="115">
        <v>4087.2</v>
      </c>
      <c r="J457" s="115">
        <v>4087.2</v>
      </c>
      <c r="K457" s="154">
        <v>172</v>
      </c>
      <c r="L457" s="113">
        <f t="shared" si="129"/>
        <v>2294873</v>
      </c>
      <c r="M457" s="113">
        <v>0</v>
      </c>
      <c r="N457" s="113">
        <v>0</v>
      </c>
      <c r="O457" s="113">
        <v>2294873</v>
      </c>
      <c r="P457" s="113">
        <v>0</v>
      </c>
      <c r="Q457" s="100">
        <f t="shared" si="130"/>
        <v>561.47802896848702</v>
      </c>
      <c r="R457" s="114">
        <v>6774</v>
      </c>
      <c r="S457" s="316">
        <v>43100</v>
      </c>
    </row>
    <row r="458" spans="1:19" s="30" customFormat="1" ht="15.75">
      <c r="A458" s="107"/>
      <c r="B458" s="264" t="s">
        <v>82</v>
      </c>
      <c r="C458" s="179">
        <v>1948</v>
      </c>
      <c r="D458" s="99"/>
      <c r="E458" s="109" t="s">
        <v>221</v>
      </c>
      <c r="F458" s="99">
        <v>2</v>
      </c>
      <c r="G458" s="99">
        <v>1</v>
      </c>
      <c r="H458" s="181">
        <v>559.9</v>
      </c>
      <c r="I458" s="115">
        <v>503.7</v>
      </c>
      <c r="J458" s="115">
        <f>I458-190.7</f>
        <v>313</v>
      </c>
      <c r="K458" s="154">
        <v>26</v>
      </c>
      <c r="L458" s="113">
        <f t="shared" si="129"/>
        <v>879987</v>
      </c>
      <c r="M458" s="113">
        <v>0</v>
      </c>
      <c r="N458" s="113">
        <v>0</v>
      </c>
      <c r="O458" s="113">
        <v>879987</v>
      </c>
      <c r="P458" s="113">
        <v>0</v>
      </c>
      <c r="Q458" s="100">
        <f t="shared" si="130"/>
        <v>1747.0458606313282</v>
      </c>
      <c r="R458" s="114">
        <v>6774</v>
      </c>
      <c r="S458" s="316">
        <v>43100</v>
      </c>
    </row>
    <row r="459" spans="1:19" s="30" customFormat="1" ht="31.5">
      <c r="A459" s="107"/>
      <c r="B459" s="264" t="s">
        <v>83</v>
      </c>
      <c r="C459" s="179">
        <v>1958</v>
      </c>
      <c r="D459" s="99"/>
      <c r="E459" s="109" t="s">
        <v>218</v>
      </c>
      <c r="F459" s="99">
        <v>2</v>
      </c>
      <c r="G459" s="99">
        <v>3</v>
      </c>
      <c r="H459" s="181">
        <v>1091.5999999999999</v>
      </c>
      <c r="I459" s="115">
        <v>1006.1</v>
      </c>
      <c r="J459" s="115">
        <v>1006.1</v>
      </c>
      <c r="K459" s="154">
        <v>33</v>
      </c>
      <c r="L459" s="113">
        <f t="shared" si="129"/>
        <v>1361248</v>
      </c>
      <c r="M459" s="113">
        <v>0</v>
      </c>
      <c r="N459" s="113">
        <v>0</v>
      </c>
      <c r="O459" s="113">
        <v>1361248</v>
      </c>
      <c r="P459" s="113">
        <v>0</v>
      </c>
      <c r="Q459" s="100">
        <f t="shared" si="130"/>
        <v>1352.9947321339828</v>
      </c>
      <c r="R459" s="114">
        <v>6774</v>
      </c>
      <c r="S459" s="316">
        <v>43100</v>
      </c>
    </row>
    <row r="460" spans="1:19" s="1" customFormat="1" ht="15.75">
      <c r="A460" s="107"/>
      <c r="B460" s="1292" t="s">
        <v>60</v>
      </c>
      <c r="C460" s="1292"/>
      <c r="D460" s="1292"/>
      <c r="E460" s="1292"/>
      <c r="F460" s="1292"/>
      <c r="G460" s="1292"/>
      <c r="H460" s="128">
        <f>H461</f>
        <v>8449.7999999999993</v>
      </c>
      <c r="I460" s="106">
        <f t="shared" ref="I460:P460" si="131">I461</f>
        <v>4991.1999999999989</v>
      </c>
      <c r="J460" s="106">
        <f t="shared" si="131"/>
        <v>4257.5</v>
      </c>
      <c r="K460" s="119">
        <f t="shared" si="131"/>
        <v>357</v>
      </c>
      <c r="L460" s="113">
        <f t="shared" si="131"/>
        <v>6800353</v>
      </c>
      <c r="M460" s="113">
        <f t="shared" si="131"/>
        <v>0</v>
      </c>
      <c r="N460" s="113">
        <f t="shared" si="131"/>
        <v>0</v>
      </c>
      <c r="O460" s="113">
        <f t="shared" si="131"/>
        <v>6800353</v>
      </c>
      <c r="P460" s="113">
        <f t="shared" si="131"/>
        <v>0</v>
      </c>
      <c r="Q460" s="106" t="s">
        <v>40</v>
      </c>
      <c r="R460" s="106" t="s">
        <v>40</v>
      </c>
      <c r="S460" s="316">
        <v>43100</v>
      </c>
    </row>
    <row r="461" spans="1:19" s="1" customFormat="1" ht="15.75">
      <c r="A461" s="107"/>
      <c r="B461" s="1292" t="s">
        <v>113</v>
      </c>
      <c r="C461" s="1292"/>
      <c r="D461" s="1292"/>
      <c r="E461" s="1292"/>
      <c r="F461" s="1292"/>
      <c r="G461" s="1292"/>
      <c r="H461" s="128">
        <f>SUM(H462:H465)</f>
        <v>8449.7999999999993</v>
      </c>
      <c r="I461" s="106">
        <f t="shared" ref="I461:P461" si="132">SUM(I462:I465)</f>
        <v>4991.1999999999989</v>
      </c>
      <c r="J461" s="106">
        <f t="shared" si="132"/>
        <v>4257.5</v>
      </c>
      <c r="K461" s="119">
        <f t="shared" si="132"/>
        <v>357</v>
      </c>
      <c r="L461" s="113">
        <f t="shared" si="132"/>
        <v>6800353</v>
      </c>
      <c r="M461" s="113">
        <f t="shared" si="132"/>
        <v>0</v>
      </c>
      <c r="N461" s="113">
        <f t="shared" si="132"/>
        <v>0</v>
      </c>
      <c r="O461" s="113">
        <f t="shared" si="132"/>
        <v>6800353</v>
      </c>
      <c r="P461" s="113">
        <f t="shared" si="132"/>
        <v>0</v>
      </c>
      <c r="Q461" s="106" t="s">
        <v>40</v>
      </c>
      <c r="R461" s="106" t="s">
        <v>40</v>
      </c>
      <c r="S461" s="316">
        <v>43100</v>
      </c>
    </row>
    <row r="462" spans="1:19" s="53" customFormat="1" ht="15.75">
      <c r="A462" s="107"/>
      <c r="B462" s="871" t="s">
        <v>887</v>
      </c>
      <c r="C462" s="108">
        <v>1993</v>
      </c>
      <c r="D462" s="108"/>
      <c r="E462" s="109" t="s">
        <v>219</v>
      </c>
      <c r="F462" s="108">
        <v>5</v>
      </c>
      <c r="G462" s="108">
        <v>5</v>
      </c>
      <c r="H462" s="111">
        <v>3796.1</v>
      </c>
      <c r="I462" s="108">
        <v>2311.6999999999998</v>
      </c>
      <c r="J462" s="108">
        <v>2864.9</v>
      </c>
      <c r="K462" s="112">
        <v>145</v>
      </c>
      <c r="L462" s="113">
        <v>3626543</v>
      </c>
      <c r="M462" s="113">
        <v>0</v>
      </c>
      <c r="N462" s="113">
        <v>0</v>
      </c>
      <c r="O462" s="113">
        <f>L462</f>
        <v>3626543</v>
      </c>
      <c r="P462" s="113">
        <v>0</v>
      </c>
      <c r="Q462" s="114">
        <f>L462/I462</f>
        <v>1568.777523034996</v>
      </c>
      <c r="R462" s="114">
        <v>6774</v>
      </c>
      <c r="S462" s="316">
        <v>43100</v>
      </c>
    </row>
    <row r="463" spans="1:19" s="53" customFormat="1" ht="31.5">
      <c r="A463" s="107"/>
      <c r="B463" s="871" t="s">
        <v>888</v>
      </c>
      <c r="C463" s="108">
        <v>1978</v>
      </c>
      <c r="D463" s="108"/>
      <c r="E463" s="109" t="s">
        <v>218</v>
      </c>
      <c r="F463" s="108">
        <v>5</v>
      </c>
      <c r="G463" s="108">
        <v>1</v>
      </c>
      <c r="H463" s="111">
        <v>4056.6</v>
      </c>
      <c r="I463" s="108">
        <v>2191.6</v>
      </c>
      <c r="J463" s="108">
        <v>937</v>
      </c>
      <c r="K463" s="112">
        <v>196</v>
      </c>
      <c r="L463" s="113">
        <v>2160246</v>
      </c>
      <c r="M463" s="113">
        <v>0</v>
      </c>
      <c r="N463" s="113">
        <v>0</v>
      </c>
      <c r="O463" s="113">
        <f>L463</f>
        <v>2160246</v>
      </c>
      <c r="P463" s="113">
        <v>0</v>
      </c>
      <c r="Q463" s="114">
        <f>L463/I463</f>
        <v>985.69355721847057</v>
      </c>
      <c r="R463" s="114">
        <v>6774</v>
      </c>
      <c r="S463" s="316">
        <v>43100</v>
      </c>
    </row>
    <row r="464" spans="1:19" s="53" customFormat="1" ht="31.5">
      <c r="A464" s="107"/>
      <c r="B464" s="871" t="s">
        <v>889</v>
      </c>
      <c r="C464" s="108">
        <v>1925</v>
      </c>
      <c r="D464" s="108"/>
      <c r="E464" s="109" t="s">
        <v>218</v>
      </c>
      <c r="F464" s="108">
        <v>2</v>
      </c>
      <c r="G464" s="108">
        <v>2</v>
      </c>
      <c r="H464" s="111">
        <v>597.1</v>
      </c>
      <c r="I464" s="108">
        <v>487.9</v>
      </c>
      <c r="J464" s="108">
        <v>455.6</v>
      </c>
      <c r="K464" s="112">
        <v>16</v>
      </c>
      <c r="L464" s="113">
        <v>1013564</v>
      </c>
      <c r="M464" s="113">
        <v>0</v>
      </c>
      <c r="N464" s="113">
        <v>0</v>
      </c>
      <c r="O464" s="113">
        <f>L464</f>
        <v>1013564</v>
      </c>
      <c r="P464" s="113">
        <v>0</v>
      </c>
      <c r="Q464" s="114">
        <f>L464/I464</f>
        <v>2077.401106784177</v>
      </c>
      <c r="R464" s="114">
        <v>6774</v>
      </c>
      <c r="S464" s="316">
        <v>43100</v>
      </c>
    </row>
    <row r="465" spans="1:19" s="53" customFormat="1" ht="15.75">
      <c r="A465" s="107"/>
      <c r="B465" s="262"/>
      <c r="C465" s="108"/>
      <c r="D465" s="108"/>
      <c r="E465" s="109"/>
      <c r="F465" s="108"/>
      <c r="G465" s="108"/>
      <c r="H465" s="111"/>
      <c r="I465" s="108"/>
      <c r="J465" s="108"/>
      <c r="K465" s="112"/>
      <c r="L465" s="113"/>
      <c r="M465" s="113"/>
      <c r="N465" s="113"/>
      <c r="O465" s="113"/>
      <c r="P465" s="113"/>
      <c r="Q465" s="114"/>
      <c r="R465" s="114"/>
      <c r="S465" s="316"/>
    </row>
    <row r="466" spans="1:19" s="53" customFormat="1" ht="15.75" customHeight="1">
      <c r="A466" s="107"/>
      <c r="B466" s="1305" t="s">
        <v>208</v>
      </c>
      <c r="C466" s="1305"/>
      <c r="D466" s="1305"/>
      <c r="E466" s="1305"/>
      <c r="F466" s="1305"/>
      <c r="G466" s="1305"/>
      <c r="H466" s="114">
        <f t="shared" ref="H466:O467" si="133">H467</f>
        <v>318.7</v>
      </c>
      <c r="I466" s="114">
        <f t="shared" si="133"/>
        <v>297.60000000000002</v>
      </c>
      <c r="J466" s="114">
        <f t="shared" si="133"/>
        <v>297.60000000000002</v>
      </c>
      <c r="K466" s="112">
        <f t="shared" si="133"/>
        <v>14</v>
      </c>
      <c r="L466" s="113">
        <f t="shared" si="133"/>
        <v>1167102</v>
      </c>
      <c r="M466" s="113">
        <f t="shared" si="133"/>
        <v>0</v>
      </c>
      <c r="N466" s="113">
        <f t="shared" si="133"/>
        <v>202967.46</v>
      </c>
      <c r="O466" s="113">
        <f t="shared" si="133"/>
        <v>964134.54</v>
      </c>
      <c r="P466" s="113">
        <f>P467</f>
        <v>0</v>
      </c>
      <c r="Q466" s="106" t="s">
        <v>40</v>
      </c>
      <c r="R466" s="114" t="s">
        <v>40</v>
      </c>
      <c r="S466" s="316">
        <v>43100</v>
      </c>
    </row>
    <row r="467" spans="1:19" s="53" customFormat="1" ht="15.75">
      <c r="A467" s="107"/>
      <c r="B467" s="1292" t="s">
        <v>209</v>
      </c>
      <c r="C467" s="1292"/>
      <c r="D467" s="1292"/>
      <c r="E467" s="1292"/>
      <c r="F467" s="1292"/>
      <c r="G467" s="1292"/>
      <c r="H467" s="114">
        <f t="shared" si="133"/>
        <v>318.7</v>
      </c>
      <c r="I467" s="114">
        <f t="shared" si="133"/>
        <v>297.60000000000002</v>
      </c>
      <c r="J467" s="114">
        <f t="shared" si="133"/>
        <v>297.60000000000002</v>
      </c>
      <c r="K467" s="112">
        <f t="shared" si="133"/>
        <v>14</v>
      </c>
      <c r="L467" s="113">
        <f t="shared" si="133"/>
        <v>1167102</v>
      </c>
      <c r="M467" s="113">
        <f t="shared" si="133"/>
        <v>0</v>
      </c>
      <c r="N467" s="113">
        <f t="shared" si="133"/>
        <v>202967.46</v>
      </c>
      <c r="O467" s="113">
        <f t="shared" si="133"/>
        <v>964134.54</v>
      </c>
      <c r="P467" s="113">
        <f>P468</f>
        <v>0</v>
      </c>
      <c r="Q467" s="106" t="s">
        <v>40</v>
      </c>
      <c r="R467" s="106" t="s">
        <v>40</v>
      </c>
      <c r="S467" s="316">
        <v>43100</v>
      </c>
    </row>
    <row r="468" spans="1:19" s="53" customFormat="1" ht="31.5">
      <c r="A468" s="308">
        <v>92</v>
      </c>
      <c r="B468" s="337" t="s">
        <v>478</v>
      </c>
      <c r="C468" s="310">
        <v>1962</v>
      </c>
      <c r="D468" s="310"/>
      <c r="E468" s="311" t="s">
        <v>218</v>
      </c>
      <c r="F468" s="310">
        <v>2</v>
      </c>
      <c r="G468" s="310">
        <v>1</v>
      </c>
      <c r="H468" s="312">
        <v>318.7</v>
      </c>
      <c r="I468" s="310">
        <v>297.60000000000002</v>
      </c>
      <c r="J468" s="310">
        <v>297.60000000000002</v>
      </c>
      <c r="K468" s="313">
        <v>14</v>
      </c>
      <c r="L468" s="314">
        <v>1167102</v>
      </c>
      <c r="M468" s="314">
        <v>0</v>
      </c>
      <c r="N468" s="314">
        <v>202967.46</v>
      </c>
      <c r="O468" s="314">
        <v>964134.54</v>
      </c>
      <c r="P468" s="314">
        <v>0</v>
      </c>
      <c r="Q468" s="315">
        <f>L468/I468</f>
        <v>3921.713709677419</v>
      </c>
      <c r="R468" s="315">
        <v>7822</v>
      </c>
      <c r="S468" s="316">
        <v>43100</v>
      </c>
    </row>
    <row r="469" spans="1:19" s="1" customFormat="1" ht="15.75">
      <c r="A469" s="107"/>
      <c r="B469" s="1292" t="s">
        <v>61</v>
      </c>
      <c r="C469" s="1292"/>
      <c r="D469" s="1292"/>
      <c r="E469" s="1292"/>
      <c r="F469" s="1292"/>
      <c r="G469" s="1292"/>
      <c r="H469" s="128">
        <f>H470</f>
        <v>4625.8</v>
      </c>
      <c r="I469" s="106">
        <f t="shared" ref="I469:P469" si="134">I470</f>
        <v>4269</v>
      </c>
      <c r="J469" s="106">
        <f t="shared" si="134"/>
        <v>4126.6000000000004</v>
      </c>
      <c r="K469" s="119">
        <f t="shared" si="134"/>
        <v>154</v>
      </c>
      <c r="L469" s="113">
        <f t="shared" si="134"/>
        <v>3666180</v>
      </c>
      <c r="M469" s="113">
        <f t="shared" si="134"/>
        <v>0</v>
      </c>
      <c r="N469" s="113">
        <f t="shared" si="134"/>
        <v>0</v>
      </c>
      <c r="O469" s="113">
        <f t="shared" si="134"/>
        <v>3666180</v>
      </c>
      <c r="P469" s="113">
        <f t="shared" si="134"/>
        <v>0</v>
      </c>
      <c r="Q469" s="114" t="s">
        <v>40</v>
      </c>
      <c r="R469" s="114" t="s">
        <v>40</v>
      </c>
      <c r="S469" s="316">
        <v>43100</v>
      </c>
    </row>
    <row r="470" spans="1:19" s="1" customFormat="1" ht="15.75">
      <c r="A470" s="107"/>
      <c r="B470" s="1292" t="s">
        <v>118</v>
      </c>
      <c r="C470" s="1292"/>
      <c r="D470" s="1292"/>
      <c r="E470" s="1292"/>
      <c r="F470" s="1292"/>
      <c r="G470" s="1292"/>
      <c r="H470" s="128">
        <f>H471+H472</f>
        <v>4625.8</v>
      </c>
      <c r="I470" s="128">
        <f t="shared" ref="I470:P470" si="135">I471+I472</f>
        <v>4269</v>
      </c>
      <c r="J470" s="128">
        <f t="shared" si="135"/>
        <v>4126.6000000000004</v>
      </c>
      <c r="K470" s="119">
        <f t="shared" si="135"/>
        <v>154</v>
      </c>
      <c r="L470" s="366">
        <f t="shared" si="135"/>
        <v>3666180</v>
      </c>
      <c r="M470" s="366">
        <f t="shared" si="135"/>
        <v>0</v>
      </c>
      <c r="N470" s="366">
        <f t="shared" si="135"/>
        <v>0</v>
      </c>
      <c r="O470" s="366">
        <f t="shared" si="135"/>
        <v>3666180</v>
      </c>
      <c r="P470" s="366">
        <f t="shared" si="135"/>
        <v>0</v>
      </c>
      <c r="Q470" s="114" t="s">
        <v>40</v>
      </c>
      <c r="R470" s="106" t="s">
        <v>40</v>
      </c>
      <c r="S470" s="316">
        <v>43100</v>
      </c>
    </row>
    <row r="471" spans="1:19" s="1" customFormat="1" ht="15.75">
      <c r="A471" s="308">
        <v>93</v>
      </c>
      <c r="B471" s="363" t="s">
        <v>495</v>
      </c>
      <c r="C471" s="346">
        <v>1981</v>
      </c>
      <c r="D471" s="363"/>
      <c r="E471" s="311" t="s">
        <v>219</v>
      </c>
      <c r="F471" s="346">
        <v>5</v>
      </c>
      <c r="G471" s="346">
        <v>4</v>
      </c>
      <c r="H471" s="347">
        <v>3720</v>
      </c>
      <c r="I471" s="350">
        <v>3423.2</v>
      </c>
      <c r="J471" s="350">
        <v>3280.8</v>
      </c>
      <c r="K471" s="349">
        <v>123</v>
      </c>
      <c r="L471" s="314">
        <v>2553216</v>
      </c>
      <c r="M471" s="314">
        <v>0</v>
      </c>
      <c r="N471" s="314">
        <v>0</v>
      </c>
      <c r="O471" s="314">
        <v>2553216</v>
      </c>
      <c r="P471" s="113">
        <f t="shared" ref="P471" si="136">P476</f>
        <v>0</v>
      </c>
      <c r="Q471" s="315">
        <f t="shared" ref="Q471" si="137">L471/I471</f>
        <v>745.8565085300304</v>
      </c>
      <c r="R471" s="350">
        <v>7822</v>
      </c>
      <c r="S471" s="316">
        <v>43100</v>
      </c>
    </row>
    <row r="472" spans="1:19" s="1" customFormat="1" ht="15.75">
      <c r="A472" s="308">
        <v>94</v>
      </c>
      <c r="B472" s="345" t="s">
        <v>496</v>
      </c>
      <c r="C472" s="310">
        <v>1980</v>
      </c>
      <c r="D472" s="310"/>
      <c r="E472" s="311" t="s">
        <v>219</v>
      </c>
      <c r="F472" s="310">
        <v>2</v>
      </c>
      <c r="G472" s="310">
        <v>2</v>
      </c>
      <c r="H472" s="312">
        <v>905.8</v>
      </c>
      <c r="I472" s="315">
        <v>845.8</v>
      </c>
      <c r="J472" s="315">
        <v>845.8</v>
      </c>
      <c r="K472" s="313">
        <v>31</v>
      </c>
      <c r="L472" s="314">
        <v>1112964</v>
      </c>
      <c r="M472" s="314">
        <v>0</v>
      </c>
      <c r="N472" s="314">
        <v>0</v>
      </c>
      <c r="O472" s="314">
        <v>1112964</v>
      </c>
      <c r="P472" s="314">
        <v>0</v>
      </c>
      <c r="Q472" s="350">
        <f>L472/I472</f>
        <v>1315.8713643887445</v>
      </c>
      <c r="R472" s="315">
        <v>7822</v>
      </c>
      <c r="S472" s="316">
        <v>43100</v>
      </c>
    </row>
    <row r="473" spans="1:19" s="1" customFormat="1" ht="15.75">
      <c r="A473" s="107"/>
      <c r="B473" s="1298" t="s">
        <v>649</v>
      </c>
      <c r="C473" s="1299"/>
      <c r="D473" s="1299"/>
      <c r="E473" s="1299"/>
      <c r="F473" s="1299"/>
      <c r="G473" s="1300"/>
      <c r="H473" s="111">
        <f>H474</f>
        <v>478</v>
      </c>
      <c r="I473" s="111">
        <f t="shared" ref="I473:P473" si="138">I474</f>
        <v>438.4</v>
      </c>
      <c r="J473" s="111">
        <f t="shared" si="138"/>
        <v>0</v>
      </c>
      <c r="K473" s="111">
        <f t="shared" si="138"/>
        <v>15</v>
      </c>
      <c r="L473" s="566">
        <f t="shared" si="138"/>
        <v>204131</v>
      </c>
      <c r="M473" s="566">
        <f t="shared" si="138"/>
        <v>0</v>
      </c>
      <c r="N473" s="566">
        <f t="shared" si="138"/>
        <v>0</v>
      </c>
      <c r="O473" s="566">
        <f t="shared" si="138"/>
        <v>204131</v>
      </c>
      <c r="P473" s="566">
        <f t="shared" si="138"/>
        <v>0</v>
      </c>
      <c r="Q473" s="106" t="s">
        <v>40</v>
      </c>
      <c r="R473" s="106" t="s">
        <v>40</v>
      </c>
      <c r="S473" s="316">
        <v>43100</v>
      </c>
    </row>
    <row r="474" spans="1:19" s="1" customFormat="1" ht="20.45" customHeight="1">
      <c r="A474" s="308"/>
      <c r="B474" s="1295" t="s">
        <v>650</v>
      </c>
      <c r="C474" s="1296"/>
      <c r="D474" s="1296"/>
      <c r="E474" s="1296"/>
      <c r="F474" s="1296"/>
      <c r="G474" s="1297"/>
      <c r="H474" s="312">
        <f>H475</f>
        <v>478</v>
      </c>
      <c r="I474" s="312">
        <f t="shared" ref="I474:P474" si="139">I475</f>
        <v>438.4</v>
      </c>
      <c r="J474" s="312">
        <f t="shared" si="139"/>
        <v>0</v>
      </c>
      <c r="K474" s="312">
        <f t="shared" si="139"/>
        <v>15</v>
      </c>
      <c r="L474" s="714">
        <f t="shared" si="139"/>
        <v>204131</v>
      </c>
      <c r="M474" s="714">
        <f t="shared" si="139"/>
        <v>0</v>
      </c>
      <c r="N474" s="714">
        <f t="shared" si="139"/>
        <v>0</v>
      </c>
      <c r="O474" s="714">
        <f t="shared" si="139"/>
        <v>204131</v>
      </c>
      <c r="P474" s="714">
        <f t="shared" si="139"/>
        <v>0</v>
      </c>
      <c r="Q474" s="350" t="s">
        <v>40</v>
      </c>
      <c r="R474" s="350" t="s">
        <v>40</v>
      </c>
      <c r="S474" s="316">
        <v>43100</v>
      </c>
    </row>
    <row r="475" spans="1:19" s="1" customFormat="1" ht="31.5">
      <c r="A475" s="308">
        <v>95</v>
      </c>
      <c r="B475" s="345" t="s">
        <v>651</v>
      </c>
      <c r="C475" s="310">
        <v>1966</v>
      </c>
      <c r="D475" s="310"/>
      <c r="E475" s="311" t="s">
        <v>218</v>
      </c>
      <c r="F475" s="310">
        <v>2</v>
      </c>
      <c r="G475" s="310">
        <v>3</v>
      </c>
      <c r="H475" s="312">
        <v>478</v>
      </c>
      <c r="I475" s="315">
        <v>438.4</v>
      </c>
      <c r="J475" s="315">
        <v>0</v>
      </c>
      <c r="K475" s="313">
        <v>15</v>
      </c>
      <c r="L475" s="314">
        <v>204131</v>
      </c>
      <c r="M475" s="314">
        <v>0</v>
      </c>
      <c r="N475" s="314">
        <v>0</v>
      </c>
      <c r="O475" s="314">
        <v>204131</v>
      </c>
      <c r="P475" s="314">
        <v>0</v>
      </c>
      <c r="Q475" s="350">
        <f t="shared" ref="Q475" si="140">L475/I475</f>
        <v>465.62728102189783</v>
      </c>
      <c r="R475" s="315">
        <v>7822</v>
      </c>
      <c r="S475" s="316">
        <v>43100</v>
      </c>
    </row>
    <row r="476" spans="1:19" s="1" customFormat="1" ht="15.75">
      <c r="A476" s="107"/>
      <c r="B476" s="1292" t="s">
        <v>62</v>
      </c>
      <c r="C476" s="1292"/>
      <c r="D476" s="1292"/>
      <c r="E476" s="1292"/>
      <c r="F476" s="1292"/>
      <c r="G476" s="1292"/>
      <c r="H476" s="128">
        <f>H477</f>
        <v>508.92</v>
      </c>
      <c r="I476" s="106">
        <f t="shared" ref="I476:P476" si="141">I477</f>
        <v>442.92</v>
      </c>
      <c r="J476" s="106">
        <f t="shared" si="141"/>
        <v>442.92</v>
      </c>
      <c r="K476" s="119">
        <f t="shared" si="141"/>
        <v>16</v>
      </c>
      <c r="L476" s="113">
        <f t="shared" si="141"/>
        <v>1214790</v>
      </c>
      <c r="M476" s="113">
        <f t="shared" si="141"/>
        <v>0</v>
      </c>
      <c r="N476" s="113">
        <f t="shared" si="141"/>
        <v>0</v>
      </c>
      <c r="O476" s="113">
        <f t="shared" si="141"/>
        <v>1214790</v>
      </c>
      <c r="P476" s="113">
        <f t="shared" si="141"/>
        <v>0</v>
      </c>
      <c r="Q476" s="106" t="s">
        <v>40</v>
      </c>
      <c r="R476" s="106" t="s">
        <v>40</v>
      </c>
      <c r="S476" s="316">
        <v>43100</v>
      </c>
    </row>
    <row r="477" spans="1:19" s="1" customFormat="1" ht="15.75">
      <c r="A477" s="107"/>
      <c r="B477" s="1292" t="s">
        <v>117</v>
      </c>
      <c r="C477" s="1292"/>
      <c r="D477" s="1292"/>
      <c r="E477" s="1292"/>
      <c r="F477" s="1292"/>
      <c r="G477" s="1292"/>
      <c r="H477" s="128">
        <f>H478</f>
        <v>508.92</v>
      </c>
      <c r="I477" s="106">
        <f t="shared" ref="I477:P477" si="142">I478</f>
        <v>442.92</v>
      </c>
      <c r="J477" s="106">
        <f t="shared" si="142"/>
        <v>442.92</v>
      </c>
      <c r="K477" s="119">
        <f t="shared" si="142"/>
        <v>16</v>
      </c>
      <c r="L477" s="113">
        <f t="shared" si="142"/>
        <v>1214790</v>
      </c>
      <c r="M477" s="113">
        <f t="shared" si="142"/>
        <v>0</v>
      </c>
      <c r="N477" s="113">
        <f t="shared" si="142"/>
        <v>0</v>
      </c>
      <c r="O477" s="113">
        <f t="shared" si="142"/>
        <v>1214790</v>
      </c>
      <c r="P477" s="113">
        <f t="shared" si="142"/>
        <v>0</v>
      </c>
      <c r="Q477" s="106" t="s">
        <v>40</v>
      </c>
      <c r="R477" s="106" t="s">
        <v>40</v>
      </c>
      <c r="S477" s="316">
        <v>43100</v>
      </c>
    </row>
    <row r="478" spans="1:19" s="1" customFormat="1" ht="15.75">
      <c r="A478" s="308">
        <v>96</v>
      </c>
      <c r="B478" s="363" t="s">
        <v>486</v>
      </c>
      <c r="C478" s="346">
        <v>1973</v>
      </c>
      <c r="D478" s="346"/>
      <c r="E478" s="311" t="s">
        <v>220</v>
      </c>
      <c r="F478" s="346">
        <v>2</v>
      </c>
      <c r="G478" s="346">
        <v>2</v>
      </c>
      <c r="H478" s="347">
        <v>508.92</v>
      </c>
      <c r="I478" s="350">
        <v>442.92</v>
      </c>
      <c r="J478" s="350">
        <v>442.92</v>
      </c>
      <c r="K478" s="349">
        <v>16</v>
      </c>
      <c r="L478" s="314">
        <v>1214790</v>
      </c>
      <c r="M478" s="314">
        <v>0</v>
      </c>
      <c r="N478" s="314">
        <v>0</v>
      </c>
      <c r="O478" s="314">
        <f>L478</f>
        <v>1214790</v>
      </c>
      <c r="P478" s="314">
        <v>0</v>
      </c>
      <c r="Q478" s="350">
        <f>L478/I478</f>
        <v>2742.6849092386888</v>
      </c>
      <c r="R478" s="315">
        <v>7822</v>
      </c>
      <c r="S478" s="316">
        <v>43100</v>
      </c>
    </row>
    <row r="479" spans="1:19" s="1" customFormat="1" ht="15.75">
      <c r="A479" s="107"/>
      <c r="B479" s="1292" t="s">
        <v>63</v>
      </c>
      <c r="C479" s="1292"/>
      <c r="D479" s="1292"/>
      <c r="E479" s="1292"/>
      <c r="F479" s="1292"/>
      <c r="G479" s="1292"/>
      <c r="H479" s="128">
        <f>H480</f>
        <v>4999.2</v>
      </c>
      <c r="I479" s="106">
        <f t="shared" ref="I479:P479" si="143">I480</f>
        <v>4566.3</v>
      </c>
      <c r="J479" s="106">
        <f t="shared" si="143"/>
        <v>4512.6000000000004</v>
      </c>
      <c r="K479" s="119">
        <f t="shared" si="143"/>
        <v>190</v>
      </c>
      <c r="L479" s="113">
        <f t="shared" si="143"/>
        <v>3037109</v>
      </c>
      <c r="M479" s="113">
        <f t="shared" si="143"/>
        <v>0</v>
      </c>
      <c r="N479" s="113">
        <f t="shared" si="143"/>
        <v>214483.68</v>
      </c>
      <c r="O479" s="113">
        <f t="shared" si="143"/>
        <v>2822625.3200000003</v>
      </c>
      <c r="P479" s="113">
        <f t="shared" si="143"/>
        <v>0</v>
      </c>
      <c r="Q479" s="106" t="s">
        <v>40</v>
      </c>
      <c r="R479" s="106" t="s">
        <v>40</v>
      </c>
      <c r="S479" s="316">
        <v>43100</v>
      </c>
    </row>
    <row r="480" spans="1:19" s="1" customFormat="1" ht="15.75" customHeight="1">
      <c r="A480" s="308"/>
      <c r="B480" s="1307" t="s">
        <v>116</v>
      </c>
      <c r="C480" s="1307"/>
      <c r="D480" s="1307"/>
      <c r="E480" s="1307"/>
      <c r="F480" s="1307"/>
      <c r="G480" s="1307"/>
      <c r="H480" s="347">
        <f>H481+H482</f>
        <v>4999.2</v>
      </c>
      <c r="I480" s="350">
        <f t="shared" ref="I480:P480" si="144">I481+I482</f>
        <v>4566.3</v>
      </c>
      <c r="J480" s="350">
        <f t="shared" si="144"/>
        <v>4512.6000000000004</v>
      </c>
      <c r="K480" s="349">
        <f t="shared" si="144"/>
        <v>190</v>
      </c>
      <c r="L480" s="314">
        <f>L481+L482</f>
        <v>3037109</v>
      </c>
      <c r="M480" s="314">
        <f t="shared" si="144"/>
        <v>0</v>
      </c>
      <c r="N480" s="314">
        <f t="shared" si="144"/>
        <v>214483.68</v>
      </c>
      <c r="O480" s="314">
        <f t="shared" si="144"/>
        <v>2822625.3200000003</v>
      </c>
      <c r="P480" s="314">
        <f t="shared" si="144"/>
        <v>0</v>
      </c>
      <c r="Q480" s="350" t="s">
        <v>40</v>
      </c>
      <c r="R480" s="350" t="s">
        <v>40</v>
      </c>
      <c r="S480" s="316">
        <v>43100</v>
      </c>
    </row>
    <row r="481" spans="1:19" s="1" customFormat="1" ht="15.75">
      <c r="A481" s="308">
        <v>97</v>
      </c>
      <c r="B481" s="715" t="s">
        <v>675</v>
      </c>
      <c r="C481" s="716">
        <v>1992</v>
      </c>
      <c r="D481" s="717"/>
      <c r="E481" s="311" t="s">
        <v>219</v>
      </c>
      <c r="F481" s="716">
        <v>5</v>
      </c>
      <c r="G481" s="716">
        <v>4</v>
      </c>
      <c r="H481" s="388">
        <v>3349.7</v>
      </c>
      <c r="I481" s="389">
        <v>3054.1</v>
      </c>
      <c r="J481" s="389">
        <v>3000.4</v>
      </c>
      <c r="K481" s="390">
        <v>125</v>
      </c>
      <c r="L481" s="314">
        <v>2012761</v>
      </c>
      <c r="M481" s="314">
        <v>0</v>
      </c>
      <c r="N481" s="314">
        <v>142143.20000000001</v>
      </c>
      <c r="O481" s="314">
        <v>1870617.8</v>
      </c>
      <c r="P481" s="314">
        <v>0</v>
      </c>
      <c r="Q481" s="391">
        <f>L481/I481</f>
        <v>659.03572247143188</v>
      </c>
      <c r="R481" s="315">
        <v>7822</v>
      </c>
      <c r="S481" s="316">
        <v>43100</v>
      </c>
    </row>
    <row r="482" spans="1:19" s="1" customFormat="1" ht="15.75">
      <c r="A482" s="308">
        <v>98</v>
      </c>
      <c r="B482" s="715" t="s">
        <v>676</v>
      </c>
      <c r="C482" s="717">
        <v>1983</v>
      </c>
      <c r="D482" s="718"/>
      <c r="E482" s="311" t="s">
        <v>219</v>
      </c>
      <c r="F482" s="716">
        <v>5</v>
      </c>
      <c r="G482" s="716">
        <v>2</v>
      </c>
      <c r="H482" s="388">
        <v>1649.5</v>
      </c>
      <c r="I482" s="389">
        <v>1512.2</v>
      </c>
      <c r="J482" s="389">
        <v>1512.2</v>
      </c>
      <c r="K482" s="390">
        <v>65</v>
      </c>
      <c r="L482" s="314">
        <v>1024348</v>
      </c>
      <c r="M482" s="314">
        <v>0</v>
      </c>
      <c r="N482" s="314">
        <v>72340.479999999996</v>
      </c>
      <c r="O482" s="314">
        <v>952007.52</v>
      </c>
      <c r="P482" s="314">
        <v>0</v>
      </c>
      <c r="Q482" s="391">
        <f>L482/I482</f>
        <v>677.38923422827668</v>
      </c>
      <c r="R482" s="315">
        <v>7822</v>
      </c>
      <c r="S482" s="316">
        <v>43100</v>
      </c>
    </row>
    <row r="483" spans="1:19" s="1" customFormat="1" ht="15.75">
      <c r="A483" s="308"/>
      <c r="B483" s="1301" t="s">
        <v>663</v>
      </c>
      <c r="C483" s="1302"/>
      <c r="D483" s="1302"/>
      <c r="E483" s="1302"/>
      <c r="F483" s="1302"/>
      <c r="G483" s="1303"/>
      <c r="H483" s="388">
        <f>H484</f>
        <v>555</v>
      </c>
      <c r="I483" s="388">
        <f t="shared" ref="I483:P483" si="145">I484</f>
        <v>513.20000000000005</v>
      </c>
      <c r="J483" s="388">
        <f t="shared" si="145"/>
        <v>437.9</v>
      </c>
      <c r="K483" s="388">
        <f t="shared" si="145"/>
        <v>16</v>
      </c>
      <c r="L483" s="789">
        <f t="shared" si="145"/>
        <v>1402598</v>
      </c>
      <c r="M483" s="789">
        <f t="shared" si="145"/>
        <v>0</v>
      </c>
      <c r="N483" s="789">
        <f t="shared" si="145"/>
        <v>0</v>
      </c>
      <c r="O483" s="789">
        <f t="shared" si="145"/>
        <v>1402598</v>
      </c>
      <c r="P483" s="789">
        <f t="shared" si="145"/>
        <v>0</v>
      </c>
      <c r="Q483" s="391"/>
      <c r="R483" s="315"/>
      <c r="S483" s="316">
        <v>43100</v>
      </c>
    </row>
    <row r="484" spans="1:19" s="1" customFormat="1" ht="31.5">
      <c r="A484" s="308">
        <v>99</v>
      </c>
      <c r="B484" s="715" t="s">
        <v>664</v>
      </c>
      <c r="C484" s="717">
        <v>1972</v>
      </c>
      <c r="D484" s="718"/>
      <c r="E484" s="569" t="s">
        <v>665</v>
      </c>
      <c r="F484" s="716">
        <v>2</v>
      </c>
      <c r="G484" s="716">
        <v>2</v>
      </c>
      <c r="H484" s="388">
        <v>555</v>
      </c>
      <c r="I484" s="389">
        <v>513.20000000000005</v>
      </c>
      <c r="J484" s="389">
        <v>437.9</v>
      </c>
      <c r="K484" s="390">
        <v>16</v>
      </c>
      <c r="L484" s="314">
        <v>1402598</v>
      </c>
      <c r="M484" s="314">
        <v>0</v>
      </c>
      <c r="N484" s="314">
        <v>0</v>
      </c>
      <c r="O484" s="314">
        <v>1402598</v>
      </c>
      <c r="P484" s="314">
        <v>0</v>
      </c>
      <c r="Q484" s="391">
        <f t="shared" ref="Q484" si="146">L484/I484</f>
        <v>2733.0436477007011</v>
      </c>
      <c r="R484" s="315">
        <v>7822</v>
      </c>
      <c r="S484" s="316">
        <v>43100</v>
      </c>
    </row>
    <row r="485" spans="1:19" s="1" customFormat="1" ht="15.75">
      <c r="A485" s="107"/>
      <c r="B485" s="1292" t="s">
        <v>64</v>
      </c>
      <c r="C485" s="1292"/>
      <c r="D485" s="1292"/>
      <c r="E485" s="1292"/>
      <c r="F485" s="1292"/>
      <c r="G485" s="1292"/>
      <c r="H485" s="128">
        <f>H486</f>
        <v>1306.5</v>
      </c>
      <c r="I485" s="106">
        <f t="shared" ref="I485:P485" si="147">I486</f>
        <v>1229.3</v>
      </c>
      <c r="J485" s="106">
        <f t="shared" si="147"/>
        <v>1229.3</v>
      </c>
      <c r="K485" s="119">
        <f t="shared" si="147"/>
        <v>49</v>
      </c>
      <c r="L485" s="113">
        <f t="shared" si="147"/>
        <v>5743338</v>
      </c>
      <c r="M485" s="113">
        <f t="shared" si="147"/>
        <v>0</v>
      </c>
      <c r="N485" s="113">
        <f t="shared" si="147"/>
        <v>0</v>
      </c>
      <c r="O485" s="113">
        <f t="shared" si="147"/>
        <v>5743338</v>
      </c>
      <c r="P485" s="113">
        <f t="shared" si="147"/>
        <v>0</v>
      </c>
      <c r="Q485" s="106" t="s">
        <v>40</v>
      </c>
      <c r="R485" s="106" t="s">
        <v>40</v>
      </c>
      <c r="S485" s="316">
        <v>43100</v>
      </c>
    </row>
    <row r="486" spans="1:19" s="1" customFormat="1" ht="15.75">
      <c r="A486" s="107"/>
      <c r="B486" s="1292" t="s">
        <v>115</v>
      </c>
      <c r="C486" s="1292"/>
      <c r="D486" s="1292"/>
      <c r="E486" s="1292"/>
      <c r="F486" s="1292"/>
      <c r="G486" s="1292"/>
      <c r="H486" s="128">
        <f>SUM(H487:H490)</f>
        <v>1306.5</v>
      </c>
      <c r="I486" s="106">
        <f t="shared" ref="I486:O486" si="148">SUM(I487:I490)</f>
        <v>1229.3</v>
      </c>
      <c r="J486" s="106">
        <f t="shared" si="148"/>
        <v>1229.3</v>
      </c>
      <c r="K486" s="119">
        <f t="shared" si="148"/>
        <v>49</v>
      </c>
      <c r="L486" s="113">
        <f t="shared" si="148"/>
        <v>5743338</v>
      </c>
      <c r="M486" s="113">
        <f t="shared" si="148"/>
        <v>0</v>
      </c>
      <c r="N486" s="113">
        <f t="shared" si="148"/>
        <v>0</v>
      </c>
      <c r="O486" s="113">
        <f t="shared" si="148"/>
        <v>5743338</v>
      </c>
      <c r="P486" s="113">
        <f t="shared" ref="P486" si="149">SUM(P487:P489)</f>
        <v>0</v>
      </c>
      <c r="Q486" s="106" t="s">
        <v>40</v>
      </c>
      <c r="R486" s="106" t="s">
        <v>40</v>
      </c>
      <c r="S486" s="316">
        <v>43100</v>
      </c>
    </row>
    <row r="487" spans="1:19" s="1" customFormat="1" ht="31.5">
      <c r="A487" s="308">
        <v>100</v>
      </c>
      <c r="B487" s="363" t="s">
        <v>608</v>
      </c>
      <c r="C487" s="346">
        <v>1978</v>
      </c>
      <c r="D487" s="346"/>
      <c r="E487" s="311" t="s">
        <v>218</v>
      </c>
      <c r="F487" s="346">
        <v>2</v>
      </c>
      <c r="G487" s="346">
        <v>1</v>
      </c>
      <c r="H487" s="347">
        <v>291</v>
      </c>
      <c r="I487" s="350">
        <v>291</v>
      </c>
      <c r="J487" s="350">
        <v>291</v>
      </c>
      <c r="K487" s="349">
        <v>10</v>
      </c>
      <c r="L487" s="314">
        <v>2311572</v>
      </c>
      <c r="M487" s="314">
        <v>0</v>
      </c>
      <c r="N487" s="314">
        <v>0</v>
      </c>
      <c r="O487" s="314">
        <f>L487</f>
        <v>2311572</v>
      </c>
      <c r="P487" s="314">
        <v>0</v>
      </c>
      <c r="Q487" s="350">
        <f>L487/I487</f>
        <v>7943.5463917525776</v>
      </c>
      <c r="R487" s="315">
        <v>7822</v>
      </c>
      <c r="S487" s="316">
        <v>43100</v>
      </c>
    </row>
    <row r="488" spans="1:19" s="1" customFormat="1" ht="31.5">
      <c r="A488" s="308">
        <v>101</v>
      </c>
      <c r="B488" s="363" t="s">
        <v>609</v>
      </c>
      <c r="C488" s="346">
        <v>1917</v>
      </c>
      <c r="D488" s="346"/>
      <c r="E488" s="311" t="s">
        <v>218</v>
      </c>
      <c r="F488" s="346">
        <v>1</v>
      </c>
      <c r="G488" s="346">
        <v>1</v>
      </c>
      <c r="H488" s="347">
        <v>120</v>
      </c>
      <c r="I488" s="350">
        <v>120</v>
      </c>
      <c r="J488" s="350">
        <v>120</v>
      </c>
      <c r="K488" s="349">
        <v>5</v>
      </c>
      <c r="L488" s="314">
        <v>968625</v>
      </c>
      <c r="M488" s="314">
        <v>0</v>
      </c>
      <c r="N488" s="314">
        <v>0</v>
      </c>
      <c r="O488" s="314">
        <f>L488</f>
        <v>968625</v>
      </c>
      <c r="P488" s="314">
        <v>0</v>
      </c>
      <c r="Q488" s="350">
        <f>L488/I488</f>
        <v>8071.875</v>
      </c>
      <c r="R488" s="315">
        <v>7822</v>
      </c>
      <c r="S488" s="316">
        <v>43100</v>
      </c>
    </row>
    <row r="489" spans="1:19" s="1" customFormat="1" ht="31.5">
      <c r="A489" s="308">
        <v>102</v>
      </c>
      <c r="B489" s="363" t="s">
        <v>610</v>
      </c>
      <c r="C489" s="346">
        <v>1965</v>
      </c>
      <c r="D489" s="346"/>
      <c r="E489" s="311" t="s">
        <v>218</v>
      </c>
      <c r="F489" s="346">
        <v>2</v>
      </c>
      <c r="G489" s="346">
        <v>1</v>
      </c>
      <c r="H489" s="347">
        <v>407.6</v>
      </c>
      <c r="I489" s="350">
        <v>376.6</v>
      </c>
      <c r="J489" s="350">
        <v>376.6</v>
      </c>
      <c r="K489" s="349">
        <v>17</v>
      </c>
      <c r="L489" s="314">
        <v>1139852</v>
      </c>
      <c r="M489" s="314">
        <v>0</v>
      </c>
      <c r="N489" s="314">
        <v>0</v>
      </c>
      <c r="O489" s="314">
        <f>L489</f>
        <v>1139852</v>
      </c>
      <c r="P489" s="314">
        <v>0</v>
      </c>
      <c r="Q489" s="350">
        <f>L489/I489</f>
        <v>3026.6914498141264</v>
      </c>
      <c r="R489" s="315">
        <v>7822</v>
      </c>
      <c r="S489" s="316">
        <v>43100</v>
      </c>
    </row>
    <row r="490" spans="1:19" s="1" customFormat="1" ht="31.5">
      <c r="A490" s="308">
        <v>103</v>
      </c>
      <c r="B490" s="363" t="s">
        <v>611</v>
      </c>
      <c r="C490" s="346">
        <v>1965</v>
      </c>
      <c r="D490" s="346"/>
      <c r="E490" s="311" t="s">
        <v>218</v>
      </c>
      <c r="F490" s="346">
        <v>2</v>
      </c>
      <c r="G490" s="346">
        <v>1</v>
      </c>
      <c r="H490" s="347">
        <v>487.9</v>
      </c>
      <c r="I490" s="350">
        <v>441.7</v>
      </c>
      <c r="J490" s="350">
        <v>441.7</v>
      </c>
      <c r="K490" s="349">
        <v>17</v>
      </c>
      <c r="L490" s="314">
        <v>1323289</v>
      </c>
      <c r="M490" s="314">
        <v>0</v>
      </c>
      <c r="N490" s="314">
        <v>0</v>
      </c>
      <c r="O490" s="314">
        <f>L490</f>
        <v>1323289</v>
      </c>
      <c r="P490" s="314">
        <v>0</v>
      </c>
      <c r="Q490" s="350">
        <f>L490/I490</f>
        <v>2995.8999320805979</v>
      </c>
      <c r="R490" s="315">
        <v>7822</v>
      </c>
      <c r="S490" s="316">
        <v>43100</v>
      </c>
    </row>
    <row r="491" spans="1:19" s="1" customFormat="1" ht="15.75">
      <c r="A491" s="107"/>
      <c r="B491" s="1292" t="s">
        <v>211</v>
      </c>
      <c r="C491" s="1292"/>
      <c r="D491" s="1292"/>
      <c r="E491" s="1292"/>
      <c r="F491" s="1292"/>
      <c r="G491" s="1292"/>
      <c r="H491" s="128">
        <f t="shared" ref="H491:P491" si="150">H492+H494</f>
        <v>1095.3</v>
      </c>
      <c r="I491" s="128">
        <f t="shared" si="150"/>
        <v>1043.2</v>
      </c>
      <c r="J491" s="128">
        <f t="shared" si="150"/>
        <v>928</v>
      </c>
      <c r="K491" s="119">
        <f t="shared" si="150"/>
        <v>27</v>
      </c>
      <c r="L491" s="113">
        <f t="shared" si="150"/>
        <v>2988909</v>
      </c>
      <c r="M491" s="113">
        <f t="shared" si="150"/>
        <v>0</v>
      </c>
      <c r="N491" s="113">
        <f t="shared" si="150"/>
        <v>0</v>
      </c>
      <c r="O491" s="113">
        <f t="shared" si="150"/>
        <v>2988909</v>
      </c>
      <c r="P491" s="113">
        <f t="shared" si="150"/>
        <v>0</v>
      </c>
      <c r="Q491" s="106" t="s">
        <v>40</v>
      </c>
      <c r="R491" s="106" t="s">
        <v>40</v>
      </c>
      <c r="S491" s="316">
        <v>43100</v>
      </c>
    </row>
    <row r="492" spans="1:19" s="1" customFormat="1" ht="15.75">
      <c r="A492" s="107"/>
      <c r="B492" s="1292" t="s">
        <v>629</v>
      </c>
      <c r="C492" s="1292"/>
      <c r="D492" s="1292"/>
      <c r="E492" s="1292"/>
      <c r="F492" s="1292"/>
      <c r="G492" s="1292"/>
      <c r="H492" s="128">
        <f>H493</f>
        <v>494.8</v>
      </c>
      <c r="I492" s="128">
        <f t="shared" ref="I492:P492" si="151">I493</f>
        <v>494.8</v>
      </c>
      <c r="J492" s="128">
        <f t="shared" si="151"/>
        <v>379.6</v>
      </c>
      <c r="K492" s="119">
        <f t="shared" si="151"/>
        <v>12</v>
      </c>
      <c r="L492" s="113">
        <f t="shared" si="151"/>
        <v>1537679</v>
      </c>
      <c r="M492" s="113">
        <f t="shared" si="151"/>
        <v>0</v>
      </c>
      <c r="N492" s="113">
        <f t="shared" si="151"/>
        <v>0</v>
      </c>
      <c r="O492" s="113">
        <f t="shared" si="151"/>
        <v>1537679</v>
      </c>
      <c r="P492" s="113">
        <f t="shared" si="151"/>
        <v>0</v>
      </c>
      <c r="Q492" s="106" t="s">
        <v>40</v>
      </c>
      <c r="R492" s="114" t="s">
        <v>40</v>
      </c>
      <c r="S492" s="316">
        <v>43100</v>
      </c>
    </row>
    <row r="493" spans="1:19" s="1" customFormat="1" ht="31.5">
      <c r="A493" s="107"/>
      <c r="B493" s="559" t="s">
        <v>630</v>
      </c>
      <c r="C493" s="118">
        <v>1917</v>
      </c>
      <c r="D493" s="118"/>
      <c r="E493" s="109" t="s">
        <v>218</v>
      </c>
      <c r="F493" s="118">
        <v>2</v>
      </c>
      <c r="G493" s="118">
        <v>1</v>
      </c>
      <c r="H493" s="128">
        <v>494.8</v>
      </c>
      <c r="I493" s="106">
        <v>494.8</v>
      </c>
      <c r="J493" s="106">
        <v>379.6</v>
      </c>
      <c r="K493" s="119">
        <v>12</v>
      </c>
      <c r="L493" s="113">
        <v>1537679</v>
      </c>
      <c r="M493" s="113">
        <v>0</v>
      </c>
      <c r="N493" s="113">
        <v>0</v>
      </c>
      <c r="O493" s="113">
        <v>1537679</v>
      </c>
      <c r="P493" s="113">
        <v>0</v>
      </c>
      <c r="Q493" s="106">
        <f>L493/I493</f>
        <v>3107.6778496362167</v>
      </c>
      <c r="R493" s="114">
        <v>7822</v>
      </c>
      <c r="S493" s="316">
        <v>43100</v>
      </c>
    </row>
    <row r="494" spans="1:19" s="1" customFormat="1" ht="15.75">
      <c r="A494" s="107"/>
      <c r="B494" s="1292" t="s">
        <v>631</v>
      </c>
      <c r="C494" s="1292"/>
      <c r="D494" s="1292"/>
      <c r="E494" s="1292"/>
      <c r="F494" s="1292"/>
      <c r="G494" s="1292"/>
      <c r="H494" s="128">
        <f>H495</f>
        <v>600.5</v>
      </c>
      <c r="I494" s="128">
        <f t="shared" ref="I494:P494" si="152">I495</f>
        <v>548.4</v>
      </c>
      <c r="J494" s="128">
        <f t="shared" si="152"/>
        <v>548.4</v>
      </c>
      <c r="K494" s="119">
        <f t="shared" si="152"/>
        <v>15</v>
      </c>
      <c r="L494" s="113">
        <f t="shared" si="152"/>
        <v>1451230</v>
      </c>
      <c r="M494" s="113">
        <f t="shared" si="152"/>
        <v>0</v>
      </c>
      <c r="N494" s="113">
        <f t="shared" si="152"/>
        <v>0</v>
      </c>
      <c r="O494" s="113">
        <f t="shared" si="152"/>
        <v>1451230</v>
      </c>
      <c r="P494" s="113">
        <f t="shared" si="152"/>
        <v>0</v>
      </c>
      <c r="Q494" s="106" t="s">
        <v>40</v>
      </c>
      <c r="R494" s="114" t="s">
        <v>40</v>
      </c>
      <c r="S494" s="316">
        <v>43100</v>
      </c>
    </row>
    <row r="495" spans="1:19" s="1" customFormat="1" ht="31.5">
      <c r="A495" s="107"/>
      <c r="B495" s="564" t="s">
        <v>632</v>
      </c>
      <c r="C495" s="118">
        <v>1982</v>
      </c>
      <c r="D495" s="118"/>
      <c r="E495" s="109" t="s">
        <v>218</v>
      </c>
      <c r="F495" s="118">
        <v>2</v>
      </c>
      <c r="G495" s="118">
        <v>2</v>
      </c>
      <c r="H495" s="128">
        <v>600.5</v>
      </c>
      <c r="I495" s="106">
        <v>548.4</v>
      </c>
      <c r="J495" s="106">
        <v>548.4</v>
      </c>
      <c r="K495" s="119">
        <v>15</v>
      </c>
      <c r="L495" s="113">
        <v>1451230</v>
      </c>
      <c r="M495" s="113">
        <v>0</v>
      </c>
      <c r="N495" s="113">
        <v>0</v>
      </c>
      <c r="O495" s="113">
        <v>1451230</v>
      </c>
      <c r="P495" s="113">
        <v>0</v>
      </c>
      <c r="Q495" s="106">
        <f>L495/I495</f>
        <v>2646.2983223924143</v>
      </c>
      <c r="R495" s="114">
        <v>7822</v>
      </c>
      <c r="S495" s="316">
        <v>43100</v>
      </c>
    </row>
    <row r="496" spans="1:19" s="1" customFormat="1" ht="15.75">
      <c r="A496" s="107"/>
      <c r="B496" s="1292" t="s">
        <v>66</v>
      </c>
      <c r="C496" s="1292"/>
      <c r="D496" s="1292"/>
      <c r="E496" s="1292"/>
      <c r="F496" s="1292"/>
      <c r="G496" s="1292"/>
      <c r="H496" s="128">
        <f>H499+H497</f>
        <v>2315.6</v>
      </c>
      <c r="I496" s="128">
        <f t="shared" ref="I496:P496" si="153">I499+I497</f>
        <v>1993.8000000000002</v>
      </c>
      <c r="J496" s="128">
        <f t="shared" si="153"/>
        <v>1887.2</v>
      </c>
      <c r="K496" s="128">
        <f t="shared" si="153"/>
        <v>65</v>
      </c>
      <c r="L496" s="366">
        <f t="shared" si="153"/>
        <v>4692143</v>
      </c>
      <c r="M496" s="366">
        <f t="shared" si="153"/>
        <v>0</v>
      </c>
      <c r="N496" s="366">
        <f t="shared" si="153"/>
        <v>0</v>
      </c>
      <c r="O496" s="366">
        <f t="shared" si="153"/>
        <v>4692143</v>
      </c>
      <c r="P496" s="366">
        <f t="shared" si="153"/>
        <v>0</v>
      </c>
      <c r="Q496" s="106" t="s">
        <v>40</v>
      </c>
      <c r="R496" s="106" t="s">
        <v>40</v>
      </c>
      <c r="S496" s="316">
        <v>43100</v>
      </c>
    </row>
    <row r="497" spans="1:19" s="1" customFormat="1" ht="15.75">
      <c r="A497" s="308"/>
      <c r="B497" s="866" t="s">
        <v>641</v>
      </c>
      <c r="C497" s="866"/>
      <c r="D497" s="866"/>
      <c r="E497" s="866"/>
      <c r="F497" s="866"/>
      <c r="G497" s="866"/>
      <c r="H497" s="347">
        <f>H498</f>
        <v>675.9</v>
      </c>
      <c r="I497" s="347">
        <f t="shared" ref="I497:P497" si="154">I498</f>
        <v>626.4</v>
      </c>
      <c r="J497" s="347">
        <f t="shared" si="154"/>
        <v>544.20000000000005</v>
      </c>
      <c r="K497" s="347">
        <f t="shared" si="154"/>
        <v>21</v>
      </c>
      <c r="L497" s="820">
        <f t="shared" si="154"/>
        <v>346938</v>
      </c>
      <c r="M497" s="820">
        <f t="shared" si="154"/>
        <v>0</v>
      </c>
      <c r="N497" s="820">
        <f t="shared" si="154"/>
        <v>0</v>
      </c>
      <c r="O497" s="820">
        <f t="shared" si="154"/>
        <v>346938</v>
      </c>
      <c r="P497" s="820">
        <f t="shared" si="154"/>
        <v>0</v>
      </c>
      <c r="Q497" s="350" t="s">
        <v>40</v>
      </c>
      <c r="R497" s="315" t="s">
        <v>40</v>
      </c>
      <c r="S497" s="316">
        <v>43100</v>
      </c>
    </row>
    <row r="498" spans="1:19" s="1" customFormat="1" ht="31.5">
      <c r="A498" s="308"/>
      <c r="B498" s="866" t="s">
        <v>642</v>
      </c>
      <c r="C498" s="346">
        <v>1972</v>
      </c>
      <c r="D498" s="346"/>
      <c r="E498" s="311" t="s">
        <v>218</v>
      </c>
      <c r="F498" s="346">
        <v>2</v>
      </c>
      <c r="G498" s="346">
        <v>2</v>
      </c>
      <c r="H498" s="347">
        <v>675.9</v>
      </c>
      <c r="I498" s="350">
        <v>626.4</v>
      </c>
      <c r="J498" s="350">
        <v>544.20000000000005</v>
      </c>
      <c r="K498" s="349">
        <v>21</v>
      </c>
      <c r="L498" s="849">
        <v>346938</v>
      </c>
      <c r="M498" s="849">
        <v>0</v>
      </c>
      <c r="N498" s="849">
        <v>0</v>
      </c>
      <c r="O498" s="849">
        <v>346938</v>
      </c>
      <c r="P498" s="849">
        <v>0</v>
      </c>
      <c r="Q498" s="670">
        <f>L498/I498</f>
        <v>553.86015325670496</v>
      </c>
      <c r="R498" s="670">
        <v>7822</v>
      </c>
      <c r="S498" s="316">
        <v>43100</v>
      </c>
    </row>
    <row r="499" spans="1:19" s="1" customFormat="1" ht="15.75">
      <c r="A499" s="107"/>
      <c r="B499" s="1292" t="s">
        <v>114</v>
      </c>
      <c r="C499" s="1292"/>
      <c r="D499" s="1292"/>
      <c r="E499" s="1292"/>
      <c r="F499" s="1292"/>
      <c r="G499" s="1292"/>
      <c r="H499" s="128">
        <f>H500+H501+H502</f>
        <v>1639.7</v>
      </c>
      <c r="I499" s="106">
        <f>I500+I501+I502</f>
        <v>1367.4</v>
      </c>
      <c r="J499" s="106">
        <f>J500+J501+J502</f>
        <v>1343</v>
      </c>
      <c r="K499" s="119">
        <f t="shared" ref="K499:P499" si="155">K500+K501+K502</f>
        <v>44</v>
      </c>
      <c r="L499" s="113">
        <f t="shared" si="155"/>
        <v>4345205</v>
      </c>
      <c r="M499" s="113">
        <f t="shared" si="155"/>
        <v>0</v>
      </c>
      <c r="N499" s="113">
        <f>N500+N501+N502</f>
        <v>0</v>
      </c>
      <c r="O499" s="113">
        <f t="shared" si="155"/>
        <v>4345205</v>
      </c>
      <c r="P499" s="113">
        <f t="shared" si="155"/>
        <v>0</v>
      </c>
      <c r="Q499" s="106" t="s">
        <v>40</v>
      </c>
      <c r="R499" s="114" t="s">
        <v>40</v>
      </c>
      <c r="S499" s="316">
        <v>43100</v>
      </c>
    </row>
    <row r="500" spans="1:19" s="1" customFormat="1" ht="15.75">
      <c r="A500" s="308">
        <v>104</v>
      </c>
      <c r="B500" s="363" t="s">
        <v>497</v>
      </c>
      <c r="C500" s="346">
        <v>1890</v>
      </c>
      <c r="D500" s="346"/>
      <c r="E500" s="311" t="s">
        <v>221</v>
      </c>
      <c r="F500" s="346">
        <v>2</v>
      </c>
      <c r="G500" s="346">
        <v>1</v>
      </c>
      <c r="H500" s="347">
        <v>339.6</v>
      </c>
      <c r="I500" s="350">
        <v>152.5</v>
      </c>
      <c r="J500" s="350">
        <v>128.1</v>
      </c>
      <c r="K500" s="349">
        <v>4</v>
      </c>
      <c r="L500" s="314">
        <v>784601</v>
      </c>
      <c r="M500" s="314">
        <v>0</v>
      </c>
      <c r="N500" s="314">
        <v>0</v>
      </c>
      <c r="O500" s="314">
        <v>784601</v>
      </c>
      <c r="P500" s="314">
        <v>0</v>
      </c>
      <c r="Q500" s="350">
        <f>L500/I500</f>
        <v>5144.9245901639342</v>
      </c>
      <c r="R500" s="315">
        <v>7822</v>
      </c>
      <c r="S500" s="316">
        <v>43100</v>
      </c>
    </row>
    <row r="501" spans="1:19" s="1" customFormat="1" ht="31.5">
      <c r="A501" s="308">
        <v>105</v>
      </c>
      <c r="B501" s="363" t="s">
        <v>498</v>
      </c>
      <c r="C501" s="346">
        <v>1964</v>
      </c>
      <c r="D501" s="346"/>
      <c r="E501" s="311" t="s">
        <v>218</v>
      </c>
      <c r="F501" s="346">
        <v>2</v>
      </c>
      <c r="G501" s="346">
        <v>2</v>
      </c>
      <c r="H501" s="347">
        <v>484.3</v>
      </c>
      <c r="I501" s="350">
        <v>470.6</v>
      </c>
      <c r="J501" s="350">
        <v>470.6</v>
      </c>
      <c r="K501" s="349">
        <v>18</v>
      </c>
      <c r="L501" s="314">
        <v>1513632</v>
      </c>
      <c r="M501" s="314">
        <v>0</v>
      </c>
      <c r="N501" s="314">
        <v>0</v>
      </c>
      <c r="O501" s="314">
        <v>1513632</v>
      </c>
      <c r="P501" s="314">
        <v>0</v>
      </c>
      <c r="Q501" s="350">
        <f>L501/I501</f>
        <v>3216.3875903102421</v>
      </c>
      <c r="R501" s="315">
        <v>7822</v>
      </c>
      <c r="S501" s="316">
        <v>43100</v>
      </c>
    </row>
    <row r="502" spans="1:19" s="1" customFormat="1" ht="31.5">
      <c r="A502" s="308">
        <v>106</v>
      </c>
      <c r="B502" s="363" t="s">
        <v>499</v>
      </c>
      <c r="C502" s="346">
        <v>1957</v>
      </c>
      <c r="D502" s="346"/>
      <c r="E502" s="311" t="s">
        <v>218</v>
      </c>
      <c r="F502" s="346">
        <v>2</v>
      </c>
      <c r="G502" s="346">
        <v>2</v>
      </c>
      <c r="H502" s="347">
        <v>815.8</v>
      </c>
      <c r="I502" s="350">
        <v>744.3</v>
      </c>
      <c r="J502" s="350">
        <v>744.3</v>
      </c>
      <c r="K502" s="349">
        <v>22</v>
      </c>
      <c r="L502" s="314">
        <v>2046972</v>
      </c>
      <c r="M502" s="314">
        <v>0</v>
      </c>
      <c r="N502" s="314">
        <v>0</v>
      </c>
      <c r="O502" s="314">
        <v>2046972</v>
      </c>
      <c r="P502" s="314">
        <v>0</v>
      </c>
      <c r="Q502" s="350">
        <f>L502/I502</f>
        <v>2750.1975010076585</v>
      </c>
      <c r="R502" s="315">
        <v>7822</v>
      </c>
      <c r="S502" s="316">
        <v>43100</v>
      </c>
    </row>
    <row r="503" spans="1:19" s="1" customFormat="1" ht="15.75">
      <c r="A503" s="107"/>
      <c r="B503" s="1292" t="s">
        <v>207</v>
      </c>
      <c r="C503" s="1292"/>
      <c r="D503" s="1292"/>
      <c r="E503" s="1292"/>
      <c r="F503" s="1292"/>
      <c r="G503" s="1292"/>
      <c r="H503" s="128">
        <f>SUM(H504:H510)</f>
        <v>59226.13</v>
      </c>
      <c r="I503" s="128">
        <f t="shared" ref="I503:K503" si="156">SUM(I504:I510)</f>
        <v>51865.630000000005</v>
      </c>
      <c r="J503" s="128">
        <f t="shared" si="156"/>
        <v>50847.83</v>
      </c>
      <c r="K503" s="128">
        <f t="shared" si="156"/>
        <v>2200</v>
      </c>
      <c r="L503" s="366">
        <f t="shared" ref="L503" si="157">SUM(L504:L510)</f>
        <v>21667282</v>
      </c>
      <c r="M503" s="366">
        <f t="shared" ref="M503:N503" si="158">SUM(M504:M510)</f>
        <v>0</v>
      </c>
      <c r="N503" s="366">
        <f t="shared" si="158"/>
        <v>0</v>
      </c>
      <c r="O503" s="366">
        <f t="shared" ref="O503" si="159">SUM(O504:O510)</f>
        <v>21667282</v>
      </c>
      <c r="P503" s="366">
        <f t="shared" ref="P503" si="160">SUM(P504:P510)</f>
        <v>0</v>
      </c>
      <c r="Q503" s="106" t="s">
        <v>40</v>
      </c>
      <c r="R503" s="106" t="s">
        <v>40</v>
      </c>
      <c r="S503" s="316">
        <v>43100</v>
      </c>
    </row>
    <row r="504" spans="1:19" s="21" customFormat="1" ht="15.75">
      <c r="A504" s="308">
        <v>107</v>
      </c>
      <c r="B504" s="460" t="s">
        <v>522</v>
      </c>
      <c r="C504" s="387">
        <v>1979</v>
      </c>
      <c r="D504" s="387"/>
      <c r="E504" s="311" t="s">
        <v>219</v>
      </c>
      <c r="F504" s="461">
        <v>5</v>
      </c>
      <c r="G504" s="461">
        <v>8</v>
      </c>
      <c r="H504" s="462">
        <v>4398.5</v>
      </c>
      <c r="I504" s="462">
        <v>3926.3</v>
      </c>
      <c r="J504" s="389">
        <v>3885.1</v>
      </c>
      <c r="K504" s="390">
        <v>168</v>
      </c>
      <c r="L504" s="314">
        <v>2609742</v>
      </c>
      <c r="M504" s="314">
        <v>0</v>
      </c>
      <c r="N504" s="314">
        <v>0</v>
      </c>
      <c r="O504" s="314">
        <f t="shared" ref="O504:O510" si="161">L504</f>
        <v>2609742</v>
      </c>
      <c r="P504" s="314">
        <v>0</v>
      </c>
      <c r="Q504" s="391">
        <f t="shared" ref="Q504:Q510" si="162">L504/I504</f>
        <v>664.68227084023124</v>
      </c>
      <c r="R504" s="315">
        <v>7822</v>
      </c>
      <c r="S504" s="316">
        <v>43100</v>
      </c>
    </row>
    <row r="505" spans="1:19" s="21" customFormat="1" ht="15.75">
      <c r="A505" s="308">
        <v>108</v>
      </c>
      <c r="B505" s="460" t="s">
        <v>523</v>
      </c>
      <c r="C505" s="387">
        <v>1987</v>
      </c>
      <c r="D505" s="387"/>
      <c r="E505" s="311" t="s">
        <v>219</v>
      </c>
      <c r="F505" s="461">
        <v>9</v>
      </c>
      <c r="G505" s="461">
        <v>3</v>
      </c>
      <c r="H505" s="462">
        <v>7692.2</v>
      </c>
      <c r="I505" s="462">
        <v>6696</v>
      </c>
      <c r="J505" s="389">
        <v>6564</v>
      </c>
      <c r="K505" s="390">
        <v>298</v>
      </c>
      <c r="L505" s="314">
        <v>2313974</v>
      </c>
      <c r="M505" s="314">
        <v>0</v>
      </c>
      <c r="N505" s="314">
        <v>0</v>
      </c>
      <c r="O505" s="314">
        <f t="shared" si="161"/>
        <v>2313974</v>
      </c>
      <c r="P505" s="314">
        <v>0</v>
      </c>
      <c r="Q505" s="391">
        <f t="shared" si="162"/>
        <v>345.57556750298687</v>
      </c>
      <c r="R505" s="315">
        <v>7822</v>
      </c>
      <c r="S505" s="316">
        <v>43100</v>
      </c>
    </row>
    <row r="506" spans="1:19" s="21" customFormat="1" ht="15.75">
      <c r="A506" s="308">
        <v>109</v>
      </c>
      <c r="B506" s="460" t="s">
        <v>524</v>
      </c>
      <c r="C506" s="387">
        <v>1985</v>
      </c>
      <c r="D506" s="387"/>
      <c r="E506" s="311" t="s">
        <v>219</v>
      </c>
      <c r="F506" s="461">
        <v>9</v>
      </c>
      <c r="G506" s="461">
        <v>6</v>
      </c>
      <c r="H506" s="462">
        <v>13232.03</v>
      </c>
      <c r="I506" s="462">
        <v>11510.63</v>
      </c>
      <c r="J506" s="389">
        <v>11085.93</v>
      </c>
      <c r="K506" s="390">
        <v>487</v>
      </c>
      <c r="L506" s="314">
        <v>4688365</v>
      </c>
      <c r="M506" s="314">
        <v>0</v>
      </c>
      <c r="N506" s="314">
        <v>0</v>
      </c>
      <c r="O506" s="314">
        <f t="shared" si="161"/>
        <v>4688365</v>
      </c>
      <c r="P506" s="314">
        <v>0</v>
      </c>
      <c r="Q506" s="391">
        <f t="shared" si="162"/>
        <v>407.30741931588454</v>
      </c>
      <c r="R506" s="315">
        <v>7822</v>
      </c>
      <c r="S506" s="316">
        <v>43100</v>
      </c>
    </row>
    <row r="507" spans="1:19" s="21" customFormat="1" ht="15.75">
      <c r="A507" s="308">
        <v>110</v>
      </c>
      <c r="B507" s="460" t="s">
        <v>525</v>
      </c>
      <c r="C507" s="387">
        <v>1981</v>
      </c>
      <c r="D507" s="387"/>
      <c r="E507" s="311" t="s">
        <v>219</v>
      </c>
      <c r="F507" s="461">
        <v>9</v>
      </c>
      <c r="G507" s="461">
        <v>1</v>
      </c>
      <c r="H507" s="462">
        <v>2545</v>
      </c>
      <c r="I507" s="462">
        <v>2208.1999999999998</v>
      </c>
      <c r="J507" s="389">
        <v>2208.1999999999998</v>
      </c>
      <c r="K507" s="390">
        <v>90</v>
      </c>
      <c r="L507" s="314">
        <v>924354</v>
      </c>
      <c r="M507" s="314">
        <v>0</v>
      </c>
      <c r="N507" s="314">
        <v>0</v>
      </c>
      <c r="O507" s="314">
        <f t="shared" si="161"/>
        <v>924354</v>
      </c>
      <c r="P507" s="314">
        <v>0</v>
      </c>
      <c r="Q507" s="391">
        <f t="shared" si="162"/>
        <v>418.60067022914592</v>
      </c>
      <c r="R507" s="315">
        <v>7822</v>
      </c>
      <c r="S507" s="316">
        <v>43100</v>
      </c>
    </row>
    <row r="508" spans="1:19" s="21" customFormat="1" ht="15.75">
      <c r="A508" s="308">
        <v>111</v>
      </c>
      <c r="B508" s="460" t="s">
        <v>526</v>
      </c>
      <c r="C508" s="387">
        <v>1981</v>
      </c>
      <c r="D508" s="387"/>
      <c r="E508" s="311" t="s">
        <v>219</v>
      </c>
      <c r="F508" s="461">
        <v>9</v>
      </c>
      <c r="G508" s="461">
        <v>2</v>
      </c>
      <c r="H508" s="462">
        <v>5082</v>
      </c>
      <c r="I508" s="462">
        <v>4531.1000000000004</v>
      </c>
      <c r="J508" s="389">
        <v>4352</v>
      </c>
      <c r="K508" s="390">
        <v>209</v>
      </c>
      <c r="L508" s="314">
        <v>1813705</v>
      </c>
      <c r="M508" s="314">
        <v>0</v>
      </c>
      <c r="N508" s="314">
        <v>0</v>
      </c>
      <c r="O508" s="314">
        <f t="shared" si="161"/>
        <v>1813705</v>
      </c>
      <c r="P508" s="314">
        <v>0</v>
      </c>
      <c r="Q508" s="391">
        <f t="shared" si="162"/>
        <v>400.27918165566859</v>
      </c>
      <c r="R508" s="315">
        <v>7822</v>
      </c>
      <c r="S508" s="316">
        <v>43100</v>
      </c>
    </row>
    <row r="509" spans="1:19" s="21" customFormat="1" ht="15.75">
      <c r="A509" s="308">
        <v>112</v>
      </c>
      <c r="B509" s="460" t="s">
        <v>527</v>
      </c>
      <c r="C509" s="387">
        <v>1987</v>
      </c>
      <c r="D509" s="387"/>
      <c r="E509" s="311" t="s">
        <v>219</v>
      </c>
      <c r="F509" s="461">
        <v>9</v>
      </c>
      <c r="G509" s="461">
        <v>6</v>
      </c>
      <c r="H509" s="462">
        <v>12965.8</v>
      </c>
      <c r="I509" s="462">
        <v>11429.2</v>
      </c>
      <c r="J509" s="389">
        <v>11247.7</v>
      </c>
      <c r="K509" s="390">
        <v>474</v>
      </c>
      <c r="L509" s="314">
        <v>4665548</v>
      </c>
      <c r="M509" s="314">
        <v>0</v>
      </c>
      <c r="N509" s="314">
        <v>0</v>
      </c>
      <c r="O509" s="314">
        <f t="shared" si="161"/>
        <v>4665548</v>
      </c>
      <c r="P509" s="314">
        <v>0</v>
      </c>
      <c r="Q509" s="391">
        <f t="shared" si="162"/>
        <v>408.21299828509427</v>
      </c>
      <c r="R509" s="315">
        <v>7822</v>
      </c>
      <c r="S509" s="316">
        <v>43100</v>
      </c>
    </row>
    <row r="510" spans="1:19" s="21" customFormat="1" ht="15.75">
      <c r="A510" s="308">
        <v>113</v>
      </c>
      <c r="B510" s="460" t="s">
        <v>528</v>
      </c>
      <c r="C510" s="387">
        <v>1983</v>
      </c>
      <c r="D510" s="387"/>
      <c r="E510" s="311" t="s">
        <v>219</v>
      </c>
      <c r="F510" s="461">
        <v>9</v>
      </c>
      <c r="G510" s="461">
        <v>6</v>
      </c>
      <c r="H510" s="462">
        <v>13310.6</v>
      </c>
      <c r="I510" s="462">
        <v>11564.2</v>
      </c>
      <c r="J510" s="389">
        <v>11504.9</v>
      </c>
      <c r="K510" s="390">
        <v>474</v>
      </c>
      <c r="L510" s="314">
        <v>4651594</v>
      </c>
      <c r="M510" s="314">
        <v>0</v>
      </c>
      <c r="N510" s="314">
        <v>0</v>
      </c>
      <c r="O510" s="314">
        <f t="shared" si="161"/>
        <v>4651594</v>
      </c>
      <c r="P510" s="314">
        <v>0</v>
      </c>
      <c r="Q510" s="391">
        <f t="shared" si="162"/>
        <v>402.24088134068933</v>
      </c>
      <c r="R510" s="315">
        <v>7822</v>
      </c>
      <c r="S510" s="316">
        <v>43100</v>
      </c>
    </row>
    <row r="511" spans="1:19" s="21" customFormat="1" ht="15.75">
      <c r="A511" s="308"/>
      <c r="B511" s="345"/>
      <c r="C511" s="387"/>
      <c r="D511" s="387"/>
      <c r="E511" s="311"/>
      <c r="F511" s="346"/>
      <c r="G511" s="346"/>
      <c r="H511" s="388"/>
      <c r="I511" s="389"/>
      <c r="J511" s="389"/>
      <c r="K511" s="390"/>
      <c r="L511" s="314"/>
      <c r="M511" s="314"/>
      <c r="N511" s="314"/>
      <c r="O511" s="314"/>
      <c r="P511" s="314"/>
      <c r="Q511" s="391"/>
      <c r="R511" s="315"/>
      <c r="S511" s="316"/>
    </row>
    <row r="512" spans="1:19" s="21" customFormat="1" ht="15.75">
      <c r="A512" s="308"/>
      <c r="B512" s="345"/>
      <c r="C512" s="387"/>
      <c r="D512" s="387"/>
      <c r="E512" s="311"/>
      <c r="F512" s="346"/>
      <c r="G512" s="346"/>
      <c r="H512" s="388"/>
      <c r="I512" s="389"/>
      <c r="J512" s="389"/>
      <c r="K512" s="390"/>
      <c r="L512" s="314"/>
      <c r="M512" s="314"/>
      <c r="N512" s="314"/>
      <c r="O512" s="314"/>
      <c r="P512" s="314"/>
      <c r="Q512" s="391"/>
      <c r="R512" s="315"/>
      <c r="S512" s="316"/>
    </row>
    <row r="513" spans="1:19" s="21" customFormat="1" ht="15.75">
      <c r="A513" s="308"/>
      <c r="B513" s="345"/>
      <c r="C513" s="346"/>
      <c r="D513" s="346"/>
      <c r="E513" s="311"/>
      <c r="F513" s="346"/>
      <c r="G513" s="346"/>
      <c r="H513" s="347"/>
      <c r="I513" s="392"/>
      <c r="J513" s="392"/>
      <c r="K513" s="349"/>
      <c r="L513" s="314"/>
      <c r="M513" s="314"/>
      <c r="N513" s="314"/>
      <c r="O513" s="314"/>
      <c r="P513" s="314"/>
      <c r="Q513" s="391"/>
      <c r="R513" s="315"/>
      <c r="S513" s="316"/>
    </row>
    <row r="514" spans="1:19" s="21" customFormat="1" ht="15.75">
      <c r="A514" s="308"/>
      <c r="B514" s="345"/>
      <c r="C514" s="387"/>
      <c r="D514" s="387"/>
      <c r="E514" s="311"/>
      <c r="F514" s="387"/>
      <c r="G514" s="387"/>
      <c r="H514" s="388"/>
      <c r="I514" s="389"/>
      <c r="J514" s="389"/>
      <c r="K514" s="390"/>
      <c r="L514" s="314"/>
      <c r="M514" s="314"/>
      <c r="N514" s="314"/>
      <c r="O514" s="314"/>
      <c r="P514" s="314"/>
      <c r="Q514" s="391"/>
      <c r="R514" s="315"/>
      <c r="S514" s="316"/>
    </row>
    <row r="515" spans="1:19" s="36" customFormat="1" ht="15.75">
      <c r="A515" s="107"/>
      <c r="B515" s="1292" t="s">
        <v>67</v>
      </c>
      <c r="C515" s="1292"/>
      <c r="D515" s="1292"/>
      <c r="E515" s="1292"/>
      <c r="F515" s="1292"/>
      <c r="G515" s="1292"/>
      <c r="H515" s="128">
        <f>H516+H518</f>
        <v>4794.6000000000004</v>
      </c>
      <c r="I515" s="162">
        <f t="shared" ref="I515:P515" si="163">I516+I518</f>
        <v>4684.8999999999996</v>
      </c>
      <c r="J515" s="106">
        <f>J516+J518</f>
        <v>4161</v>
      </c>
      <c r="K515" s="119">
        <f>K516+K518</f>
        <v>162</v>
      </c>
      <c r="L515" s="113">
        <f>L516+L518</f>
        <v>2859283.07</v>
      </c>
      <c r="M515" s="113">
        <f t="shared" si="163"/>
        <v>0</v>
      </c>
      <c r="N515" s="113">
        <f t="shared" si="163"/>
        <v>260236.27</v>
      </c>
      <c r="O515" s="113">
        <f>O516+O518</f>
        <v>2599046.7999999998</v>
      </c>
      <c r="P515" s="113">
        <f t="shared" si="163"/>
        <v>0</v>
      </c>
      <c r="Q515" s="114" t="s">
        <v>40</v>
      </c>
      <c r="R515" s="108" t="s">
        <v>40</v>
      </c>
      <c r="S515" s="316">
        <v>43100</v>
      </c>
    </row>
    <row r="516" spans="1:19" s="1" customFormat="1" ht="15.75">
      <c r="A516" s="107"/>
      <c r="B516" s="1292" t="s">
        <v>90</v>
      </c>
      <c r="C516" s="1292"/>
      <c r="D516" s="1292"/>
      <c r="E516" s="1292"/>
      <c r="F516" s="1292"/>
      <c r="G516" s="1292"/>
      <c r="H516" s="128">
        <f>H517</f>
        <v>1507.8</v>
      </c>
      <c r="I516" s="106">
        <f t="shared" ref="I516:P516" si="164">I517</f>
        <v>1398.1</v>
      </c>
      <c r="J516" s="106">
        <f t="shared" si="164"/>
        <v>1200.7</v>
      </c>
      <c r="K516" s="119">
        <f t="shared" si="164"/>
        <v>62</v>
      </c>
      <c r="L516" s="113">
        <f>L517</f>
        <v>728197.07</v>
      </c>
      <c r="M516" s="113">
        <f t="shared" si="164"/>
        <v>0</v>
      </c>
      <c r="N516" s="113">
        <f t="shared" si="164"/>
        <v>260236.27</v>
      </c>
      <c r="O516" s="113">
        <f t="shared" si="164"/>
        <v>467960.8</v>
      </c>
      <c r="P516" s="113">
        <f t="shared" si="164"/>
        <v>0</v>
      </c>
      <c r="Q516" s="114" t="s">
        <v>40</v>
      </c>
      <c r="R516" s="108" t="s">
        <v>40</v>
      </c>
      <c r="S516" s="316">
        <v>43100</v>
      </c>
    </row>
    <row r="517" spans="1:19" s="23" customFormat="1" ht="15.75">
      <c r="A517" s="107">
        <f>A514+1</f>
        <v>1</v>
      </c>
      <c r="B517" s="263" t="s">
        <v>429</v>
      </c>
      <c r="C517" s="118">
        <v>1983</v>
      </c>
      <c r="D517" s="182"/>
      <c r="E517" s="109" t="s">
        <v>219</v>
      </c>
      <c r="F517" s="118">
        <v>3</v>
      </c>
      <c r="G517" s="118">
        <v>3</v>
      </c>
      <c r="H517" s="128">
        <v>1507.8</v>
      </c>
      <c r="I517" s="106">
        <v>1398.1</v>
      </c>
      <c r="J517" s="106">
        <v>1200.7</v>
      </c>
      <c r="K517" s="119">
        <v>62</v>
      </c>
      <c r="L517" s="113">
        <v>728197.07</v>
      </c>
      <c r="M517" s="113">
        <v>0</v>
      </c>
      <c r="N517" s="113">
        <v>260236.27</v>
      </c>
      <c r="O517" s="113">
        <v>467960.8</v>
      </c>
      <c r="P517" s="113">
        <v>0</v>
      </c>
      <c r="Q517" s="106">
        <f>L517/I517</f>
        <v>520.84762892496963</v>
      </c>
      <c r="R517" s="114">
        <v>6774</v>
      </c>
      <c r="S517" s="316">
        <v>43100</v>
      </c>
    </row>
    <row r="518" spans="1:19" s="23" customFormat="1" ht="15.75">
      <c r="A518" s="308"/>
      <c r="B518" s="1340" t="s">
        <v>127</v>
      </c>
      <c r="C518" s="1340"/>
      <c r="D518" s="1340"/>
      <c r="E518" s="1340"/>
      <c r="F518" s="1340"/>
      <c r="G518" s="1340"/>
      <c r="H518" s="347">
        <f t="shared" ref="H518:M518" si="165">H519</f>
        <v>3286.8</v>
      </c>
      <c r="I518" s="350">
        <f t="shared" si="165"/>
        <v>3286.8</v>
      </c>
      <c r="J518" s="350">
        <f t="shared" si="165"/>
        <v>2960.3</v>
      </c>
      <c r="K518" s="349">
        <f t="shared" si="165"/>
        <v>100</v>
      </c>
      <c r="L518" s="314">
        <f t="shared" si="165"/>
        <v>2131086</v>
      </c>
      <c r="M518" s="314">
        <f t="shared" si="165"/>
        <v>0</v>
      </c>
      <c r="N518" s="314">
        <f t="shared" ref="N518:P518" si="166">N519</f>
        <v>0</v>
      </c>
      <c r="O518" s="314">
        <f t="shared" si="166"/>
        <v>2131086</v>
      </c>
      <c r="P518" s="314">
        <f t="shared" si="166"/>
        <v>0</v>
      </c>
      <c r="Q518" s="350" t="s">
        <v>40</v>
      </c>
      <c r="R518" s="310" t="s">
        <v>40</v>
      </c>
      <c r="S518" s="316">
        <v>43100</v>
      </c>
    </row>
    <row r="519" spans="1:19" s="23" customFormat="1" ht="25.9" customHeight="1">
      <c r="A519" s="308">
        <f>A517+1</f>
        <v>2</v>
      </c>
      <c r="B519" s="914" t="s">
        <v>686</v>
      </c>
      <c r="C519" s="308">
        <v>1977</v>
      </c>
      <c r="D519" s="308"/>
      <c r="E519" s="311" t="s">
        <v>219</v>
      </c>
      <c r="F519" s="308">
        <v>5</v>
      </c>
      <c r="G519" s="308">
        <v>4</v>
      </c>
      <c r="H519" s="759">
        <v>3286.8</v>
      </c>
      <c r="I519" s="308">
        <v>3286.8</v>
      </c>
      <c r="J519" s="308">
        <v>2960.3</v>
      </c>
      <c r="K519" s="586">
        <v>100</v>
      </c>
      <c r="L519" s="314">
        <v>2131086</v>
      </c>
      <c r="M519" s="314">
        <v>0</v>
      </c>
      <c r="N519" s="314">
        <v>0</v>
      </c>
      <c r="O519" s="314">
        <f>L519</f>
        <v>2131086</v>
      </c>
      <c r="P519" s="314">
        <v>0</v>
      </c>
      <c r="Q519" s="608">
        <f>L519/I519</f>
        <v>648.37714494340992</v>
      </c>
      <c r="R519" s="315">
        <v>7822</v>
      </c>
      <c r="S519" s="316">
        <v>43100</v>
      </c>
    </row>
    <row r="520" spans="1:19" s="23" customFormat="1" ht="21.75" customHeight="1">
      <c r="A520" s="1306" t="s">
        <v>206</v>
      </c>
      <c r="B520" s="1306"/>
      <c r="C520" s="1306"/>
      <c r="D520" s="1306"/>
      <c r="E520" s="1306"/>
      <c r="F520" s="1306"/>
      <c r="G520" s="1306"/>
      <c r="H520" s="1306"/>
      <c r="I520" s="1306"/>
      <c r="J520" s="1306"/>
      <c r="K520" s="1306"/>
      <c r="L520" s="1306"/>
      <c r="M520" s="1306"/>
      <c r="N520" s="1306"/>
      <c r="O520" s="1306"/>
      <c r="P520" s="1306"/>
      <c r="Q520" s="1306"/>
      <c r="R520" s="1306"/>
      <c r="S520" s="1306"/>
    </row>
    <row r="521" spans="1:19" s="23" customFormat="1" ht="19.5" customHeight="1">
      <c r="A521" s="107"/>
      <c r="B521" s="1305" t="s">
        <v>205</v>
      </c>
      <c r="C521" s="1305"/>
      <c r="D521" s="1305"/>
      <c r="E521" s="1305"/>
      <c r="F521" s="1305"/>
      <c r="G521" s="1305"/>
      <c r="H521" s="181">
        <f>H523+H532</f>
        <v>52786.899999999994</v>
      </c>
      <c r="I521" s="181">
        <f t="shared" ref="I521:P521" si="167">I523+I532</f>
        <v>46873.700000000004</v>
      </c>
      <c r="J521" s="181">
        <f t="shared" si="167"/>
        <v>46061</v>
      </c>
      <c r="K521" s="154">
        <f t="shared" si="167"/>
        <v>1629</v>
      </c>
      <c r="L521" s="113">
        <f t="shared" si="167"/>
        <v>7387178.6400000006</v>
      </c>
      <c r="M521" s="113">
        <f t="shared" si="167"/>
        <v>0</v>
      </c>
      <c r="N521" s="113">
        <f t="shared" si="167"/>
        <v>1365892</v>
      </c>
      <c r="O521" s="113">
        <f t="shared" si="167"/>
        <v>6021286.6400000006</v>
      </c>
      <c r="P521" s="113">
        <f t="shared" si="167"/>
        <v>0</v>
      </c>
      <c r="Q521" s="114" t="s">
        <v>40</v>
      </c>
      <c r="R521" s="108" t="s">
        <v>40</v>
      </c>
      <c r="S521" s="108" t="s">
        <v>40</v>
      </c>
    </row>
    <row r="522" spans="1:19" s="1" customFormat="1" ht="21.75" customHeight="1">
      <c r="A522" s="1306" t="s">
        <v>35</v>
      </c>
      <c r="B522" s="1306"/>
      <c r="C522" s="1306"/>
      <c r="D522" s="1306"/>
      <c r="E522" s="1306"/>
      <c r="F522" s="1306"/>
      <c r="G522" s="1306"/>
      <c r="H522" s="1306"/>
      <c r="I522" s="1306"/>
      <c r="J522" s="1306"/>
      <c r="K522" s="1306"/>
      <c r="L522" s="1306"/>
      <c r="M522" s="1306"/>
      <c r="N522" s="1306"/>
      <c r="O522" s="1306"/>
      <c r="P522" s="1306"/>
      <c r="Q522" s="1306"/>
      <c r="R522" s="1306"/>
      <c r="S522" s="1306"/>
    </row>
    <row r="523" spans="1:19" s="1" customFormat="1" ht="21.75" customHeight="1">
      <c r="A523" s="269"/>
      <c r="B523" s="1305" t="s">
        <v>20</v>
      </c>
      <c r="C523" s="1305"/>
      <c r="D523" s="1305"/>
      <c r="E523" s="1305"/>
      <c r="F523" s="1305"/>
      <c r="G523" s="1305"/>
      <c r="H523" s="111">
        <f>H524</f>
        <v>23801.1</v>
      </c>
      <c r="I523" s="111">
        <f t="shared" ref="I523:J523" si="168">I524</f>
        <v>20069.3</v>
      </c>
      <c r="J523" s="111">
        <f t="shared" si="168"/>
        <v>20069.3</v>
      </c>
      <c r="K523" s="112">
        <f>K524</f>
        <v>702</v>
      </c>
      <c r="L523" s="113">
        <f>L524</f>
        <v>2447351.64</v>
      </c>
      <c r="M523" s="113">
        <f t="shared" ref="M523:P523" si="169">M524</f>
        <v>0</v>
      </c>
      <c r="N523" s="113">
        <f t="shared" si="169"/>
        <v>0</v>
      </c>
      <c r="O523" s="113">
        <f t="shared" si="169"/>
        <v>2447351.64</v>
      </c>
      <c r="P523" s="113">
        <f t="shared" si="169"/>
        <v>0</v>
      </c>
      <c r="Q523" s="114" t="s">
        <v>40</v>
      </c>
      <c r="R523" s="108" t="s">
        <v>40</v>
      </c>
      <c r="S523" s="316">
        <v>43100</v>
      </c>
    </row>
    <row r="524" spans="1:19" s="37" customFormat="1" ht="15.75" customHeight="1">
      <c r="A524" s="99"/>
      <c r="B524" s="1305" t="s">
        <v>53</v>
      </c>
      <c r="C524" s="1305"/>
      <c r="D524" s="1305"/>
      <c r="E524" s="1305"/>
      <c r="F524" s="1305"/>
      <c r="G524" s="1305"/>
      <c r="H524" s="111">
        <f>H525</f>
        <v>23801.1</v>
      </c>
      <c r="I524" s="114">
        <f t="shared" ref="I524:P524" si="170">I525</f>
        <v>20069.3</v>
      </c>
      <c r="J524" s="114">
        <f t="shared" si="170"/>
        <v>20069.3</v>
      </c>
      <c r="K524" s="112">
        <f t="shared" si="170"/>
        <v>702</v>
      </c>
      <c r="L524" s="113">
        <f t="shared" si="170"/>
        <v>2447351.64</v>
      </c>
      <c r="M524" s="113">
        <f t="shared" si="170"/>
        <v>0</v>
      </c>
      <c r="N524" s="113">
        <f t="shared" si="170"/>
        <v>0</v>
      </c>
      <c r="O524" s="113">
        <f t="shared" si="170"/>
        <v>2447351.64</v>
      </c>
      <c r="P524" s="113">
        <f t="shared" si="170"/>
        <v>0</v>
      </c>
      <c r="Q524" s="114" t="s">
        <v>40</v>
      </c>
      <c r="R524" s="108" t="s">
        <v>40</v>
      </c>
      <c r="S524" s="316">
        <v>43100</v>
      </c>
    </row>
    <row r="525" spans="1:19" s="37" customFormat="1" ht="15.75" customHeight="1">
      <c r="A525" s="99"/>
      <c r="B525" s="1305" t="s">
        <v>88</v>
      </c>
      <c r="C525" s="1305"/>
      <c r="D525" s="1305"/>
      <c r="E525" s="1305"/>
      <c r="F525" s="1305"/>
      <c r="G525" s="1305"/>
      <c r="H525" s="111">
        <f t="shared" ref="H525:P525" si="171">SUM(H526:H530)</f>
        <v>23801.1</v>
      </c>
      <c r="I525" s="114">
        <f t="shared" si="171"/>
        <v>20069.3</v>
      </c>
      <c r="J525" s="114">
        <f t="shared" si="171"/>
        <v>20069.3</v>
      </c>
      <c r="K525" s="112">
        <f t="shared" si="171"/>
        <v>702</v>
      </c>
      <c r="L525" s="113">
        <f t="shared" si="171"/>
        <v>2447351.64</v>
      </c>
      <c r="M525" s="113">
        <f t="shared" si="171"/>
        <v>0</v>
      </c>
      <c r="N525" s="113">
        <f t="shared" si="171"/>
        <v>0</v>
      </c>
      <c r="O525" s="113">
        <f t="shared" si="171"/>
        <v>2447351.64</v>
      </c>
      <c r="P525" s="113">
        <f t="shared" si="171"/>
        <v>0</v>
      </c>
      <c r="Q525" s="114" t="s">
        <v>40</v>
      </c>
      <c r="R525" s="108" t="s">
        <v>40</v>
      </c>
      <c r="S525" s="316">
        <v>43100</v>
      </c>
    </row>
    <row r="526" spans="1:19" s="33" customFormat="1" ht="15.75">
      <c r="A526" s="269">
        <f>A519+1</f>
        <v>3</v>
      </c>
      <c r="B526" s="183" t="s">
        <v>359</v>
      </c>
      <c r="C526" s="184">
        <v>1975</v>
      </c>
      <c r="D526" s="129"/>
      <c r="E526" s="109" t="s">
        <v>219</v>
      </c>
      <c r="F526" s="99">
        <v>5</v>
      </c>
      <c r="G526" s="99">
        <v>4</v>
      </c>
      <c r="H526" s="180">
        <f>2075.9+150</f>
        <v>2225.9</v>
      </c>
      <c r="I526" s="100">
        <v>2075.9</v>
      </c>
      <c r="J526" s="100">
        <v>2075.9</v>
      </c>
      <c r="K526" s="101">
        <v>112</v>
      </c>
      <c r="L526" s="113">
        <v>203849</v>
      </c>
      <c r="M526" s="113">
        <v>0</v>
      </c>
      <c r="N526" s="113">
        <v>0</v>
      </c>
      <c r="O526" s="113">
        <f>L526</f>
        <v>203849</v>
      </c>
      <c r="P526" s="113">
        <v>0</v>
      </c>
      <c r="Q526" s="114">
        <f>L526/I526</f>
        <v>98.197890071776087</v>
      </c>
      <c r="R526" s="114">
        <v>6774</v>
      </c>
      <c r="S526" s="316">
        <v>43100</v>
      </c>
    </row>
    <row r="527" spans="1:19" s="33" customFormat="1" ht="15.75">
      <c r="A527" s="269">
        <f>A526+1</f>
        <v>4</v>
      </c>
      <c r="B527" s="183" t="s">
        <v>360</v>
      </c>
      <c r="C527" s="184">
        <v>1991</v>
      </c>
      <c r="D527" s="129"/>
      <c r="E527" s="109" t="s">
        <v>219</v>
      </c>
      <c r="F527" s="99">
        <v>9</v>
      </c>
      <c r="G527" s="99">
        <v>2</v>
      </c>
      <c r="H527" s="180">
        <f>4259.3+1200.8</f>
        <v>5460.1</v>
      </c>
      <c r="I527" s="100">
        <v>4259.3</v>
      </c>
      <c r="J527" s="100">
        <v>4259.3</v>
      </c>
      <c r="K527" s="101">
        <v>132</v>
      </c>
      <c r="L527" s="113">
        <v>489343.64</v>
      </c>
      <c r="M527" s="113">
        <v>0</v>
      </c>
      <c r="N527" s="113">
        <v>0</v>
      </c>
      <c r="O527" s="113">
        <f>L527</f>
        <v>489343.64</v>
      </c>
      <c r="P527" s="113">
        <v>0</v>
      </c>
      <c r="Q527" s="114">
        <f>L527/I527</f>
        <v>114.88827741647688</v>
      </c>
      <c r="R527" s="114">
        <v>6774</v>
      </c>
      <c r="S527" s="316">
        <v>43100</v>
      </c>
    </row>
    <row r="528" spans="1:19" s="33" customFormat="1" ht="15.75">
      <c r="A528" s="269">
        <f t="shared" ref="A528:A530" si="172">A527+1</f>
        <v>5</v>
      </c>
      <c r="B528" s="183" t="s">
        <v>432</v>
      </c>
      <c r="C528" s="184">
        <v>1978</v>
      </c>
      <c r="D528" s="129"/>
      <c r="E528" s="109" t="s">
        <v>219</v>
      </c>
      <c r="F528" s="99">
        <v>5</v>
      </c>
      <c r="G528" s="99">
        <v>6</v>
      </c>
      <c r="H528" s="180">
        <v>6071.5</v>
      </c>
      <c r="I528" s="100">
        <v>4592.3</v>
      </c>
      <c r="J528" s="100">
        <v>4592.3</v>
      </c>
      <c r="K528" s="101">
        <v>181</v>
      </c>
      <c r="L528" s="113">
        <v>395010</v>
      </c>
      <c r="M528" s="113">
        <v>0</v>
      </c>
      <c r="N528" s="113">
        <v>0</v>
      </c>
      <c r="O528" s="113">
        <f>L528</f>
        <v>395010</v>
      </c>
      <c r="P528" s="113">
        <v>0</v>
      </c>
      <c r="Q528" s="114">
        <f>L528/I528</f>
        <v>86.015721969383534</v>
      </c>
      <c r="R528" s="114">
        <v>6774</v>
      </c>
      <c r="S528" s="316">
        <v>43100</v>
      </c>
    </row>
    <row r="529" spans="1:19" s="33" customFormat="1" ht="15.75">
      <c r="A529" s="269">
        <f t="shared" si="172"/>
        <v>6</v>
      </c>
      <c r="B529" s="183" t="s">
        <v>431</v>
      </c>
      <c r="C529" s="184">
        <v>1980</v>
      </c>
      <c r="D529" s="129"/>
      <c r="E529" s="109" t="s">
        <v>219</v>
      </c>
      <c r="F529" s="99">
        <v>5</v>
      </c>
      <c r="G529" s="99">
        <v>6</v>
      </c>
      <c r="H529" s="180">
        <f>493.2+4644.3</f>
        <v>5137.5</v>
      </c>
      <c r="I529" s="100">
        <v>4644.3</v>
      </c>
      <c r="J529" s="100">
        <v>4644.3</v>
      </c>
      <c r="K529" s="101">
        <v>177</v>
      </c>
      <c r="L529" s="113">
        <v>285326</v>
      </c>
      <c r="M529" s="113">
        <v>0</v>
      </c>
      <c r="N529" s="113">
        <v>0</v>
      </c>
      <c r="O529" s="113">
        <f>L529</f>
        <v>285326</v>
      </c>
      <c r="P529" s="113">
        <v>0</v>
      </c>
      <c r="Q529" s="114">
        <f>L529/I529</f>
        <v>61.435738432056496</v>
      </c>
      <c r="R529" s="114">
        <v>6774</v>
      </c>
      <c r="S529" s="316">
        <v>43100</v>
      </c>
    </row>
    <row r="530" spans="1:19" s="33" customFormat="1" ht="31.5">
      <c r="A530" s="269">
        <f t="shared" si="172"/>
        <v>7</v>
      </c>
      <c r="B530" s="183" t="s">
        <v>358</v>
      </c>
      <c r="C530" s="184">
        <v>1973</v>
      </c>
      <c r="D530" s="129"/>
      <c r="E530" s="109" t="s">
        <v>218</v>
      </c>
      <c r="F530" s="99">
        <v>5</v>
      </c>
      <c r="G530" s="99">
        <v>6</v>
      </c>
      <c r="H530" s="180">
        <v>4906.1000000000004</v>
      </c>
      <c r="I530" s="100">
        <v>4497.5</v>
      </c>
      <c r="J530" s="100">
        <v>4497.5</v>
      </c>
      <c r="K530" s="101">
        <v>100</v>
      </c>
      <c r="L530" s="113">
        <v>1073823</v>
      </c>
      <c r="M530" s="113">
        <v>0</v>
      </c>
      <c r="N530" s="113">
        <v>0</v>
      </c>
      <c r="O530" s="113">
        <f>L530</f>
        <v>1073823</v>
      </c>
      <c r="P530" s="113">
        <v>0</v>
      </c>
      <c r="Q530" s="114">
        <f>L530/I530</f>
        <v>238.75997776542525</v>
      </c>
      <c r="R530" s="114">
        <v>6774</v>
      </c>
      <c r="S530" s="316">
        <v>43100</v>
      </c>
    </row>
    <row r="531" spans="1:19" s="1" customFormat="1" ht="34.5" customHeight="1">
      <c r="A531" s="1306" t="s">
        <v>37</v>
      </c>
      <c r="B531" s="1306"/>
      <c r="C531" s="1306"/>
      <c r="D531" s="1306"/>
      <c r="E531" s="1306"/>
      <c r="F531" s="1306"/>
      <c r="G531" s="1306"/>
      <c r="H531" s="1306"/>
      <c r="I531" s="1306"/>
      <c r="J531" s="1306"/>
      <c r="K531" s="1306"/>
      <c r="L531" s="1306"/>
      <c r="M531" s="1306"/>
      <c r="N531" s="1306"/>
      <c r="O531" s="1306"/>
      <c r="P531" s="1306"/>
      <c r="Q531" s="1306"/>
      <c r="R531" s="1306"/>
      <c r="S531" s="1306"/>
    </row>
    <row r="532" spans="1:19" s="1" customFormat="1" ht="15.75">
      <c r="A532" s="269"/>
      <c r="B532" s="1305" t="s">
        <v>20</v>
      </c>
      <c r="C532" s="1305"/>
      <c r="D532" s="1305"/>
      <c r="E532" s="1305"/>
      <c r="F532" s="1305"/>
      <c r="G532" s="1305"/>
      <c r="H532" s="111">
        <f>H533+H536</f>
        <v>28985.8</v>
      </c>
      <c r="I532" s="111">
        <f t="shared" ref="I532:L532" si="173">I533+I536</f>
        <v>26804.400000000005</v>
      </c>
      <c r="J532" s="111">
        <f t="shared" si="173"/>
        <v>25991.700000000004</v>
      </c>
      <c r="K532" s="112">
        <f>K533+K536</f>
        <v>927</v>
      </c>
      <c r="L532" s="113">
        <f t="shared" si="173"/>
        <v>4939827</v>
      </c>
      <c r="M532" s="113">
        <f t="shared" ref="M532" si="174">M533+M536</f>
        <v>0</v>
      </c>
      <c r="N532" s="113">
        <f t="shared" ref="N532" si="175">N533+N536</f>
        <v>1365892</v>
      </c>
      <c r="O532" s="113">
        <f t="shared" ref="O532" si="176">O533+O536</f>
        <v>3573935</v>
      </c>
      <c r="P532" s="113">
        <f t="shared" ref="P532" si="177">P533+P536</f>
        <v>0</v>
      </c>
      <c r="Q532" s="114" t="s">
        <v>40</v>
      </c>
      <c r="R532" s="108" t="s">
        <v>40</v>
      </c>
      <c r="S532" s="108" t="s">
        <v>40</v>
      </c>
    </row>
    <row r="533" spans="1:19" s="1" customFormat="1" ht="15.75" customHeight="1">
      <c r="A533" s="269"/>
      <c r="B533" s="1328" t="s">
        <v>58</v>
      </c>
      <c r="C533" s="1328"/>
      <c r="D533" s="1328"/>
      <c r="E533" s="1328"/>
      <c r="F533" s="1328"/>
      <c r="G533" s="1328"/>
      <c r="H533" s="127">
        <f>H534</f>
        <v>2121.5</v>
      </c>
      <c r="I533" s="104">
        <f t="shared" ref="I533:P533" si="178">I534</f>
        <v>1804.4</v>
      </c>
      <c r="J533" s="104">
        <f t="shared" si="178"/>
        <v>1335</v>
      </c>
      <c r="K533" s="105">
        <f t="shared" si="178"/>
        <v>48</v>
      </c>
      <c r="L533" s="113">
        <f t="shared" si="178"/>
        <v>215709</v>
      </c>
      <c r="M533" s="113">
        <f t="shared" si="178"/>
        <v>0</v>
      </c>
      <c r="N533" s="113">
        <f t="shared" si="178"/>
        <v>0</v>
      </c>
      <c r="O533" s="113">
        <f t="shared" si="178"/>
        <v>215709</v>
      </c>
      <c r="P533" s="113">
        <f t="shared" si="178"/>
        <v>0</v>
      </c>
      <c r="Q533" s="104" t="str">
        <f>Q534</f>
        <v>Х</v>
      </c>
      <c r="R533" s="104" t="str">
        <f t="shared" ref="R533" si="179">R534</f>
        <v>Х</v>
      </c>
      <c r="S533" s="104">
        <f t="shared" ref="S533" si="180">S534</f>
        <v>43100</v>
      </c>
    </row>
    <row r="534" spans="1:19" s="1" customFormat="1" ht="15.75" customHeight="1">
      <c r="A534" s="269"/>
      <c r="B534" s="1328" t="s">
        <v>87</v>
      </c>
      <c r="C534" s="1328"/>
      <c r="D534" s="1328"/>
      <c r="E534" s="1328"/>
      <c r="F534" s="1328"/>
      <c r="G534" s="1328"/>
      <c r="H534" s="127">
        <f>H535</f>
        <v>2121.5</v>
      </c>
      <c r="I534" s="104">
        <f t="shared" ref="I534:N534" si="181">I535</f>
        <v>1804.4</v>
      </c>
      <c r="J534" s="104">
        <f t="shared" si="181"/>
        <v>1335</v>
      </c>
      <c r="K534" s="105">
        <f t="shared" si="181"/>
        <v>48</v>
      </c>
      <c r="L534" s="113">
        <f>L535</f>
        <v>215709</v>
      </c>
      <c r="M534" s="113">
        <f t="shared" si="181"/>
        <v>0</v>
      </c>
      <c r="N534" s="113">
        <f t="shared" si="181"/>
        <v>0</v>
      </c>
      <c r="O534" s="113">
        <f>L534</f>
        <v>215709</v>
      </c>
      <c r="P534" s="113">
        <v>0</v>
      </c>
      <c r="Q534" s="104" t="s">
        <v>40</v>
      </c>
      <c r="R534" s="269" t="s">
        <v>40</v>
      </c>
      <c r="S534" s="316">
        <v>43100</v>
      </c>
    </row>
    <row r="535" spans="1:19" s="1" customFormat="1" ht="31.5">
      <c r="A535" s="269">
        <f>A530+1</f>
        <v>8</v>
      </c>
      <c r="B535" s="264" t="s">
        <v>433</v>
      </c>
      <c r="C535" s="99">
        <v>1959</v>
      </c>
      <c r="D535" s="109"/>
      <c r="E535" s="109" t="s">
        <v>218</v>
      </c>
      <c r="F535" s="185" t="s">
        <v>73</v>
      </c>
      <c r="G535" s="185" t="s">
        <v>74</v>
      </c>
      <c r="H535" s="180">
        <v>2121.5</v>
      </c>
      <c r="I535" s="100">
        <v>1804.4</v>
      </c>
      <c r="J535" s="100">
        <f>1379-44</f>
        <v>1335</v>
      </c>
      <c r="K535" s="101">
        <v>48</v>
      </c>
      <c r="L535" s="113">
        <v>215709</v>
      </c>
      <c r="M535" s="113">
        <v>0</v>
      </c>
      <c r="N535" s="113">
        <v>0</v>
      </c>
      <c r="O535" s="113">
        <f>L535</f>
        <v>215709</v>
      </c>
      <c r="P535" s="113">
        <v>0</v>
      </c>
      <c r="Q535" s="100">
        <f>L535/I535</f>
        <v>119.54610951008645</v>
      </c>
      <c r="R535" s="114">
        <v>6774</v>
      </c>
      <c r="S535" s="316">
        <v>43100</v>
      </c>
    </row>
    <row r="536" spans="1:19" s="1" customFormat="1" ht="33" customHeight="1">
      <c r="A536" s="387"/>
      <c r="B536" s="1318" t="s">
        <v>59</v>
      </c>
      <c r="C536" s="1318"/>
      <c r="D536" s="1318"/>
      <c r="E536" s="1318"/>
      <c r="F536" s="1318"/>
      <c r="G536" s="1318"/>
      <c r="H536" s="388">
        <f>H537+H545</f>
        <v>26864.3</v>
      </c>
      <c r="I536" s="388">
        <f t="shared" ref="I536:P536" si="182">I537+I545</f>
        <v>25000.000000000004</v>
      </c>
      <c r="J536" s="388">
        <f t="shared" si="182"/>
        <v>24656.700000000004</v>
      </c>
      <c r="K536" s="388">
        <f t="shared" si="182"/>
        <v>879</v>
      </c>
      <c r="L536" s="789">
        <f t="shared" si="182"/>
        <v>4724118</v>
      </c>
      <c r="M536" s="789">
        <f t="shared" si="182"/>
        <v>0</v>
      </c>
      <c r="N536" s="789">
        <f t="shared" si="182"/>
        <v>1365892</v>
      </c>
      <c r="O536" s="789">
        <f t="shared" si="182"/>
        <v>3358226</v>
      </c>
      <c r="P536" s="789">
        <f t="shared" si="182"/>
        <v>0</v>
      </c>
      <c r="Q536" s="391" t="str">
        <f>Q537</f>
        <v>Х</v>
      </c>
      <c r="R536" s="391" t="str">
        <f t="shared" ref="R536" si="183">R537</f>
        <v>Х</v>
      </c>
      <c r="S536" s="316">
        <v>43100</v>
      </c>
    </row>
    <row r="537" spans="1:19" s="1" customFormat="1" ht="31.9" customHeight="1">
      <c r="A537" s="308"/>
      <c r="B537" s="1314" t="s">
        <v>86</v>
      </c>
      <c r="C537" s="1314"/>
      <c r="D537" s="1314"/>
      <c r="E537" s="1314"/>
      <c r="F537" s="1314"/>
      <c r="G537" s="1314"/>
      <c r="H537" s="391">
        <f>SUM(H538:H544)</f>
        <v>4504.3</v>
      </c>
      <c r="I537" s="391">
        <f t="shared" ref="I537:P537" si="184">SUM(I538:I544)</f>
        <v>4381.0999999999995</v>
      </c>
      <c r="J537" s="391">
        <f t="shared" si="184"/>
        <v>4294.7999999999993</v>
      </c>
      <c r="K537" s="391">
        <f t="shared" si="184"/>
        <v>203</v>
      </c>
      <c r="L537" s="789">
        <f t="shared" si="184"/>
        <v>1839043</v>
      </c>
      <c r="M537" s="789">
        <f t="shared" si="184"/>
        <v>0</v>
      </c>
      <c r="N537" s="789">
        <f t="shared" si="184"/>
        <v>505745</v>
      </c>
      <c r="O537" s="789">
        <f t="shared" si="184"/>
        <v>1333298</v>
      </c>
      <c r="P537" s="789">
        <f t="shared" si="184"/>
        <v>0</v>
      </c>
      <c r="Q537" s="391" t="s">
        <v>40</v>
      </c>
      <c r="R537" s="387" t="s">
        <v>40</v>
      </c>
      <c r="S537" s="316">
        <v>43100</v>
      </c>
    </row>
    <row r="538" spans="1:19" s="1" customFormat="1" ht="31.5">
      <c r="A538" s="387">
        <v>1</v>
      </c>
      <c r="B538" s="915" t="s">
        <v>361</v>
      </c>
      <c r="C538" s="387">
        <v>1973</v>
      </c>
      <c r="D538" s="387"/>
      <c r="E538" s="311" t="s">
        <v>218</v>
      </c>
      <c r="F538" s="387">
        <v>2</v>
      </c>
      <c r="G538" s="387">
        <v>2</v>
      </c>
      <c r="H538" s="391">
        <v>524.29999999999995</v>
      </c>
      <c r="I538" s="391">
        <v>506.7</v>
      </c>
      <c r="J538" s="391">
        <v>506.7</v>
      </c>
      <c r="K538" s="387">
        <v>21</v>
      </c>
      <c r="L538" s="314">
        <v>392000</v>
      </c>
      <c r="M538" s="314">
        <v>0</v>
      </c>
      <c r="N538" s="314">
        <v>117600</v>
      </c>
      <c r="O538" s="314">
        <v>274400</v>
      </c>
      <c r="P538" s="314">
        <v>0</v>
      </c>
      <c r="Q538" s="391">
        <f>L538/I538</f>
        <v>773.63331359778965</v>
      </c>
      <c r="R538" s="315">
        <v>7822</v>
      </c>
      <c r="S538" s="316">
        <v>43100</v>
      </c>
    </row>
    <row r="539" spans="1:19" s="1" customFormat="1" ht="31.5">
      <c r="A539" s="387">
        <f>A538+1</f>
        <v>2</v>
      </c>
      <c r="B539" s="915" t="s">
        <v>434</v>
      </c>
      <c r="C539" s="387">
        <v>1992</v>
      </c>
      <c r="D539" s="387"/>
      <c r="E539" s="311" t="s">
        <v>218</v>
      </c>
      <c r="F539" s="387">
        <v>2</v>
      </c>
      <c r="G539" s="387">
        <v>2</v>
      </c>
      <c r="H539" s="391">
        <v>575.70000000000005</v>
      </c>
      <c r="I539" s="391">
        <v>558.1</v>
      </c>
      <c r="J539" s="391">
        <v>558.1</v>
      </c>
      <c r="K539" s="387">
        <v>25</v>
      </c>
      <c r="L539" s="314">
        <v>340900</v>
      </c>
      <c r="M539" s="314">
        <v>0</v>
      </c>
      <c r="N539" s="314">
        <v>102270</v>
      </c>
      <c r="O539" s="314">
        <v>238630</v>
      </c>
      <c r="P539" s="314">
        <v>0</v>
      </c>
      <c r="Q539" s="391">
        <f t="shared" ref="Q539:Q544" si="185">L539/I539</f>
        <v>610.82243325568891</v>
      </c>
      <c r="R539" s="315">
        <v>7822</v>
      </c>
      <c r="S539" s="316">
        <v>43100</v>
      </c>
    </row>
    <row r="540" spans="1:19" s="1" customFormat="1" ht="34.15" customHeight="1">
      <c r="A540" s="387">
        <f t="shared" ref="A540:A580" si="186">A539+1</f>
        <v>3</v>
      </c>
      <c r="B540" s="915" t="s">
        <v>362</v>
      </c>
      <c r="C540" s="387">
        <v>1974</v>
      </c>
      <c r="D540" s="387"/>
      <c r="E540" s="311" t="s">
        <v>219</v>
      </c>
      <c r="F540" s="387">
        <v>2</v>
      </c>
      <c r="G540" s="387">
        <v>2</v>
      </c>
      <c r="H540" s="391">
        <v>753.3</v>
      </c>
      <c r="I540" s="391">
        <v>735.7</v>
      </c>
      <c r="J540" s="391">
        <v>735.7</v>
      </c>
      <c r="K540" s="387">
        <v>26</v>
      </c>
      <c r="L540" s="314">
        <v>399000</v>
      </c>
      <c r="M540" s="314">
        <v>0</v>
      </c>
      <c r="N540" s="314">
        <v>119700</v>
      </c>
      <c r="O540" s="314">
        <v>279300</v>
      </c>
      <c r="P540" s="314">
        <v>0</v>
      </c>
      <c r="Q540" s="391">
        <f t="shared" si="185"/>
        <v>542.34062797335866</v>
      </c>
      <c r="R540" s="315">
        <v>7822</v>
      </c>
      <c r="S540" s="316">
        <v>43100</v>
      </c>
    </row>
    <row r="541" spans="1:19" s="1" customFormat="1" ht="31.5">
      <c r="A541" s="387">
        <f t="shared" si="186"/>
        <v>4</v>
      </c>
      <c r="B541" s="915" t="s">
        <v>363</v>
      </c>
      <c r="C541" s="387">
        <v>1976</v>
      </c>
      <c r="D541" s="387"/>
      <c r="E541" s="311" t="s">
        <v>218</v>
      </c>
      <c r="F541" s="387">
        <v>2</v>
      </c>
      <c r="G541" s="387">
        <v>2</v>
      </c>
      <c r="H541" s="391">
        <v>789.3</v>
      </c>
      <c r="I541" s="391">
        <v>771.7</v>
      </c>
      <c r="J541" s="391">
        <v>771.7</v>
      </c>
      <c r="K541" s="387">
        <v>41</v>
      </c>
      <c r="L541" s="314">
        <v>216335</v>
      </c>
      <c r="M541" s="314">
        <v>0</v>
      </c>
      <c r="N541" s="314">
        <v>43267</v>
      </c>
      <c r="O541" s="314">
        <v>173068</v>
      </c>
      <c r="P541" s="314">
        <v>0</v>
      </c>
      <c r="Q541" s="391">
        <f t="shared" si="185"/>
        <v>280.33562265128933</v>
      </c>
      <c r="R541" s="315">
        <v>7822</v>
      </c>
      <c r="S541" s="316">
        <v>43100</v>
      </c>
    </row>
    <row r="542" spans="1:19" s="1" customFormat="1" ht="31.5">
      <c r="A542" s="387">
        <f t="shared" si="186"/>
        <v>5</v>
      </c>
      <c r="B542" s="915" t="s">
        <v>364</v>
      </c>
      <c r="C542" s="387">
        <v>1967</v>
      </c>
      <c r="D542" s="387"/>
      <c r="E542" s="311" t="s">
        <v>218</v>
      </c>
      <c r="F542" s="387">
        <v>2</v>
      </c>
      <c r="G542" s="387">
        <v>1</v>
      </c>
      <c r="H542" s="391">
        <v>310.8</v>
      </c>
      <c r="I542" s="391">
        <v>302</v>
      </c>
      <c r="J542" s="391">
        <v>271.60000000000002</v>
      </c>
      <c r="K542" s="387">
        <v>21</v>
      </c>
      <c r="L542" s="314">
        <v>243345</v>
      </c>
      <c r="M542" s="314">
        <v>0</v>
      </c>
      <c r="N542" s="314">
        <v>48669</v>
      </c>
      <c r="O542" s="314">
        <v>194676</v>
      </c>
      <c r="P542" s="314">
        <v>0</v>
      </c>
      <c r="Q542" s="391">
        <f t="shared" si="185"/>
        <v>805.77814569536429</v>
      </c>
      <c r="R542" s="315">
        <v>7822</v>
      </c>
      <c r="S542" s="316">
        <v>43100</v>
      </c>
    </row>
    <row r="543" spans="1:19" s="1" customFormat="1" ht="31.5">
      <c r="A543" s="387">
        <f t="shared" si="186"/>
        <v>6</v>
      </c>
      <c r="B543" s="915" t="s">
        <v>365</v>
      </c>
      <c r="C543" s="387">
        <v>1968</v>
      </c>
      <c r="D543" s="387"/>
      <c r="E543" s="311" t="s">
        <v>218</v>
      </c>
      <c r="F543" s="387" t="s">
        <v>70</v>
      </c>
      <c r="G543" s="387">
        <v>2</v>
      </c>
      <c r="H543" s="391">
        <v>538.20000000000005</v>
      </c>
      <c r="I543" s="391">
        <v>520.6</v>
      </c>
      <c r="J543" s="391">
        <v>464.7</v>
      </c>
      <c r="K543" s="387">
        <v>24</v>
      </c>
      <c r="L543" s="314">
        <v>139342</v>
      </c>
      <c r="M543" s="314">
        <v>0</v>
      </c>
      <c r="N543" s="314">
        <v>41803</v>
      </c>
      <c r="O543" s="314">
        <v>97539</v>
      </c>
      <c r="P543" s="314">
        <v>0</v>
      </c>
      <c r="Q543" s="391">
        <f t="shared" si="185"/>
        <v>267.65655013446025</v>
      </c>
      <c r="R543" s="315">
        <v>7822</v>
      </c>
      <c r="S543" s="316">
        <v>43100</v>
      </c>
    </row>
    <row r="544" spans="1:19" s="1" customFormat="1" ht="31.5">
      <c r="A544" s="387">
        <f t="shared" si="186"/>
        <v>7</v>
      </c>
      <c r="B544" s="915" t="s">
        <v>366</v>
      </c>
      <c r="C544" s="387">
        <v>1978</v>
      </c>
      <c r="D544" s="387"/>
      <c r="E544" s="311" t="s">
        <v>218</v>
      </c>
      <c r="F544" s="387">
        <v>2</v>
      </c>
      <c r="G544" s="387">
        <v>3</v>
      </c>
      <c r="H544" s="391">
        <v>1012.7</v>
      </c>
      <c r="I544" s="391">
        <v>986.3</v>
      </c>
      <c r="J544" s="391">
        <v>986.3</v>
      </c>
      <c r="K544" s="387">
        <v>45</v>
      </c>
      <c r="L544" s="314">
        <v>108121</v>
      </c>
      <c r="M544" s="314">
        <v>0</v>
      </c>
      <c r="N544" s="314">
        <v>32436</v>
      </c>
      <c r="O544" s="314">
        <v>75685</v>
      </c>
      <c r="P544" s="314">
        <v>0</v>
      </c>
      <c r="Q544" s="391">
        <f t="shared" si="185"/>
        <v>109.62283280949002</v>
      </c>
      <c r="R544" s="315">
        <v>7822</v>
      </c>
      <c r="S544" s="316">
        <v>43100</v>
      </c>
    </row>
    <row r="545" spans="1:19" s="1" customFormat="1" ht="28.15" customHeight="1">
      <c r="A545" s="387"/>
      <c r="B545" s="1314" t="s">
        <v>85</v>
      </c>
      <c r="C545" s="1314"/>
      <c r="D545" s="1314"/>
      <c r="E545" s="1314"/>
      <c r="F545" s="1314"/>
      <c r="G545" s="1314"/>
      <c r="H545" s="312">
        <f>SUM(H546:H580)</f>
        <v>22360</v>
      </c>
      <c r="I545" s="312">
        <f t="shared" ref="I545:P545" si="187">SUM(I546:I580)</f>
        <v>20618.900000000005</v>
      </c>
      <c r="J545" s="312">
        <f t="shared" si="187"/>
        <v>20361.900000000005</v>
      </c>
      <c r="K545" s="312">
        <f t="shared" si="187"/>
        <v>676</v>
      </c>
      <c r="L545" s="709">
        <f t="shared" si="187"/>
        <v>2885075</v>
      </c>
      <c r="M545" s="709">
        <f t="shared" si="187"/>
        <v>0</v>
      </c>
      <c r="N545" s="709">
        <f t="shared" si="187"/>
        <v>860147</v>
      </c>
      <c r="O545" s="709">
        <f t="shared" si="187"/>
        <v>2024928</v>
      </c>
      <c r="P545" s="709">
        <f t="shared" si="187"/>
        <v>0</v>
      </c>
      <c r="Q545" s="315" t="s">
        <v>40</v>
      </c>
      <c r="R545" s="310" t="s">
        <v>40</v>
      </c>
      <c r="S545" s="316">
        <v>43100</v>
      </c>
    </row>
    <row r="546" spans="1:19" s="1" customFormat="1" ht="46.9" customHeight="1">
      <c r="A546" s="387">
        <v>8</v>
      </c>
      <c r="B546" s="915" t="s">
        <v>890</v>
      </c>
      <c r="C546" s="387">
        <v>1981</v>
      </c>
      <c r="D546" s="387"/>
      <c r="E546" s="311" t="s">
        <v>218</v>
      </c>
      <c r="F546" s="387">
        <v>2</v>
      </c>
      <c r="G546" s="387">
        <v>1</v>
      </c>
      <c r="H546" s="391">
        <v>371.8</v>
      </c>
      <c r="I546" s="391">
        <v>346</v>
      </c>
      <c r="J546" s="391">
        <v>346</v>
      </c>
      <c r="K546" s="387">
        <v>11</v>
      </c>
      <c r="L546" s="314">
        <f>N546+O546</f>
        <v>25264</v>
      </c>
      <c r="M546" s="314">
        <v>0</v>
      </c>
      <c r="N546" s="314">
        <v>7579</v>
      </c>
      <c r="O546" s="314">
        <v>17685</v>
      </c>
      <c r="P546" s="314">
        <v>0</v>
      </c>
      <c r="Q546" s="391">
        <f>L546/I546</f>
        <v>73.017341040462426</v>
      </c>
      <c r="R546" s="315">
        <v>7822</v>
      </c>
      <c r="S546" s="316">
        <v>43100</v>
      </c>
    </row>
    <row r="547" spans="1:19" s="1" customFormat="1" ht="43.9" customHeight="1">
      <c r="A547" s="387">
        <f t="shared" si="186"/>
        <v>9</v>
      </c>
      <c r="B547" s="915" t="s">
        <v>891</v>
      </c>
      <c r="C547" s="387">
        <v>1981</v>
      </c>
      <c r="D547" s="387"/>
      <c r="E547" s="311" t="s">
        <v>218</v>
      </c>
      <c r="F547" s="387" t="s">
        <v>71</v>
      </c>
      <c r="G547" s="387">
        <v>1</v>
      </c>
      <c r="H547" s="391">
        <v>384.5</v>
      </c>
      <c r="I547" s="391">
        <v>361.4</v>
      </c>
      <c r="J547" s="391">
        <v>361.4</v>
      </c>
      <c r="K547" s="387">
        <v>9</v>
      </c>
      <c r="L547" s="314">
        <f t="shared" ref="L547:L580" si="188">N547+O547</f>
        <v>25312</v>
      </c>
      <c r="M547" s="314">
        <v>0</v>
      </c>
      <c r="N547" s="314">
        <v>7593</v>
      </c>
      <c r="O547" s="314">
        <v>17719</v>
      </c>
      <c r="P547" s="314">
        <v>0</v>
      </c>
      <c r="Q547" s="391">
        <f t="shared" ref="Q547:Q580" si="189">L547/I547</f>
        <v>70.038738240177096</v>
      </c>
      <c r="R547" s="315">
        <v>7822</v>
      </c>
      <c r="S547" s="316">
        <v>43100</v>
      </c>
    </row>
    <row r="548" spans="1:19" s="1" customFormat="1" ht="31.5">
      <c r="A548" s="387">
        <f t="shared" si="186"/>
        <v>10</v>
      </c>
      <c r="B548" s="915" t="s">
        <v>892</v>
      </c>
      <c r="C548" s="387">
        <v>1982</v>
      </c>
      <c r="D548" s="387"/>
      <c r="E548" s="311" t="s">
        <v>218</v>
      </c>
      <c r="F548" s="387">
        <v>2</v>
      </c>
      <c r="G548" s="387">
        <v>1</v>
      </c>
      <c r="H548" s="391">
        <v>381.1</v>
      </c>
      <c r="I548" s="391">
        <v>356.8</v>
      </c>
      <c r="J548" s="391">
        <v>356.8</v>
      </c>
      <c r="K548" s="387">
        <v>12</v>
      </c>
      <c r="L548" s="314">
        <f t="shared" si="188"/>
        <v>25264</v>
      </c>
      <c r="M548" s="314">
        <v>0</v>
      </c>
      <c r="N548" s="314">
        <v>7579</v>
      </c>
      <c r="O548" s="314">
        <v>17685</v>
      </c>
      <c r="P548" s="314">
        <v>0</v>
      </c>
      <c r="Q548" s="391">
        <f t="shared" si="189"/>
        <v>70.807174887892373</v>
      </c>
      <c r="R548" s="315">
        <v>7822</v>
      </c>
      <c r="S548" s="316">
        <v>43100</v>
      </c>
    </row>
    <row r="549" spans="1:19" s="1" customFormat="1" ht="31.5">
      <c r="A549" s="387">
        <f t="shared" si="186"/>
        <v>11</v>
      </c>
      <c r="B549" s="915" t="s">
        <v>893</v>
      </c>
      <c r="C549" s="387">
        <v>1992</v>
      </c>
      <c r="D549" s="387"/>
      <c r="E549" s="311" t="s">
        <v>218</v>
      </c>
      <c r="F549" s="387">
        <v>2</v>
      </c>
      <c r="G549" s="387">
        <v>2</v>
      </c>
      <c r="H549" s="391">
        <v>723.9</v>
      </c>
      <c r="I549" s="391">
        <v>648.20000000000005</v>
      </c>
      <c r="J549" s="391">
        <v>648.20000000000005</v>
      </c>
      <c r="K549" s="387">
        <v>20</v>
      </c>
      <c r="L549" s="314">
        <f t="shared" si="188"/>
        <v>284600</v>
      </c>
      <c r="M549" s="314">
        <v>0</v>
      </c>
      <c r="N549" s="314">
        <v>85380</v>
      </c>
      <c r="O549" s="314">
        <v>199220</v>
      </c>
      <c r="P549" s="314">
        <v>0</v>
      </c>
      <c r="Q549" s="391">
        <f t="shared" si="189"/>
        <v>439.06201789571116</v>
      </c>
      <c r="R549" s="315">
        <v>7822</v>
      </c>
      <c r="S549" s="316">
        <v>43100</v>
      </c>
    </row>
    <row r="550" spans="1:19" s="1" customFormat="1" ht="31.5">
      <c r="A550" s="387">
        <f t="shared" si="186"/>
        <v>12</v>
      </c>
      <c r="B550" s="915" t="s">
        <v>894</v>
      </c>
      <c r="C550" s="387">
        <v>1984</v>
      </c>
      <c r="D550" s="387"/>
      <c r="E550" s="311" t="s">
        <v>218</v>
      </c>
      <c r="F550" s="387">
        <v>2</v>
      </c>
      <c r="G550" s="387">
        <v>1</v>
      </c>
      <c r="H550" s="391">
        <v>380.9</v>
      </c>
      <c r="I550" s="391">
        <v>356.2</v>
      </c>
      <c r="J550" s="391">
        <v>313.3</v>
      </c>
      <c r="K550" s="387">
        <v>11</v>
      </c>
      <c r="L550" s="314">
        <f t="shared" si="188"/>
        <v>25505</v>
      </c>
      <c r="M550" s="314">
        <v>0</v>
      </c>
      <c r="N550" s="314">
        <v>7651</v>
      </c>
      <c r="O550" s="314">
        <v>17854</v>
      </c>
      <c r="P550" s="314">
        <v>0</v>
      </c>
      <c r="Q550" s="391">
        <f t="shared" si="189"/>
        <v>71.603032004491865</v>
      </c>
      <c r="R550" s="315">
        <v>7822</v>
      </c>
      <c r="S550" s="316">
        <v>43100</v>
      </c>
    </row>
    <row r="551" spans="1:19" s="1" customFormat="1" ht="31.5">
      <c r="A551" s="387">
        <f t="shared" si="186"/>
        <v>13</v>
      </c>
      <c r="B551" s="915" t="s">
        <v>895</v>
      </c>
      <c r="C551" s="387">
        <v>1985</v>
      </c>
      <c r="D551" s="387"/>
      <c r="E551" s="311" t="s">
        <v>218</v>
      </c>
      <c r="F551" s="387">
        <v>2</v>
      </c>
      <c r="G551" s="387">
        <v>1</v>
      </c>
      <c r="H551" s="391">
        <v>397.7</v>
      </c>
      <c r="I551" s="391">
        <v>371.1</v>
      </c>
      <c r="J551" s="391">
        <v>371.1</v>
      </c>
      <c r="K551" s="387">
        <v>10</v>
      </c>
      <c r="L551" s="314">
        <v>25168</v>
      </c>
      <c r="M551" s="314">
        <v>0</v>
      </c>
      <c r="N551" s="314">
        <v>7550</v>
      </c>
      <c r="O551" s="314">
        <v>17618</v>
      </c>
      <c r="P551" s="314">
        <v>0</v>
      </c>
      <c r="Q551" s="391">
        <f t="shared" si="189"/>
        <v>67.819994610617087</v>
      </c>
      <c r="R551" s="315">
        <v>7822</v>
      </c>
      <c r="S551" s="316">
        <v>43100</v>
      </c>
    </row>
    <row r="552" spans="1:19" s="1" customFormat="1" ht="39.6" customHeight="1">
      <c r="A552" s="387">
        <f t="shared" si="186"/>
        <v>14</v>
      </c>
      <c r="B552" s="915" t="s">
        <v>896</v>
      </c>
      <c r="C552" s="387">
        <v>1993</v>
      </c>
      <c r="D552" s="387"/>
      <c r="E552" s="311" t="s">
        <v>218</v>
      </c>
      <c r="F552" s="387">
        <v>2</v>
      </c>
      <c r="G552" s="387">
        <v>2</v>
      </c>
      <c r="H552" s="391">
        <v>642</v>
      </c>
      <c r="I552" s="391">
        <v>605.29999999999995</v>
      </c>
      <c r="J552" s="391">
        <v>605.29999999999995</v>
      </c>
      <c r="K552" s="387">
        <v>19</v>
      </c>
      <c r="L552" s="314">
        <f t="shared" si="188"/>
        <v>299445</v>
      </c>
      <c r="M552" s="314">
        <v>0</v>
      </c>
      <c r="N552" s="314">
        <v>89834</v>
      </c>
      <c r="O552" s="314">
        <v>209611</v>
      </c>
      <c r="P552" s="314">
        <v>0</v>
      </c>
      <c r="Q552" s="391">
        <f t="shared" si="189"/>
        <v>494.70510490665788</v>
      </c>
      <c r="R552" s="315">
        <v>7822</v>
      </c>
      <c r="S552" s="316">
        <v>43100</v>
      </c>
    </row>
    <row r="553" spans="1:19" s="1" customFormat="1" ht="38.450000000000003" customHeight="1">
      <c r="A553" s="387">
        <f t="shared" si="186"/>
        <v>15</v>
      </c>
      <c r="B553" s="915" t="s">
        <v>897</v>
      </c>
      <c r="C553" s="387">
        <v>1984</v>
      </c>
      <c r="D553" s="387"/>
      <c r="E553" s="311" t="s">
        <v>218</v>
      </c>
      <c r="F553" s="387">
        <v>2</v>
      </c>
      <c r="G553" s="387">
        <v>1</v>
      </c>
      <c r="H553" s="391">
        <v>387.4</v>
      </c>
      <c r="I553" s="391">
        <v>362.2</v>
      </c>
      <c r="J553" s="391">
        <v>362.2</v>
      </c>
      <c r="K553" s="387">
        <v>8</v>
      </c>
      <c r="L553" s="314">
        <f t="shared" si="188"/>
        <v>32502</v>
      </c>
      <c r="M553" s="314">
        <v>0</v>
      </c>
      <c r="N553" s="314">
        <v>9751</v>
      </c>
      <c r="O553" s="314">
        <v>22751</v>
      </c>
      <c r="P553" s="314">
        <v>0</v>
      </c>
      <c r="Q553" s="391">
        <f t="shared" si="189"/>
        <v>89.734953064605193</v>
      </c>
      <c r="R553" s="315">
        <v>7822</v>
      </c>
      <c r="S553" s="316">
        <v>43100</v>
      </c>
    </row>
    <row r="554" spans="1:19" s="1" customFormat="1" ht="31.5">
      <c r="A554" s="387">
        <f t="shared" si="186"/>
        <v>16</v>
      </c>
      <c r="B554" s="915" t="s">
        <v>898</v>
      </c>
      <c r="C554" s="387">
        <v>1991</v>
      </c>
      <c r="D554" s="387"/>
      <c r="E554" s="311" t="s">
        <v>218</v>
      </c>
      <c r="F554" s="387">
        <v>2</v>
      </c>
      <c r="G554" s="387">
        <v>2</v>
      </c>
      <c r="H554" s="391">
        <v>640.4</v>
      </c>
      <c r="I554" s="391">
        <v>604.70000000000005</v>
      </c>
      <c r="J554" s="391">
        <v>604.70000000000005</v>
      </c>
      <c r="K554" s="387">
        <v>19</v>
      </c>
      <c r="L554" s="314">
        <f t="shared" si="188"/>
        <v>50721</v>
      </c>
      <c r="M554" s="314">
        <v>0</v>
      </c>
      <c r="N554" s="314">
        <v>15216</v>
      </c>
      <c r="O554" s="314">
        <v>35505</v>
      </c>
      <c r="P554" s="314">
        <v>0</v>
      </c>
      <c r="Q554" s="391">
        <f t="shared" si="189"/>
        <v>83.877956011245246</v>
      </c>
      <c r="R554" s="315">
        <v>7822</v>
      </c>
      <c r="S554" s="316">
        <v>43100</v>
      </c>
    </row>
    <row r="555" spans="1:19" s="1" customFormat="1" ht="31.5">
      <c r="A555" s="387">
        <f t="shared" si="186"/>
        <v>17</v>
      </c>
      <c r="B555" s="915" t="s">
        <v>899</v>
      </c>
      <c r="C555" s="387">
        <v>1989</v>
      </c>
      <c r="D555" s="387"/>
      <c r="E555" s="311" t="s">
        <v>218</v>
      </c>
      <c r="F555" s="387">
        <v>2</v>
      </c>
      <c r="G555" s="387">
        <v>2</v>
      </c>
      <c r="H555" s="391">
        <v>644.9</v>
      </c>
      <c r="I555" s="391">
        <v>588.6</v>
      </c>
      <c r="J555" s="391">
        <v>588.6</v>
      </c>
      <c r="K555" s="387">
        <v>24</v>
      </c>
      <c r="L555" s="314">
        <f t="shared" si="188"/>
        <v>257869</v>
      </c>
      <c r="M555" s="314">
        <v>0</v>
      </c>
      <c r="N555" s="314">
        <v>77360</v>
      </c>
      <c r="O555" s="314">
        <v>180509</v>
      </c>
      <c r="P555" s="314">
        <v>0</v>
      </c>
      <c r="Q555" s="391">
        <f t="shared" si="189"/>
        <v>438.10567448182127</v>
      </c>
      <c r="R555" s="315">
        <v>7822</v>
      </c>
      <c r="S555" s="316">
        <v>43100</v>
      </c>
    </row>
    <row r="556" spans="1:19" s="1" customFormat="1" ht="31.5">
      <c r="A556" s="387">
        <f t="shared" si="186"/>
        <v>18</v>
      </c>
      <c r="B556" s="915" t="s">
        <v>900</v>
      </c>
      <c r="C556" s="387">
        <v>1987</v>
      </c>
      <c r="D556" s="387"/>
      <c r="E556" s="311" t="s">
        <v>218</v>
      </c>
      <c r="F556" s="387">
        <v>2</v>
      </c>
      <c r="G556" s="387">
        <v>1</v>
      </c>
      <c r="H556" s="391">
        <v>394</v>
      </c>
      <c r="I556" s="391">
        <v>359.3</v>
      </c>
      <c r="J556" s="391">
        <v>301.8</v>
      </c>
      <c r="K556" s="387">
        <v>14</v>
      </c>
      <c r="L556" s="314">
        <f t="shared" si="188"/>
        <v>28738</v>
      </c>
      <c r="M556" s="314">
        <v>0</v>
      </c>
      <c r="N556" s="314">
        <v>8621</v>
      </c>
      <c r="O556" s="314">
        <v>20117</v>
      </c>
      <c r="P556" s="314">
        <v>0</v>
      </c>
      <c r="Q556" s="391">
        <f t="shared" si="189"/>
        <v>79.983300862788752</v>
      </c>
      <c r="R556" s="315">
        <v>7822</v>
      </c>
      <c r="S556" s="316">
        <v>43100</v>
      </c>
    </row>
    <row r="557" spans="1:19" s="1" customFormat="1" ht="31.5">
      <c r="A557" s="387">
        <f t="shared" si="186"/>
        <v>19</v>
      </c>
      <c r="B557" s="915" t="s">
        <v>901</v>
      </c>
      <c r="C557" s="387">
        <v>1985</v>
      </c>
      <c r="D557" s="387"/>
      <c r="E557" s="311" t="s">
        <v>218</v>
      </c>
      <c r="F557" s="387">
        <v>2</v>
      </c>
      <c r="G557" s="387">
        <v>1</v>
      </c>
      <c r="H557" s="391">
        <v>396.4</v>
      </c>
      <c r="I557" s="391">
        <v>361.4</v>
      </c>
      <c r="J557" s="391">
        <v>361.4</v>
      </c>
      <c r="K557" s="387">
        <v>7</v>
      </c>
      <c r="L557" s="314">
        <f t="shared" si="188"/>
        <v>32453</v>
      </c>
      <c r="M557" s="314">
        <v>0</v>
      </c>
      <c r="N557" s="314">
        <v>9736</v>
      </c>
      <c r="O557" s="314">
        <v>22717</v>
      </c>
      <c r="P557" s="314">
        <v>0</v>
      </c>
      <c r="Q557" s="391">
        <f t="shared" si="189"/>
        <v>89.798007747648043</v>
      </c>
      <c r="R557" s="315">
        <v>7822</v>
      </c>
      <c r="S557" s="316">
        <v>43100</v>
      </c>
    </row>
    <row r="558" spans="1:19" s="1" customFormat="1" ht="31.5">
      <c r="A558" s="387">
        <f t="shared" si="186"/>
        <v>20</v>
      </c>
      <c r="B558" s="915" t="s">
        <v>902</v>
      </c>
      <c r="C558" s="387">
        <v>1987</v>
      </c>
      <c r="D558" s="387"/>
      <c r="E558" s="311" t="s">
        <v>218</v>
      </c>
      <c r="F558" s="387">
        <v>2</v>
      </c>
      <c r="G558" s="387">
        <v>1</v>
      </c>
      <c r="H558" s="391">
        <v>354.6</v>
      </c>
      <c r="I558" s="391">
        <v>354.6</v>
      </c>
      <c r="J558" s="391">
        <v>354.6</v>
      </c>
      <c r="K558" s="387">
        <v>10</v>
      </c>
      <c r="L558" s="314">
        <f t="shared" si="188"/>
        <v>25023</v>
      </c>
      <c r="M558" s="314">
        <v>0</v>
      </c>
      <c r="N558" s="314">
        <v>7507</v>
      </c>
      <c r="O558" s="314">
        <v>17516</v>
      </c>
      <c r="P558" s="314">
        <v>0</v>
      </c>
      <c r="Q558" s="391">
        <f t="shared" si="189"/>
        <v>70.566835871404393</v>
      </c>
      <c r="R558" s="315">
        <v>7822</v>
      </c>
      <c r="S558" s="316">
        <v>43100</v>
      </c>
    </row>
    <row r="559" spans="1:19" s="1" customFormat="1" ht="31.5">
      <c r="A559" s="387">
        <f t="shared" si="186"/>
        <v>21</v>
      </c>
      <c r="B559" s="915" t="s">
        <v>903</v>
      </c>
      <c r="C559" s="387">
        <v>1989</v>
      </c>
      <c r="D559" s="387"/>
      <c r="E559" s="311" t="s">
        <v>218</v>
      </c>
      <c r="F559" s="387">
        <v>2</v>
      </c>
      <c r="G559" s="387">
        <v>1</v>
      </c>
      <c r="H559" s="391">
        <v>432.9</v>
      </c>
      <c r="I559" s="391">
        <v>397.2</v>
      </c>
      <c r="J559" s="391">
        <v>324.7</v>
      </c>
      <c r="K559" s="387">
        <v>19</v>
      </c>
      <c r="L559" s="314">
        <f t="shared" si="188"/>
        <v>25119</v>
      </c>
      <c r="M559" s="314">
        <v>0</v>
      </c>
      <c r="N559" s="314">
        <v>7535</v>
      </c>
      <c r="O559" s="314">
        <v>17584</v>
      </c>
      <c r="P559" s="314">
        <v>0</v>
      </c>
      <c r="Q559" s="391">
        <f t="shared" si="189"/>
        <v>63.240181268882175</v>
      </c>
      <c r="R559" s="315">
        <v>7822</v>
      </c>
      <c r="S559" s="316">
        <v>43100</v>
      </c>
    </row>
    <row r="560" spans="1:19" s="1" customFormat="1" ht="38.450000000000003" customHeight="1">
      <c r="A560" s="387">
        <f t="shared" si="186"/>
        <v>22</v>
      </c>
      <c r="B560" s="915" t="s">
        <v>904</v>
      </c>
      <c r="C560" s="387">
        <v>1971</v>
      </c>
      <c r="D560" s="387"/>
      <c r="E560" s="311" t="s">
        <v>218</v>
      </c>
      <c r="F560" s="387">
        <v>2</v>
      </c>
      <c r="G560" s="387">
        <v>2</v>
      </c>
      <c r="H560" s="391">
        <v>767.1</v>
      </c>
      <c r="I560" s="391">
        <v>701.2</v>
      </c>
      <c r="J560" s="391">
        <v>701.2</v>
      </c>
      <c r="K560" s="387">
        <v>16</v>
      </c>
      <c r="L560" s="314">
        <f t="shared" si="188"/>
        <v>51107</v>
      </c>
      <c r="M560" s="314">
        <v>0</v>
      </c>
      <c r="N560" s="314">
        <v>15332</v>
      </c>
      <c r="O560" s="314">
        <v>35775</v>
      </c>
      <c r="P560" s="314">
        <v>0</v>
      </c>
      <c r="Q560" s="391">
        <f t="shared" si="189"/>
        <v>72.885054192812319</v>
      </c>
      <c r="R560" s="315">
        <v>7822</v>
      </c>
      <c r="S560" s="316">
        <v>43100</v>
      </c>
    </row>
    <row r="561" spans="1:19" s="1" customFormat="1" ht="44.45" customHeight="1">
      <c r="A561" s="387">
        <f t="shared" si="186"/>
        <v>23</v>
      </c>
      <c r="B561" s="915" t="s">
        <v>905</v>
      </c>
      <c r="C561" s="387">
        <v>1969</v>
      </c>
      <c r="D561" s="387"/>
      <c r="E561" s="311" t="s">
        <v>218</v>
      </c>
      <c r="F561" s="387">
        <v>2</v>
      </c>
      <c r="G561" s="387">
        <v>2</v>
      </c>
      <c r="H561" s="391">
        <v>567</v>
      </c>
      <c r="I561" s="391">
        <v>473.9</v>
      </c>
      <c r="J561" s="391">
        <v>473.9</v>
      </c>
      <c r="K561" s="387">
        <v>18</v>
      </c>
      <c r="L561" s="314">
        <f t="shared" si="188"/>
        <v>87488</v>
      </c>
      <c r="M561" s="314">
        <v>0</v>
      </c>
      <c r="N561" s="314">
        <v>26246</v>
      </c>
      <c r="O561" s="314">
        <v>61242</v>
      </c>
      <c r="P561" s="314">
        <v>0</v>
      </c>
      <c r="Q561" s="391">
        <f t="shared" si="189"/>
        <v>184.61278750791308</v>
      </c>
      <c r="R561" s="315">
        <v>7822</v>
      </c>
      <c r="S561" s="316">
        <v>43100</v>
      </c>
    </row>
    <row r="562" spans="1:19" s="1" customFormat="1" ht="31.5">
      <c r="A562" s="387">
        <f t="shared" si="186"/>
        <v>24</v>
      </c>
      <c r="B562" s="915" t="s">
        <v>906</v>
      </c>
      <c r="C562" s="387">
        <v>1969</v>
      </c>
      <c r="D562" s="387"/>
      <c r="E562" s="311" t="s">
        <v>218</v>
      </c>
      <c r="F562" s="387">
        <v>2</v>
      </c>
      <c r="G562" s="387">
        <v>2</v>
      </c>
      <c r="H562" s="391">
        <v>501.6</v>
      </c>
      <c r="I562" s="391">
        <v>477.6</v>
      </c>
      <c r="J562" s="391">
        <v>477.6</v>
      </c>
      <c r="K562" s="387">
        <v>7</v>
      </c>
      <c r="L562" s="314">
        <f t="shared" si="188"/>
        <v>87102</v>
      </c>
      <c r="M562" s="314">
        <v>0</v>
      </c>
      <c r="N562" s="314">
        <v>26130</v>
      </c>
      <c r="O562" s="314">
        <v>60972</v>
      </c>
      <c r="P562" s="314">
        <v>0</v>
      </c>
      <c r="Q562" s="391">
        <f t="shared" si="189"/>
        <v>182.37437185929647</v>
      </c>
      <c r="R562" s="315">
        <v>7822</v>
      </c>
      <c r="S562" s="316">
        <v>43100</v>
      </c>
    </row>
    <row r="563" spans="1:19" s="1" customFormat="1" ht="31.5">
      <c r="A563" s="387">
        <f t="shared" si="186"/>
        <v>25</v>
      </c>
      <c r="B563" s="915" t="s">
        <v>907</v>
      </c>
      <c r="C563" s="387">
        <v>1972</v>
      </c>
      <c r="D563" s="387"/>
      <c r="E563" s="311" t="s">
        <v>218</v>
      </c>
      <c r="F563" s="387">
        <v>2</v>
      </c>
      <c r="G563" s="387">
        <v>2</v>
      </c>
      <c r="H563" s="391">
        <v>767.3</v>
      </c>
      <c r="I563" s="391">
        <v>709.1</v>
      </c>
      <c r="J563" s="391">
        <v>669.7</v>
      </c>
      <c r="K563" s="387">
        <v>22</v>
      </c>
      <c r="L563" s="314">
        <f t="shared" si="188"/>
        <v>53713</v>
      </c>
      <c r="M563" s="314">
        <v>0</v>
      </c>
      <c r="N563" s="314">
        <v>10743</v>
      </c>
      <c r="O563" s="314">
        <v>42970</v>
      </c>
      <c r="P563" s="314">
        <v>0</v>
      </c>
      <c r="Q563" s="391">
        <f t="shared" si="189"/>
        <v>75.748131434212382</v>
      </c>
      <c r="R563" s="315">
        <v>7822</v>
      </c>
      <c r="S563" s="316">
        <v>43100</v>
      </c>
    </row>
    <row r="564" spans="1:19" s="1" customFormat="1" ht="31.5">
      <c r="A564" s="387">
        <f t="shared" si="186"/>
        <v>26</v>
      </c>
      <c r="B564" s="915" t="s">
        <v>908</v>
      </c>
      <c r="C564" s="387">
        <v>1972</v>
      </c>
      <c r="D564" s="387"/>
      <c r="E564" s="311" t="s">
        <v>218</v>
      </c>
      <c r="F564" s="387">
        <v>2</v>
      </c>
      <c r="G564" s="387">
        <v>2</v>
      </c>
      <c r="H564" s="391">
        <v>778.6</v>
      </c>
      <c r="I564" s="391">
        <v>719.6</v>
      </c>
      <c r="J564" s="391">
        <v>719.6</v>
      </c>
      <c r="K564" s="387">
        <v>28</v>
      </c>
      <c r="L564" s="314">
        <f t="shared" si="188"/>
        <v>242578</v>
      </c>
      <c r="M564" s="314">
        <v>0</v>
      </c>
      <c r="N564" s="314">
        <v>72774</v>
      </c>
      <c r="O564" s="314">
        <v>169804</v>
      </c>
      <c r="P564" s="314">
        <v>0</v>
      </c>
      <c r="Q564" s="391">
        <f t="shared" si="189"/>
        <v>337.10116731517508</v>
      </c>
      <c r="R564" s="315">
        <v>7822</v>
      </c>
      <c r="S564" s="316">
        <v>43100</v>
      </c>
    </row>
    <row r="565" spans="1:19" s="1" customFormat="1" ht="31.5">
      <c r="A565" s="387">
        <f t="shared" si="186"/>
        <v>27</v>
      </c>
      <c r="B565" s="915" t="s">
        <v>390</v>
      </c>
      <c r="C565" s="387">
        <v>1973</v>
      </c>
      <c r="D565" s="387"/>
      <c r="E565" s="311" t="s">
        <v>218</v>
      </c>
      <c r="F565" s="387">
        <v>2</v>
      </c>
      <c r="G565" s="387">
        <v>2</v>
      </c>
      <c r="H565" s="391">
        <v>780.6</v>
      </c>
      <c r="I565" s="391">
        <v>716</v>
      </c>
      <c r="J565" s="391">
        <v>716</v>
      </c>
      <c r="K565" s="387">
        <v>18</v>
      </c>
      <c r="L565" s="314">
        <f t="shared" si="188"/>
        <v>52265</v>
      </c>
      <c r="M565" s="314">
        <v>0</v>
      </c>
      <c r="N565" s="314">
        <v>15679</v>
      </c>
      <c r="O565" s="314">
        <v>36586</v>
      </c>
      <c r="P565" s="314">
        <v>0</v>
      </c>
      <c r="Q565" s="391">
        <f t="shared" si="189"/>
        <v>72.995810055865917</v>
      </c>
      <c r="R565" s="315">
        <v>7822</v>
      </c>
      <c r="S565" s="316">
        <v>43100</v>
      </c>
    </row>
    <row r="566" spans="1:19" s="1" customFormat="1" ht="31.5">
      <c r="A566" s="387">
        <f t="shared" si="186"/>
        <v>28</v>
      </c>
      <c r="B566" s="915" t="s">
        <v>909</v>
      </c>
      <c r="C566" s="387">
        <v>1969</v>
      </c>
      <c r="D566" s="387"/>
      <c r="E566" s="311" t="s">
        <v>218</v>
      </c>
      <c r="F566" s="387">
        <v>2</v>
      </c>
      <c r="G566" s="387">
        <v>2</v>
      </c>
      <c r="H566" s="391">
        <v>522.9</v>
      </c>
      <c r="I566" s="391">
        <v>480.5</v>
      </c>
      <c r="J566" s="391">
        <v>480.5</v>
      </c>
      <c r="K566" s="387">
        <v>16</v>
      </c>
      <c r="L566" s="314">
        <f t="shared" si="188"/>
        <v>81602</v>
      </c>
      <c r="M566" s="314">
        <v>0</v>
      </c>
      <c r="N566" s="314">
        <v>24481</v>
      </c>
      <c r="O566" s="314">
        <v>57121</v>
      </c>
      <c r="P566" s="314">
        <v>0</v>
      </c>
      <c r="Q566" s="391">
        <f t="shared" si="189"/>
        <v>169.82726326742977</v>
      </c>
      <c r="R566" s="315">
        <v>7822</v>
      </c>
      <c r="S566" s="316">
        <v>43100</v>
      </c>
    </row>
    <row r="567" spans="1:19" s="1" customFormat="1" ht="31.5">
      <c r="A567" s="387">
        <f t="shared" si="186"/>
        <v>29</v>
      </c>
      <c r="B567" s="915" t="s">
        <v>232</v>
      </c>
      <c r="C567" s="387">
        <v>1970</v>
      </c>
      <c r="D567" s="387"/>
      <c r="E567" s="311" t="s">
        <v>218</v>
      </c>
      <c r="F567" s="387">
        <v>2</v>
      </c>
      <c r="G567" s="387">
        <v>2</v>
      </c>
      <c r="H567" s="391">
        <v>528.20000000000005</v>
      </c>
      <c r="I567" s="391">
        <v>485.6</v>
      </c>
      <c r="J567" s="391">
        <v>485.6</v>
      </c>
      <c r="K567" s="387">
        <v>14</v>
      </c>
      <c r="L567" s="314">
        <f t="shared" si="188"/>
        <v>87295</v>
      </c>
      <c r="M567" s="314">
        <v>0</v>
      </c>
      <c r="N567" s="314">
        <v>26188</v>
      </c>
      <c r="O567" s="314">
        <v>61107</v>
      </c>
      <c r="P567" s="314">
        <v>0</v>
      </c>
      <c r="Q567" s="391">
        <f t="shared" si="189"/>
        <v>179.76729818780888</v>
      </c>
      <c r="R567" s="315">
        <v>7822</v>
      </c>
      <c r="S567" s="316">
        <v>43100</v>
      </c>
    </row>
    <row r="568" spans="1:19" s="1" customFormat="1" ht="36" customHeight="1">
      <c r="A568" s="387">
        <f t="shared" si="186"/>
        <v>30</v>
      </c>
      <c r="B568" s="915" t="s">
        <v>910</v>
      </c>
      <c r="C568" s="387">
        <v>1973</v>
      </c>
      <c r="D568" s="387"/>
      <c r="E568" s="311" t="s">
        <v>218</v>
      </c>
      <c r="F568" s="387">
        <v>2</v>
      </c>
      <c r="G568" s="387">
        <v>2</v>
      </c>
      <c r="H568" s="391">
        <v>772.5</v>
      </c>
      <c r="I568" s="391">
        <v>713.3</v>
      </c>
      <c r="J568" s="391">
        <v>668.6</v>
      </c>
      <c r="K568" s="387">
        <v>19</v>
      </c>
      <c r="L568" s="314">
        <f t="shared" si="188"/>
        <v>51879</v>
      </c>
      <c r="M568" s="314">
        <v>0</v>
      </c>
      <c r="N568" s="314">
        <v>15564</v>
      </c>
      <c r="O568" s="314">
        <v>36315</v>
      </c>
      <c r="P568" s="314">
        <v>0</v>
      </c>
      <c r="Q568" s="391">
        <f t="shared" si="189"/>
        <v>72.730968736856866</v>
      </c>
      <c r="R568" s="315">
        <v>7822</v>
      </c>
      <c r="S568" s="316">
        <v>43100</v>
      </c>
    </row>
    <row r="569" spans="1:19" s="1" customFormat="1" ht="31.5">
      <c r="A569" s="387">
        <f t="shared" si="186"/>
        <v>31</v>
      </c>
      <c r="B569" s="915" t="s">
        <v>911</v>
      </c>
      <c r="C569" s="387">
        <v>1973</v>
      </c>
      <c r="D569" s="387"/>
      <c r="E569" s="311" t="s">
        <v>218</v>
      </c>
      <c r="F569" s="387">
        <v>2</v>
      </c>
      <c r="G569" s="387">
        <v>2</v>
      </c>
      <c r="H569" s="391">
        <v>774</v>
      </c>
      <c r="I569" s="391">
        <v>715.5</v>
      </c>
      <c r="J569" s="391">
        <v>715.5</v>
      </c>
      <c r="K569" s="387">
        <v>22</v>
      </c>
      <c r="L569" s="314">
        <f t="shared" si="188"/>
        <v>51879</v>
      </c>
      <c r="M569" s="314">
        <v>0</v>
      </c>
      <c r="N569" s="314">
        <v>15564</v>
      </c>
      <c r="O569" s="314">
        <v>36315</v>
      </c>
      <c r="P569" s="314">
        <v>0</v>
      </c>
      <c r="Q569" s="391">
        <f t="shared" si="189"/>
        <v>72.507337526205447</v>
      </c>
      <c r="R569" s="315">
        <v>7822</v>
      </c>
      <c r="S569" s="316">
        <v>43100</v>
      </c>
    </row>
    <row r="570" spans="1:19" s="1" customFormat="1" ht="31.5">
      <c r="A570" s="387">
        <f t="shared" si="186"/>
        <v>32</v>
      </c>
      <c r="B570" s="915" t="s">
        <v>912</v>
      </c>
      <c r="C570" s="387">
        <v>1974</v>
      </c>
      <c r="D570" s="387"/>
      <c r="E570" s="311" t="s">
        <v>218</v>
      </c>
      <c r="F570" s="387">
        <v>2</v>
      </c>
      <c r="G570" s="387">
        <v>2</v>
      </c>
      <c r="H570" s="391">
        <v>768.7</v>
      </c>
      <c r="I570" s="391">
        <v>710.7</v>
      </c>
      <c r="J570" s="391">
        <v>710.7</v>
      </c>
      <c r="K570" s="387">
        <v>27</v>
      </c>
      <c r="L570" s="314">
        <f t="shared" si="188"/>
        <v>52072</v>
      </c>
      <c r="M570" s="314">
        <v>0</v>
      </c>
      <c r="N570" s="314">
        <v>15621</v>
      </c>
      <c r="O570" s="314">
        <v>36451</v>
      </c>
      <c r="P570" s="314">
        <v>0</v>
      </c>
      <c r="Q570" s="391">
        <f t="shared" si="189"/>
        <v>73.26860841423948</v>
      </c>
      <c r="R570" s="315">
        <v>7822</v>
      </c>
      <c r="S570" s="316">
        <v>43100</v>
      </c>
    </row>
    <row r="571" spans="1:19" s="1" customFormat="1" ht="31.5">
      <c r="A571" s="387">
        <f t="shared" si="186"/>
        <v>33</v>
      </c>
      <c r="B571" s="915" t="s">
        <v>913</v>
      </c>
      <c r="C571" s="387">
        <v>1974</v>
      </c>
      <c r="D571" s="387"/>
      <c r="E571" s="311" t="s">
        <v>218</v>
      </c>
      <c r="F571" s="387">
        <v>2</v>
      </c>
      <c r="G571" s="387">
        <v>2</v>
      </c>
      <c r="H571" s="391">
        <v>765</v>
      </c>
      <c r="I571" s="391">
        <v>707.5</v>
      </c>
      <c r="J571" s="391">
        <v>707.5</v>
      </c>
      <c r="K571" s="387">
        <v>20</v>
      </c>
      <c r="L571" s="314">
        <f t="shared" si="188"/>
        <v>51879</v>
      </c>
      <c r="M571" s="314">
        <v>0</v>
      </c>
      <c r="N571" s="314">
        <v>15564</v>
      </c>
      <c r="O571" s="314">
        <v>36315</v>
      </c>
      <c r="P571" s="314">
        <v>0</v>
      </c>
      <c r="Q571" s="391">
        <f t="shared" si="189"/>
        <v>73.327208480565375</v>
      </c>
      <c r="R571" s="315">
        <v>7822</v>
      </c>
      <c r="S571" s="316">
        <v>43100</v>
      </c>
    </row>
    <row r="572" spans="1:19" s="1" customFormat="1" ht="39.6" customHeight="1">
      <c r="A572" s="387">
        <f t="shared" si="186"/>
        <v>34</v>
      </c>
      <c r="B572" s="915" t="s">
        <v>914</v>
      </c>
      <c r="C572" s="387">
        <v>1980</v>
      </c>
      <c r="D572" s="387"/>
      <c r="E572" s="311" t="s">
        <v>218</v>
      </c>
      <c r="F572" s="387">
        <v>2</v>
      </c>
      <c r="G572" s="387">
        <v>3</v>
      </c>
      <c r="H572" s="391">
        <v>1055</v>
      </c>
      <c r="I572" s="391">
        <v>957.4</v>
      </c>
      <c r="J572" s="391">
        <v>957.4</v>
      </c>
      <c r="K572" s="387">
        <v>42</v>
      </c>
      <c r="L572" s="314">
        <f t="shared" si="188"/>
        <v>77819</v>
      </c>
      <c r="M572" s="314">
        <v>0</v>
      </c>
      <c r="N572" s="314">
        <v>23346</v>
      </c>
      <c r="O572" s="314">
        <v>54473</v>
      </c>
      <c r="P572" s="314">
        <v>0</v>
      </c>
      <c r="Q572" s="391">
        <f t="shared" si="189"/>
        <v>81.281595989137244</v>
      </c>
      <c r="R572" s="315">
        <v>7822</v>
      </c>
      <c r="S572" s="316">
        <v>43100</v>
      </c>
    </row>
    <row r="573" spans="1:19" s="1" customFormat="1" ht="31.5">
      <c r="A573" s="387">
        <f t="shared" si="186"/>
        <v>35</v>
      </c>
      <c r="B573" s="915" t="s">
        <v>915</v>
      </c>
      <c r="C573" s="387">
        <v>1973</v>
      </c>
      <c r="D573" s="387"/>
      <c r="E573" s="311" t="s">
        <v>218</v>
      </c>
      <c r="F573" s="387">
        <v>2</v>
      </c>
      <c r="G573" s="387">
        <v>2</v>
      </c>
      <c r="H573" s="391">
        <v>778.9</v>
      </c>
      <c r="I573" s="391">
        <v>721.8</v>
      </c>
      <c r="J573" s="391">
        <v>721.8</v>
      </c>
      <c r="K573" s="387">
        <v>27</v>
      </c>
      <c r="L573" s="314">
        <f t="shared" si="188"/>
        <v>51879</v>
      </c>
      <c r="M573" s="314">
        <v>0</v>
      </c>
      <c r="N573" s="314">
        <v>15564</v>
      </c>
      <c r="O573" s="314">
        <v>36315</v>
      </c>
      <c r="P573" s="314">
        <v>0</v>
      </c>
      <c r="Q573" s="391">
        <f t="shared" si="189"/>
        <v>71.874480465502913</v>
      </c>
      <c r="R573" s="315">
        <v>7822</v>
      </c>
      <c r="S573" s="316">
        <v>43100</v>
      </c>
    </row>
    <row r="574" spans="1:19" s="1" customFormat="1" ht="31.5">
      <c r="A574" s="387">
        <f t="shared" si="186"/>
        <v>36</v>
      </c>
      <c r="B574" s="915" t="s">
        <v>916</v>
      </c>
      <c r="C574" s="387">
        <v>1975</v>
      </c>
      <c r="D574" s="387"/>
      <c r="E574" s="311" t="s">
        <v>218</v>
      </c>
      <c r="F574" s="387">
        <v>2</v>
      </c>
      <c r="G574" s="387">
        <v>2</v>
      </c>
      <c r="H574" s="391">
        <v>772.3</v>
      </c>
      <c r="I574" s="391">
        <v>713.3</v>
      </c>
      <c r="J574" s="391">
        <v>713.3</v>
      </c>
      <c r="K574" s="387">
        <v>28</v>
      </c>
      <c r="L574" s="314">
        <f t="shared" si="188"/>
        <v>51783</v>
      </c>
      <c r="M574" s="314">
        <v>0</v>
      </c>
      <c r="N574" s="314">
        <v>15535</v>
      </c>
      <c r="O574" s="314">
        <v>36248</v>
      </c>
      <c r="P574" s="314">
        <v>0</v>
      </c>
      <c r="Q574" s="391">
        <f t="shared" si="189"/>
        <v>72.596383008551811</v>
      </c>
      <c r="R574" s="315">
        <v>7822</v>
      </c>
      <c r="S574" s="316">
        <v>43100</v>
      </c>
    </row>
    <row r="575" spans="1:19" s="1" customFormat="1" ht="31.5">
      <c r="A575" s="387">
        <f t="shared" si="186"/>
        <v>37</v>
      </c>
      <c r="B575" s="915" t="s">
        <v>917</v>
      </c>
      <c r="C575" s="387">
        <v>1978</v>
      </c>
      <c r="D575" s="387"/>
      <c r="E575" s="311" t="s">
        <v>218</v>
      </c>
      <c r="F575" s="387">
        <v>2</v>
      </c>
      <c r="G575" s="387">
        <v>2</v>
      </c>
      <c r="H575" s="391">
        <v>795.8</v>
      </c>
      <c r="I575" s="391">
        <v>734</v>
      </c>
      <c r="J575" s="391">
        <v>734</v>
      </c>
      <c r="K575" s="387">
        <v>21</v>
      </c>
      <c r="L575" s="314">
        <f t="shared" si="188"/>
        <v>51011</v>
      </c>
      <c r="M575" s="314">
        <v>0</v>
      </c>
      <c r="N575" s="314">
        <v>15303</v>
      </c>
      <c r="O575" s="314">
        <v>35708</v>
      </c>
      <c r="P575" s="314">
        <v>0</v>
      </c>
      <c r="Q575" s="391">
        <f t="shared" si="189"/>
        <v>69.497275204359667</v>
      </c>
      <c r="R575" s="315">
        <v>7822</v>
      </c>
      <c r="S575" s="316">
        <v>43100</v>
      </c>
    </row>
    <row r="576" spans="1:19" s="1" customFormat="1" ht="31.5">
      <c r="A576" s="387">
        <f t="shared" si="186"/>
        <v>38</v>
      </c>
      <c r="B576" s="915" t="s">
        <v>918</v>
      </c>
      <c r="C576" s="387">
        <v>1978</v>
      </c>
      <c r="D576" s="387"/>
      <c r="E576" s="311" t="s">
        <v>218</v>
      </c>
      <c r="F576" s="387">
        <v>2</v>
      </c>
      <c r="G576" s="387">
        <v>3</v>
      </c>
      <c r="H576" s="391">
        <v>1025.0999999999999</v>
      </c>
      <c r="I576" s="391">
        <v>945.7</v>
      </c>
      <c r="J576" s="391">
        <v>945.7</v>
      </c>
      <c r="K576" s="387">
        <v>36</v>
      </c>
      <c r="L576" s="314">
        <f t="shared" si="188"/>
        <v>78398</v>
      </c>
      <c r="M576" s="314">
        <v>0</v>
      </c>
      <c r="N576" s="314">
        <v>23519</v>
      </c>
      <c r="O576" s="314">
        <v>54879</v>
      </c>
      <c r="P576" s="314">
        <v>0</v>
      </c>
      <c r="Q576" s="391">
        <f t="shared" si="189"/>
        <v>82.899439568573541</v>
      </c>
      <c r="R576" s="315">
        <v>7822</v>
      </c>
      <c r="S576" s="316">
        <v>43100</v>
      </c>
    </row>
    <row r="577" spans="1:48" s="1" customFormat="1" ht="31.5">
      <c r="A577" s="387">
        <f t="shared" si="186"/>
        <v>39</v>
      </c>
      <c r="B577" s="915" t="s">
        <v>919</v>
      </c>
      <c r="C577" s="387">
        <v>1979</v>
      </c>
      <c r="D577" s="387"/>
      <c r="E577" s="311" t="s">
        <v>218</v>
      </c>
      <c r="F577" s="387">
        <v>2</v>
      </c>
      <c r="G577" s="387">
        <v>3</v>
      </c>
      <c r="H577" s="391">
        <v>1023.9</v>
      </c>
      <c r="I577" s="391">
        <v>938.7</v>
      </c>
      <c r="J577" s="391">
        <v>938.7</v>
      </c>
      <c r="K577" s="387">
        <v>30</v>
      </c>
      <c r="L577" s="314">
        <f t="shared" si="188"/>
        <v>78012</v>
      </c>
      <c r="M577" s="314">
        <v>0</v>
      </c>
      <c r="N577" s="314">
        <v>23404</v>
      </c>
      <c r="O577" s="314">
        <v>54608</v>
      </c>
      <c r="P577" s="314">
        <v>0</v>
      </c>
      <c r="Q577" s="391">
        <f t="shared" si="189"/>
        <v>83.106423777564714</v>
      </c>
      <c r="R577" s="315">
        <v>7822</v>
      </c>
      <c r="S577" s="316">
        <v>43100</v>
      </c>
    </row>
    <row r="578" spans="1:48" s="1" customFormat="1" ht="31.5">
      <c r="A578" s="387">
        <f t="shared" si="186"/>
        <v>40</v>
      </c>
      <c r="B578" s="915" t="s">
        <v>920</v>
      </c>
      <c r="C578" s="387">
        <v>1975</v>
      </c>
      <c r="D578" s="387"/>
      <c r="E578" s="311" t="s">
        <v>218</v>
      </c>
      <c r="F578" s="387" t="s">
        <v>70</v>
      </c>
      <c r="G578" s="387" t="s">
        <v>70</v>
      </c>
      <c r="H578" s="391">
        <v>774.5</v>
      </c>
      <c r="I578" s="391">
        <v>716.2</v>
      </c>
      <c r="J578" s="391">
        <v>716.2</v>
      </c>
      <c r="K578" s="387">
        <v>23</v>
      </c>
      <c r="L578" s="314">
        <f t="shared" si="188"/>
        <v>52265</v>
      </c>
      <c r="M578" s="314">
        <v>0</v>
      </c>
      <c r="N578" s="314">
        <v>15679</v>
      </c>
      <c r="O578" s="314">
        <v>36586</v>
      </c>
      <c r="P578" s="314">
        <v>0</v>
      </c>
      <c r="Q578" s="391">
        <f t="shared" si="189"/>
        <v>72.975425858698685</v>
      </c>
      <c r="R578" s="315">
        <v>7822</v>
      </c>
      <c r="S578" s="316">
        <v>43100</v>
      </c>
    </row>
    <row r="579" spans="1:48" s="1" customFormat="1" ht="31.5">
      <c r="A579" s="387">
        <f t="shared" si="186"/>
        <v>41</v>
      </c>
      <c r="B579" s="915" t="s">
        <v>921</v>
      </c>
      <c r="C579" s="387">
        <v>1976</v>
      </c>
      <c r="D579" s="387"/>
      <c r="E579" s="311" t="s">
        <v>218</v>
      </c>
      <c r="F579" s="387">
        <v>2</v>
      </c>
      <c r="G579" s="387">
        <v>2</v>
      </c>
      <c r="H579" s="391">
        <v>768</v>
      </c>
      <c r="I579" s="391">
        <v>710.9</v>
      </c>
      <c r="J579" s="391">
        <v>710.9</v>
      </c>
      <c r="K579" s="387">
        <v>34</v>
      </c>
      <c r="L579" s="314">
        <f t="shared" si="188"/>
        <v>242964</v>
      </c>
      <c r="M579" s="314">
        <v>0</v>
      </c>
      <c r="N579" s="314">
        <v>72889</v>
      </c>
      <c r="O579" s="314">
        <v>170075</v>
      </c>
      <c r="P579" s="314">
        <v>0</v>
      </c>
      <c r="Q579" s="391">
        <f t="shared" si="189"/>
        <v>341.76958784639191</v>
      </c>
      <c r="R579" s="315">
        <v>7822</v>
      </c>
      <c r="S579" s="316">
        <v>43100</v>
      </c>
    </row>
    <row r="580" spans="1:48" s="1" customFormat="1" ht="31.5">
      <c r="A580" s="387">
        <f t="shared" si="186"/>
        <v>42</v>
      </c>
      <c r="B580" s="915" t="s">
        <v>922</v>
      </c>
      <c r="C580" s="387">
        <v>1976</v>
      </c>
      <c r="D580" s="387"/>
      <c r="E580" s="311" t="s">
        <v>218</v>
      </c>
      <c r="F580" s="387">
        <v>2</v>
      </c>
      <c r="G580" s="387">
        <v>2</v>
      </c>
      <c r="H580" s="391">
        <v>540.5</v>
      </c>
      <c r="I580" s="391">
        <v>497.4</v>
      </c>
      <c r="J580" s="391">
        <v>497.4</v>
      </c>
      <c r="K580" s="387">
        <v>15</v>
      </c>
      <c r="L580" s="314">
        <f t="shared" si="188"/>
        <v>87102</v>
      </c>
      <c r="M580" s="314">
        <v>0</v>
      </c>
      <c r="N580" s="314">
        <v>26130</v>
      </c>
      <c r="O580" s="314">
        <v>60972</v>
      </c>
      <c r="P580" s="314">
        <v>0</v>
      </c>
      <c r="Q580" s="391">
        <f t="shared" si="189"/>
        <v>175.11459589867312</v>
      </c>
      <c r="R580" s="315">
        <v>7822</v>
      </c>
      <c r="S580" s="316">
        <v>43100</v>
      </c>
    </row>
    <row r="581" spans="1:48" s="1" customFormat="1" ht="15.75">
      <c r="A581" s="1343" t="s">
        <v>474</v>
      </c>
      <c r="B581" s="1344"/>
      <c r="C581" s="1344"/>
      <c r="D581" s="1344"/>
      <c r="E581" s="1344"/>
      <c r="F581" s="1344"/>
      <c r="G581" s="1344"/>
      <c r="H581" s="1344"/>
      <c r="I581" s="1344"/>
      <c r="J581" s="1344"/>
      <c r="K581" s="1344"/>
      <c r="L581" s="1344"/>
      <c r="M581" s="1344"/>
      <c r="N581" s="1344"/>
      <c r="O581" s="1344"/>
      <c r="P581" s="1344"/>
      <c r="Q581" s="1344"/>
      <c r="R581" s="1344"/>
      <c r="S581" s="1345"/>
    </row>
    <row r="582" spans="1:48">
      <c r="A582" s="1306" t="s">
        <v>34</v>
      </c>
      <c r="B582" s="1306"/>
      <c r="C582" s="1306"/>
      <c r="D582" s="1306"/>
      <c r="E582" s="1306"/>
      <c r="F582" s="1306"/>
      <c r="G582" s="1306"/>
      <c r="H582" s="1306"/>
      <c r="I582" s="1306"/>
      <c r="J582" s="1306"/>
      <c r="K582" s="1306"/>
      <c r="L582" s="1306"/>
      <c r="M582" s="1306"/>
      <c r="N582" s="1306"/>
      <c r="O582" s="1306"/>
      <c r="P582" s="1306"/>
      <c r="Q582" s="1306"/>
      <c r="R582" s="1306"/>
      <c r="S582" s="1306"/>
    </row>
    <row r="583" spans="1:48" ht="18.75" customHeight="1">
      <c r="A583" s="302"/>
      <c r="B583" s="1328" t="s">
        <v>205</v>
      </c>
      <c r="C583" s="1328"/>
      <c r="D583" s="1328"/>
      <c r="E583" s="1328"/>
      <c r="F583" s="1328"/>
      <c r="G583" s="1328"/>
      <c r="H583" s="104">
        <f t="shared" ref="H583:O583" si="190">H584+H753+H767+H770+H796+H809+H825+H834+H841+H844+H863+H867+H882+H886+H889+H896+H908+H916+H929+H937+H968+H973+H978+H992+H996+H1013+H1007+H1016+H1025+H1028+H1032+H1038+H1043+H1048+H1060</f>
        <v>289715.61</v>
      </c>
      <c r="I583" s="104">
        <f t="shared" si="190"/>
        <v>242939.8</v>
      </c>
      <c r="J583" s="104">
        <f t="shared" si="190"/>
        <v>215863.93000000002</v>
      </c>
      <c r="K583" s="105">
        <f t="shared" si="190"/>
        <v>10295</v>
      </c>
      <c r="L583" s="113">
        <f t="shared" si="190"/>
        <v>608660559.45000005</v>
      </c>
      <c r="M583" s="113">
        <f t="shared" si="190"/>
        <v>0</v>
      </c>
      <c r="N583" s="113">
        <f t="shared" si="190"/>
        <v>2372919.13</v>
      </c>
      <c r="O583" s="113">
        <f t="shared" si="190"/>
        <v>606287640.31999993</v>
      </c>
      <c r="P583" s="113">
        <f>P584+P753+P767+P770+P796+P809+P825+P834+P841+P844+P863+P867+P882+P886+P889+P896+P908+P916+P929+P937+P968+P973+P978+P992+P996+P1013+P1007+P1016+P1025+P1028+P1032+P1043+P1048+P1060</f>
        <v>0</v>
      </c>
      <c r="Q583" s="106" t="s">
        <v>40</v>
      </c>
      <c r="R583" s="106" t="s">
        <v>40</v>
      </c>
      <c r="S583" s="106" t="s">
        <v>40</v>
      </c>
    </row>
    <row r="584" spans="1:48" s="1" customFormat="1" ht="15.75" customHeight="1">
      <c r="A584" s="302"/>
      <c r="B584" s="1328" t="s">
        <v>89</v>
      </c>
      <c r="C584" s="1328"/>
      <c r="D584" s="1328"/>
      <c r="E584" s="1328"/>
      <c r="F584" s="1328"/>
      <c r="G584" s="1328"/>
      <c r="H584" s="104">
        <f>SUM(H585:H752)</f>
        <v>0</v>
      </c>
      <c r="I584" s="104">
        <f t="shared" ref="I584" si="191">SUM(I585:I752)</f>
        <v>0</v>
      </c>
      <c r="J584" s="104">
        <f>SUM(J585:J752)</f>
        <v>0</v>
      </c>
      <c r="K584" s="105">
        <f>SUM(K585:K752)</f>
        <v>0</v>
      </c>
      <c r="L584" s="113">
        <v>336230870.63</v>
      </c>
      <c r="M584" s="113">
        <f t="shared" ref="M584:N584" si="192">SUM(M585:M752)</f>
        <v>0</v>
      </c>
      <c r="N584" s="113">
        <f t="shared" si="192"/>
        <v>0</v>
      </c>
      <c r="O584" s="113">
        <f>SUM(O585:O752)</f>
        <v>336230870.63</v>
      </c>
      <c r="P584" s="113">
        <f t="shared" ref="P584" si="193">SUM(P585:P752)</f>
        <v>0</v>
      </c>
      <c r="Q584" s="106" t="s">
        <v>40</v>
      </c>
      <c r="R584" s="106" t="s">
        <v>40</v>
      </c>
      <c r="S584" s="106" t="s">
        <v>40</v>
      </c>
    </row>
    <row r="585" spans="1:48" s="3" customFormat="1" ht="15.75">
      <c r="A585" s="107">
        <v>1</v>
      </c>
      <c r="B585" s="301" t="s">
        <v>324</v>
      </c>
      <c r="C585" s="108">
        <v>1975</v>
      </c>
      <c r="D585" s="108"/>
      <c r="E585" s="109" t="s">
        <v>219</v>
      </c>
      <c r="F585" s="110">
        <v>5</v>
      </c>
      <c r="G585" s="110">
        <v>10</v>
      </c>
      <c r="H585" s="111"/>
      <c r="I585" s="111"/>
      <c r="J585" s="111"/>
      <c r="K585" s="112"/>
      <c r="L585" s="113">
        <v>5982216</v>
      </c>
      <c r="M585" s="113">
        <v>0</v>
      </c>
      <c r="N585" s="113">
        <v>0</v>
      </c>
      <c r="O585" s="113">
        <f t="shared" ref="O585:O648" si="194">L585</f>
        <v>5982216</v>
      </c>
      <c r="P585" s="113">
        <v>0</v>
      </c>
      <c r="Q585" s="114" t="e">
        <f t="shared" ref="Q585:Q648" si="195">L585/I585</f>
        <v>#DIV/0!</v>
      </c>
      <c r="R585" s="115"/>
      <c r="S585" s="326">
        <v>43465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1:48" customFormat="1" ht="15.75">
      <c r="A586" s="107">
        <f>A585+1</f>
        <v>2</v>
      </c>
      <c r="B586" s="301" t="s">
        <v>325</v>
      </c>
      <c r="C586" s="108">
        <v>1978</v>
      </c>
      <c r="D586" s="108"/>
      <c r="E586" s="109" t="s">
        <v>219</v>
      </c>
      <c r="F586" s="110">
        <v>9</v>
      </c>
      <c r="G586" s="110">
        <v>5</v>
      </c>
      <c r="H586" s="111"/>
      <c r="I586" s="111"/>
      <c r="J586" s="111"/>
      <c r="K586" s="112"/>
      <c r="L586" s="113">
        <v>9379653</v>
      </c>
      <c r="M586" s="113">
        <v>0</v>
      </c>
      <c r="N586" s="113">
        <v>0</v>
      </c>
      <c r="O586" s="113">
        <f t="shared" si="194"/>
        <v>9379653</v>
      </c>
      <c r="P586" s="113">
        <v>0</v>
      </c>
      <c r="Q586" s="114" t="e">
        <f t="shared" si="195"/>
        <v>#DIV/0!</v>
      </c>
      <c r="R586" s="115"/>
      <c r="S586" s="326">
        <v>43465</v>
      </c>
    </row>
    <row r="587" spans="1:48" customFormat="1" ht="15.75">
      <c r="A587" s="107">
        <f t="shared" ref="A587:A650" si="196">A586+1</f>
        <v>3</v>
      </c>
      <c r="B587" s="305" t="s">
        <v>321</v>
      </c>
      <c r="C587" s="108">
        <v>1982</v>
      </c>
      <c r="D587" s="108"/>
      <c r="E587" s="109" t="s">
        <v>219</v>
      </c>
      <c r="F587" s="110">
        <v>9</v>
      </c>
      <c r="G587" s="110">
        <v>2</v>
      </c>
      <c r="H587" s="111"/>
      <c r="I587" s="111"/>
      <c r="J587" s="111"/>
      <c r="K587" s="112"/>
      <c r="L587" s="113">
        <v>3763756</v>
      </c>
      <c r="M587" s="113">
        <v>0</v>
      </c>
      <c r="N587" s="113">
        <v>0</v>
      </c>
      <c r="O587" s="113">
        <f t="shared" si="194"/>
        <v>3763756</v>
      </c>
      <c r="P587" s="113">
        <v>0</v>
      </c>
      <c r="Q587" s="114" t="e">
        <f t="shared" si="195"/>
        <v>#DIV/0!</v>
      </c>
      <c r="R587" s="115"/>
      <c r="S587" s="326">
        <v>43465</v>
      </c>
    </row>
    <row r="588" spans="1:48" customFormat="1" ht="15.75">
      <c r="A588" s="107">
        <f t="shared" si="196"/>
        <v>4</v>
      </c>
      <c r="B588" s="305" t="s">
        <v>346</v>
      </c>
      <c r="C588" s="108">
        <v>1982</v>
      </c>
      <c r="D588" s="108"/>
      <c r="E588" s="109" t="s">
        <v>219</v>
      </c>
      <c r="F588" s="110">
        <v>9</v>
      </c>
      <c r="G588" s="110">
        <v>1</v>
      </c>
      <c r="H588" s="111"/>
      <c r="I588" s="111"/>
      <c r="J588" s="111"/>
      <c r="K588" s="112"/>
      <c r="L588" s="113">
        <v>1095812</v>
      </c>
      <c r="M588" s="113">
        <v>0</v>
      </c>
      <c r="N588" s="113">
        <v>0</v>
      </c>
      <c r="O588" s="113">
        <f t="shared" si="194"/>
        <v>1095812</v>
      </c>
      <c r="P588" s="113">
        <v>0</v>
      </c>
      <c r="Q588" s="114" t="e">
        <f t="shared" si="195"/>
        <v>#DIV/0!</v>
      </c>
      <c r="R588" s="115"/>
      <c r="S588" s="326">
        <v>43465</v>
      </c>
    </row>
    <row r="589" spans="1:48" customFormat="1" ht="15.75">
      <c r="A589" s="107">
        <f t="shared" si="196"/>
        <v>5</v>
      </c>
      <c r="B589" s="305" t="s">
        <v>322</v>
      </c>
      <c r="C589" s="108">
        <v>1976</v>
      </c>
      <c r="D589" s="108"/>
      <c r="E589" s="109" t="s">
        <v>219</v>
      </c>
      <c r="F589" s="110">
        <v>9</v>
      </c>
      <c r="G589" s="110">
        <v>3</v>
      </c>
      <c r="H589" s="111"/>
      <c r="I589" s="111"/>
      <c r="J589" s="111"/>
      <c r="K589" s="112"/>
      <c r="L589" s="113">
        <v>5619141</v>
      </c>
      <c r="M589" s="113">
        <v>0</v>
      </c>
      <c r="N589" s="113">
        <v>0</v>
      </c>
      <c r="O589" s="113">
        <f t="shared" si="194"/>
        <v>5619141</v>
      </c>
      <c r="P589" s="113">
        <v>0</v>
      </c>
      <c r="Q589" s="114" t="e">
        <f t="shared" si="195"/>
        <v>#DIV/0!</v>
      </c>
      <c r="R589" s="115"/>
      <c r="S589" s="326">
        <v>43465</v>
      </c>
    </row>
    <row r="590" spans="1:48" customFormat="1" ht="15.75">
      <c r="A590" s="107">
        <f t="shared" si="196"/>
        <v>6</v>
      </c>
      <c r="B590" s="305" t="s">
        <v>320</v>
      </c>
      <c r="C590" s="107">
        <v>1982</v>
      </c>
      <c r="D590" s="108"/>
      <c r="E590" s="109" t="s">
        <v>219</v>
      </c>
      <c r="F590" s="108">
        <v>9</v>
      </c>
      <c r="G590" s="108">
        <v>2</v>
      </c>
      <c r="H590" s="117"/>
      <c r="I590" s="117"/>
      <c r="J590" s="117"/>
      <c r="K590" s="101"/>
      <c r="L590" s="113">
        <v>3748388</v>
      </c>
      <c r="M590" s="113">
        <v>0</v>
      </c>
      <c r="N590" s="113">
        <v>0</v>
      </c>
      <c r="O590" s="113">
        <f t="shared" si="194"/>
        <v>3748388</v>
      </c>
      <c r="P590" s="113">
        <v>0</v>
      </c>
      <c r="Q590" s="114" t="e">
        <f t="shared" si="195"/>
        <v>#DIV/0!</v>
      </c>
      <c r="R590" s="115"/>
      <c r="S590" s="326">
        <v>43465</v>
      </c>
    </row>
    <row r="591" spans="1:48" customFormat="1" ht="15.75">
      <c r="A591" s="107">
        <f t="shared" si="196"/>
        <v>7</v>
      </c>
      <c r="B591" s="301" t="s">
        <v>327</v>
      </c>
      <c r="C591" s="108">
        <v>1981</v>
      </c>
      <c r="D591" s="108"/>
      <c r="E591" s="109" t="s">
        <v>219</v>
      </c>
      <c r="F591" s="110">
        <v>9</v>
      </c>
      <c r="G591" s="110">
        <v>8</v>
      </c>
      <c r="H591" s="111"/>
      <c r="I591" s="111"/>
      <c r="J591" s="111"/>
      <c r="K591" s="112"/>
      <c r="L591" s="113">
        <v>15157748</v>
      </c>
      <c r="M591" s="113">
        <v>0</v>
      </c>
      <c r="N591" s="113">
        <v>0</v>
      </c>
      <c r="O591" s="113">
        <f t="shared" si="194"/>
        <v>15157748</v>
      </c>
      <c r="P591" s="113">
        <v>0</v>
      </c>
      <c r="Q591" s="114" t="e">
        <f t="shared" si="195"/>
        <v>#DIV/0!</v>
      </c>
      <c r="R591" s="115"/>
      <c r="S591" s="326">
        <v>43465</v>
      </c>
    </row>
    <row r="592" spans="1:48" customFormat="1" ht="31.5">
      <c r="A592" s="107">
        <f t="shared" si="196"/>
        <v>8</v>
      </c>
      <c r="B592" s="301" t="s">
        <v>323</v>
      </c>
      <c r="C592" s="108">
        <v>1954</v>
      </c>
      <c r="D592" s="108"/>
      <c r="E592" s="109" t="s">
        <v>218</v>
      </c>
      <c r="F592" s="110">
        <v>2</v>
      </c>
      <c r="G592" s="110">
        <v>2</v>
      </c>
      <c r="H592" s="111"/>
      <c r="I592" s="111"/>
      <c r="J592" s="111"/>
      <c r="K592" s="112"/>
      <c r="L592" s="113">
        <v>1030213</v>
      </c>
      <c r="M592" s="113">
        <v>0</v>
      </c>
      <c r="N592" s="113">
        <v>0</v>
      </c>
      <c r="O592" s="113">
        <f t="shared" si="194"/>
        <v>1030213</v>
      </c>
      <c r="P592" s="113">
        <v>0</v>
      </c>
      <c r="Q592" s="114" t="e">
        <f t="shared" si="195"/>
        <v>#DIV/0!</v>
      </c>
      <c r="R592" s="115"/>
      <c r="S592" s="326">
        <v>43465</v>
      </c>
    </row>
    <row r="593" spans="1:30" customFormat="1" ht="31.5">
      <c r="A593" s="107">
        <f t="shared" si="196"/>
        <v>9</v>
      </c>
      <c r="B593" s="305" t="s">
        <v>319</v>
      </c>
      <c r="C593" s="118">
        <v>1860</v>
      </c>
      <c r="D593" s="118"/>
      <c r="E593" s="109" t="s">
        <v>218</v>
      </c>
      <c r="F593" s="118">
        <v>3</v>
      </c>
      <c r="G593" s="118">
        <v>1</v>
      </c>
      <c r="H593" s="118"/>
      <c r="I593" s="118"/>
      <c r="J593" s="118"/>
      <c r="K593" s="119"/>
      <c r="L593" s="113">
        <v>530465</v>
      </c>
      <c r="M593" s="113">
        <v>0</v>
      </c>
      <c r="N593" s="113">
        <v>0</v>
      </c>
      <c r="O593" s="113">
        <f t="shared" si="194"/>
        <v>530465</v>
      </c>
      <c r="P593" s="113">
        <v>0</v>
      </c>
      <c r="Q593" s="114" t="e">
        <f t="shared" si="195"/>
        <v>#DIV/0!</v>
      </c>
      <c r="R593" s="115"/>
      <c r="S593" s="326">
        <v>43465</v>
      </c>
    </row>
    <row r="594" spans="1:30" customFormat="1" ht="31.5">
      <c r="A594" s="107">
        <f t="shared" si="196"/>
        <v>10</v>
      </c>
      <c r="B594" s="305" t="s">
        <v>326</v>
      </c>
      <c r="C594" s="108">
        <v>1958</v>
      </c>
      <c r="D594" s="108"/>
      <c r="E594" s="109" t="s">
        <v>218</v>
      </c>
      <c r="F594" s="110">
        <v>2</v>
      </c>
      <c r="G594" s="110">
        <v>2</v>
      </c>
      <c r="H594" s="111"/>
      <c r="I594" s="111"/>
      <c r="J594" s="111"/>
      <c r="K594" s="112"/>
      <c r="L594" s="113">
        <v>1983854</v>
      </c>
      <c r="M594" s="113">
        <v>0</v>
      </c>
      <c r="N594" s="113">
        <v>0</v>
      </c>
      <c r="O594" s="113">
        <f t="shared" si="194"/>
        <v>1983854</v>
      </c>
      <c r="P594" s="113">
        <v>0</v>
      </c>
      <c r="Q594" s="114" t="e">
        <f t="shared" si="195"/>
        <v>#DIV/0!</v>
      </c>
      <c r="R594" s="115"/>
      <c r="S594" s="326">
        <v>43465</v>
      </c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customFormat="1" ht="31.5">
      <c r="A595" s="107">
        <f t="shared" si="196"/>
        <v>11</v>
      </c>
      <c r="B595" s="305" t="s">
        <v>388</v>
      </c>
      <c r="C595" s="108">
        <v>1961</v>
      </c>
      <c r="D595" s="108"/>
      <c r="E595" s="109" t="s">
        <v>218</v>
      </c>
      <c r="F595" s="110">
        <v>5</v>
      </c>
      <c r="G595" s="110">
        <v>2</v>
      </c>
      <c r="H595" s="111"/>
      <c r="I595" s="111"/>
      <c r="J595" s="111"/>
      <c r="K595" s="112"/>
      <c r="L595" s="113">
        <v>1206304</v>
      </c>
      <c r="M595" s="113">
        <v>0</v>
      </c>
      <c r="N595" s="113">
        <v>0</v>
      </c>
      <c r="O595" s="113">
        <f t="shared" si="194"/>
        <v>1206304</v>
      </c>
      <c r="P595" s="113">
        <v>0</v>
      </c>
      <c r="Q595" s="114" t="e">
        <f t="shared" si="195"/>
        <v>#DIV/0!</v>
      </c>
      <c r="R595" s="115"/>
      <c r="S595" s="326">
        <v>43465</v>
      </c>
    </row>
    <row r="596" spans="1:30" customFormat="1" ht="31.5">
      <c r="A596" s="107">
        <f t="shared" si="196"/>
        <v>12</v>
      </c>
      <c r="B596" s="301" t="s">
        <v>419</v>
      </c>
      <c r="C596" s="108">
        <v>1961</v>
      </c>
      <c r="D596" s="116"/>
      <c r="E596" s="109" t="s">
        <v>218</v>
      </c>
      <c r="F596" s="110">
        <v>5</v>
      </c>
      <c r="G596" s="110">
        <v>3</v>
      </c>
      <c r="H596" s="111"/>
      <c r="I596" s="111"/>
      <c r="J596" s="111"/>
      <c r="K596" s="112"/>
      <c r="L596" s="113">
        <v>402530.2</v>
      </c>
      <c r="M596" s="113">
        <v>0</v>
      </c>
      <c r="N596" s="113">
        <v>0</v>
      </c>
      <c r="O596" s="113">
        <f t="shared" si="194"/>
        <v>402530.2</v>
      </c>
      <c r="P596" s="113">
        <v>0</v>
      </c>
      <c r="Q596" s="114" t="e">
        <f t="shared" si="195"/>
        <v>#DIV/0!</v>
      </c>
      <c r="R596" s="115"/>
      <c r="S596" s="326">
        <v>43465</v>
      </c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</row>
    <row r="597" spans="1:30" customFormat="1" ht="31.5">
      <c r="A597" s="107">
        <f t="shared" si="196"/>
        <v>13</v>
      </c>
      <c r="B597" s="301" t="s">
        <v>387</v>
      </c>
      <c r="C597" s="118">
        <v>1967</v>
      </c>
      <c r="D597" s="118"/>
      <c r="E597" s="109" t="s">
        <v>218</v>
      </c>
      <c r="F597" s="118">
        <v>5</v>
      </c>
      <c r="G597" s="118">
        <v>8</v>
      </c>
      <c r="H597" s="111"/>
      <c r="I597" s="111"/>
      <c r="J597" s="111"/>
      <c r="K597" s="112"/>
      <c r="L597" s="113">
        <v>2861497</v>
      </c>
      <c r="M597" s="113">
        <v>0</v>
      </c>
      <c r="N597" s="113">
        <v>0</v>
      </c>
      <c r="O597" s="113">
        <f t="shared" si="194"/>
        <v>2861497</v>
      </c>
      <c r="P597" s="113">
        <v>0</v>
      </c>
      <c r="Q597" s="114" t="e">
        <f t="shared" si="195"/>
        <v>#DIV/0!</v>
      </c>
      <c r="R597" s="115"/>
      <c r="S597" s="326">
        <v>43465</v>
      </c>
    </row>
    <row r="598" spans="1:30" customFormat="1" ht="15.75">
      <c r="A598" s="107">
        <f t="shared" si="196"/>
        <v>14</v>
      </c>
      <c r="B598" s="305" t="s">
        <v>334</v>
      </c>
      <c r="C598" s="108">
        <v>1974</v>
      </c>
      <c r="D598" s="108"/>
      <c r="E598" s="109" t="s">
        <v>219</v>
      </c>
      <c r="F598" s="110">
        <v>5</v>
      </c>
      <c r="G598" s="110">
        <v>4</v>
      </c>
      <c r="H598" s="111"/>
      <c r="I598" s="111"/>
      <c r="J598" s="111"/>
      <c r="K598" s="112"/>
      <c r="L598" s="113">
        <v>1535065.47</v>
      </c>
      <c r="M598" s="113">
        <v>0</v>
      </c>
      <c r="N598" s="113">
        <v>0</v>
      </c>
      <c r="O598" s="113">
        <f t="shared" si="194"/>
        <v>1535065.47</v>
      </c>
      <c r="P598" s="113">
        <v>0</v>
      </c>
      <c r="Q598" s="114" t="e">
        <f t="shared" si="195"/>
        <v>#DIV/0!</v>
      </c>
      <c r="R598" s="115"/>
      <c r="S598" s="326">
        <v>43465</v>
      </c>
    </row>
    <row r="599" spans="1:30" customFormat="1" ht="15.75">
      <c r="A599" s="107">
        <f t="shared" si="196"/>
        <v>15</v>
      </c>
      <c r="B599" s="305" t="s">
        <v>330</v>
      </c>
      <c r="C599" s="118">
        <v>1966</v>
      </c>
      <c r="D599" s="118"/>
      <c r="E599" s="109" t="s">
        <v>219</v>
      </c>
      <c r="F599" s="118">
        <v>5</v>
      </c>
      <c r="G599" s="118">
        <v>4</v>
      </c>
      <c r="H599" s="111"/>
      <c r="I599" s="111"/>
      <c r="J599" s="111"/>
      <c r="K599" s="112"/>
      <c r="L599" s="113">
        <v>930534</v>
      </c>
      <c r="M599" s="113">
        <v>0</v>
      </c>
      <c r="N599" s="113">
        <v>0</v>
      </c>
      <c r="O599" s="113">
        <f t="shared" si="194"/>
        <v>930534</v>
      </c>
      <c r="P599" s="113">
        <v>0</v>
      </c>
      <c r="Q599" s="114" t="e">
        <f t="shared" si="195"/>
        <v>#DIV/0!</v>
      </c>
      <c r="R599" s="115"/>
      <c r="S599" s="326">
        <v>43465</v>
      </c>
    </row>
    <row r="600" spans="1:30" customFormat="1" ht="15.75">
      <c r="A600" s="107">
        <f t="shared" si="196"/>
        <v>16</v>
      </c>
      <c r="B600" s="305" t="s">
        <v>328</v>
      </c>
      <c r="C600" s="118">
        <v>1970</v>
      </c>
      <c r="D600" s="118"/>
      <c r="E600" s="109" t="s">
        <v>219</v>
      </c>
      <c r="F600" s="118">
        <v>5</v>
      </c>
      <c r="G600" s="118">
        <v>4</v>
      </c>
      <c r="H600" s="111"/>
      <c r="I600" s="111"/>
      <c r="J600" s="111"/>
      <c r="K600" s="112"/>
      <c r="L600" s="113">
        <v>662518</v>
      </c>
      <c r="M600" s="113">
        <v>0</v>
      </c>
      <c r="N600" s="113">
        <v>0</v>
      </c>
      <c r="O600" s="113">
        <f t="shared" si="194"/>
        <v>662518</v>
      </c>
      <c r="P600" s="113">
        <v>0</v>
      </c>
      <c r="Q600" s="114" t="e">
        <f t="shared" si="195"/>
        <v>#DIV/0!</v>
      </c>
      <c r="R600" s="115"/>
      <c r="S600" s="326">
        <v>43465</v>
      </c>
    </row>
    <row r="601" spans="1:30" customFormat="1" ht="31.5">
      <c r="A601" s="107">
        <f t="shared" si="196"/>
        <v>17</v>
      </c>
      <c r="B601" s="305" t="s">
        <v>333</v>
      </c>
      <c r="C601" s="108">
        <v>1979</v>
      </c>
      <c r="D601" s="108"/>
      <c r="E601" s="109" t="s">
        <v>218</v>
      </c>
      <c r="F601" s="110">
        <v>5</v>
      </c>
      <c r="G601" s="110">
        <v>4</v>
      </c>
      <c r="H601" s="111"/>
      <c r="I601" s="111"/>
      <c r="J601" s="111"/>
      <c r="K601" s="112"/>
      <c r="L601" s="113">
        <v>2346663</v>
      </c>
      <c r="M601" s="113">
        <v>0</v>
      </c>
      <c r="N601" s="113">
        <v>0</v>
      </c>
      <c r="O601" s="113">
        <f t="shared" si="194"/>
        <v>2346663</v>
      </c>
      <c r="P601" s="113">
        <v>0</v>
      </c>
      <c r="Q601" s="114" t="e">
        <f t="shared" si="195"/>
        <v>#DIV/0!</v>
      </c>
      <c r="R601" s="115"/>
      <c r="S601" s="326">
        <v>43465</v>
      </c>
    </row>
    <row r="602" spans="1:30" customFormat="1" ht="15.75">
      <c r="A602" s="107">
        <f t="shared" si="196"/>
        <v>18</v>
      </c>
      <c r="B602" s="305" t="s">
        <v>331</v>
      </c>
      <c r="C602" s="118">
        <v>1972</v>
      </c>
      <c r="D602" s="118"/>
      <c r="E602" s="109" t="s">
        <v>219</v>
      </c>
      <c r="F602" s="118">
        <v>5</v>
      </c>
      <c r="G602" s="118">
        <v>4</v>
      </c>
      <c r="H602" s="111"/>
      <c r="I602" s="111"/>
      <c r="J602" s="111"/>
      <c r="K602" s="112"/>
      <c r="L602" s="113">
        <v>727019</v>
      </c>
      <c r="M602" s="113">
        <v>0</v>
      </c>
      <c r="N602" s="113">
        <v>0</v>
      </c>
      <c r="O602" s="113">
        <f t="shared" si="194"/>
        <v>727019</v>
      </c>
      <c r="P602" s="113">
        <v>0</v>
      </c>
      <c r="Q602" s="114" t="e">
        <f t="shared" si="195"/>
        <v>#DIV/0!</v>
      </c>
      <c r="R602" s="115"/>
      <c r="S602" s="326">
        <v>43465</v>
      </c>
    </row>
    <row r="603" spans="1:30" customFormat="1" ht="31.5">
      <c r="A603" s="107">
        <f t="shared" si="196"/>
        <v>19</v>
      </c>
      <c r="B603" s="305" t="s">
        <v>329</v>
      </c>
      <c r="C603" s="118">
        <v>1963</v>
      </c>
      <c r="D603" s="118"/>
      <c r="E603" s="109" t="s">
        <v>218</v>
      </c>
      <c r="F603" s="118">
        <v>4</v>
      </c>
      <c r="G603" s="118">
        <v>3</v>
      </c>
      <c r="H603" s="118"/>
      <c r="I603" s="118"/>
      <c r="J603" s="118"/>
      <c r="K603" s="119"/>
      <c r="L603" s="113">
        <v>538121</v>
      </c>
      <c r="M603" s="113">
        <v>0</v>
      </c>
      <c r="N603" s="113">
        <v>0</v>
      </c>
      <c r="O603" s="113">
        <f t="shared" si="194"/>
        <v>538121</v>
      </c>
      <c r="P603" s="113">
        <v>0</v>
      </c>
      <c r="Q603" s="114" t="e">
        <f t="shared" si="195"/>
        <v>#DIV/0!</v>
      </c>
      <c r="R603" s="115"/>
      <c r="S603" s="326">
        <v>43465</v>
      </c>
    </row>
    <row r="604" spans="1:30" customFormat="1" ht="31.5">
      <c r="A604" s="107">
        <f t="shared" si="196"/>
        <v>20</v>
      </c>
      <c r="B604" s="305" t="s">
        <v>332</v>
      </c>
      <c r="C604" s="118">
        <v>1963</v>
      </c>
      <c r="D604" s="118"/>
      <c r="E604" s="109" t="s">
        <v>218</v>
      </c>
      <c r="F604" s="118">
        <v>4</v>
      </c>
      <c r="G604" s="118">
        <v>3</v>
      </c>
      <c r="H604" s="118"/>
      <c r="I604" s="118"/>
      <c r="J604" s="118"/>
      <c r="K604" s="119"/>
      <c r="L604" s="113">
        <v>1756852</v>
      </c>
      <c r="M604" s="113">
        <v>0</v>
      </c>
      <c r="N604" s="113">
        <v>0</v>
      </c>
      <c r="O604" s="113">
        <f t="shared" si="194"/>
        <v>1756852</v>
      </c>
      <c r="P604" s="113">
        <v>0</v>
      </c>
      <c r="Q604" s="114" t="e">
        <f t="shared" si="195"/>
        <v>#DIV/0!</v>
      </c>
      <c r="R604" s="115"/>
      <c r="S604" s="326">
        <v>43465</v>
      </c>
    </row>
    <row r="605" spans="1:30" customFormat="1" ht="15.75">
      <c r="A605" s="107">
        <f t="shared" si="196"/>
        <v>21</v>
      </c>
      <c r="B605" s="305" t="s">
        <v>316</v>
      </c>
      <c r="C605" s="108">
        <v>1974</v>
      </c>
      <c r="D605" s="108"/>
      <c r="E605" s="109" t="s">
        <v>219</v>
      </c>
      <c r="F605" s="110">
        <v>5</v>
      </c>
      <c r="G605" s="110">
        <v>4</v>
      </c>
      <c r="H605" s="111"/>
      <c r="I605" s="111"/>
      <c r="J605" s="111"/>
      <c r="K605" s="112"/>
      <c r="L605" s="113">
        <v>676398.28</v>
      </c>
      <c r="M605" s="113">
        <v>0</v>
      </c>
      <c r="N605" s="113">
        <v>0</v>
      </c>
      <c r="O605" s="113">
        <f t="shared" si="194"/>
        <v>676398.28</v>
      </c>
      <c r="P605" s="113">
        <v>0</v>
      </c>
      <c r="Q605" s="114" t="e">
        <f t="shared" si="195"/>
        <v>#DIV/0!</v>
      </c>
      <c r="R605" s="115"/>
      <c r="S605" s="326">
        <v>43465</v>
      </c>
    </row>
    <row r="606" spans="1:30" customFormat="1" ht="31.5">
      <c r="A606" s="107">
        <f t="shared" si="196"/>
        <v>22</v>
      </c>
      <c r="B606" s="301" t="s">
        <v>313</v>
      </c>
      <c r="C606" s="108">
        <v>1951</v>
      </c>
      <c r="D606" s="108"/>
      <c r="E606" s="109" t="s">
        <v>218</v>
      </c>
      <c r="F606" s="110">
        <v>2</v>
      </c>
      <c r="G606" s="110">
        <v>1</v>
      </c>
      <c r="H606" s="111"/>
      <c r="I606" s="111"/>
      <c r="J606" s="111"/>
      <c r="K606" s="112"/>
      <c r="L606" s="113">
        <v>766539</v>
      </c>
      <c r="M606" s="113">
        <v>0</v>
      </c>
      <c r="N606" s="113">
        <v>0</v>
      </c>
      <c r="O606" s="113">
        <f t="shared" si="194"/>
        <v>766539</v>
      </c>
      <c r="P606" s="113">
        <v>0</v>
      </c>
      <c r="Q606" s="114" t="e">
        <f t="shared" si="195"/>
        <v>#DIV/0!</v>
      </c>
      <c r="R606" s="115"/>
      <c r="S606" s="326">
        <v>43465</v>
      </c>
    </row>
    <row r="607" spans="1:30" customFormat="1" ht="31.5">
      <c r="A607" s="107">
        <f t="shared" si="196"/>
        <v>23</v>
      </c>
      <c r="B607" s="305" t="s">
        <v>312</v>
      </c>
      <c r="C607" s="118">
        <v>1983</v>
      </c>
      <c r="D607" s="118"/>
      <c r="E607" s="109" t="s">
        <v>218</v>
      </c>
      <c r="F607" s="118">
        <v>9</v>
      </c>
      <c r="G607" s="118">
        <v>2</v>
      </c>
      <c r="H607" s="118"/>
      <c r="I607" s="118"/>
      <c r="J607" s="118"/>
      <c r="K607" s="119"/>
      <c r="L607" s="113">
        <v>1186114</v>
      </c>
      <c r="M607" s="113">
        <v>0</v>
      </c>
      <c r="N607" s="113">
        <v>0</v>
      </c>
      <c r="O607" s="113">
        <f t="shared" si="194"/>
        <v>1186114</v>
      </c>
      <c r="P607" s="113">
        <v>0</v>
      </c>
      <c r="Q607" s="114" t="e">
        <f t="shared" si="195"/>
        <v>#DIV/0!</v>
      </c>
      <c r="R607" s="115"/>
      <c r="S607" s="326">
        <v>43465</v>
      </c>
    </row>
    <row r="608" spans="1:30" customFormat="1" ht="31.5">
      <c r="A608" s="107">
        <f t="shared" si="196"/>
        <v>24</v>
      </c>
      <c r="B608" s="301" t="s">
        <v>311</v>
      </c>
      <c r="C608" s="118">
        <v>1958</v>
      </c>
      <c r="D608" s="118"/>
      <c r="E608" s="109" t="s">
        <v>218</v>
      </c>
      <c r="F608" s="118">
        <v>3</v>
      </c>
      <c r="G608" s="118">
        <v>2</v>
      </c>
      <c r="H608" s="118"/>
      <c r="I608" s="118"/>
      <c r="J608" s="118"/>
      <c r="K608" s="119"/>
      <c r="L608" s="113">
        <v>178272.59</v>
      </c>
      <c r="M608" s="113">
        <v>0</v>
      </c>
      <c r="N608" s="113">
        <v>0</v>
      </c>
      <c r="O608" s="113">
        <f t="shared" si="194"/>
        <v>178272.59</v>
      </c>
      <c r="P608" s="113">
        <v>0</v>
      </c>
      <c r="Q608" s="114" t="e">
        <f t="shared" si="195"/>
        <v>#DIV/0!</v>
      </c>
      <c r="R608" s="115"/>
      <c r="S608" s="326">
        <v>43465</v>
      </c>
    </row>
    <row r="609" spans="1:48" customFormat="1" ht="31.5">
      <c r="A609" s="107">
        <f t="shared" si="196"/>
        <v>25</v>
      </c>
      <c r="B609" s="305" t="s">
        <v>315</v>
      </c>
      <c r="C609" s="108">
        <v>1963</v>
      </c>
      <c r="D609" s="108"/>
      <c r="E609" s="109" t="s">
        <v>218</v>
      </c>
      <c r="F609" s="110">
        <v>4</v>
      </c>
      <c r="G609" s="110">
        <v>2</v>
      </c>
      <c r="H609" s="111"/>
      <c r="I609" s="111"/>
      <c r="J609" s="111"/>
      <c r="K609" s="112"/>
      <c r="L609" s="113">
        <v>1087116</v>
      </c>
      <c r="M609" s="113">
        <v>0</v>
      </c>
      <c r="N609" s="113">
        <v>0</v>
      </c>
      <c r="O609" s="113">
        <f t="shared" si="194"/>
        <v>1087116</v>
      </c>
      <c r="P609" s="113">
        <v>0</v>
      </c>
      <c r="Q609" s="114" t="e">
        <f t="shared" si="195"/>
        <v>#DIV/0!</v>
      </c>
      <c r="R609" s="115"/>
      <c r="S609" s="326">
        <v>43465</v>
      </c>
    </row>
    <row r="610" spans="1:48" customFormat="1" ht="31.5">
      <c r="A610" s="107">
        <f t="shared" si="196"/>
        <v>26</v>
      </c>
      <c r="B610" s="305" t="s">
        <v>351</v>
      </c>
      <c r="C610" s="108">
        <v>1984</v>
      </c>
      <c r="D610" s="108"/>
      <c r="E610" s="109" t="s">
        <v>218</v>
      </c>
      <c r="F610" s="110">
        <v>9</v>
      </c>
      <c r="G610" s="110">
        <v>2</v>
      </c>
      <c r="H610" s="111"/>
      <c r="I610" s="111"/>
      <c r="J610" s="111"/>
      <c r="K610" s="112"/>
      <c r="L610" s="113">
        <v>1411363</v>
      </c>
      <c r="M610" s="113">
        <v>0</v>
      </c>
      <c r="N610" s="113">
        <v>0</v>
      </c>
      <c r="O610" s="113">
        <f t="shared" si="194"/>
        <v>1411363</v>
      </c>
      <c r="P610" s="113">
        <v>0</v>
      </c>
      <c r="Q610" s="114" t="e">
        <f t="shared" si="195"/>
        <v>#DIV/0!</v>
      </c>
      <c r="R610" s="115"/>
      <c r="S610" s="326">
        <v>43465</v>
      </c>
    </row>
    <row r="611" spans="1:48" customFormat="1" ht="31.5">
      <c r="A611" s="107">
        <f t="shared" si="196"/>
        <v>27</v>
      </c>
      <c r="B611" s="305" t="s">
        <v>314</v>
      </c>
      <c r="C611" s="108">
        <v>1964</v>
      </c>
      <c r="D611" s="108"/>
      <c r="E611" s="109" t="s">
        <v>218</v>
      </c>
      <c r="F611" s="110">
        <v>4</v>
      </c>
      <c r="G611" s="110">
        <v>2</v>
      </c>
      <c r="H611" s="111"/>
      <c r="I611" s="111"/>
      <c r="J611" s="111"/>
      <c r="K611" s="112"/>
      <c r="L611" s="113">
        <v>1136666</v>
      </c>
      <c r="M611" s="113">
        <v>0</v>
      </c>
      <c r="N611" s="113">
        <v>0</v>
      </c>
      <c r="O611" s="113">
        <f t="shared" si="194"/>
        <v>1136666</v>
      </c>
      <c r="P611" s="113">
        <v>0</v>
      </c>
      <c r="Q611" s="114" t="e">
        <f t="shared" si="195"/>
        <v>#DIV/0!</v>
      </c>
      <c r="R611" s="115"/>
      <c r="S611" s="326">
        <v>43465</v>
      </c>
    </row>
    <row r="612" spans="1:48" customFormat="1" ht="31.5">
      <c r="A612" s="107">
        <f t="shared" si="196"/>
        <v>28</v>
      </c>
      <c r="B612" s="305" t="s">
        <v>369</v>
      </c>
      <c r="C612" s="118">
        <v>1959</v>
      </c>
      <c r="D612" s="118"/>
      <c r="E612" s="109" t="s">
        <v>218</v>
      </c>
      <c r="F612" s="118">
        <v>4</v>
      </c>
      <c r="G612" s="118">
        <v>6</v>
      </c>
      <c r="H612" s="118"/>
      <c r="I612" s="118"/>
      <c r="J612" s="118"/>
      <c r="K612" s="119"/>
      <c r="L612" s="113">
        <v>1385674</v>
      </c>
      <c r="M612" s="113">
        <v>0</v>
      </c>
      <c r="N612" s="113">
        <v>0</v>
      </c>
      <c r="O612" s="113">
        <f t="shared" si="194"/>
        <v>1385674</v>
      </c>
      <c r="P612" s="113">
        <v>0</v>
      </c>
      <c r="Q612" s="114" t="e">
        <f t="shared" si="195"/>
        <v>#DIV/0!</v>
      </c>
      <c r="R612" s="115"/>
      <c r="S612" s="326">
        <v>43465</v>
      </c>
    </row>
    <row r="613" spans="1:48" customFormat="1" ht="31.5">
      <c r="A613" s="107">
        <f t="shared" si="196"/>
        <v>29</v>
      </c>
      <c r="B613" s="305" t="s">
        <v>370</v>
      </c>
      <c r="C613" s="118">
        <v>1937</v>
      </c>
      <c r="D613" s="118"/>
      <c r="E613" s="109" t="s">
        <v>218</v>
      </c>
      <c r="F613" s="118">
        <v>4</v>
      </c>
      <c r="G613" s="118">
        <v>9</v>
      </c>
      <c r="H613" s="118"/>
      <c r="I613" s="118"/>
      <c r="J613" s="118"/>
      <c r="K613" s="119"/>
      <c r="L613" s="113">
        <v>4619990</v>
      </c>
      <c r="M613" s="113">
        <v>0</v>
      </c>
      <c r="N613" s="113">
        <v>0</v>
      </c>
      <c r="O613" s="113">
        <f t="shared" si="194"/>
        <v>4619990</v>
      </c>
      <c r="P613" s="113">
        <v>0</v>
      </c>
      <c r="Q613" s="114" t="e">
        <f t="shared" si="195"/>
        <v>#DIV/0!</v>
      </c>
      <c r="R613" s="115"/>
      <c r="S613" s="326">
        <v>43465</v>
      </c>
    </row>
    <row r="614" spans="1:48" customFormat="1" ht="31.5">
      <c r="A614" s="107">
        <f t="shared" si="196"/>
        <v>30</v>
      </c>
      <c r="B614" s="305" t="s">
        <v>373</v>
      </c>
      <c r="C614" s="118">
        <v>1960</v>
      </c>
      <c r="D614" s="118"/>
      <c r="E614" s="109" t="s">
        <v>218</v>
      </c>
      <c r="F614" s="118">
        <v>4</v>
      </c>
      <c r="G614" s="118">
        <v>3</v>
      </c>
      <c r="H614" s="118"/>
      <c r="I614" s="118"/>
      <c r="J614" s="118"/>
      <c r="K614" s="119"/>
      <c r="L614" s="113">
        <v>1865304</v>
      </c>
      <c r="M614" s="113">
        <v>0</v>
      </c>
      <c r="N614" s="113">
        <v>0</v>
      </c>
      <c r="O614" s="113">
        <f t="shared" si="194"/>
        <v>1865304</v>
      </c>
      <c r="P614" s="113">
        <v>0</v>
      </c>
      <c r="Q614" s="114" t="e">
        <f t="shared" si="195"/>
        <v>#DIV/0!</v>
      </c>
      <c r="R614" s="115"/>
      <c r="S614" s="326">
        <v>43465</v>
      </c>
    </row>
    <row r="615" spans="1:48" customFormat="1" ht="31.5">
      <c r="A615" s="107">
        <f t="shared" si="196"/>
        <v>31</v>
      </c>
      <c r="B615" s="305" t="s">
        <v>381</v>
      </c>
      <c r="C615" s="108">
        <v>1961</v>
      </c>
      <c r="D615" s="108"/>
      <c r="E615" s="109" t="s">
        <v>218</v>
      </c>
      <c r="F615" s="110">
        <v>5</v>
      </c>
      <c r="G615" s="110">
        <v>4</v>
      </c>
      <c r="H615" s="111"/>
      <c r="I615" s="111"/>
      <c r="J615" s="111"/>
      <c r="K615" s="112"/>
      <c r="L615" s="113">
        <v>1870910</v>
      </c>
      <c r="M615" s="113">
        <v>0</v>
      </c>
      <c r="N615" s="113">
        <v>0</v>
      </c>
      <c r="O615" s="113">
        <f t="shared" si="194"/>
        <v>1870910</v>
      </c>
      <c r="P615" s="113">
        <v>0</v>
      </c>
      <c r="Q615" s="114" t="e">
        <f t="shared" si="195"/>
        <v>#DIV/0!</v>
      </c>
      <c r="R615" s="115"/>
      <c r="S615" s="326">
        <v>43465</v>
      </c>
    </row>
    <row r="616" spans="1:48" customFormat="1" ht="31.5">
      <c r="A616" s="107">
        <f t="shared" si="196"/>
        <v>32</v>
      </c>
      <c r="B616" s="305" t="s">
        <v>382</v>
      </c>
      <c r="C616" s="108">
        <v>1960</v>
      </c>
      <c r="D616" s="108"/>
      <c r="E616" s="109" t="s">
        <v>218</v>
      </c>
      <c r="F616" s="110">
        <v>5</v>
      </c>
      <c r="G616" s="110">
        <v>4</v>
      </c>
      <c r="H616" s="111"/>
      <c r="I616" s="111"/>
      <c r="J616" s="111"/>
      <c r="K616" s="112"/>
      <c r="L616" s="113">
        <v>1533757</v>
      </c>
      <c r="M616" s="113">
        <v>0</v>
      </c>
      <c r="N616" s="113">
        <v>0</v>
      </c>
      <c r="O616" s="113">
        <f t="shared" si="194"/>
        <v>1533757</v>
      </c>
      <c r="P616" s="113">
        <v>0</v>
      </c>
      <c r="Q616" s="114" t="e">
        <f t="shared" si="195"/>
        <v>#DIV/0!</v>
      </c>
      <c r="R616" s="115"/>
      <c r="S616" s="326">
        <v>43465</v>
      </c>
    </row>
    <row r="617" spans="1:48" customFormat="1" ht="31.5">
      <c r="A617" s="107">
        <f t="shared" si="196"/>
        <v>33</v>
      </c>
      <c r="B617" s="305" t="s">
        <v>371</v>
      </c>
      <c r="C617" s="118">
        <v>1960</v>
      </c>
      <c r="D617" s="118"/>
      <c r="E617" s="109" t="s">
        <v>218</v>
      </c>
      <c r="F617" s="118">
        <v>5</v>
      </c>
      <c r="G617" s="118">
        <v>4</v>
      </c>
      <c r="H617" s="118"/>
      <c r="I617" s="118"/>
      <c r="J617" s="118"/>
      <c r="K617" s="119"/>
      <c r="L617" s="113">
        <v>939858</v>
      </c>
      <c r="M617" s="113">
        <v>0</v>
      </c>
      <c r="N617" s="113">
        <v>0</v>
      </c>
      <c r="O617" s="113">
        <f t="shared" si="194"/>
        <v>939858</v>
      </c>
      <c r="P617" s="113">
        <v>0</v>
      </c>
      <c r="Q617" s="114" t="e">
        <f t="shared" si="195"/>
        <v>#DIV/0!</v>
      </c>
      <c r="R617" s="115"/>
      <c r="S617" s="326">
        <v>43465</v>
      </c>
    </row>
    <row r="618" spans="1:48" customFormat="1" ht="15.75">
      <c r="A618" s="107">
        <f t="shared" si="196"/>
        <v>34</v>
      </c>
      <c r="B618" s="301" t="s">
        <v>377</v>
      </c>
      <c r="C618" s="108">
        <v>1973</v>
      </c>
      <c r="D618" s="108"/>
      <c r="E618" s="109" t="s">
        <v>219</v>
      </c>
      <c r="F618" s="110">
        <v>5</v>
      </c>
      <c r="G618" s="110">
        <v>6</v>
      </c>
      <c r="H618" s="111"/>
      <c r="I618" s="111"/>
      <c r="J618" s="111"/>
      <c r="K618" s="112"/>
      <c r="L618" s="113">
        <v>2368392</v>
      </c>
      <c r="M618" s="113">
        <v>0</v>
      </c>
      <c r="N618" s="113">
        <v>0</v>
      </c>
      <c r="O618" s="113">
        <f t="shared" si="194"/>
        <v>2368392</v>
      </c>
      <c r="P618" s="113">
        <v>0</v>
      </c>
      <c r="Q618" s="114" t="e">
        <f t="shared" si="195"/>
        <v>#DIV/0!</v>
      </c>
      <c r="R618" s="115"/>
      <c r="S618" s="326">
        <v>43465</v>
      </c>
    </row>
    <row r="619" spans="1:48" customFormat="1" ht="31.5">
      <c r="A619" s="107">
        <f t="shared" si="196"/>
        <v>35</v>
      </c>
      <c r="B619" s="301" t="s">
        <v>378</v>
      </c>
      <c r="C619" s="108">
        <v>1961</v>
      </c>
      <c r="D619" s="108"/>
      <c r="E619" s="109" t="s">
        <v>218</v>
      </c>
      <c r="F619" s="110">
        <v>5</v>
      </c>
      <c r="G619" s="110">
        <v>2</v>
      </c>
      <c r="H619" s="111"/>
      <c r="I619" s="111"/>
      <c r="J619" s="111"/>
      <c r="K619" s="112"/>
      <c r="L619" s="113">
        <v>2433930.91</v>
      </c>
      <c r="M619" s="113">
        <v>0</v>
      </c>
      <c r="N619" s="113">
        <v>0</v>
      </c>
      <c r="O619" s="113">
        <f t="shared" si="194"/>
        <v>2433930.91</v>
      </c>
      <c r="P619" s="113">
        <v>0</v>
      </c>
      <c r="Q619" s="114" t="e">
        <f t="shared" si="195"/>
        <v>#DIV/0!</v>
      </c>
      <c r="R619" s="115"/>
      <c r="S619" s="326">
        <v>43465</v>
      </c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</row>
    <row r="620" spans="1:48" customFormat="1" ht="31.5">
      <c r="A620" s="107">
        <f t="shared" si="196"/>
        <v>36</v>
      </c>
      <c r="B620" s="305" t="s">
        <v>383</v>
      </c>
      <c r="C620" s="108">
        <v>1964</v>
      </c>
      <c r="D620" s="108"/>
      <c r="E620" s="109" t="s">
        <v>218</v>
      </c>
      <c r="F620" s="110">
        <v>5</v>
      </c>
      <c r="G620" s="110">
        <v>4</v>
      </c>
      <c r="H620" s="111"/>
      <c r="I620" s="111"/>
      <c r="J620" s="111"/>
      <c r="K620" s="112"/>
      <c r="L620" s="113">
        <v>1721850</v>
      </c>
      <c r="M620" s="113">
        <v>0</v>
      </c>
      <c r="N620" s="113">
        <v>0</v>
      </c>
      <c r="O620" s="113">
        <f t="shared" si="194"/>
        <v>1721850</v>
      </c>
      <c r="P620" s="113">
        <v>0</v>
      </c>
      <c r="Q620" s="114" t="e">
        <f t="shared" si="195"/>
        <v>#DIV/0!</v>
      </c>
      <c r="R620" s="115"/>
      <c r="S620" s="326">
        <v>43465</v>
      </c>
    </row>
    <row r="621" spans="1:48" s="3" customFormat="1" ht="31.5">
      <c r="A621" s="107">
        <f t="shared" si="196"/>
        <v>37</v>
      </c>
      <c r="B621" s="305" t="s">
        <v>368</v>
      </c>
      <c r="C621" s="118">
        <v>1957</v>
      </c>
      <c r="D621" s="118"/>
      <c r="E621" s="109" t="s">
        <v>218</v>
      </c>
      <c r="F621" s="118">
        <v>4</v>
      </c>
      <c r="G621" s="118">
        <v>4</v>
      </c>
      <c r="H621" s="118"/>
      <c r="I621" s="118"/>
      <c r="J621" s="118"/>
      <c r="K621" s="119"/>
      <c r="L621" s="113">
        <v>814117</v>
      </c>
      <c r="M621" s="113">
        <v>0</v>
      </c>
      <c r="N621" s="113">
        <v>0</v>
      </c>
      <c r="O621" s="113">
        <f t="shared" si="194"/>
        <v>814117</v>
      </c>
      <c r="P621" s="113">
        <v>0</v>
      </c>
      <c r="Q621" s="114" t="e">
        <f t="shared" si="195"/>
        <v>#DIV/0!</v>
      </c>
      <c r="R621" s="115"/>
      <c r="S621" s="326">
        <v>43465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1:48" customFormat="1" ht="31.5">
      <c r="A622" s="107">
        <f t="shared" si="196"/>
        <v>38</v>
      </c>
      <c r="B622" s="305" t="s">
        <v>375</v>
      </c>
      <c r="C622" s="108">
        <v>1957</v>
      </c>
      <c r="D622" s="108"/>
      <c r="E622" s="109" t="s">
        <v>218</v>
      </c>
      <c r="F622" s="110">
        <v>4</v>
      </c>
      <c r="G622" s="110">
        <v>4</v>
      </c>
      <c r="H622" s="111"/>
      <c r="I622" s="111"/>
      <c r="J622" s="111"/>
      <c r="K622" s="112"/>
      <c r="L622" s="113">
        <v>3045081</v>
      </c>
      <c r="M622" s="113">
        <v>0</v>
      </c>
      <c r="N622" s="113">
        <v>0</v>
      </c>
      <c r="O622" s="113">
        <f t="shared" si="194"/>
        <v>3045081</v>
      </c>
      <c r="P622" s="113">
        <v>0</v>
      </c>
      <c r="Q622" s="114" t="e">
        <f t="shared" si="195"/>
        <v>#DIV/0!</v>
      </c>
      <c r="R622" s="115"/>
      <c r="S622" s="326">
        <v>43465</v>
      </c>
    </row>
    <row r="623" spans="1:48" customFormat="1" ht="31.5">
      <c r="A623" s="107">
        <f t="shared" si="196"/>
        <v>39</v>
      </c>
      <c r="B623" s="305" t="s">
        <v>380</v>
      </c>
      <c r="C623" s="108">
        <v>1954</v>
      </c>
      <c r="D623" s="108"/>
      <c r="E623" s="109" t="s">
        <v>218</v>
      </c>
      <c r="F623" s="110">
        <v>3</v>
      </c>
      <c r="G623" s="110">
        <v>3</v>
      </c>
      <c r="H623" s="111"/>
      <c r="I623" s="111"/>
      <c r="J623" s="111"/>
      <c r="K623" s="112"/>
      <c r="L623" s="113">
        <v>2244806</v>
      </c>
      <c r="M623" s="113">
        <v>0</v>
      </c>
      <c r="N623" s="113">
        <v>0</v>
      </c>
      <c r="O623" s="113">
        <f t="shared" si="194"/>
        <v>2244806</v>
      </c>
      <c r="P623" s="113">
        <v>0</v>
      </c>
      <c r="Q623" s="114" t="e">
        <f t="shared" si="195"/>
        <v>#DIV/0!</v>
      </c>
      <c r="R623" s="115"/>
      <c r="S623" s="326">
        <v>43465</v>
      </c>
    </row>
    <row r="624" spans="1:48" customFormat="1" ht="31.5">
      <c r="A624" s="107">
        <f t="shared" si="196"/>
        <v>40</v>
      </c>
      <c r="B624" s="305" t="s">
        <v>374</v>
      </c>
      <c r="C624" s="108">
        <v>1963</v>
      </c>
      <c r="D624" s="108"/>
      <c r="E624" s="109" t="s">
        <v>218</v>
      </c>
      <c r="F624" s="110">
        <v>4</v>
      </c>
      <c r="G624" s="110">
        <v>2</v>
      </c>
      <c r="H624" s="111"/>
      <c r="I624" s="111"/>
      <c r="J624" s="111"/>
      <c r="K624" s="112"/>
      <c r="L624" s="113">
        <v>1361273</v>
      </c>
      <c r="M624" s="113">
        <v>0</v>
      </c>
      <c r="N624" s="113">
        <v>0</v>
      </c>
      <c r="O624" s="113">
        <f t="shared" si="194"/>
        <v>1361273</v>
      </c>
      <c r="P624" s="113">
        <v>0</v>
      </c>
      <c r="Q624" s="114" t="e">
        <f t="shared" si="195"/>
        <v>#DIV/0!</v>
      </c>
      <c r="R624" s="115"/>
      <c r="S624" s="326">
        <v>43465</v>
      </c>
    </row>
    <row r="625" spans="1:48" customFormat="1" ht="31.5">
      <c r="A625" s="107">
        <f t="shared" si="196"/>
        <v>41</v>
      </c>
      <c r="B625" s="305" t="s">
        <v>469</v>
      </c>
      <c r="C625" s="108">
        <v>1959</v>
      </c>
      <c r="D625" s="108"/>
      <c r="E625" s="109" t="s">
        <v>218</v>
      </c>
      <c r="F625" s="110">
        <v>4</v>
      </c>
      <c r="G625" s="110">
        <v>4</v>
      </c>
      <c r="H625" s="111"/>
      <c r="I625" s="111"/>
      <c r="J625" s="111"/>
      <c r="K625" s="112"/>
      <c r="L625" s="113">
        <v>2421596</v>
      </c>
      <c r="M625" s="113">
        <v>0</v>
      </c>
      <c r="N625" s="113">
        <v>0</v>
      </c>
      <c r="O625" s="113">
        <f t="shared" si="194"/>
        <v>2421596</v>
      </c>
      <c r="P625" s="113">
        <v>0</v>
      </c>
      <c r="Q625" s="114" t="e">
        <f t="shared" si="195"/>
        <v>#DIV/0!</v>
      </c>
      <c r="R625" s="115"/>
      <c r="S625" s="326">
        <v>43465</v>
      </c>
    </row>
    <row r="626" spans="1:48" customFormat="1" ht="31.5">
      <c r="A626" s="107">
        <f t="shared" si="196"/>
        <v>42</v>
      </c>
      <c r="B626" s="305" t="s">
        <v>379</v>
      </c>
      <c r="C626" s="108">
        <v>1967</v>
      </c>
      <c r="D626" s="108"/>
      <c r="E626" s="109" t="s">
        <v>218</v>
      </c>
      <c r="F626" s="110">
        <v>6</v>
      </c>
      <c r="G626" s="110">
        <v>5</v>
      </c>
      <c r="H626" s="111"/>
      <c r="I626" s="111"/>
      <c r="J626" s="111"/>
      <c r="K626" s="112"/>
      <c r="L626" s="113">
        <v>2056315</v>
      </c>
      <c r="M626" s="113">
        <v>0</v>
      </c>
      <c r="N626" s="113">
        <v>0</v>
      </c>
      <c r="O626" s="113">
        <f t="shared" si="194"/>
        <v>2056315</v>
      </c>
      <c r="P626" s="113">
        <v>0</v>
      </c>
      <c r="Q626" s="114" t="e">
        <f t="shared" si="195"/>
        <v>#DIV/0!</v>
      </c>
      <c r="R626" s="115"/>
      <c r="S626" s="326">
        <v>43465</v>
      </c>
    </row>
    <row r="627" spans="1:48" customFormat="1" ht="31.5">
      <c r="A627" s="107">
        <f t="shared" si="196"/>
        <v>43</v>
      </c>
      <c r="B627" s="305" t="s">
        <v>372</v>
      </c>
      <c r="C627" s="118">
        <v>1975</v>
      </c>
      <c r="D627" s="118"/>
      <c r="E627" s="109" t="s">
        <v>218</v>
      </c>
      <c r="F627" s="118">
        <v>9</v>
      </c>
      <c r="G627" s="118">
        <v>5</v>
      </c>
      <c r="H627" s="118"/>
      <c r="I627" s="118"/>
      <c r="J627" s="118"/>
      <c r="K627" s="119"/>
      <c r="L627" s="113">
        <v>9473593</v>
      </c>
      <c r="M627" s="113">
        <v>0</v>
      </c>
      <c r="N627" s="113">
        <v>0</v>
      </c>
      <c r="O627" s="113">
        <f t="shared" si="194"/>
        <v>9473593</v>
      </c>
      <c r="P627" s="113">
        <v>0</v>
      </c>
      <c r="Q627" s="114" t="e">
        <f t="shared" si="195"/>
        <v>#DIV/0!</v>
      </c>
      <c r="R627" s="115"/>
      <c r="S627" s="326">
        <v>43465</v>
      </c>
    </row>
    <row r="628" spans="1:48" customFormat="1" ht="31.5">
      <c r="A628" s="107">
        <f t="shared" si="196"/>
        <v>44</v>
      </c>
      <c r="B628" s="301" t="s">
        <v>344</v>
      </c>
      <c r="C628" s="107">
        <v>1968</v>
      </c>
      <c r="D628" s="108"/>
      <c r="E628" s="109" t="s">
        <v>218</v>
      </c>
      <c r="F628" s="108">
        <v>5</v>
      </c>
      <c r="G628" s="108">
        <v>6</v>
      </c>
      <c r="H628" s="117"/>
      <c r="I628" s="117"/>
      <c r="J628" s="102"/>
      <c r="K628" s="101"/>
      <c r="L628" s="113">
        <v>4441828</v>
      </c>
      <c r="M628" s="113">
        <v>0</v>
      </c>
      <c r="N628" s="113">
        <v>0</v>
      </c>
      <c r="O628" s="113">
        <f t="shared" si="194"/>
        <v>4441828</v>
      </c>
      <c r="P628" s="113">
        <v>0</v>
      </c>
      <c r="Q628" s="114" t="e">
        <f t="shared" si="195"/>
        <v>#DIV/0!</v>
      </c>
      <c r="R628" s="115"/>
      <c r="S628" s="326">
        <v>43465</v>
      </c>
    </row>
    <row r="629" spans="1:48" customFormat="1" ht="15.75">
      <c r="A629" s="107">
        <f t="shared" si="196"/>
        <v>45</v>
      </c>
      <c r="B629" s="305" t="s">
        <v>348</v>
      </c>
      <c r="C629" s="108">
        <v>1977</v>
      </c>
      <c r="D629" s="108"/>
      <c r="E629" s="109" t="s">
        <v>219</v>
      </c>
      <c r="F629" s="110">
        <v>5</v>
      </c>
      <c r="G629" s="110">
        <v>8</v>
      </c>
      <c r="H629" s="111"/>
      <c r="I629" s="111"/>
      <c r="J629" s="111"/>
      <c r="K629" s="112"/>
      <c r="L629" s="113">
        <v>3051089</v>
      </c>
      <c r="M629" s="113">
        <v>0</v>
      </c>
      <c r="N629" s="113">
        <v>0</v>
      </c>
      <c r="O629" s="113">
        <f t="shared" si="194"/>
        <v>3051089</v>
      </c>
      <c r="P629" s="113">
        <v>0</v>
      </c>
      <c r="Q629" s="114" t="e">
        <f t="shared" si="195"/>
        <v>#DIV/0!</v>
      </c>
      <c r="R629" s="115"/>
      <c r="S629" s="326">
        <v>43465</v>
      </c>
    </row>
    <row r="630" spans="1:48" customFormat="1" ht="31.5">
      <c r="A630" s="107">
        <f t="shared" si="196"/>
        <v>46</v>
      </c>
      <c r="B630" s="301" t="s">
        <v>386</v>
      </c>
      <c r="C630" s="118">
        <v>1956</v>
      </c>
      <c r="D630" s="118"/>
      <c r="E630" s="109" t="s">
        <v>218</v>
      </c>
      <c r="F630" s="118">
        <v>2</v>
      </c>
      <c r="G630" s="118">
        <v>2</v>
      </c>
      <c r="H630" s="118"/>
      <c r="I630" s="118"/>
      <c r="J630" s="118"/>
      <c r="K630" s="119"/>
      <c r="L630" s="113">
        <v>869749</v>
      </c>
      <c r="M630" s="113">
        <v>0</v>
      </c>
      <c r="N630" s="113">
        <v>0</v>
      </c>
      <c r="O630" s="113">
        <f t="shared" si="194"/>
        <v>869749</v>
      </c>
      <c r="P630" s="113">
        <v>0</v>
      </c>
      <c r="Q630" s="114" t="e">
        <f t="shared" si="195"/>
        <v>#DIV/0!</v>
      </c>
      <c r="R630" s="115"/>
      <c r="S630" s="326">
        <v>43465</v>
      </c>
    </row>
    <row r="631" spans="1:48" customFormat="1" ht="31.5">
      <c r="A631" s="107">
        <f t="shared" si="196"/>
        <v>47</v>
      </c>
      <c r="B631" s="301" t="s">
        <v>461</v>
      </c>
      <c r="C631" s="108">
        <v>1956</v>
      </c>
      <c r="D631" s="108"/>
      <c r="E631" s="109" t="s">
        <v>218</v>
      </c>
      <c r="F631" s="110">
        <v>2</v>
      </c>
      <c r="G631" s="110">
        <v>2</v>
      </c>
      <c r="H631" s="111"/>
      <c r="I631" s="111"/>
      <c r="J631" s="111"/>
      <c r="K631" s="112"/>
      <c r="L631" s="113">
        <v>869880</v>
      </c>
      <c r="M631" s="113">
        <v>0</v>
      </c>
      <c r="N631" s="113">
        <v>0</v>
      </c>
      <c r="O631" s="113">
        <f t="shared" si="194"/>
        <v>869880</v>
      </c>
      <c r="P631" s="113">
        <v>0</v>
      </c>
      <c r="Q631" s="114" t="e">
        <f t="shared" si="195"/>
        <v>#DIV/0!</v>
      </c>
      <c r="R631" s="115"/>
      <c r="S631" s="326">
        <v>43465</v>
      </c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</row>
    <row r="632" spans="1:48" customFormat="1" ht="31.5">
      <c r="A632" s="107">
        <f t="shared" si="196"/>
        <v>48</v>
      </c>
      <c r="B632" s="305" t="s">
        <v>462</v>
      </c>
      <c r="C632" s="108">
        <v>1959</v>
      </c>
      <c r="D632" s="116"/>
      <c r="E632" s="109" t="s">
        <v>218</v>
      </c>
      <c r="F632" s="110">
        <v>2</v>
      </c>
      <c r="G632" s="110">
        <v>2</v>
      </c>
      <c r="H632" s="111"/>
      <c r="I632" s="111"/>
      <c r="J632" s="111"/>
      <c r="K632" s="112"/>
      <c r="L632" s="113">
        <v>172302</v>
      </c>
      <c r="M632" s="113">
        <v>0</v>
      </c>
      <c r="N632" s="113">
        <v>0</v>
      </c>
      <c r="O632" s="113">
        <f t="shared" si="194"/>
        <v>172302</v>
      </c>
      <c r="P632" s="113">
        <v>0</v>
      </c>
      <c r="Q632" s="114" t="e">
        <f t="shared" si="195"/>
        <v>#DIV/0!</v>
      </c>
      <c r="R632" s="115"/>
      <c r="S632" s="326">
        <v>43465</v>
      </c>
    </row>
    <row r="633" spans="1:48" customFormat="1" ht="31.5">
      <c r="A633" s="107">
        <f t="shared" si="196"/>
        <v>49</v>
      </c>
      <c r="B633" s="305" t="s">
        <v>389</v>
      </c>
      <c r="C633" s="108">
        <v>1910</v>
      </c>
      <c r="D633" s="108"/>
      <c r="E633" s="109" t="s">
        <v>218</v>
      </c>
      <c r="F633" s="110">
        <v>4</v>
      </c>
      <c r="G633" s="110">
        <v>1</v>
      </c>
      <c r="H633" s="111"/>
      <c r="I633" s="111"/>
      <c r="J633" s="111"/>
      <c r="K633" s="112"/>
      <c r="L633" s="113">
        <v>3706393</v>
      </c>
      <c r="M633" s="113">
        <v>0</v>
      </c>
      <c r="N633" s="113">
        <v>0</v>
      </c>
      <c r="O633" s="113">
        <f t="shared" si="194"/>
        <v>3706393</v>
      </c>
      <c r="P633" s="113">
        <v>0</v>
      </c>
      <c r="Q633" s="114" t="e">
        <f t="shared" si="195"/>
        <v>#DIV/0!</v>
      </c>
      <c r="R633" s="115"/>
      <c r="S633" s="326">
        <v>43465</v>
      </c>
    </row>
    <row r="634" spans="1:48" customFormat="1" ht="31.5">
      <c r="A634" s="107">
        <f t="shared" si="196"/>
        <v>50</v>
      </c>
      <c r="B634" s="305" t="s">
        <v>317</v>
      </c>
      <c r="C634" s="118">
        <v>1914</v>
      </c>
      <c r="D634" s="118"/>
      <c r="E634" s="109" t="s">
        <v>218</v>
      </c>
      <c r="F634" s="118">
        <v>4</v>
      </c>
      <c r="G634" s="118">
        <v>5</v>
      </c>
      <c r="H634" s="118"/>
      <c r="I634" s="118"/>
      <c r="J634" s="118"/>
      <c r="K634" s="119"/>
      <c r="L634" s="113">
        <v>698585</v>
      </c>
      <c r="M634" s="113">
        <v>0</v>
      </c>
      <c r="N634" s="113">
        <v>0</v>
      </c>
      <c r="O634" s="113">
        <f t="shared" si="194"/>
        <v>698585</v>
      </c>
      <c r="P634" s="113">
        <v>0</v>
      </c>
      <c r="Q634" s="114" t="e">
        <f t="shared" si="195"/>
        <v>#DIV/0!</v>
      </c>
      <c r="R634" s="115"/>
      <c r="S634" s="326">
        <v>43465</v>
      </c>
    </row>
    <row r="635" spans="1:48" customFormat="1" ht="31.5">
      <c r="A635" s="107">
        <f t="shared" si="196"/>
        <v>51</v>
      </c>
      <c r="B635" s="305" t="s">
        <v>384</v>
      </c>
      <c r="C635" s="118" t="s">
        <v>190</v>
      </c>
      <c r="D635" s="118"/>
      <c r="E635" s="109" t="s">
        <v>218</v>
      </c>
      <c r="F635" s="118">
        <v>2</v>
      </c>
      <c r="G635" s="118">
        <v>3</v>
      </c>
      <c r="H635" s="118"/>
      <c r="I635" s="118"/>
      <c r="J635" s="118"/>
      <c r="K635" s="119"/>
      <c r="L635" s="113">
        <v>951740</v>
      </c>
      <c r="M635" s="113">
        <v>0</v>
      </c>
      <c r="N635" s="113">
        <v>0</v>
      </c>
      <c r="O635" s="113">
        <f t="shared" si="194"/>
        <v>951740</v>
      </c>
      <c r="P635" s="113">
        <v>0</v>
      </c>
      <c r="Q635" s="114" t="e">
        <f t="shared" si="195"/>
        <v>#DIV/0!</v>
      </c>
      <c r="R635" s="115"/>
      <c r="S635" s="326">
        <v>43465</v>
      </c>
    </row>
    <row r="636" spans="1:48" customFormat="1" ht="31.5">
      <c r="A636" s="107">
        <f t="shared" si="196"/>
        <v>52</v>
      </c>
      <c r="B636" s="301" t="s">
        <v>247</v>
      </c>
      <c r="C636" s="118">
        <v>1953</v>
      </c>
      <c r="D636" s="118"/>
      <c r="E636" s="109" t="s">
        <v>218</v>
      </c>
      <c r="F636" s="118">
        <v>3</v>
      </c>
      <c r="G636" s="118">
        <v>3</v>
      </c>
      <c r="H636" s="118"/>
      <c r="I636" s="118"/>
      <c r="J636" s="118"/>
      <c r="K636" s="119"/>
      <c r="L636" s="113">
        <v>2056139</v>
      </c>
      <c r="M636" s="113">
        <v>0</v>
      </c>
      <c r="N636" s="113">
        <v>0</v>
      </c>
      <c r="O636" s="113">
        <f t="shared" si="194"/>
        <v>2056139</v>
      </c>
      <c r="P636" s="113">
        <v>0</v>
      </c>
      <c r="Q636" s="114" t="e">
        <f t="shared" si="195"/>
        <v>#DIV/0!</v>
      </c>
      <c r="R636" s="115"/>
      <c r="S636" s="326">
        <v>43465</v>
      </c>
    </row>
    <row r="637" spans="1:48" customFormat="1" ht="31.5">
      <c r="A637" s="107">
        <f t="shared" si="196"/>
        <v>53</v>
      </c>
      <c r="B637" s="305" t="s">
        <v>274</v>
      </c>
      <c r="C637" s="107">
        <v>1958</v>
      </c>
      <c r="D637" s="108"/>
      <c r="E637" s="109" t="s">
        <v>218</v>
      </c>
      <c r="F637" s="108">
        <v>2</v>
      </c>
      <c r="G637" s="108">
        <v>2</v>
      </c>
      <c r="H637" s="117"/>
      <c r="I637" s="117"/>
      <c r="J637" s="117"/>
      <c r="K637" s="101"/>
      <c r="L637" s="113">
        <v>1321356</v>
      </c>
      <c r="M637" s="113">
        <v>0</v>
      </c>
      <c r="N637" s="113">
        <v>0</v>
      </c>
      <c r="O637" s="113">
        <f t="shared" si="194"/>
        <v>1321356</v>
      </c>
      <c r="P637" s="113">
        <v>0</v>
      </c>
      <c r="Q637" s="114" t="e">
        <f t="shared" si="195"/>
        <v>#DIV/0!</v>
      </c>
      <c r="R637" s="115"/>
      <c r="S637" s="326">
        <v>43465</v>
      </c>
    </row>
    <row r="638" spans="1:48" customFormat="1" ht="31.5">
      <c r="A638" s="107">
        <f t="shared" si="196"/>
        <v>54</v>
      </c>
      <c r="B638" s="305" t="s">
        <v>338</v>
      </c>
      <c r="C638" s="118">
        <v>1959</v>
      </c>
      <c r="D638" s="118"/>
      <c r="E638" s="109" t="s">
        <v>218</v>
      </c>
      <c r="F638" s="118">
        <v>2</v>
      </c>
      <c r="G638" s="118">
        <v>2</v>
      </c>
      <c r="H638" s="118"/>
      <c r="I638" s="118"/>
      <c r="J638" s="118"/>
      <c r="K638" s="119"/>
      <c r="L638" s="113">
        <v>1679278</v>
      </c>
      <c r="M638" s="113">
        <v>0</v>
      </c>
      <c r="N638" s="113">
        <v>0</v>
      </c>
      <c r="O638" s="113">
        <f t="shared" si="194"/>
        <v>1679278</v>
      </c>
      <c r="P638" s="113">
        <v>0</v>
      </c>
      <c r="Q638" s="114" t="e">
        <f t="shared" si="195"/>
        <v>#DIV/0!</v>
      </c>
      <c r="R638" s="115"/>
      <c r="S638" s="326">
        <v>43465</v>
      </c>
    </row>
    <row r="639" spans="1:48" customFormat="1" ht="31.5">
      <c r="A639" s="107">
        <f t="shared" si="196"/>
        <v>55</v>
      </c>
      <c r="B639" s="305" t="s">
        <v>272</v>
      </c>
      <c r="C639" s="118">
        <v>1959</v>
      </c>
      <c r="D639" s="118"/>
      <c r="E639" s="109" t="s">
        <v>218</v>
      </c>
      <c r="F639" s="118">
        <v>2</v>
      </c>
      <c r="G639" s="118">
        <v>2</v>
      </c>
      <c r="H639" s="118"/>
      <c r="I639" s="118"/>
      <c r="J639" s="118"/>
      <c r="K639" s="119"/>
      <c r="L639" s="113">
        <v>1100896</v>
      </c>
      <c r="M639" s="113">
        <v>0</v>
      </c>
      <c r="N639" s="113">
        <v>0</v>
      </c>
      <c r="O639" s="113">
        <f t="shared" si="194"/>
        <v>1100896</v>
      </c>
      <c r="P639" s="113">
        <v>0</v>
      </c>
      <c r="Q639" s="114" t="e">
        <f t="shared" si="195"/>
        <v>#DIV/0!</v>
      </c>
      <c r="R639" s="115"/>
      <c r="S639" s="326">
        <v>43465</v>
      </c>
    </row>
    <row r="640" spans="1:48" customFormat="1" ht="31.5">
      <c r="A640" s="107">
        <f t="shared" si="196"/>
        <v>56</v>
      </c>
      <c r="B640" s="305" t="s">
        <v>337</v>
      </c>
      <c r="C640" s="118">
        <v>1959</v>
      </c>
      <c r="D640" s="118"/>
      <c r="E640" s="109" t="s">
        <v>218</v>
      </c>
      <c r="F640" s="118">
        <v>2</v>
      </c>
      <c r="G640" s="118">
        <v>2</v>
      </c>
      <c r="H640" s="118"/>
      <c r="I640" s="118"/>
      <c r="J640" s="118"/>
      <c r="K640" s="119"/>
      <c r="L640" s="113">
        <v>1729707</v>
      </c>
      <c r="M640" s="113">
        <v>0</v>
      </c>
      <c r="N640" s="113">
        <v>0</v>
      </c>
      <c r="O640" s="113">
        <f t="shared" si="194"/>
        <v>1729707</v>
      </c>
      <c r="P640" s="113">
        <v>0</v>
      </c>
      <c r="Q640" s="114" t="e">
        <f t="shared" si="195"/>
        <v>#DIV/0!</v>
      </c>
      <c r="R640" s="115"/>
      <c r="S640" s="326">
        <v>43465</v>
      </c>
    </row>
    <row r="641" spans="1:19" customFormat="1" ht="31.5">
      <c r="A641" s="107">
        <f t="shared" si="196"/>
        <v>57</v>
      </c>
      <c r="B641" s="301" t="s">
        <v>257</v>
      </c>
      <c r="C641" s="118">
        <v>1959</v>
      </c>
      <c r="D641" s="118"/>
      <c r="E641" s="109" t="s">
        <v>218</v>
      </c>
      <c r="F641" s="118">
        <v>2</v>
      </c>
      <c r="G641" s="118">
        <v>2</v>
      </c>
      <c r="H641" s="118"/>
      <c r="I641" s="118"/>
      <c r="J641" s="118"/>
      <c r="K641" s="119"/>
      <c r="L641" s="113">
        <v>451222.57</v>
      </c>
      <c r="M641" s="113">
        <v>0</v>
      </c>
      <c r="N641" s="113">
        <v>0</v>
      </c>
      <c r="O641" s="113">
        <f t="shared" si="194"/>
        <v>451222.57</v>
      </c>
      <c r="P641" s="113">
        <v>0</v>
      </c>
      <c r="Q641" s="114" t="e">
        <f t="shared" si="195"/>
        <v>#DIV/0!</v>
      </c>
      <c r="R641" s="115"/>
      <c r="S641" s="326">
        <v>43465</v>
      </c>
    </row>
    <row r="642" spans="1:19" customFormat="1" ht="31.5">
      <c r="A642" s="107">
        <f t="shared" si="196"/>
        <v>58</v>
      </c>
      <c r="B642" s="305" t="s">
        <v>307</v>
      </c>
      <c r="C642" s="108">
        <v>1959</v>
      </c>
      <c r="D642" s="108"/>
      <c r="E642" s="109" t="s">
        <v>218</v>
      </c>
      <c r="F642" s="110">
        <v>2</v>
      </c>
      <c r="G642" s="110">
        <v>1</v>
      </c>
      <c r="H642" s="111"/>
      <c r="I642" s="111"/>
      <c r="J642" s="111"/>
      <c r="K642" s="112"/>
      <c r="L642" s="113">
        <v>703675.57</v>
      </c>
      <c r="M642" s="113">
        <v>0</v>
      </c>
      <c r="N642" s="113">
        <v>0</v>
      </c>
      <c r="O642" s="113">
        <f t="shared" si="194"/>
        <v>703675.57</v>
      </c>
      <c r="P642" s="113">
        <v>0</v>
      </c>
      <c r="Q642" s="114" t="e">
        <f t="shared" si="195"/>
        <v>#DIV/0!</v>
      </c>
      <c r="R642" s="115"/>
      <c r="S642" s="326">
        <v>43465</v>
      </c>
    </row>
    <row r="643" spans="1:19" customFormat="1" ht="31.5">
      <c r="A643" s="107">
        <f t="shared" si="196"/>
        <v>59</v>
      </c>
      <c r="B643" s="305" t="s">
        <v>268</v>
      </c>
      <c r="C643" s="118">
        <v>1959</v>
      </c>
      <c r="D643" s="118"/>
      <c r="E643" s="109" t="s">
        <v>218</v>
      </c>
      <c r="F643" s="118">
        <v>4</v>
      </c>
      <c r="G643" s="118">
        <v>3</v>
      </c>
      <c r="H643" s="118"/>
      <c r="I643" s="118"/>
      <c r="J643" s="118"/>
      <c r="K643" s="119"/>
      <c r="L643" s="113">
        <v>1053533.22</v>
      </c>
      <c r="M643" s="113">
        <v>0</v>
      </c>
      <c r="N643" s="113">
        <v>0</v>
      </c>
      <c r="O643" s="113">
        <f t="shared" si="194"/>
        <v>1053533.22</v>
      </c>
      <c r="P643" s="113">
        <v>0</v>
      </c>
      <c r="Q643" s="114" t="e">
        <f t="shared" si="195"/>
        <v>#DIV/0!</v>
      </c>
      <c r="R643" s="115"/>
      <c r="S643" s="326">
        <v>43465</v>
      </c>
    </row>
    <row r="644" spans="1:19" customFormat="1" ht="31.5">
      <c r="A644" s="107">
        <f t="shared" si="196"/>
        <v>60</v>
      </c>
      <c r="B644" s="301" t="s">
        <v>246</v>
      </c>
      <c r="C644" s="118">
        <v>1979</v>
      </c>
      <c r="D644" s="118"/>
      <c r="E644" s="109" t="s">
        <v>218</v>
      </c>
      <c r="F644" s="118">
        <v>9</v>
      </c>
      <c r="G644" s="118">
        <v>1</v>
      </c>
      <c r="H644" s="118"/>
      <c r="I644" s="118"/>
      <c r="J644" s="118"/>
      <c r="K644" s="119"/>
      <c r="L644" s="113">
        <v>1253738</v>
      </c>
      <c r="M644" s="113">
        <v>0</v>
      </c>
      <c r="N644" s="113">
        <v>0</v>
      </c>
      <c r="O644" s="113">
        <f t="shared" si="194"/>
        <v>1253738</v>
      </c>
      <c r="P644" s="113">
        <v>0</v>
      </c>
      <c r="Q644" s="114" t="e">
        <f t="shared" si="195"/>
        <v>#DIV/0!</v>
      </c>
      <c r="R644" s="115"/>
      <c r="S644" s="326">
        <v>43465</v>
      </c>
    </row>
    <row r="645" spans="1:19" customFormat="1" ht="15.75">
      <c r="A645" s="107">
        <f t="shared" si="196"/>
        <v>61</v>
      </c>
      <c r="B645" s="305" t="s">
        <v>470</v>
      </c>
      <c r="C645" s="108">
        <v>1984</v>
      </c>
      <c r="D645" s="108"/>
      <c r="E645" s="109" t="s">
        <v>219</v>
      </c>
      <c r="F645" s="110">
        <v>9</v>
      </c>
      <c r="G645" s="110">
        <v>1</v>
      </c>
      <c r="H645" s="111"/>
      <c r="I645" s="111"/>
      <c r="J645" s="111"/>
      <c r="K645" s="112"/>
      <c r="L645" s="113">
        <v>1870046</v>
      </c>
      <c r="M645" s="113">
        <v>0</v>
      </c>
      <c r="N645" s="113">
        <v>0</v>
      </c>
      <c r="O645" s="113">
        <f t="shared" si="194"/>
        <v>1870046</v>
      </c>
      <c r="P645" s="113">
        <v>0</v>
      </c>
      <c r="Q645" s="114" t="e">
        <f t="shared" si="195"/>
        <v>#DIV/0!</v>
      </c>
      <c r="R645" s="115"/>
      <c r="S645" s="326">
        <v>43465</v>
      </c>
    </row>
    <row r="646" spans="1:19" customFormat="1" ht="15.75">
      <c r="A646" s="107">
        <f t="shared" si="196"/>
        <v>62</v>
      </c>
      <c r="B646" s="305" t="s">
        <v>350</v>
      </c>
      <c r="C646" s="108">
        <v>1984</v>
      </c>
      <c r="D646" s="108"/>
      <c r="E646" s="109" t="s">
        <v>219</v>
      </c>
      <c r="F646" s="110">
        <v>9</v>
      </c>
      <c r="G646" s="110">
        <v>2</v>
      </c>
      <c r="H646" s="111"/>
      <c r="I646" s="111"/>
      <c r="J646" s="111"/>
      <c r="K646" s="112"/>
      <c r="L646" s="113">
        <v>3720676</v>
      </c>
      <c r="M646" s="113">
        <v>0</v>
      </c>
      <c r="N646" s="113">
        <v>0</v>
      </c>
      <c r="O646" s="113">
        <f t="shared" si="194"/>
        <v>3720676</v>
      </c>
      <c r="P646" s="113">
        <v>0</v>
      </c>
      <c r="Q646" s="114" t="e">
        <f t="shared" si="195"/>
        <v>#DIV/0!</v>
      </c>
      <c r="R646" s="115"/>
      <c r="S646" s="326">
        <v>43465</v>
      </c>
    </row>
    <row r="647" spans="1:19" customFormat="1" ht="31.5">
      <c r="A647" s="107">
        <f t="shared" si="196"/>
        <v>63</v>
      </c>
      <c r="B647" s="305" t="s">
        <v>251</v>
      </c>
      <c r="C647" s="118">
        <v>1977</v>
      </c>
      <c r="D647" s="118"/>
      <c r="E647" s="109" t="s">
        <v>218</v>
      </c>
      <c r="F647" s="118">
        <v>5</v>
      </c>
      <c r="G647" s="118">
        <v>6</v>
      </c>
      <c r="H647" s="118"/>
      <c r="I647" s="118"/>
      <c r="J647" s="118"/>
      <c r="K647" s="119"/>
      <c r="L647" s="113">
        <v>3687908</v>
      </c>
      <c r="M647" s="113">
        <v>0</v>
      </c>
      <c r="N647" s="113">
        <v>0</v>
      </c>
      <c r="O647" s="113">
        <f t="shared" si="194"/>
        <v>3687908</v>
      </c>
      <c r="P647" s="113">
        <v>0</v>
      </c>
      <c r="Q647" s="114" t="e">
        <f t="shared" si="195"/>
        <v>#DIV/0!</v>
      </c>
      <c r="R647" s="115"/>
      <c r="S647" s="326">
        <v>43465</v>
      </c>
    </row>
    <row r="648" spans="1:19" customFormat="1" ht="31.5">
      <c r="A648" s="107">
        <f t="shared" si="196"/>
        <v>64</v>
      </c>
      <c r="B648" s="305" t="s">
        <v>226</v>
      </c>
      <c r="C648" s="118">
        <v>1933</v>
      </c>
      <c r="D648" s="118"/>
      <c r="E648" s="109" t="s">
        <v>218</v>
      </c>
      <c r="F648" s="118">
        <v>4</v>
      </c>
      <c r="G648" s="118">
        <v>5</v>
      </c>
      <c r="H648" s="118"/>
      <c r="I648" s="118"/>
      <c r="J648" s="118"/>
      <c r="K648" s="119"/>
      <c r="L648" s="113">
        <v>1760967.35</v>
      </c>
      <c r="M648" s="113">
        <v>0</v>
      </c>
      <c r="N648" s="113">
        <v>0</v>
      </c>
      <c r="O648" s="113">
        <f t="shared" si="194"/>
        <v>1760967.35</v>
      </c>
      <c r="P648" s="113">
        <v>0</v>
      </c>
      <c r="Q648" s="114" t="e">
        <f t="shared" si="195"/>
        <v>#DIV/0!</v>
      </c>
      <c r="R648" s="115"/>
      <c r="S648" s="326">
        <v>43465</v>
      </c>
    </row>
    <row r="649" spans="1:19" customFormat="1" ht="31.5">
      <c r="A649" s="107">
        <f t="shared" si="196"/>
        <v>65</v>
      </c>
      <c r="B649" s="305" t="s">
        <v>271</v>
      </c>
      <c r="C649" s="118">
        <v>1961</v>
      </c>
      <c r="D649" s="118"/>
      <c r="E649" s="109" t="s">
        <v>218</v>
      </c>
      <c r="F649" s="118">
        <v>5</v>
      </c>
      <c r="G649" s="118">
        <v>4</v>
      </c>
      <c r="H649" s="118"/>
      <c r="I649" s="118"/>
      <c r="J649" s="118"/>
      <c r="K649" s="119"/>
      <c r="L649" s="113">
        <v>881947</v>
      </c>
      <c r="M649" s="113">
        <v>0</v>
      </c>
      <c r="N649" s="113">
        <v>0</v>
      </c>
      <c r="O649" s="113">
        <f t="shared" ref="O649:O712" si="197">L649</f>
        <v>881947</v>
      </c>
      <c r="P649" s="113">
        <v>0</v>
      </c>
      <c r="Q649" s="114" t="e">
        <f t="shared" ref="Q649:Q712" si="198">L649/I649</f>
        <v>#DIV/0!</v>
      </c>
      <c r="R649" s="115"/>
      <c r="S649" s="326">
        <v>43465</v>
      </c>
    </row>
    <row r="650" spans="1:19" customFormat="1" ht="31.5">
      <c r="A650" s="107">
        <f t="shared" si="196"/>
        <v>66</v>
      </c>
      <c r="B650" s="305" t="s">
        <v>287</v>
      </c>
      <c r="C650" s="108">
        <v>1960</v>
      </c>
      <c r="D650" s="108"/>
      <c r="E650" s="109" t="s">
        <v>218</v>
      </c>
      <c r="F650" s="110">
        <v>2</v>
      </c>
      <c r="G650" s="110">
        <v>2</v>
      </c>
      <c r="H650" s="111"/>
      <c r="I650" s="111"/>
      <c r="J650" s="111"/>
      <c r="K650" s="112"/>
      <c r="L650" s="113">
        <v>517739</v>
      </c>
      <c r="M650" s="113">
        <v>0</v>
      </c>
      <c r="N650" s="113">
        <v>0</v>
      </c>
      <c r="O650" s="113">
        <f t="shared" si="197"/>
        <v>517739</v>
      </c>
      <c r="P650" s="113">
        <v>0</v>
      </c>
      <c r="Q650" s="114" t="e">
        <f t="shared" si="198"/>
        <v>#DIV/0!</v>
      </c>
      <c r="R650" s="115"/>
      <c r="S650" s="326">
        <v>43465</v>
      </c>
    </row>
    <row r="651" spans="1:19" customFormat="1" ht="31.5">
      <c r="A651" s="107">
        <f t="shared" ref="A651:A714" si="199">A650+1</f>
        <v>67</v>
      </c>
      <c r="B651" s="301" t="s">
        <v>289</v>
      </c>
      <c r="C651" s="108">
        <v>1966</v>
      </c>
      <c r="D651" s="108"/>
      <c r="E651" s="109" t="s">
        <v>218</v>
      </c>
      <c r="F651" s="110">
        <v>5</v>
      </c>
      <c r="G651" s="110">
        <v>4</v>
      </c>
      <c r="H651" s="111"/>
      <c r="I651" s="111"/>
      <c r="J651" s="111"/>
      <c r="K651" s="112"/>
      <c r="L651" s="113">
        <v>1728895</v>
      </c>
      <c r="M651" s="113">
        <v>0</v>
      </c>
      <c r="N651" s="113">
        <v>0</v>
      </c>
      <c r="O651" s="113">
        <f t="shared" si="197"/>
        <v>1728895</v>
      </c>
      <c r="P651" s="113">
        <v>0</v>
      </c>
      <c r="Q651" s="114" t="e">
        <f t="shared" si="198"/>
        <v>#DIV/0!</v>
      </c>
      <c r="R651" s="115"/>
      <c r="S651" s="326">
        <v>43465</v>
      </c>
    </row>
    <row r="652" spans="1:19" customFormat="1" ht="15.75">
      <c r="A652" s="107">
        <f t="shared" si="199"/>
        <v>68</v>
      </c>
      <c r="B652" s="305" t="s">
        <v>259</v>
      </c>
      <c r="C652" s="118">
        <v>1925</v>
      </c>
      <c r="D652" s="118"/>
      <c r="E652" s="109" t="s">
        <v>221</v>
      </c>
      <c r="F652" s="118">
        <v>2</v>
      </c>
      <c r="G652" s="118">
        <v>2</v>
      </c>
      <c r="H652" s="118"/>
      <c r="I652" s="118"/>
      <c r="J652" s="118"/>
      <c r="K652" s="119"/>
      <c r="L652" s="113">
        <v>682529</v>
      </c>
      <c r="M652" s="113">
        <v>0</v>
      </c>
      <c r="N652" s="113">
        <v>0</v>
      </c>
      <c r="O652" s="113">
        <f t="shared" si="197"/>
        <v>682529</v>
      </c>
      <c r="P652" s="113">
        <v>0</v>
      </c>
      <c r="Q652" s="114" t="e">
        <f t="shared" si="198"/>
        <v>#DIV/0!</v>
      </c>
      <c r="R652" s="115"/>
      <c r="S652" s="326">
        <v>43465</v>
      </c>
    </row>
    <row r="653" spans="1:19" customFormat="1" ht="15.75">
      <c r="A653" s="107">
        <f t="shared" si="199"/>
        <v>69</v>
      </c>
      <c r="B653" s="305" t="s">
        <v>291</v>
      </c>
      <c r="C653" s="108">
        <v>1900</v>
      </c>
      <c r="D653" s="108"/>
      <c r="E653" s="109" t="s">
        <v>221</v>
      </c>
      <c r="F653" s="110">
        <v>2</v>
      </c>
      <c r="G653" s="110">
        <v>2</v>
      </c>
      <c r="H653" s="111"/>
      <c r="I653" s="111"/>
      <c r="J653" s="111"/>
      <c r="K653" s="112"/>
      <c r="L653" s="113">
        <v>582157</v>
      </c>
      <c r="M653" s="113">
        <v>0</v>
      </c>
      <c r="N653" s="113">
        <v>0</v>
      </c>
      <c r="O653" s="113">
        <f t="shared" si="197"/>
        <v>582157</v>
      </c>
      <c r="P653" s="113">
        <v>0</v>
      </c>
      <c r="Q653" s="114" t="e">
        <f t="shared" si="198"/>
        <v>#DIV/0!</v>
      </c>
      <c r="R653" s="115"/>
      <c r="S653" s="326">
        <v>43465</v>
      </c>
    </row>
    <row r="654" spans="1:19" customFormat="1" ht="31.5">
      <c r="A654" s="107">
        <f t="shared" si="199"/>
        <v>70</v>
      </c>
      <c r="B654" s="305" t="s">
        <v>224</v>
      </c>
      <c r="C654" s="118">
        <v>1934</v>
      </c>
      <c r="D654" s="118"/>
      <c r="E654" s="109" t="s">
        <v>218</v>
      </c>
      <c r="F654" s="118">
        <v>3</v>
      </c>
      <c r="G654" s="118">
        <v>5</v>
      </c>
      <c r="H654" s="118"/>
      <c r="I654" s="118"/>
      <c r="J654" s="118"/>
      <c r="K654" s="119"/>
      <c r="L654" s="113">
        <v>701704</v>
      </c>
      <c r="M654" s="113">
        <v>0</v>
      </c>
      <c r="N654" s="113">
        <v>0</v>
      </c>
      <c r="O654" s="113">
        <f t="shared" si="197"/>
        <v>701704</v>
      </c>
      <c r="P654" s="113">
        <v>0</v>
      </c>
      <c r="Q654" s="114" t="e">
        <f t="shared" si="198"/>
        <v>#DIV/0!</v>
      </c>
      <c r="R654" s="115"/>
      <c r="S654" s="326">
        <v>43465</v>
      </c>
    </row>
    <row r="655" spans="1:19" customFormat="1" ht="15.75">
      <c r="A655" s="107">
        <f t="shared" si="199"/>
        <v>71</v>
      </c>
      <c r="B655" s="305" t="s">
        <v>261</v>
      </c>
      <c r="C655" s="118">
        <v>1970</v>
      </c>
      <c r="D655" s="118"/>
      <c r="E655" s="109" t="s">
        <v>219</v>
      </c>
      <c r="F655" s="118">
        <v>5</v>
      </c>
      <c r="G655" s="118">
        <v>6</v>
      </c>
      <c r="H655" s="118"/>
      <c r="I655" s="118"/>
      <c r="J655" s="118"/>
      <c r="K655" s="119"/>
      <c r="L655" s="113">
        <v>1969149</v>
      </c>
      <c r="M655" s="113">
        <v>0</v>
      </c>
      <c r="N655" s="113">
        <v>0</v>
      </c>
      <c r="O655" s="113">
        <f t="shared" si="197"/>
        <v>1969149</v>
      </c>
      <c r="P655" s="113">
        <v>0</v>
      </c>
      <c r="Q655" s="114" t="e">
        <f t="shared" si="198"/>
        <v>#DIV/0!</v>
      </c>
      <c r="R655" s="115"/>
      <c r="S655" s="326">
        <v>43465</v>
      </c>
    </row>
    <row r="656" spans="1:19" customFormat="1" ht="31.5">
      <c r="A656" s="107">
        <f t="shared" si="199"/>
        <v>72</v>
      </c>
      <c r="B656" s="305" t="s">
        <v>239</v>
      </c>
      <c r="C656" s="118">
        <v>1956</v>
      </c>
      <c r="D656" s="118"/>
      <c r="E656" s="109" t="s">
        <v>218</v>
      </c>
      <c r="F656" s="118">
        <v>3</v>
      </c>
      <c r="G656" s="118">
        <v>3</v>
      </c>
      <c r="H656" s="118"/>
      <c r="I656" s="118"/>
      <c r="J656" s="118"/>
      <c r="K656" s="119"/>
      <c r="L656" s="113">
        <v>1023088</v>
      </c>
      <c r="M656" s="113">
        <v>0</v>
      </c>
      <c r="N656" s="113">
        <v>0</v>
      </c>
      <c r="O656" s="113">
        <f t="shared" si="197"/>
        <v>1023088</v>
      </c>
      <c r="P656" s="113">
        <v>0</v>
      </c>
      <c r="Q656" s="114" t="e">
        <f t="shared" si="198"/>
        <v>#DIV/0!</v>
      </c>
      <c r="R656" s="115"/>
      <c r="S656" s="326">
        <v>43465</v>
      </c>
    </row>
    <row r="657" spans="1:30" customFormat="1" ht="31.5">
      <c r="A657" s="107">
        <f t="shared" si="199"/>
        <v>73</v>
      </c>
      <c r="B657" s="305" t="s">
        <v>336</v>
      </c>
      <c r="C657" s="118">
        <v>1957</v>
      </c>
      <c r="D657" s="118"/>
      <c r="E657" s="109" t="s">
        <v>218</v>
      </c>
      <c r="F657" s="118">
        <v>3</v>
      </c>
      <c r="G657" s="118">
        <v>3</v>
      </c>
      <c r="H657" s="118"/>
      <c r="I657" s="118"/>
      <c r="J657" s="118"/>
      <c r="K657" s="119"/>
      <c r="L657" s="113">
        <v>3334570</v>
      </c>
      <c r="M657" s="113">
        <v>0</v>
      </c>
      <c r="N657" s="113">
        <v>0</v>
      </c>
      <c r="O657" s="113">
        <f t="shared" si="197"/>
        <v>3334570</v>
      </c>
      <c r="P657" s="113">
        <v>0</v>
      </c>
      <c r="Q657" s="114" t="e">
        <f t="shared" si="198"/>
        <v>#DIV/0!</v>
      </c>
      <c r="R657" s="115"/>
      <c r="S657" s="326">
        <v>43465</v>
      </c>
    </row>
    <row r="658" spans="1:30" customFormat="1" ht="31.5">
      <c r="A658" s="107">
        <f t="shared" si="199"/>
        <v>74</v>
      </c>
      <c r="B658" s="305" t="s">
        <v>306</v>
      </c>
      <c r="C658" s="108">
        <v>1970</v>
      </c>
      <c r="D658" s="108"/>
      <c r="E658" s="109" t="s">
        <v>218</v>
      </c>
      <c r="F658" s="110">
        <v>5</v>
      </c>
      <c r="G658" s="110">
        <v>2</v>
      </c>
      <c r="H658" s="111"/>
      <c r="I658" s="111"/>
      <c r="J658" s="111"/>
      <c r="K658" s="112"/>
      <c r="L658" s="113">
        <v>1127374.33</v>
      </c>
      <c r="M658" s="113">
        <v>0</v>
      </c>
      <c r="N658" s="113">
        <v>0</v>
      </c>
      <c r="O658" s="113">
        <f t="shared" si="197"/>
        <v>1127374.33</v>
      </c>
      <c r="P658" s="113">
        <v>0</v>
      </c>
      <c r="Q658" s="114" t="e">
        <f t="shared" si="198"/>
        <v>#DIV/0!</v>
      </c>
      <c r="R658" s="115"/>
      <c r="S658" s="326">
        <v>43465</v>
      </c>
    </row>
    <row r="659" spans="1:30" customFormat="1" ht="15.75">
      <c r="A659" s="107">
        <f t="shared" si="199"/>
        <v>75</v>
      </c>
      <c r="B659" s="301" t="s">
        <v>234</v>
      </c>
      <c r="C659" s="118">
        <v>1968</v>
      </c>
      <c r="D659" s="118"/>
      <c r="E659" s="109" t="s">
        <v>219</v>
      </c>
      <c r="F659" s="118">
        <v>5</v>
      </c>
      <c r="G659" s="118">
        <v>6</v>
      </c>
      <c r="H659" s="111"/>
      <c r="I659" s="118"/>
      <c r="J659" s="118"/>
      <c r="K659" s="119"/>
      <c r="L659" s="113">
        <v>1161456</v>
      </c>
      <c r="M659" s="113">
        <v>0</v>
      </c>
      <c r="N659" s="113">
        <v>0</v>
      </c>
      <c r="O659" s="113">
        <f t="shared" si="197"/>
        <v>1161456</v>
      </c>
      <c r="P659" s="113">
        <v>0</v>
      </c>
      <c r="Q659" s="114" t="e">
        <f t="shared" si="198"/>
        <v>#DIV/0!</v>
      </c>
      <c r="R659" s="115"/>
      <c r="S659" s="326">
        <v>43465</v>
      </c>
    </row>
    <row r="660" spans="1:30" customFormat="1" ht="31.5">
      <c r="A660" s="107">
        <f t="shared" si="199"/>
        <v>76</v>
      </c>
      <c r="B660" s="301" t="s">
        <v>277</v>
      </c>
      <c r="C660" s="107">
        <v>1971</v>
      </c>
      <c r="D660" s="108"/>
      <c r="E660" s="109" t="s">
        <v>218</v>
      </c>
      <c r="F660" s="108">
        <v>5</v>
      </c>
      <c r="G660" s="108">
        <v>4</v>
      </c>
      <c r="H660" s="117"/>
      <c r="I660" s="117"/>
      <c r="J660" s="117"/>
      <c r="K660" s="101"/>
      <c r="L660" s="113">
        <v>1197250.23</v>
      </c>
      <c r="M660" s="113">
        <v>0</v>
      </c>
      <c r="N660" s="113">
        <v>0</v>
      </c>
      <c r="O660" s="113">
        <f t="shared" si="197"/>
        <v>1197250.23</v>
      </c>
      <c r="P660" s="113">
        <v>0</v>
      </c>
      <c r="Q660" s="114" t="e">
        <f t="shared" si="198"/>
        <v>#DIV/0!</v>
      </c>
      <c r="R660" s="115"/>
      <c r="S660" s="326">
        <v>43465</v>
      </c>
    </row>
    <row r="661" spans="1:30" customFormat="1" ht="31.5">
      <c r="A661" s="107">
        <f t="shared" si="199"/>
        <v>77</v>
      </c>
      <c r="B661" s="305" t="s">
        <v>303</v>
      </c>
      <c r="C661" s="108">
        <v>1954</v>
      </c>
      <c r="D661" s="108"/>
      <c r="E661" s="109" t="s">
        <v>218</v>
      </c>
      <c r="F661" s="110">
        <v>4</v>
      </c>
      <c r="G661" s="110">
        <v>3</v>
      </c>
      <c r="H661" s="111"/>
      <c r="I661" s="111"/>
      <c r="J661" s="111"/>
      <c r="K661" s="112"/>
      <c r="L661" s="113">
        <v>2784233</v>
      </c>
      <c r="M661" s="113">
        <v>0</v>
      </c>
      <c r="N661" s="113">
        <v>0</v>
      </c>
      <c r="O661" s="113">
        <f t="shared" si="197"/>
        <v>2784233</v>
      </c>
      <c r="P661" s="113">
        <v>0</v>
      </c>
      <c r="Q661" s="114" t="e">
        <f t="shared" si="198"/>
        <v>#DIV/0!</v>
      </c>
      <c r="R661" s="115"/>
      <c r="S661" s="326">
        <v>43465</v>
      </c>
    </row>
    <row r="662" spans="1:30" customFormat="1" ht="31.5">
      <c r="A662" s="107">
        <f t="shared" si="199"/>
        <v>78</v>
      </c>
      <c r="B662" s="305" t="s">
        <v>293</v>
      </c>
      <c r="C662" s="108">
        <v>1968</v>
      </c>
      <c r="D662" s="108"/>
      <c r="E662" s="109" t="s">
        <v>218</v>
      </c>
      <c r="F662" s="110">
        <v>5</v>
      </c>
      <c r="G662" s="110">
        <v>4</v>
      </c>
      <c r="H662" s="111"/>
      <c r="I662" s="111"/>
      <c r="J662" s="111"/>
      <c r="K662" s="112"/>
      <c r="L662" s="113">
        <v>2369961</v>
      </c>
      <c r="M662" s="113">
        <v>0</v>
      </c>
      <c r="N662" s="113">
        <v>0</v>
      </c>
      <c r="O662" s="113">
        <f t="shared" si="197"/>
        <v>2369961</v>
      </c>
      <c r="P662" s="113">
        <v>0</v>
      </c>
      <c r="Q662" s="114" t="e">
        <f t="shared" si="198"/>
        <v>#DIV/0!</v>
      </c>
      <c r="R662" s="115"/>
      <c r="S662" s="326">
        <v>43465</v>
      </c>
    </row>
    <row r="663" spans="1:30" customFormat="1" ht="31.5">
      <c r="A663" s="107">
        <f t="shared" si="199"/>
        <v>79</v>
      </c>
      <c r="B663" s="301" t="s">
        <v>463</v>
      </c>
      <c r="C663" s="107">
        <v>1959</v>
      </c>
      <c r="D663" s="108"/>
      <c r="E663" s="109" t="s">
        <v>218</v>
      </c>
      <c r="F663" s="108">
        <v>2</v>
      </c>
      <c r="G663" s="108">
        <v>1</v>
      </c>
      <c r="H663" s="117"/>
      <c r="I663" s="117"/>
      <c r="J663" s="117"/>
      <c r="K663" s="101"/>
      <c r="L663" s="113">
        <v>672819</v>
      </c>
      <c r="M663" s="113">
        <v>0</v>
      </c>
      <c r="N663" s="113">
        <v>0</v>
      </c>
      <c r="O663" s="113">
        <f t="shared" si="197"/>
        <v>672819</v>
      </c>
      <c r="P663" s="113">
        <v>0</v>
      </c>
      <c r="Q663" s="114" t="e">
        <f t="shared" si="198"/>
        <v>#DIV/0!</v>
      </c>
      <c r="R663" s="115"/>
      <c r="S663" s="326">
        <v>43465</v>
      </c>
    </row>
    <row r="664" spans="1:30" customFormat="1" ht="15.75">
      <c r="A664" s="107">
        <f t="shared" si="199"/>
        <v>80</v>
      </c>
      <c r="B664" s="305" t="s">
        <v>340</v>
      </c>
      <c r="C664" s="107">
        <v>1968</v>
      </c>
      <c r="D664" s="108"/>
      <c r="E664" s="109" t="s">
        <v>219</v>
      </c>
      <c r="F664" s="108">
        <v>5</v>
      </c>
      <c r="G664" s="108">
        <v>5</v>
      </c>
      <c r="H664" s="117"/>
      <c r="I664" s="117"/>
      <c r="J664" s="117"/>
      <c r="K664" s="101"/>
      <c r="L664" s="113">
        <v>1651491</v>
      </c>
      <c r="M664" s="113">
        <v>0</v>
      </c>
      <c r="N664" s="113">
        <v>0</v>
      </c>
      <c r="O664" s="113">
        <f t="shared" si="197"/>
        <v>1651491</v>
      </c>
      <c r="P664" s="113">
        <v>0</v>
      </c>
      <c r="Q664" s="114" t="e">
        <f t="shared" si="198"/>
        <v>#DIV/0!</v>
      </c>
      <c r="R664" s="115"/>
      <c r="S664" s="326">
        <v>43465</v>
      </c>
    </row>
    <row r="665" spans="1:30" customFormat="1" ht="31.5">
      <c r="A665" s="107">
        <f t="shared" si="199"/>
        <v>81</v>
      </c>
      <c r="B665" s="301" t="s">
        <v>254</v>
      </c>
      <c r="C665" s="118">
        <v>1962</v>
      </c>
      <c r="D665" s="118"/>
      <c r="E665" s="109" t="s">
        <v>218</v>
      </c>
      <c r="F665" s="118">
        <v>3</v>
      </c>
      <c r="G665" s="118">
        <v>3</v>
      </c>
      <c r="H665" s="118"/>
      <c r="I665" s="118"/>
      <c r="J665" s="118"/>
      <c r="K665" s="119"/>
      <c r="L665" s="113">
        <v>1432926</v>
      </c>
      <c r="M665" s="113">
        <v>0</v>
      </c>
      <c r="N665" s="113">
        <v>0</v>
      </c>
      <c r="O665" s="113">
        <f t="shared" si="197"/>
        <v>1432926</v>
      </c>
      <c r="P665" s="113">
        <v>0</v>
      </c>
      <c r="Q665" s="114" t="e">
        <f t="shared" si="198"/>
        <v>#DIV/0!</v>
      </c>
      <c r="R665" s="115"/>
      <c r="S665" s="326">
        <v>43465</v>
      </c>
    </row>
    <row r="666" spans="1:30" customFormat="1" ht="31.5">
      <c r="A666" s="107">
        <f t="shared" si="199"/>
        <v>82</v>
      </c>
      <c r="B666" s="301" t="s">
        <v>343</v>
      </c>
      <c r="C666" s="107">
        <v>1955</v>
      </c>
      <c r="D666" s="108"/>
      <c r="E666" s="109" t="s">
        <v>218</v>
      </c>
      <c r="F666" s="108">
        <v>2</v>
      </c>
      <c r="G666" s="108">
        <v>2</v>
      </c>
      <c r="H666" s="117"/>
      <c r="I666" s="117"/>
      <c r="J666" s="117"/>
      <c r="K666" s="101"/>
      <c r="L666" s="113">
        <v>1137886</v>
      </c>
      <c r="M666" s="113">
        <v>0</v>
      </c>
      <c r="N666" s="113">
        <v>0</v>
      </c>
      <c r="O666" s="113">
        <f t="shared" si="197"/>
        <v>1137886</v>
      </c>
      <c r="P666" s="113">
        <v>0</v>
      </c>
      <c r="Q666" s="114" t="e">
        <f t="shared" si="198"/>
        <v>#DIV/0!</v>
      </c>
      <c r="R666" s="115"/>
      <c r="S666" s="326">
        <v>43465</v>
      </c>
    </row>
    <row r="667" spans="1:30" customFormat="1" ht="31.5">
      <c r="A667" s="107">
        <f t="shared" si="199"/>
        <v>83</v>
      </c>
      <c r="B667" s="305" t="s">
        <v>305</v>
      </c>
      <c r="C667" s="108">
        <v>1971</v>
      </c>
      <c r="D667" s="108"/>
      <c r="E667" s="109" t="s">
        <v>218</v>
      </c>
      <c r="F667" s="110">
        <v>5</v>
      </c>
      <c r="G667" s="110">
        <v>4</v>
      </c>
      <c r="H667" s="111"/>
      <c r="I667" s="111"/>
      <c r="J667" s="111"/>
      <c r="K667" s="112"/>
      <c r="L667" s="113">
        <v>1814838</v>
      </c>
      <c r="M667" s="113">
        <v>0</v>
      </c>
      <c r="N667" s="113">
        <v>0</v>
      </c>
      <c r="O667" s="113">
        <f t="shared" si="197"/>
        <v>1814838</v>
      </c>
      <c r="P667" s="113">
        <v>0</v>
      </c>
      <c r="Q667" s="114" t="e">
        <f t="shared" si="198"/>
        <v>#DIV/0!</v>
      </c>
      <c r="R667" s="115"/>
      <c r="S667" s="326">
        <v>43465</v>
      </c>
    </row>
    <row r="668" spans="1:30" customFormat="1" ht="31.5">
      <c r="A668" s="107">
        <f t="shared" si="199"/>
        <v>84</v>
      </c>
      <c r="B668" s="305" t="s">
        <v>345</v>
      </c>
      <c r="C668" s="108">
        <v>1970</v>
      </c>
      <c r="D668" s="108"/>
      <c r="E668" s="109" t="s">
        <v>218</v>
      </c>
      <c r="F668" s="110">
        <v>5</v>
      </c>
      <c r="G668" s="110">
        <v>4</v>
      </c>
      <c r="H668" s="111"/>
      <c r="I668" s="111"/>
      <c r="J668" s="111"/>
      <c r="K668" s="112"/>
      <c r="L668" s="113">
        <v>1544359.54</v>
      </c>
      <c r="M668" s="113">
        <v>0</v>
      </c>
      <c r="N668" s="113">
        <v>0</v>
      </c>
      <c r="O668" s="113">
        <f t="shared" si="197"/>
        <v>1544359.54</v>
      </c>
      <c r="P668" s="113">
        <v>0</v>
      </c>
      <c r="Q668" s="114" t="e">
        <f t="shared" si="198"/>
        <v>#DIV/0!</v>
      </c>
      <c r="R668" s="115"/>
      <c r="S668" s="326">
        <v>43465</v>
      </c>
    </row>
    <row r="669" spans="1:30" customFormat="1" ht="31.5">
      <c r="A669" s="107">
        <f t="shared" si="199"/>
        <v>85</v>
      </c>
      <c r="B669" s="301" t="s">
        <v>447</v>
      </c>
      <c r="C669" s="108">
        <v>1987</v>
      </c>
      <c r="D669" s="108"/>
      <c r="E669" s="109" t="s">
        <v>219</v>
      </c>
      <c r="F669" s="110">
        <v>9</v>
      </c>
      <c r="G669" s="110">
        <v>1</v>
      </c>
      <c r="H669" s="111"/>
      <c r="I669" s="111"/>
      <c r="J669" s="111"/>
      <c r="K669" s="112"/>
      <c r="L669" s="113">
        <v>1787034</v>
      </c>
      <c r="M669" s="113">
        <v>0</v>
      </c>
      <c r="N669" s="113">
        <v>0</v>
      </c>
      <c r="O669" s="113">
        <f t="shared" si="197"/>
        <v>1787034</v>
      </c>
      <c r="P669" s="113">
        <v>0</v>
      </c>
      <c r="Q669" s="114" t="e">
        <f t="shared" si="198"/>
        <v>#DIV/0!</v>
      </c>
      <c r="R669" s="115"/>
      <c r="S669" s="326">
        <v>43465</v>
      </c>
    </row>
    <row r="670" spans="1:30" customFormat="1" ht="31.5">
      <c r="A670" s="107">
        <f t="shared" si="199"/>
        <v>86</v>
      </c>
      <c r="B670" s="301" t="s">
        <v>223</v>
      </c>
      <c r="C670" s="118">
        <v>1983</v>
      </c>
      <c r="D670" s="118"/>
      <c r="E670" s="109" t="s">
        <v>219</v>
      </c>
      <c r="F670" s="118">
        <v>9</v>
      </c>
      <c r="G670" s="118">
        <v>4</v>
      </c>
      <c r="H670" s="118"/>
      <c r="I670" s="118"/>
      <c r="J670" s="118"/>
      <c r="K670" s="119"/>
      <c r="L670" s="113">
        <v>437998.57</v>
      </c>
      <c r="M670" s="113">
        <v>0</v>
      </c>
      <c r="N670" s="113">
        <v>0</v>
      </c>
      <c r="O670" s="113">
        <f t="shared" si="197"/>
        <v>437998.57</v>
      </c>
      <c r="P670" s="113">
        <v>0</v>
      </c>
      <c r="Q670" s="114" t="e">
        <f t="shared" si="198"/>
        <v>#DIV/0!</v>
      </c>
      <c r="R670" s="115"/>
      <c r="S670" s="326">
        <v>43465</v>
      </c>
      <c r="T670" s="3"/>
      <c r="U670" s="3"/>
      <c r="V670" s="3"/>
      <c r="W670" s="3"/>
      <c r="X670" s="3"/>
      <c r="Y670" s="3"/>
    </row>
    <row r="671" spans="1:30" customFormat="1" ht="31.5">
      <c r="A671" s="107">
        <f t="shared" si="199"/>
        <v>87</v>
      </c>
      <c r="B671" s="301" t="s">
        <v>446</v>
      </c>
      <c r="C671" s="108">
        <v>1976</v>
      </c>
      <c r="D671" s="108"/>
      <c r="E671" s="109" t="s">
        <v>219</v>
      </c>
      <c r="F671" s="110">
        <v>5</v>
      </c>
      <c r="G671" s="110">
        <v>4</v>
      </c>
      <c r="H671" s="111"/>
      <c r="I671" s="111"/>
      <c r="J671" s="111"/>
      <c r="K671" s="112"/>
      <c r="L671" s="113">
        <v>1116228</v>
      </c>
      <c r="M671" s="113">
        <v>0</v>
      </c>
      <c r="N671" s="113">
        <v>0</v>
      </c>
      <c r="O671" s="113">
        <f t="shared" si="197"/>
        <v>1116228</v>
      </c>
      <c r="P671" s="113">
        <v>0</v>
      </c>
      <c r="Q671" s="114" t="e">
        <f t="shared" si="198"/>
        <v>#DIV/0!</v>
      </c>
      <c r="R671" s="115"/>
      <c r="S671" s="326">
        <v>43465</v>
      </c>
      <c r="Z671" s="3"/>
      <c r="AA671" s="3"/>
      <c r="AB671" s="3"/>
      <c r="AC671" s="3"/>
      <c r="AD671" s="3"/>
    </row>
    <row r="672" spans="1:30" customFormat="1" ht="31.5">
      <c r="A672" s="107">
        <f t="shared" si="199"/>
        <v>88</v>
      </c>
      <c r="B672" s="301" t="s">
        <v>448</v>
      </c>
      <c r="C672" s="108">
        <v>1983</v>
      </c>
      <c r="D672" s="108"/>
      <c r="E672" s="109" t="s">
        <v>219</v>
      </c>
      <c r="F672" s="110">
        <v>5</v>
      </c>
      <c r="G672" s="110">
        <v>3</v>
      </c>
      <c r="H672" s="111"/>
      <c r="I672" s="111"/>
      <c r="J672" s="111"/>
      <c r="K672" s="112"/>
      <c r="L672" s="113">
        <v>1313728</v>
      </c>
      <c r="M672" s="113">
        <v>0</v>
      </c>
      <c r="N672" s="113">
        <v>0</v>
      </c>
      <c r="O672" s="113">
        <f t="shared" si="197"/>
        <v>1313728</v>
      </c>
      <c r="P672" s="113">
        <v>0</v>
      </c>
      <c r="Q672" s="114" t="e">
        <f t="shared" si="198"/>
        <v>#DIV/0!</v>
      </c>
      <c r="R672" s="115"/>
      <c r="S672" s="326">
        <v>43465</v>
      </c>
      <c r="T672" s="62"/>
      <c r="U672" s="62"/>
      <c r="V672" s="62"/>
      <c r="W672" s="62"/>
      <c r="X672" s="62"/>
      <c r="Y672" s="62"/>
    </row>
    <row r="673" spans="1:30" customFormat="1" ht="31.5">
      <c r="A673" s="107">
        <f t="shared" si="199"/>
        <v>89</v>
      </c>
      <c r="B673" s="305" t="s">
        <v>241</v>
      </c>
      <c r="C673" s="118">
        <v>1958</v>
      </c>
      <c r="D673" s="118"/>
      <c r="E673" s="109" t="s">
        <v>218</v>
      </c>
      <c r="F673" s="118">
        <v>2</v>
      </c>
      <c r="G673" s="118">
        <v>1</v>
      </c>
      <c r="H673" s="118"/>
      <c r="I673" s="118"/>
      <c r="J673" s="118"/>
      <c r="K673" s="119"/>
      <c r="L673" s="113">
        <v>359651</v>
      </c>
      <c r="M673" s="113">
        <v>0</v>
      </c>
      <c r="N673" s="113">
        <v>0</v>
      </c>
      <c r="O673" s="113">
        <f t="shared" si="197"/>
        <v>359651</v>
      </c>
      <c r="P673" s="113">
        <v>0</v>
      </c>
      <c r="Q673" s="114" t="e">
        <f t="shared" si="198"/>
        <v>#DIV/0!</v>
      </c>
      <c r="R673" s="115"/>
      <c r="S673" s="326">
        <v>43465</v>
      </c>
      <c r="Z673" s="62"/>
      <c r="AA673" s="62"/>
      <c r="AB673" s="62"/>
      <c r="AC673" s="62"/>
      <c r="AD673" s="62"/>
    </row>
    <row r="674" spans="1:30" customFormat="1" ht="15.75">
      <c r="A674" s="107">
        <f t="shared" si="199"/>
        <v>90</v>
      </c>
      <c r="B674" s="305" t="s">
        <v>233</v>
      </c>
      <c r="C674" s="118">
        <v>1965</v>
      </c>
      <c r="D674" s="118"/>
      <c r="E674" s="109" t="s">
        <v>219</v>
      </c>
      <c r="F674" s="118">
        <v>5</v>
      </c>
      <c r="G674" s="118">
        <v>5</v>
      </c>
      <c r="H674" s="118"/>
      <c r="I674" s="118"/>
      <c r="J674" s="118"/>
      <c r="K674" s="119"/>
      <c r="L674" s="113">
        <v>906779</v>
      </c>
      <c r="M674" s="113">
        <v>0</v>
      </c>
      <c r="N674" s="113">
        <v>0</v>
      </c>
      <c r="O674" s="113">
        <f t="shared" si="197"/>
        <v>906779</v>
      </c>
      <c r="P674" s="113">
        <v>0</v>
      </c>
      <c r="Q674" s="114" t="e">
        <f t="shared" si="198"/>
        <v>#DIV/0!</v>
      </c>
      <c r="R674" s="115"/>
      <c r="S674" s="326">
        <v>43465</v>
      </c>
    </row>
    <row r="675" spans="1:30" customFormat="1" ht="31.5">
      <c r="A675" s="107">
        <f t="shared" si="199"/>
        <v>91</v>
      </c>
      <c r="B675" s="305" t="s">
        <v>278</v>
      </c>
      <c r="C675" s="107">
        <v>1958</v>
      </c>
      <c r="D675" s="108"/>
      <c r="E675" s="109" t="s">
        <v>218</v>
      </c>
      <c r="F675" s="108">
        <v>2</v>
      </c>
      <c r="G675" s="108">
        <v>1</v>
      </c>
      <c r="H675" s="117"/>
      <c r="I675" s="117"/>
      <c r="J675" s="117"/>
      <c r="K675" s="101"/>
      <c r="L675" s="113">
        <v>886559</v>
      </c>
      <c r="M675" s="113">
        <v>0</v>
      </c>
      <c r="N675" s="113">
        <v>0</v>
      </c>
      <c r="O675" s="113">
        <f t="shared" si="197"/>
        <v>886559</v>
      </c>
      <c r="P675" s="113">
        <v>0</v>
      </c>
      <c r="Q675" s="114" t="e">
        <f t="shared" si="198"/>
        <v>#DIV/0!</v>
      </c>
      <c r="R675" s="115"/>
      <c r="S675" s="326">
        <v>43465</v>
      </c>
    </row>
    <row r="676" spans="1:30" customFormat="1" ht="31.5">
      <c r="A676" s="107">
        <f t="shared" si="199"/>
        <v>92</v>
      </c>
      <c r="B676" s="305" t="s">
        <v>347</v>
      </c>
      <c r="C676" s="108">
        <v>1959</v>
      </c>
      <c r="D676" s="108"/>
      <c r="E676" s="109" t="s">
        <v>218</v>
      </c>
      <c r="F676" s="110">
        <v>2</v>
      </c>
      <c r="G676" s="110">
        <v>1</v>
      </c>
      <c r="H676" s="111"/>
      <c r="I676" s="111"/>
      <c r="J676" s="111"/>
      <c r="K676" s="112"/>
      <c r="L676" s="113">
        <v>642210</v>
      </c>
      <c r="M676" s="113">
        <v>0</v>
      </c>
      <c r="N676" s="113">
        <v>0</v>
      </c>
      <c r="O676" s="113">
        <f t="shared" si="197"/>
        <v>642210</v>
      </c>
      <c r="P676" s="113">
        <v>0</v>
      </c>
      <c r="Q676" s="114" t="e">
        <f t="shared" si="198"/>
        <v>#DIV/0!</v>
      </c>
      <c r="R676" s="115"/>
      <c r="S676" s="326">
        <v>43465</v>
      </c>
    </row>
    <row r="677" spans="1:30" customFormat="1" ht="31.5">
      <c r="A677" s="107">
        <f t="shared" si="199"/>
        <v>93</v>
      </c>
      <c r="B677" s="301" t="s">
        <v>266</v>
      </c>
      <c r="C677" s="118">
        <v>1957</v>
      </c>
      <c r="D677" s="118"/>
      <c r="E677" s="109" t="s">
        <v>218</v>
      </c>
      <c r="F677" s="118">
        <v>4</v>
      </c>
      <c r="G677" s="118">
        <v>3</v>
      </c>
      <c r="H677" s="118"/>
      <c r="I677" s="118"/>
      <c r="J677" s="118"/>
      <c r="K677" s="119"/>
      <c r="L677" s="113">
        <v>1952489</v>
      </c>
      <c r="M677" s="113">
        <v>0</v>
      </c>
      <c r="N677" s="113">
        <v>0</v>
      </c>
      <c r="O677" s="113">
        <f t="shared" si="197"/>
        <v>1952489</v>
      </c>
      <c r="P677" s="113">
        <v>0</v>
      </c>
      <c r="Q677" s="114" t="e">
        <f t="shared" si="198"/>
        <v>#DIV/0!</v>
      </c>
      <c r="R677" s="115"/>
      <c r="S677" s="326">
        <v>43465</v>
      </c>
    </row>
    <row r="678" spans="1:30" customFormat="1" ht="15.75">
      <c r="A678" s="107">
        <f t="shared" si="199"/>
        <v>94</v>
      </c>
      <c r="B678" s="301" t="s">
        <v>310</v>
      </c>
      <c r="C678" s="108">
        <v>1983</v>
      </c>
      <c r="D678" s="108"/>
      <c r="E678" s="109" t="s">
        <v>219</v>
      </c>
      <c r="F678" s="110">
        <v>9</v>
      </c>
      <c r="G678" s="110">
        <v>8</v>
      </c>
      <c r="H678" s="111"/>
      <c r="I678" s="111"/>
      <c r="J678" s="111"/>
      <c r="K678" s="112"/>
      <c r="L678" s="113">
        <v>15157748</v>
      </c>
      <c r="M678" s="113">
        <v>0</v>
      </c>
      <c r="N678" s="113">
        <v>0</v>
      </c>
      <c r="O678" s="113">
        <f t="shared" si="197"/>
        <v>15157748</v>
      </c>
      <c r="P678" s="113">
        <v>0</v>
      </c>
      <c r="Q678" s="114" t="e">
        <f t="shared" si="198"/>
        <v>#DIV/0!</v>
      </c>
      <c r="R678" s="115"/>
      <c r="S678" s="326">
        <v>43465</v>
      </c>
    </row>
    <row r="679" spans="1:30" customFormat="1" ht="31.5">
      <c r="A679" s="107">
        <f t="shared" si="199"/>
        <v>95</v>
      </c>
      <c r="B679" s="305" t="s">
        <v>281</v>
      </c>
      <c r="C679" s="107">
        <v>1959</v>
      </c>
      <c r="D679" s="108"/>
      <c r="E679" s="109" t="s">
        <v>218</v>
      </c>
      <c r="F679" s="108">
        <v>4</v>
      </c>
      <c r="G679" s="108">
        <v>5</v>
      </c>
      <c r="H679" s="117"/>
      <c r="I679" s="117"/>
      <c r="J679" s="117"/>
      <c r="K679" s="101"/>
      <c r="L679" s="113">
        <v>2542298.37</v>
      </c>
      <c r="M679" s="113">
        <v>0</v>
      </c>
      <c r="N679" s="113">
        <v>0</v>
      </c>
      <c r="O679" s="113">
        <f t="shared" si="197"/>
        <v>2542298.37</v>
      </c>
      <c r="P679" s="113">
        <v>0</v>
      </c>
      <c r="Q679" s="114" t="e">
        <f t="shared" si="198"/>
        <v>#DIV/0!</v>
      </c>
      <c r="R679" s="115"/>
      <c r="S679" s="326">
        <v>43465</v>
      </c>
    </row>
    <row r="680" spans="1:30" customFormat="1" ht="15.75">
      <c r="A680" s="107">
        <f t="shared" si="199"/>
        <v>96</v>
      </c>
      <c r="B680" s="301" t="s">
        <v>248</v>
      </c>
      <c r="C680" s="118">
        <v>1983</v>
      </c>
      <c r="D680" s="118"/>
      <c r="E680" s="109" t="s">
        <v>219</v>
      </c>
      <c r="F680" s="118">
        <v>9</v>
      </c>
      <c r="G680" s="118">
        <v>1</v>
      </c>
      <c r="H680" s="118"/>
      <c r="I680" s="118"/>
      <c r="J680" s="118"/>
      <c r="K680" s="119"/>
      <c r="L680" s="113">
        <v>1114586</v>
      </c>
      <c r="M680" s="113">
        <v>0</v>
      </c>
      <c r="N680" s="113">
        <v>0</v>
      </c>
      <c r="O680" s="113">
        <f t="shared" si="197"/>
        <v>1114586</v>
      </c>
      <c r="P680" s="113">
        <v>0</v>
      </c>
      <c r="Q680" s="114" t="e">
        <f t="shared" si="198"/>
        <v>#DIV/0!</v>
      </c>
      <c r="R680" s="115"/>
      <c r="S680" s="326">
        <v>43465</v>
      </c>
      <c r="T680" s="3"/>
      <c r="U680" s="3"/>
      <c r="V680" s="3"/>
      <c r="W680" s="3"/>
      <c r="X680" s="3"/>
      <c r="Y680" s="3"/>
    </row>
    <row r="681" spans="1:30" customFormat="1" ht="15.75">
      <c r="A681" s="107">
        <f t="shared" si="199"/>
        <v>97</v>
      </c>
      <c r="B681" s="301" t="s">
        <v>301</v>
      </c>
      <c r="C681" s="108">
        <v>1975</v>
      </c>
      <c r="D681" s="108"/>
      <c r="E681" s="109" t="s">
        <v>219</v>
      </c>
      <c r="F681" s="110">
        <v>9</v>
      </c>
      <c r="G681" s="110">
        <v>3</v>
      </c>
      <c r="H681" s="111"/>
      <c r="I681" s="111"/>
      <c r="J681" s="111"/>
      <c r="K681" s="112"/>
      <c r="L681" s="113">
        <v>5623853</v>
      </c>
      <c r="M681" s="113">
        <v>0</v>
      </c>
      <c r="N681" s="113">
        <v>0</v>
      </c>
      <c r="O681" s="113">
        <f t="shared" si="197"/>
        <v>5623853</v>
      </c>
      <c r="P681" s="113">
        <v>0</v>
      </c>
      <c r="Q681" s="114" t="e">
        <f t="shared" si="198"/>
        <v>#DIV/0!</v>
      </c>
      <c r="R681" s="115"/>
      <c r="S681" s="326">
        <v>43465</v>
      </c>
      <c r="Z681" s="3"/>
      <c r="AA681" s="3"/>
      <c r="AB681" s="3"/>
      <c r="AC681" s="3"/>
      <c r="AD681" s="3"/>
    </row>
    <row r="682" spans="1:30" customFormat="1" ht="15.75">
      <c r="A682" s="107">
        <f t="shared" si="199"/>
        <v>98</v>
      </c>
      <c r="B682" s="301" t="s">
        <v>244</v>
      </c>
      <c r="C682" s="118">
        <v>1976</v>
      </c>
      <c r="D682" s="118"/>
      <c r="E682" s="109" t="s">
        <v>219</v>
      </c>
      <c r="F682" s="118">
        <v>9</v>
      </c>
      <c r="G682" s="118">
        <v>4</v>
      </c>
      <c r="H682" s="118"/>
      <c r="I682" s="118"/>
      <c r="J682" s="118"/>
      <c r="K682" s="119"/>
      <c r="L682" s="113">
        <v>2721106</v>
      </c>
      <c r="M682" s="113">
        <v>0</v>
      </c>
      <c r="N682" s="113">
        <v>0</v>
      </c>
      <c r="O682" s="113">
        <f t="shared" si="197"/>
        <v>2721106</v>
      </c>
      <c r="P682" s="113">
        <v>0</v>
      </c>
      <c r="Q682" s="114" t="e">
        <f t="shared" si="198"/>
        <v>#DIV/0!</v>
      </c>
      <c r="R682" s="115"/>
      <c r="S682" s="326">
        <v>43465</v>
      </c>
    </row>
    <row r="683" spans="1:30" customFormat="1" ht="15.75">
      <c r="A683" s="107">
        <f t="shared" si="199"/>
        <v>99</v>
      </c>
      <c r="B683" s="305" t="s">
        <v>288</v>
      </c>
      <c r="C683" s="107">
        <v>1973</v>
      </c>
      <c r="D683" s="108"/>
      <c r="E683" s="109" t="s">
        <v>219</v>
      </c>
      <c r="F683" s="108">
        <v>9</v>
      </c>
      <c r="G683" s="108">
        <v>6</v>
      </c>
      <c r="H683" s="117"/>
      <c r="I683" s="117"/>
      <c r="J683" s="117"/>
      <c r="K683" s="101"/>
      <c r="L683" s="113">
        <v>9789326.5500000007</v>
      </c>
      <c r="M683" s="113">
        <v>0</v>
      </c>
      <c r="N683" s="113">
        <v>0</v>
      </c>
      <c r="O683" s="113">
        <f t="shared" si="197"/>
        <v>9789326.5500000007</v>
      </c>
      <c r="P683" s="113">
        <v>0</v>
      </c>
      <c r="Q683" s="114" t="e">
        <f t="shared" si="198"/>
        <v>#DIV/0!</v>
      </c>
      <c r="R683" s="115"/>
      <c r="S683" s="326">
        <v>43465</v>
      </c>
    </row>
    <row r="684" spans="1:30" customFormat="1" ht="31.5">
      <c r="A684" s="107">
        <f t="shared" si="199"/>
        <v>100</v>
      </c>
      <c r="B684" s="305" t="s">
        <v>249</v>
      </c>
      <c r="C684" s="118" t="s">
        <v>190</v>
      </c>
      <c r="D684" s="118"/>
      <c r="E684" s="109" t="s">
        <v>218</v>
      </c>
      <c r="F684" s="118">
        <v>3</v>
      </c>
      <c r="G684" s="118">
        <v>3</v>
      </c>
      <c r="H684" s="118"/>
      <c r="I684" s="118"/>
      <c r="J684" s="118"/>
      <c r="K684" s="119"/>
      <c r="L684" s="113">
        <v>1615074</v>
      </c>
      <c r="M684" s="113">
        <v>0</v>
      </c>
      <c r="N684" s="113">
        <v>0</v>
      </c>
      <c r="O684" s="113">
        <f t="shared" si="197"/>
        <v>1615074</v>
      </c>
      <c r="P684" s="113">
        <v>0</v>
      </c>
      <c r="Q684" s="114" t="e">
        <f t="shared" si="198"/>
        <v>#DIV/0!</v>
      </c>
      <c r="R684" s="115"/>
      <c r="S684" s="326">
        <v>43465</v>
      </c>
    </row>
    <row r="685" spans="1:30" customFormat="1" ht="31.5">
      <c r="A685" s="107">
        <f t="shared" si="199"/>
        <v>101</v>
      </c>
      <c r="B685" s="301" t="s">
        <v>265</v>
      </c>
      <c r="C685" s="118">
        <v>1953</v>
      </c>
      <c r="D685" s="118"/>
      <c r="E685" s="109" t="s">
        <v>218</v>
      </c>
      <c r="F685" s="118">
        <v>2</v>
      </c>
      <c r="G685" s="118">
        <v>2</v>
      </c>
      <c r="H685" s="118"/>
      <c r="I685" s="118"/>
      <c r="J685" s="118"/>
      <c r="K685" s="119"/>
      <c r="L685" s="113">
        <v>824390</v>
      </c>
      <c r="M685" s="113">
        <v>0</v>
      </c>
      <c r="N685" s="113">
        <v>0</v>
      </c>
      <c r="O685" s="113">
        <f t="shared" si="197"/>
        <v>824390</v>
      </c>
      <c r="P685" s="113">
        <v>0</v>
      </c>
      <c r="Q685" s="114" t="e">
        <f t="shared" si="198"/>
        <v>#DIV/0!</v>
      </c>
      <c r="R685" s="115"/>
      <c r="S685" s="326">
        <v>43465</v>
      </c>
    </row>
    <row r="686" spans="1:30" customFormat="1" ht="15.75">
      <c r="A686" s="107">
        <f t="shared" si="199"/>
        <v>102</v>
      </c>
      <c r="B686" s="305" t="s">
        <v>292</v>
      </c>
      <c r="C686" s="108">
        <v>1951</v>
      </c>
      <c r="D686" s="108"/>
      <c r="E686" s="109" t="s">
        <v>220</v>
      </c>
      <c r="F686" s="110">
        <v>2</v>
      </c>
      <c r="G686" s="110">
        <v>3</v>
      </c>
      <c r="H686" s="111"/>
      <c r="I686" s="111"/>
      <c r="J686" s="111"/>
      <c r="K686" s="112"/>
      <c r="L686" s="113">
        <v>2661189</v>
      </c>
      <c r="M686" s="113">
        <v>0</v>
      </c>
      <c r="N686" s="113">
        <v>0</v>
      </c>
      <c r="O686" s="113">
        <f t="shared" si="197"/>
        <v>2661189</v>
      </c>
      <c r="P686" s="113">
        <v>0</v>
      </c>
      <c r="Q686" s="114" t="e">
        <f t="shared" si="198"/>
        <v>#DIV/0!</v>
      </c>
      <c r="R686" s="115"/>
      <c r="S686" s="326">
        <v>43465</v>
      </c>
    </row>
    <row r="687" spans="1:30" s="62" customFormat="1" ht="31.5">
      <c r="A687" s="107">
        <f t="shared" si="199"/>
        <v>103</v>
      </c>
      <c r="B687" s="305" t="s">
        <v>276</v>
      </c>
      <c r="C687" s="107">
        <v>1959</v>
      </c>
      <c r="D687" s="108"/>
      <c r="E687" s="109" t="s">
        <v>218</v>
      </c>
      <c r="F687" s="108">
        <v>2</v>
      </c>
      <c r="G687" s="108">
        <v>1</v>
      </c>
      <c r="H687" s="117"/>
      <c r="I687" s="117"/>
      <c r="J687" s="117"/>
      <c r="K687" s="101"/>
      <c r="L687" s="113">
        <v>278220</v>
      </c>
      <c r="M687" s="113">
        <v>0</v>
      </c>
      <c r="N687" s="113">
        <v>0</v>
      </c>
      <c r="O687" s="113">
        <f t="shared" si="197"/>
        <v>278220</v>
      </c>
      <c r="P687" s="113">
        <v>0</v>
      </c>
      <c r="Q687" s="114" t="e">
        <f t="shared" si="198"/>
        <v>#DIV/0!</v>
      </c>
      <c r="R687" s="115"/>
      <c r="S687" s="326">
        <v>43465</v>
      </c>
      <c r="T687"/>
      <c r="U687"/>
      <c r="V687"/>
      <c r="W687"/>
      <c r="X687"/>
      <c r="Y687"/>
      <c r="Z687"/>
      <c r="AA687"/>
      <c r="AB687"/>
      <c r="AC687"/>
      <c r="AD687"/>
    </row>
    <row r="688" spans="1:30" customFormat="1" ht="31.5">
      <c r="A688" s="107">
        <f t="shared" si="199"/>
        <v>104</v>
      </c>
      <c r="B688" s="301" t="s">
        <v>229</v>
      </c>
      <c r="C688" s="118">
        <v>1928</v>
      </c>
      <c r="D688" s="118"/>
      <c r="E688" s="109" t="s">
        <v>218</v>
      </c>
      <c r="F688" s="118">
        <v>3</v>
      </c>
      <c r="G688" s="118">
        <v>6</v>
      </c>
      <c r="H688" s="118"/>
      <c r="I688" s="118"/>
      <c r="J688" s="118"/>
      <c r="K688" s="119"/>
      <c r="L688" s="113">
        <v>2511472</v>
      </c>
      <c r="M688" s="113">
        <v>0</v>
      </c>
      <c r="N688" s="113">
        <v>0</v>
      </c>
      <c r="O688" s="113">
        <f t="shared" si="197"/>
        <v>2511472</v>
      </c>
      <c r="P688" s="113">
        <v>0</v>
      </c>
      <c r="Q688" s="114" t="e">
        <f t="shared" si="198"/>
        <v>#DIV/0!</v>
      </c>
      <c r="R688" s="115"/>
      <c r="S688" s="326">
        <v>43465</v>
      </c>
    </row>
    <row r="689" spans="1:30" customFormat="1" ht="31.5">
      <c r="A689" s="107">
        <f t="shared" si="199"/>
        <v>105</v>
      </c>
      <c r="B689" s="301" t="s">
        <v>309</v>
      </c>
      <c r="C689" s="108">
        <v>1964</v>
      </c>
      <c r="D689" s="108"/>
      <c r="E689" s="109" t="s">
        <v>218</v>
      </c>
      <c r="F689" s="110">
        <v>4</v>
      </c>
      <c r="G689" s="110">
        <v>2</v>
      </c>
      <c r="H689" s="111"/>
      <c r="I689" s="111"/>
      <c r="J689" s="111"/>
      <c r="K689" s="112"/>
      <c r="L689" s="113">
        <v>871988</v>
      </c>
      <c r="M689" s="113">
        <v>0</v>
      </c>
      <c r="N689" s="113">
        <v>0</v>
      </c>
      <c r="O689" s="113">
        <f t="shared" si="197"/>
        <v>871988</v>
      </c>
      <c r="P689" s="113">
        <v>0</v>
      </c>
      <c r="Q689" s="114" t="e">
        <f t="shared" si="198"/>
        <v>#DIV/0!</v>
      </c>
      <c r="R689" s="115"/>
      <c r="S689" s="326">
        <v>43465</v>
      </c>
    </row>
    <row r="690" spans="1:30" customFormat="1" ht="31.5">
      <c r="A690" s="107">
        <f t="shared" si="199"/>
        <v>106</v>
      </c>
      <c r="B690" s="301" t="s">
        <v>308</v>
      </c>
      <c r="C690" s="108">
        <v>1966</v>
      </c>
      <c r="D690" s="108"/>
      <c r="E690" s="109" t="s">
        <v>218</v>
      </c>
      <c r="F690" s="110">
        <v>4</v>
      </c>
      <c r="G690" s="110">
        <v>4</v>
      </c>
      <c r="H690" s="111"/>
      <c r="I690" s="111"/>
      <c r="J690" s="111"/>
      <c r="K690" s="112"/>
      <c r="L690" s="113">
        <v>2113335</v>
      </c>
      <c r="M690" s="113">
        <v>0</v>
      </c>
      <c r="N690" s="113">
        <v>0</v>
      </c>
      <c r="O690" s="113">
        <f t="shared" si="197"/>
        <v>2113335</v>
      </c>
      <c r="P690" s="113">
        <v>0</v>
      </c>
      <c r="Q690" s="114" t="e">
        <f t="shared" si="198"/>
        <v>#DIV/0!</v>
      </c>
      <c r="R690" s="115"/>
      <c r="S690" s="326">
        <v>43465</v>
      </c>
    </row>
    <row r="691" spans="1:30" customFormat="1" ht="31.5">
      <c r="A691" s="107">
        <f t="shared" si="199"/>
        <v>107</v>
      </c>
      <c r="B691" s="305" t="s">
        <v>296</v>
      </c>
      <c r="C691" s="108">
        <v>1960</v>
      </c>
      <c r="D691" s="108"/>
      <c r="E691" s="109" t="s">
        <v>218</v>
      </c>
      <c r="F691" s="110">
        <v>2</v>
      </c>
      <c r="G691" s="110">
        <v>2</v>
      </c>
      <c r="H691" s="111"/>
      <c r="I691" s="111"/>
      <c r="J691" s="111"/>
      <c r="K691" s="112"/>
      <c r="L691" s="113">
        <v>996585</v>
      </c>
      <c r="M691" s="113">
        <v>0</v>
      </c>
      <c r="N691" s="113">
        <v>0</v>
      </c>
      <c r="O691" s="113">
        <f t="shared" si="197"/>
        <v>996585</v>
      </c>
      <c r="P691" s="113">
        <v>0</v>
      </c>
      <c r="Q691" s="114" t="e">
        <f t="shared" si="198"/>
        <v>#DIV/0!</v>
      </c>
      <c r="R691" s="115"/>
      <c r="S691" s="326">
        <v>43465</v>
      </c>
    </row>
    <row r="692" spans="1:30" customFormat="1" ht="31.5">
      <c r="A692" s="107">
        <f t="shared" si="199"/>
        <v>108</v>
      </c>
      <c r="B692" s="305" t="s">
        <v>240</v>
      </c>
      <c r="C692" s="118">
        <v>1955</v>
      </c>
      <c r="D692" s="118"/>
      <c r="E692" s="109" t="s">
        <v>218</v>
      </c>
      <c r="F692" s="118">
        <v>2</v>
      </c>
      <c r="G692" s="118">
        <v>2</v>
      </c>
      <c r="H692" s="118"/>
      <c r="I692" s="118"/>
      <c r="J692" s="118"/>
      <c r="K692" s="119"/>
      <c r="L692" s="113">
        <v>637739</v>
      </c>
      <c r="M692" s="113">
        <v>0</v>
      </c>
      <c r="N692" s="113">
        <v>0</v>
      </c>
      <c r="O692" s="113">
        <f t="shared" si="197"/>
        <v>637739</v>
      </c>
      <c r="P692" s="113">
        <v>0</v>
      </c>
      <c r="Q692" s="114" t="e">
        <f t="shared" si="198"/>
        <v>#DIV/0!</v>
      </c>
      <c r="R692" s="115"/>
      <c r="S692" s="326">
        <v>43465</v>
      </c>
    </row>
    <row r="693" spans="1:30" customFormat="1" ht="15.75">
      <c r="A693" s="107">
        <f t="shared" si="199"/>
        <v>109</v>
      </c>
      <c r="B693" s="301" t="s">
        <v>243</v>
      </c>
      <c r="C693" s="118">
        <v>1976</v>
      </c>
      <c r="D693" s="118"/>
      <c r="E693" s="109" t="s">
        <v>219</v>
      </c>
      <c r="F693" s="118">
        <v>9</v>
      </c>
      <c r="G693" s="118">
        <v>2</v>
      </c>
      <c r="H693" s="118"/>
      <c r="I693" s="118"/>
      <c r="J693" s="118"/>
      <c r="K693" s="119"/>
      <c r="L693" s="113">
        <v>1357217</v>
      </c>
      <c r="M693" s="113">
        <v>0</v>
      </c>
      <c r="N693" s="113">
        <v>0</v>
      </c>
      <c r="O693" s="113">
        <f t="shared" si="197"/>
        <v>1357217</v>
      </c>
      <c r="P693" s="113">
        <v>0</v>
      </c>
      <c r="Q693" s="114" t="e">
        <f t="shared" si="198"/>
        <v>#DIV/0!</v>
      </c>
      <c r="R693" s="115"/>
      <c r="S693" s="326">
        <v>43465</v>
      </c>
    </row>
    <row r="694" spans="1:30" customFormat="1" ht="31.5">
      <c r="A694" s="107">
        <f t="shared" si="199"/>
        <v>110</v>
      </c>
      <c r="B694" s="305" t="s">
        <v>269</v>
      </c>
      <c r="C694" s="118">
        <v>1952</v>
      </c>
      <c r="D694" s="118"/>
      <c r="E694" s="109" t="s">
        <v>218</v>
      </c>
      <c r="F694" s="118">
        <v>2</v>
      </c>
      <c r="G694" s="118">
        <v>2</v>
      </c>
      <c r="H694" s="118"/>
      <c r="I694" s="118"/>
      <c r="J694" s="118"/>
      <c r="K694" s="119"/>
      <c r="L694" s="113">
        <v>836226</v>
      </c>
      <c r="M694" s="113">
        <v>0</v>
      </c>
      <c r="N694" s="113">
        <v>0</v>
      </c>
      <c r="O694" s="113">
        <f t="shared" si="197"/>
        <v>836226</v>
      </c>
      <c r="P694" s="113">
        <v>0</v>
      </c>
      <c r="Q694" s="114" t="e">
        <f t="shared" si="198"/>
        <v>#DIV/0!</v>
      </c>
      <c r="R694" s="115"/>
      <c r="S694" s="326">
        <v>43465</v>
      </c>
    </row>
    <row r="695" spans="1:30" customFormat="1" ht="31.5">
      <c r="A695" s="107">
        <f t="shared" si="199"/>
        <v>111</v>
      </c>
      <c r="B695" s="305" t="s">
        <v>299</v>
      </c>
      <c r="C695" s="108">
        <v>1952</v>
      </c>
      <c r="D695" s="108"/>
      <c r="E695" s="109" t="s">
        <v>218</v>
      </c>
      <c r="F695" s="110">
        <v>2</v>
      </c>
      <c r="G695" s="110">
        <v>2</v>
      </c>
      <c r="H695" s="111"/>
      <c r="I695" s="111"/>
      <c r="J695" s="111"/>
      <c r="K695" s="112"/>
      <c r="L695" s="113">
        <v>640078</v>
      </c>
      <c r="M695" s="113">
        <v>0</v>
      </c>
      <c r="N695" s="113">
        <v>0</v>
      </c>
      <c r="O695" s="113">
        <f t="shared" si="197"/>
        <v>640078</v>
      </c>
      <c r="P695" s="113">
        <v>0</v>
      </c>
      <c r="Q695" s="114" t="e">
        <f t="shared" si="198"/>
        <v>#DIV/0!</v>
      </c>
      <c r="R695" s="115"/>
      <c r="S695" s="326">
        <v>43465</v>
      </c>
    </row>
    <row r="696" spans="1:30" customFormat="1" ht="31.5">
      <c r="A696" s="107">
        <f t="shared" si="199"/>
        <v>112</v>
      </c>
      <c r="B696" s="301" t="s">
        <v>236</v>
      </c>
      <c r="C696" s="118">
        <v>1959</v>
      </c>
      <c r="D696" s="118"/>
      <c r="E696" s="109" t="s">
        <v>218</v>
      </c>
      <c r="F696" s="118">
        <v>2</v>
      </c>
      <c r="G696" s="118">
        <v>2</v>
      </c>
      <c r="H696" s="118"/>
      <c r="I696" s="118"/>
      <c r="J696" s="118"/>
      <c r="K696" s="119"/>
      <c r="L696" s="113">
        <v>202649</v>
      </c>
      <c r="M696" s="113">
        <v>0</v>
      </c>
      <c r="N696" s="113">
        <v>0</v>
      </c>
      <c r="O696" s="113">
        <f t="shared" si="197"/>
        <v>202649</v>
      </c>
      <c r="P696" s="113">
        <v>0</v>
      </c>
      <c r="Q696" s="114" t="e">
        <f t="shared" si="198"/>
        <v>#DIV/0!</v>
      </c>
      <c r="R696" s="115"/>
      <c r="S696" s="326">
        <v>43465</v>
      </c>
    </row>
    <row r="697" spans="1:30" customFormat="1" ht="31.5">
      <c r="A697" s="107">
        <f t="shared" si="199"/>
        <v>113</v>
      </c>
      <c r="B697" s="305" t="s">
        <v>285</v>
      </c>
      <c r="C697" s="108">
        <v>1954</v>
      </c>
      <c r="D697" s="108"/>
      <c r="E697" s="109" t="s">
        <v>218</v>
      </c>
      <c r="F697" s="121" t="s">
        <v>191</v>
      </c>
      <c r="G697" s="110">
        <v>10</v>
      </c>
      <c r="H697" s="111"/>
      <c r="I697" s="111"/>
      <c r="J697" s="111"/>
      <c r="K697" s="112"/>
      <c r="L697" s="113">
        <v>7892437</v>
      </c>
      <c r="M697" s="113">
        <v>0</v>
      </c>
      <c r="N697" s="113">
        <v>0</v>
      </c>
      <c r="O697" s="113">
        <f t="shared" si="197"/>
        <v>7892437</v>
      </c>
      <c r="P697" s="113">
        <v>0</v>
      </c>
      <c r="Q697" s="114" t="e">
        <f t="shared" si="198"/>
        <v>#DIV/0!</v>
      </c>
      <c r="R697" s="115"/>
      <c r="S697" s="326">
        <v>43465</v>
      </c>
    </row>
    <row r="698" spans="1:30" customFormat="1" ht="31.5">
      <c r="A698" s="107">
        <f t="shared" si="199"/>
        <v>114</v>
      </c>
      <c r="B698" s="305" t="s">
        <v>237</v>
      </c>
      <c r="C698" s="118">
        <v>1950</v>
      </c>
      <c r="D698" s="118"/>
      <c r="E698" s="109" t="s">
        <v>218</v>
      </c>
      <c r="F698" s="118">
        <v>2</v>
      </c>
      <c r="G698" s="118">
        <v>1</v>
      </c>
      <c r="H698" s="118"/>
      <c r="I698" s="118"/>
      <c r="J698" s="118"/>
      <c r="K698" s="119"/>
      <c r="L698" s="113">
        <v>523389</v>
      </c>
      <c r="M698" s="113">
        <v>0</v>
      </c>
      <c r="N698" s="113">
        <v>0</v>
      </c>
      <c r="O698" s="113">
        <f t="shared" si="197"/>
        <v>523389</v>
      </c>
      <c r="P698" s="113">
        <v>0</v>
      </c>
      <c r="Q698" s="114" t="e">
        <f t="shared" si="198"/>
        <v>#DIV/0!</v>
      </c>
      <c r="R698" s="115"/>
      <c r="S698" s="326">
        <v>43465</v>
      </c>
    </row>
    <row r="699" spans="1:30" customFormat="1" ht="15.75">
      <c r="A699" s="107">
        <f t="shared" si="199"/>
        <v>115</v>
      </c>
      <c r="B699" s="305" t="s">
        <v>264</v>
      </c>
      <c r="C699" s="118">
        <v>1950</v>
      </c>
      <c r="D699" s="118"/>
      <c r="E699" s="109" t="s">
        <v>220</v>
      </c>
      <c r="F699" s="118">
        <v>2</v>
      </c>
      <c r="G699" s="118">
        <v>3</v>
      </c>
      <c r="H699" s="118"/>
      <c r="I699" s="118"/>
      <c r="J699" s="118"/>
      <c r="K699" s="119"/>
      <c r="L699" s="113">
        <v>1038920</v>
      </c>
      <c r="M699" s="113">
        <v>0</v>
      </c>
      <c r="N699" s="113">
        <v>0</v>
      </c>
      <c r="O699" s="113">
        <f t="shared" si="197"/>
        <v>1038920</v>
      </c>
      <c r="P699" s="113">
        <v>0</v>
      </c>
      <c r="Q699" s="114" t="e">
        <f t="shared" si="198"/>
        <v>#DIV/0!</v>
      </c>
      <c r="R699" s="115"/>
      <c r="S699" s="326">
        <v>43465</v>
      </c>
    </row>
    <row r="700" spans="1:30" s="3" customFormat="1" ht="15.75">
      <c r="A700" s="107">
        <f t="shared" si="199"/>
        <v>116</v>
      </c>
      <c r="B700" s="305" t="s">
        <v>258</v>
      </c>
      <c r="C700" s="118">
        <v>1950</v>
      </c>
      <c r="D700" s="118"/>
      <c r="E700" s="109" t="s">
        <v>220</v>
      </c>
      <c r="F700" s="118">
        <v>2</v>
      </c>
      <c r="G700" s="118">
        <v>2</v>
      </c>
      <c r="H700" s="118"/>
      <c r="I700" s="118"/>
      <c r="J700" s="118"/>
      <c r="K700" s="119"/>
      <c r="L700" s="113">
        <v>1742553</v>
      </c>
      <c r="M700" s="113">
        <v>0</v>
      </c>
      <c r="N700" s="113">
        <v>0</v>
      </c>
      <c r="O700" s="113">
        <f t="shared" si="197"/>
        <v>1742553</v>
      </c>
      <c r="P700" s="113">
        <v>0</v>
      </c>
      <c r="Q700" s="114" t="e">
        <f t="shared" si="198"/>
        <v>#DIV/0!</v>
      </c>
      <c r="R700" s="115"/>
      <c r="S700" s="326">
        <v>43465</v>
      </c>
      <c r="T700"/>
      <c r="U700"/>
      <c r="V700"/>
      <c r="W700"/>
      <c r="X700"/>
      <c r="Y700"/>
      <c r="Z700"/>
      <c r="AA700"/>
      <c r="AB700"/>
      <c r="AC700"/>
      <c r="AD700"/>
    </row>
    <row r="701" spans="1:30" customFormat="1" ht="31.5">
      <c r="A701" s="107">
        <f t="shared" si="199"/>
        <v>117</v>
      </c>
      <c r="B701" s="305" t="s">
        <v>250</v>
      </c>
      <c r="C701" s="118">
        <v>1948</v>
      </c>
      <c r="D701" s="118"/>
      <c r="E701" s="109" t="s">
        <v>218</v>
      </c>
      <c r="F701" s="118">
        <v>2</v>
      </c>
      <c r="G701" s="118">
        <v>3</v>
      </c>
      <c r="H701" s="118"/>
      <c r="I701" s="118"/>
      <c r="J701" s="118"/>
      <c r="K701" s="119"/>
      <c r="L701" s="113">
        <v>2124581</v>
      </c>
      <c r="M701" s="113">
        <v>0</v>
      </c>
      <c r="N701" s="113">
        <v>0</v>
      </c>
      <c r="O701" s="113">
        <f t="shared" si="197"/>
        <v>2124581</v>
      </c>
      <c r="P701" s="113">
        <v>0</v>
      </c>
      <c r="Q701" s="114" t="e">
        <f t="shared" si="198"/>
        <v>#DIV/0!</v>
      </c>
      <c r="R701" s="115"/>
      <c r="S701" s="326">
        <v>43465</v>
      </c>
    </row>
    <row r="702" spans="1:30" customFormat="1" ht="15.75">
      <c r="A702" s="107">
        <f t="shared" si="199"/>
        <v>118</v>
      </c>
      <c r="B702" s="305" t="s">
        <v>282</v>
      </c>
      <c r="C702" s="107">
        <v>1948</v>
      </c>
      <c r="D702" s="108"/>
      <c r="E702" s="109" t="s">
        <v>220</v>
      </c>
      <c r="F702" s="108">
        <v>2</v>
      </c>
      <c r="G702" s="108">
        <v>3</v>
      </c>
      <c r="H702" s="117"/>
      <c r="I702" s="117"/>
      <c r="J702" s="117"/>
      <c r="K702" s="101"/>
      <c r="L702" s="113">
        <v>2347478</v>
      </c>
      <c r="M702" s="113">
        <v>0</v>
      </c>
      <c r="N702" s="113">
        <v>0</v>
      </c>
      <c r="O702" s="113">
        <f t="shared" si="197"/>
        <v>2347478</v>
      </c>
      <c r="P702" s="113">
        <v>0</v>
      </c>
      <c r="Q702" s="114" t="e">
        <f t="shared" si="198"/>
        <v>#DIV/0!</v>
      </c>
      <c r="R702" s="115"/>
      <c r="S702" s="326">
        <v>43465</v>
      </c>
    </row>
    <row r="703" spans="1:30" customFormat="1" ht="31.5">
      <c r="A703" s="107">
        <f t="shared" si="199"/>
        <v>119</v>
      </c>
      <c r="B703" s="301" t="s">
        <v>267</v>
      </c>
      <c r="C703" s="118">
        <v>1948</v>
      </c>
      <c r="D703" s="118"/>
      <c r="E703" s="109" t="s">
        <v>218</v>
      </c>
      <c r="F703" s="118">
        <v>2</v>
      </c>
      <c r="G703" s="118">
        <v>3</v>
      </c>
      <c r="H703" s="118"/>
      <c r="I703" s="118"/>
      <c r="J703" s="118"/>
      <c r="K703" s="119"/>
      <c r="L703" s="113">
        <v>2468472</v>
      </c>
      <c r="M703" s="113">
        <v>0</v>
      </c>
      <c r="N703" s="113">
        <v>0</v>
      </c>
      <c r="O703" s="113">
        <f t="shared" si="197"/>
        <v>2468472</v>
      </c>
      <c r="P703" s="113">
        <v>0</v>
      </c>
      <c r="Q703" s="114" t="e">
        <f t="shared" si="198"/>
        <v>#DIV/0!</v>
      </c>
      <c r="R703" s="115"/>
      <c r="S703" s="326">
        <v>43465</v>
      </c>
    </row>
    <row r="704" spans="1:30" customFormat="1" ht="31.5">
      <c r="A704" s="107">
        <f t="shared" si="199"/>
        <v>120</v>
      </c>
      <c r="B704" s="305" t="s">
        <v>284</v>
      </c>
      <c r="C704" s="108">
        <v>1950</v>
      </c>
      <c r="D704" s="116"/>
      <c r="E704" s="109" t="s">
        <v>218</v>
      </c>
      <c r="F704" s="110">
        <v>2</v>
      </c>
      <c r="G704" s="110">
        <v>2</v>
      </c>
      <c r="H704" s="111"/>
      <c r="I704" s="111"/>
      <c r="J704" s="111"/>
      <c r="K704" s="112"/>
      <c r="L704" s="113">
        <v>1612780</v>
      </c>
      <c r="M704" s="113">
        <v>0</v>
      </c>
      <c r="N704" s="113">
        <v>0</v>
      </c>
      <c r="O704" s="113">
        <f t="shared" si="197"/>
        <v>1612780</v>
      </c>
      <c r="P704" s="113">
        <v>0</v>
      </c>
      <c r="Q704" s="114" t="e">
        <f t="shared" si="198"/>
        <v>#DIV/0!</v>
      </c>
      <c r="R704" s="115"/>
      <c r="S704" s="326">
        <v>43465</v>
      </c>
    </row>
    <row r="705" spans="1:19" customFormat="1" ht="31.5">
      <c r="A705" s="107">
        <f t="shared" si="199"/>
        <v>121</v>
      </c>
      <c r="B705" s="305" t="s">
        <v>256</v>
      </c>
      <c r="C705" s="118">
        <v>1947</v>
      </c>
      <c r="D705" s="118"/>
      <c r="E705" s="109" t="s">
        <v>218</v>
      </c>
      <c r="F705" s="118">
        <v>2</v>
      </c>
      <c r="G705" s="118">
        <v>2</v>
      </c>
      <c r="H705" s="118"/>
      <c r="I705" s="118"/>
      <c r="J705" s="118"/>
      <c r="K705" s="119"/>
      <c r="L705" s="113">
        <v>2580419</v>
      </c>
      <c r="M705" s="113">
        <v>0</v>
      </c>
      <c r="N705" s="113">
        <v>0</v>
      </c>
      <c r="O705" s="113">
        <f t="shared" si="197"/>
        <v>2580419</v>
      </c>
      <c r="P705" s="113">
        <v>0</v>
      </c>
      <c r="Q705" s="114" t="e">
        <f t="shared" si="198"/>
        <v>#DIV/0!</v>
      </c>
      <c r="R705" s="115"/>
      <c r="S705" s="326">
        <v>43465</v>
      </c>
    </row>
    <row r="706" spans="1:19" customFormat="1" ht="15.75">
      <c r="A706" s="107">
        <f t="shared" si="199"/>
        <v>122</v>
      </c>
      <c r="B706" s="301" t="s">
        <v>335</v>
      </c>
      <c r="C706" s="118">
        <v>1963</v>
      </c>
      <c r="D706" s="118"/>
      <c r="E706" s="109" t="s">
        <v>219</v>
      </c>
      <c r="F706" s="118">
        <v>5</v>
      </c>
      <c r="G706" s="118">
        <v>4</v>
      </c>
      <c r="H706" s="118"/>
      <c r="I706" s="118"/>
      <c r="J706" s="118"/>
      <c r="K706" s="119"/>
      <c r="L706" s="113">
        <v>1681645</v>
      </c>
      <c r="M706" s="113">
        <v>0</v>
      </c>
      <c r="N706" s="113">
        <v>0</v>
      </c>
      <c r="O706" s="113">
        <f t="shared" si="197"/>
        <v>1681645</v>
      </c>
      <c r="P706" s="113">
        <v>0</v>
      </c>
      <c r="Q706" s="114" t="e">
        <f t="shared" si="198"/>
        <v>#DIV/0!</v>
      </c>
      <c r="R706" s="115"/>
      <c r="S706" s="326">
        <v>43465</v>
      </c>
    </row>
    <row r="707" spans="1:19" customFormat="1" ht="31.5">
      <c r="A707" s="107">
        <f t="shared" si="199"/>
        <v>123</v>
      </c>
      <c r="B707" s="305" t="s">
        <v>255</v>
      </c>
      <c r="C707" s="118">
        <v>1950</v>
      </c>
      <c r="D707" s="118"/>
      <c r="E707" s="109" t="s">
        <v>218</v>
      </c>
      <c r="F707" s="118">
        <v>2</v>
      </c>
      <c r="G707" s="118">
        <v>2</v>
      </c>
      <c r="H707" s="118"/>
      <c r="I707" s="118"/>
      <c r="J707" s="118"/>
      <c r="K707" s="119"/>
      <c r="L707" s="113">
        <v>1318880</v>
      </c>
      <c r="M707" s="113">
        <v>0</v>
      </c>
      <c r="N707" s="113">
        <v>0</v>
      </c>
      <c r="O707" s="113">
        <f t="shared" si="197"/>
        <v>1318880</v>
      </c>
      <c r="P707" s="113">
        <v>0</v>
      </c>
      <c r="Q707" s="114" t="e">
        <f t="shared" si="198"/>
        <v>#DIV/0!</v>
      </c>
      <c r="R707" s="115"/>
      <c r="S707" s="326">
        <v>43465</v>
      </c>
    </row>
    <row r="708" spans="1:19" customFormat="1" ht="15.75">
      <c r="A708" s="107">
        <f t="shared" si="199"/>
        <v>124</v>
      </c>
      <c r="B708" s="305" t="s">
        <v>245</v>
      </c>
      <c r="C708" s="118">
        <v>1949</v>
      </c>
      <c r="D708" s="118"/>
      <c r="E708" s="109" t="s">
        <v>220</v>
      </c>
      <c r="F708" s="118">
        <v>2</v>
      </c>
      <c r="G708" s="118">
        <v>1</v>
      </c>
      <c r="H708" s="118"/>
      <c r="I708" s="118"/>
      <c r="J708" s="118"/>
      <c r="K708" s="119"/>
      <c r="L708" s="113">
        <v>1566345</v>
      </c>
      <c r="M708" s="113">
        <v>0</v>
      </c>
      <c r="N708" s="113">
        <v>0</v>
      </c>
      <c r="O708" s="113">
        <f t="shared" si="197"/>
        <v>1566345</v>
      </c>
      <c r="P708" s="113">
        <v>0</v>
      </c>
      <c r="Q708" s="114" t="e">
        <f t="shared" si="198"/>
        <v>#DIV/0!</v>
      </c>
      <c r="R708" s="115"/>
      <c r="S708" s="326">
        <v>43465</v>
      </c>
    </row>
    <row r="709" spans="1:19" customFormat="1" ht="31.5">
      <c r="A709" s="107">
        <f t="shared" si="199"/>
        <v>125</v>
      </c>
      <c r="B709" s="301" t="s">
        <v>449</v>
      </c>
      <c r="C709" s="108">
        <v>1984</v>
      </c>
      <c r="D709" s="108"/>
      <c r="E709" s="109" t="s">
        <v>219</v>
      </c>
      <c r="F709" s="110">
        <v>9</v>
      </c>
      <c r="G709" s="110">
        <v>1</v>
      </c>
      <c r="H709" s="111"/>
      <c r="I709" s="111"/>
      <c r="J709" s="111"/>
      <c r="K709" s="112"/>
      <c r="L709" s="113">
        <v>1910088</v>
      </c>
      <c r="M709" s="113">
        <v>0</v>
      </c>
      <c r="N709" s="113">
        <v>0</v>
      </c>
      <c r="O709" s="113">
        <f t="shared" si="197"/>
        <v>1910088</v>
      </c>
      <c r="P709" s="113">
        <v>0</v>
      </c>
      <c r="Q709" s="114" t="e">
        <f t="shared" si="198"/>
        <v>#DIV/0!</v>
      </c>
      <c r="R709" s="115"/>
      <c r="S709" s="326">
        <v>43465</v>
      </c>
    </row>
    <row r="710" spans="1:19" customFormat="1" ht="31.5">
      <c r="A710" s="107">
        <f t="shared" si="199"/>
        <v>126</v>
      </c>
      <c r="B710" s="305" t="s">
        <v>280</v>
      </c>
      <c r="C710" s="107">
        <v>1966</v>
      </c>
      <c r="D710" s="108"/>
      <c r="E710" s="109" t="s">
        <v>218</v>
      </c>
      <c r="F710" s="108">
        <v>5</v>
      </c>
      <c r="G710" s="108">
        <v>3</v>
      </c>
      <c r="H710" s="117"/>
      <c r="I710" s="117"/>
      <c r="J710" s="117"/>
      <c r="K710" s="101"/>
      <c r="L710" s="113">
        <v>2694957</v>
      </c>
      <c r="M710" s="113">
        <v>0</v>
      </c>
      <c r="N710" s="113">
        <v>0</v>
      </c>
      <c r="O710" s="113">
        <f t="shared" si="197"/>
        <v>2694957</v>
      </c>
      <c r="P710" s="113">
        <v>0</v>
      </c>
      <c r="Q710" s="114" t="e">
        <f t="shared" si="198"/>
        <v>#DIV/0!</v>
      </c>
      <c r="R710" s="115"/>
      <c r="S710" s="326">
        <v>43465</v>
      </c>
    </row>
    <row r="711" spans="1:19" customFormat="1" ht="31.5">
      <c r="A711" s="107">
        <f t="shared" si="199"/>
        <v>127</v>
      </c>
      <c r="B711" s="305" t="s">
        <v>367</v>
      </c>
      <c r="C711" s="118">
        <v>1958</v>
      </c>
      <c r="D711" s="118"/>
      <c r="E711" s="109" t="s">
        <v>218</v>
      </c>
      <c r="F711" s="118">
        <v>2</v>
      </c>
      <c r="G711" s="118">
        <v>1</v>
      </c>
      <c r="H711" s="118"/>
      <c r="I711" s="118"/>
      <c r="J711" s="118"/>
      <c r="K711" s="119"/>
      <c r="L711" s="113">
        <v>580578</v>
      </c>
      <c r="M711" s="113">
        <v>0</v>
      </c>
      <c r="N711" s="113">
        <v>0</v>
      </c>
      <c r="O711" s="113">
        <f t="shared" si="197"/>
        <v>580578</v>
      </c>
      <c r="P711" s="113">
        <v>0</v>
      </c>
      <c r="Q711" s="114" t="e">
        <f t="shared" si="198"/>
        <v>#DIV/0!</v>
      </c>
      <c r="R711" s="115"/>
      <c r="S711" s="326">
        <v>43465</v>
      </c>
    </row>
    <row r="712" spans="1:19" customFormat="1" ht="31.5">
      <c r="A712" s="107">
        <f t="shared" si="199"/>
        <v>128</v>
      </c>
      <c r="B712" s="305" t="s">
        <v>464</v>
      </c>
      <c r="C712" s="118">
        <v>1971</v>
      </c>
      <c r="D712" s="118"/>
      <c r="E712" s="109" t="s">
        <v>218</v>
      </c>
      <c r="F712" s="118">
        <v>2</v>
      </c>
      <c r="G712" s="118">
        <v>1</v>
      </c>
      <c r="H712" s="118"/>
      <c r="I712" s="118"/>
      <c r="J712" s="118"/>
      <c r="K712" s="119"/>
      <c r="L712" s="113">
        <v>615357</v>
      </c>
      <c r="M712" s="113">
        <v>0</v>
      </c>
      <c r="N712" s="113">
        <v>0</v>
      </c>
      <c r="O712" s="113">
        <f t="shared" si="197"/>
        <v>615357</v>
      </c>
      <c r="P712" s="113">
        <v>0</v>
      </c>
      <c r="Q712" s="114" t="e">
        <f t="shared" si="198"/>
        <v>#DIV/0!</v>
      </c>
      <c r="R712" s="115"/>
      <c r="S712" s="326">
        <v>43465</v>
      </c>
    </row>
    <row r="713" spans="1:19" customFormat="1" ht="31.5">
      <c r="A713" s="107">
        <f t="shared" si="199"/>
        <v>129</v>
      </c>
      <c r="B713" s="305" t="s">
        <v>385</v>
      </c>
      <c r="C713" s="118">
        <v>1957</v>
      </c>
      <c r="D713" s="118"/>
      <c r="E713" s="109" t="s">
        <v>218</v>
      </c>
      <c r="F713" s="118">
        <v>2</v>
      </c>
      <c r="G713" s="118">
        <v>1</v>
      </c>
      <c r="H713" s="118"/>
      <c r="I713" s="118"/>
      <c r="J713" s="118"/>
      <c r="K713" s="119"/>
      <c r="L713" s="113">
        <v>269948.13</v>
      </c>
      <c r="M713" s="113">
        <v>0</v>
      </c>
      <c r="N713" s="113">
        <v>0</v>
      </c>
      <c r="O713" s="113">
        <f t="shared" ref="O713:O752" si="200">L713</f>
        <v>269948.13</v>
      </c>
      <c r="P713" s="113">
        <v>0</v>
      </c>
      <c r="Q713" s="114" t="e">
        <f t="shared" ref="Q713:Q752" si="201">L713/I713</f>
        <v>#DIV/0!</v>
      </c>
      <c r="R713" s="115"/>
      <c r="S713" s="326">
        <v>43465</v>
      </c>
    </row>
    <row r="714" spans="1:19" customFormat="1" ht="15.75">
      <c r="A714" s="107">
        <f t="shared" si="199"/>
        <v>130</v>
      </c>
      <c r="B714" s="305" t="s">
        <v>238</v>
      </c>
      <c r="C714" s="118">
        <v>1924</v>
      </c>
      <c r="D714" s="118"/>
      <c r="E714" s="109" t="s">
        <v>221</v>
      </c>
      <c r="F714" s="118">
        <v>2</v>
      </c>
      <c r="G714" s="118">
        <v>2</v>
      </c>
      <c r="H714" s="118"/>
      <c r="I714" s="118"/>
      <c r="J714" s="118"/>
      <c r="K714" s="119"/>
      <c r="L714" s="113">
        <v>807980</v>
      </c>
      <c r="M714" s="113">
        <v>0</v>
      </c>
      <c r="N714" s="113">
        <v>0</v>
      </c>
      <c r="O714" s="113">
        <f t="shared" si="200"/>
        <v>807980</v>
      </c>
      <c r="P714" s="113">
        <v>0</v>
      </c>
      <c r="Q714" s="114" t="e">
        <f t="shared" si="201"/>
        <v>#DIV/0!</v>
      </c>
      <c r="R714" s="115"/>
      <c r="S714" s="326">
        <v>43465</v>
      </c>
    </row>
    <row r="715" spans="1:19" customFormat="1" ht="31.5">
      <c r="A715" s="107">
        <f t="shared" ref="A715:A772" si="202">A714+1</f>
        <v>131</v>
      </c>
      <c r="B715" s="305" t="s">
        <v>273</v>
      </c>
      <c r="C715" s="107">
        <v>1949</v>
      </c>
      <c r="D715" s="108"/>
      <c r="E715" s="109" t="s">
        <v>218</v>
      </c>
      <c r="F715" s="108">
        <v>2</v>
      </c>
      <c r="G715" s="108">
        <v>1</v>
      </c>
      <c r="H715" s="117"/>
      <c r="I715" s="117"/>
      <c r="J715" s="117"/>
      <c r="K715" s="101"/>
      <c r="L715" s="113">
        <v>661525</v>
      </c>
      <c r="M715" s="113">
        <v>0</v>
      </c>
      <c r="N715" s="113">
        <v>0</v>
      </c>
      <c r="O715" s="113">
        <f t="shared" si="200"/>
        <v>661525</v>
      </c>
      <c r="P715" s="113">
        <v>0</v>
      </c>
      <c r="Q715" s="114" t="e">
        <f t="shared" si="201"/>
        <v>#DIV/0!</v>
      </c>
      <c r="R715" s="115"/>
      <c r="S715" s="326">
        <v>43465</v>
      </c>
    </row>
    <row r="716" spans="1:19" customFormat="1" ht="15.75">
      <c r="A716" s="107">
        <f t="shared" si="202"/>
        <v>132</v>
      </c>
      <c r="B716" s="305" t="s">
        <v>297</v>
      </c>
      <c r="C716" s="108">
        <v>1981</v>
      </c>
      <c r="D716" s="108"/>
      <c r="E716" s="109" t="s">
        <v>219</v>
      </c>
      <c r="F716" s="110">
        <v>9</v>
      </c>
      <c r="G716" s="110">
        <v>2</v>
      </c>
      <c r="H716" s="111"/>
      <c r="I716" s="111"/>
      <c r="J716" s="111"/>
      <c r="K716" s="112"/>
      <c r="L716" s="113">
        <v>3719885</v>
      </c>
      <c r="M716" s="113">
        <v>0</v>
      </c>
      <c r="N716" s="113">
        <v>0</v>
      </c>
      <c r="O716" s="113">
        <f t="shared" si="200"/>
        <v>3719885</v>
      </c>
      <c r="P716" s="113">
        <v>0</v>
      </c>
      <c r="Q716" s="114" t="e">
        <f t="shared" si="201"/>
        <v>#DIV/0!</v>
      </c>
      <c r="R716" s="115"/>
      <c r="S716" s="326">
        <v>43465</v>
      </c>
    </row>
    <row r="717" spans="1:19" customFormat="1" ht="31.5">
      <c r="A717" s="107">
        <f t="shared" si="202"/>
        <v>133</v>
      </c>
      <c r="B717" s="305" t="s">
        <v>263</v>
      </c>
      <c r="C717" s="118">
        <v>1949</v>
      </c>
      <c r="D717" s="118"/>
      <c r="E717" s="109" t="s">
        <v>218</v>
      </c>
      <c r="F717" s="118">
        <v>2</v>
      </c>
      <c r="G717" s="118">
        <v>2</v>
      </c>
      <c r="H717" s="118"/>
      <c r="I717" s="118"/>
      <c r="J717" s="118"/>
      <c r="K717" s="119"/>
      <c r="L717" s="113">
        <v>1726391</v>
      </c>
      <c r="M717" s="113">
        <v>0</v>
      </c>
      <c r="N717" s="113">
        <v>0</v>
      </c>
      <c r="O717" s="113">
        <f t="shared" si="200"/>
        <v>1726391</v>
      </c>
      <c r="P717" s="113">
        <v>0</v>
      </c>
      <c r="Q717" s="114" t="e">
        <f t="shared" si="201"/>
        <v>#DIV/0!</v>
      </c>
      <c r="R717" s="115"/>
      <c r="S717" s="326">
        <v>43465</v>
      </c>
    </row>
    <row r="718" spans="1:19" customFormat="1" ht="15.75">
      <c r="A718" s="107">
        <f t="shared" si="202"/>
        <v>134</v>
      </c>
      <c r="B718" s="305" t="s">
        <v>235</v>
      </c>
      <c r="C718" s="118">
        <v>1950</v>
      </c>
      <c r="D718" s="118"/>
      <c r="E718" s="109" t="s">
        <v>220</v>
      </c>
      <c r="F718" s="118">
        <v>2</v>
      </c>
      <c r="G718" s="118">
        <v>1</v>
      </c>
      <c r="H718" s="118"/>
      <c r="I718" s="118"/>
      <c r="J718" s="118"/>
      <c r="K718" s="119"/>
      <c r="L718" s="113">
        <v>1521754</v>
      </c>
      <c r="M718" s="113">
        <v>0</v>
      </c>
      <c r="N718" s="113">
        <v>0</v>
      </c>
      <c r="O718" s="113">
        <f t="shared" si="200"/>
        <v>1521754</v>
      </c>
      <c r="P718" s="113">
        <v>0</v>
      </c>
      <c r="Q718" s="114" t="e">
        <f t="shared" si="201"/>
        <v>#DIV/0!</v>
      </c>
      <c r="R718" s="115"/>
      <c r="S718" s="326">
        <v>43465</v>
      </c>
    </row>
    <row r="719" spans="1:19" customFormat="1" ht="31.5">
      <c r="A719" s="107">
        <f t="shared" si="202"/>
        <v>135</v>
      </c>
      <c r="B719" s="301" t="s">
        <v>227</v>
      </c>
      <c r="C719" s="118">
        <v>1937</v>
      </c>
      <c r="D719" s="118"/>
      <c r="E719" s="109" t="s">
        <v>218</v>
      </c>
      <c r="F719" s="118">
        <v>2</v>
      </c>
      <c r="G719" s="118">
        <v>1</v>
      </c>
      <c r="H719" s="118"/>
      <c r="I719" s="118"/>
      <c r="J719" s="118"/>
      <c r="K719" s="119"/>
      <c r="L719" s="113">
        <v>671505</v>
      </c>
      <c r="M719" s="113">
        <v>0</v>
      </c>
      <c r="N719" s="113">
        <v>0</v>
      </c>
      <c r="O719" s="113">
        <f t="shared" si="200"/>
        <v>671505</v>
      </c>
      <c r="P719" s="113">
        <v>0</v>
      </c>
      <c r="Q719" s="114" t="e">
        <f t="shared" si="201"/>
        <v>#DIV/0!</v>
      </c>
      <c r="R719" s="115"/>
      <c r="S719" s="326">
        <v>43465</v>
      </c>
    </row>
    <row r="720" spans="1:19" customFormat="1" ht="31.5">
      <c r="A720" s="107">
        <f t="shared" si="202"/>
        <v>136</v>
      </c>
      <c r="B720" s="305" t="s">
        <v>339</v>
      </c>
      <c r="C720" s="118">
        <v>1961</v>
      </c>
      <c r="D720" s="118"/>
      <c r="E720" s="109" t="s">
        <v>218</v>
      </c>
      <c r="F720" s="118">
        <v>3</v>
      </c>
      <c r="G720" s="118">
        <v>2</v>
      </c>
      <c r="H720" s="118"/>
      <c r="I720" s="118"/>
      <c r="J720" s="118"/>
      <c r="K720" s="119"/>
      <c r="L720" s="113">
        <v>1081718</v>
      </c>
      <c r="M720" s="113">
        <v>0</v>
      </c>
      <c r="N720" s="113">
        <v>0</v>
      </c>
      <c r="O720" s="113">
        <f t="shared" si="200"/>
        <v>1081718</v>
      </c>
      <c r="P720" s="113">
        <v>0</v>
      </c>
      <c r="Q720" s="114" t="e">
        <f t="shared" si="201"/>
        <v>#DIV/0!</v>
      </c>
      <c r="R720" s="115"/>
      <c r="S720" s="326">
        <v>43465</v>
      </c>
    </row>
    <row r="721" spans="1:19" customFormat="1" ht="15.75">
      <c r="A721" s="107">
        <f t="shared" si="202"/>
        <v>137</v>
      </c>
      <c r="B721" s="305" t="s">
        <v>231</v>
      </c>
      <c r="C721" s="118">
        <v>1960</v>
      </c>
      <c r="D721" s="118"/>
      <c r="E721" s="109" t="s">
        <v>220</v>
      </c>
      <c r="F721" s="118">
        <v>3</v>
      </c>
      <c r="G721" s="118">
        <v>2</v>
      </c>
      <c r="H721" s="118"/>
      <c r="I721" s="118"/>
      <c r="J721" s="118"/>
      <c r="K721" s="119"/>
      <c r="L721" s="113">
        <v>206635</v>
      </c>
      <c r="M721" s="113">
        <v>0</v>
      </c>
      <c r="N721" s="113">
        <v>0</v>
      </c>
      <c r="O721" s="113">
        <f t="shared" si="200"/>
        <v>206635</v>
      </c>
      <c r="P721" s="113">
        <v>0</v>
      </c>
      <c r="Q721" s="114" t="e">
        <f t="shared" si="201"/>
        <v>#DIV/0!</v>
      </c>
      <c r="R721" s="115"/>
      <c r="S721" s="326">
        <v>43465</v>
      </c>
    </row>
    <row r="722" spans="1:19" customFormat="1" ht="15.75">
      <c r="A722" s="107">
        <f t="shared" si="202"/>
        <v>138</v>
      </c>
      <c r="B722" s="301" t="s">
        <v>300</v>
      </c>
      <c r="C722" s="108">
        <v>1961</v>
      </c>
      <c r="D722" s="108"/>
      <c r="E722" s="109" t="s">
        <v>220</v>
      </c>
      <c r="F722" s="110">
        <v>3</v>
      </c>
      <c r="G722" s="110">
        <v>2</v>
      </c>
      <c r="H722" s="111"/>
      <c r="I722" s="111"/>
      <c r="J722" s="111"/>
      <c r="K722" s="112"/>
      <c r="L722" s="113">
        <v>1044081.04</v>
      </c>
      <c r="M722" s="113">
        <v>0</v>
      </c>
      <c r="N722" s="113">
        <v>0</v>
      </c>
      <c r="O722" s="113">
        <f t="shared" si="200"/>
        <v>1044081.04</v>
      </c>
      <c r="P722" s="113">
        <v>0</v>
      </c>
      <c r="Q722" s="114" t="e">
        <f t="shared" si="201"/>
        <v>#DIV/0!</v>
      </c>
      <c r="R722" s="115"/>
      <c r="S722" s="326">
        <v>43465</v>
      </c>
    </row>
    <row r="723" spans="1:19" customFormat="1" ht="31.5">
      <c r="A723" s="107">
        <f t="shared" si="202"/>
        <v>139</v>
      </c>
      <c r="B723" s="301" t="s">
        <v>283</v>
      </c>
      <c r="C723" s="107">
        <v>1959</v>
      </c>
      <c r="D723" s="108"/>
      <c r="E723" s="109" t="s">
        <v>218</v>
      </c>
      <c r="F723" s="108">
        <v>2</v>
      </c>
      <c r="G723" s="108">
        <v>2</v>
      </c>
      <c r="H723" s="117"/>
      <c r="I723" s="117"/>
      <c r="J723" s="117"/>
      <c r="K723" s="101"/>
      <c r="L723" s="113">
        <v>1340000</v>
      </c>
      <c r="M723" s="113">
        <v>0</v>
      </c>
      <c r="N723" s="113">
        <v>0</v>
      </c>
      <c r="O723" s="113">
        <f t="shared" si="200"/>
        <v>1340000</v>
      </c>
      <c r="P723" s="113">
        <v>0</v>
      </c>
      <c r="Q723" s="114" t="e">
        <f t="shared" si="201"/>
        <v>#DIV/0!</v>
      </c>
      <c r="R723" s="115"/>
      <c r="S723" s="326">
        <v>43465</v>
      </c>
    </row>
    <row r="724" spans="1:19" customFormat="1" ht="15.75">
      <c r="A724" s="107">
        <f t="shared" si="202"/>
        <v>140</v>
      </c>
      <c r="B724" s="305" t="s">
        <v>450</v>
      </c>
      <c r="C724" s="107">
        <v>1975</v>
      </c>
      <c r="D724" s="108"/>
      <c r="E724" s="109" t="s">
        <v>219</v>
      </c>
      <c r="F724" s="108">
        <v>5</v>
      </c>
      <c r="G724" s="108">
        <v>6</v>
      </c>
      <c r="H724" s="117"/>
      <c r="I724" s="117"/>
      <c r="J724" s="117"/>
      <c r="K724" s="101"/>
      <c r="L724" s="113">
        <v>2294529</v>
      </c>
      <c r="M724" s="113">
        <v>0</v>
      </c>
      <c r="N724" s="113">
        <v>0</v>
      </c>
      <c r="O724" s="113">
        <f t="shared" si="200"/>
        <v>2294529</v>
      </c>
      <c r="P724" s="113">
        <v>0</v>
      </c>
      <c r="Q724" s="114" t="e">
        <f t="shared" si="201"/>
        <v>#DIV/0!</v>
      </c>
      <c r="R724" s="115"/>
      <c r="S724" s="326">
        <v>43465</v>
      </c>
    </row>
    <row r="725" spans="1:19" customFormat="1" ht="15.75">
      <c r="A725" s="107">
        <f t="shared" si="202"/>
        <v>141</v>
      </c>
      <c r="B725" s="305" t="s">
        <v>230</v>
      </c>
      <c r="C725" s="118">
        <v>1981</v>
      </c>
      <c r="D725" s="118"/>
      <c r="E725" s="109" t="s">
        <v>219</v>
      </c>
      <c r="F725" s="118">
        <v>9</v>
      </c>
      <c r="G725" s="118">
        <v>2</v>
      </c>
      <c r="H725" s="118"/>
      <c r="I725" s="118"/>
      <c r="J725" s="118"/>
      <c r="K725" s="119"/>
      <c r="L725" s="113">
        <v>2615616.2000000002</v>
      </c>
      <c r="M725" s="113">
        <v>0</v>
      </c>
      <c r="N725" s="113">
        <v>0</v>
      </c>
      <c r="O725" s="113">
        <f t="shared" si="200"/>
        <v>2615616.2000000002</v>
      </c>
      <c r="P725" s="113">
        <v>0</v>
      </c>
      <c r="Q725" s="114" t="e">
        <f t="shared" si="201"/>
        <v>#DIV/0!</v>
      </c>
      <c r="R725" s="115"/>
      <c r="S725" s="326">
        <v>43465</v>
      </c>
    </row>
    <row r="726" spans="1:19" customFormat="1" ht="31.5">
      <c r="A726" s="107">
        <f t="shared" si="202"/>
        <v>142</v>
      </c>
      <c r="B726" s="301" t="s">
        <v>295</v>
      </c>
      <c r="C726" s="108">
        <v>1964</v>
      </c>
      <c r="D726" s="108"/>
      <c r="E726" s="109" t="s">
        <v>218</v>
      </c>
      <c r="F726" s="110">
        <v>5</v>
      </c>
      <c r="G726" s="110">
        <v>3</v>
      </c>
      <c r="H726" s="111"/>
      <c r="I726" s="111"/>
      <c r="J726" s="111"/>
      <c r="K726" s="112"/>
      <c r="L726" s="113">
        <v>1561539</v>
      </c>
      <c r="M726" s="113">
        <v>0</v>
      </c>
      <c r="N726" s="113">
        <v>0</v>
      </c>
      <c r="O726" s="113">
        <f t="shared" si="200"/>
        <v>1561539</v>
      </c>
      <c r="P726" s="113">
        <v>0</v>
      </c>
      <c r="Q726" s="114" t="e">
        <f t="shared" si="201"/>
        <v>#DIV/0!</v>
      </c>
      <c r="R726" s="115"/>
      <c r="S726" s="326">
        <v>43465</v>
      </c>
    </row>
    <row r="727" spans="1:19" customFormat="1" ht="31.5">
      <c r="A727" s="107">
        <f t="shared" si="202"/>
        <v>143</v>
      </c>
      <c r="B727" s="305" t="s">
        <v>294</v>
      </c>
      <c r="C727" s="108">
        <v>1960</v>
      </c>
      <c r="D727" s="108"/>
      <c r="E727" s="109" t="s">
        <v>218</v>
      </c>
      <c r="F727" s="110">
        <v>5</v>
      </c>
      <c r="G727" s="110">
        <v>2</v>
      </c>
      <c r="H727" s="111"/>
      <c r="I727" s="111"/>
      <c r="J727" s="111"/>
      <c r="K727" s="112"/>
      <c r="L727" s="113">
        <v>1421187</v>
      </c>
      <c r="M727" s="113">
        <v>0</v>
      </c>
      <c r="N727" s="113">
        <v>0</v>
      </c>
      <c r="O727" s="113">
        <f t="shared" si="200"/>
        <v>1421187</v>
      </c>
      <c r="P727" s="113">
        <v>0</v>
      </c>
      <c r="Q727" s="114" t="e">
        <f t="shared" si="201"/>
        <v>#DIV/0!</v>
      </c>
      <c r="R727" s="115"/>
      <c r="S727" s="326">
        <v>43465</v>
      </c>
    </row>
    <row r="728" spans="1:19" customFormat="1" ht="15.75">
      <c r="A728" s="107">
        <f t="shared" si="202"/>
        <v>144</v>
      </c>
      <c r="B728" s="305" t="s">
        <v>270</v>
      </c>
      <c r="C728" s="118">
        <v>1962</v>
      </c>
      <c r="D728" s="118"/>
      <c r="E728" s="109" t="s">
        <v>219</v>
      </c>
      <c r="F728" s="118">
        <v>4</v>
      </c>
      <c r="G728" s="118">
        <v>4</v>
      </c>
      <c r="H728" s="118"/>
      <c r="I728" s="118"/>
      <c r="J728" s="118"/>
      <c r="K728" s="119"/>
      <c r="L728" s="113">
        <v>2469740</v>
      </c>
      <c r="M728" s="113">
        <v>0</v>
      </c>
      <c r="N728" s="113">
        <v>0</v>
      </c>
      <c r="O728" s="113">
        <f t="shared" si="200"/>
        <v>2469740</v>
      </c>
      <c r="P728" s="113">
        <v>0</v>
      </c>
      <c r="Q728" s="114" t="e">
        <f t="shared" si="201"/>
        <v>#DIV/0!</v>
      </c>
      <c r="R728" s="115"/>
      <c r="S728" s="326">
        <v>43465</v>
      </c>
    </row>
    <row r="729" spans="1:19" customFormat="1" ht="31.5">
      <c r="A729" s="107">
        <f t="shared" si="202"/>
        <v>145</v>
      </c>
      <c r="B729" s="305" t="s">
        <v>252</v>
      </c>
      <c r="C729" s="118">
        <v>1986</v>
      </c>
      <c r="D729" s="118"/>
      <c r="E729" s="109" t="s">
        <v>218</v>
      </c>
      <c r="F729" s="118">
        <v>9</v>
      </c>
      <c r="G729" s="118">
        <v>1</v>
      </c>
      <c r="H729" s="118"/>
      <c r="I729" s="118"/>
      <c r="J729" s="118"/>
      <c r="K729" s="119"/>
      <c r="L729" s="113">
        <v>1104857</v>
      </c>
      <c r="M729" s="113">
        <v>0</v>
      </c>
      <c r="N729" s="113">
        <v>0</v>
      </c>
      <c r="O729" s="113">
        <f t="shared" si="200"/>
        <v>1104857</v>
      </c>
      <c r="P729" s="113">
        <v>0</v>
      </c>
      <c r="Q729" s="114" t="e">
        <f t="shared" si="201"/>
        <v>#DIV/0!</v>
      </c>
      <c r="R729" s="115"/>
      <c r="S729" s="326">
        <v>43465</v>
      </c>
    </row>
    <row r="730" spans="1:19" customFormat="1" ht="31.5">
      <c r="A730" s="107">
        <f t="shared" si="202"/>
        <v>146</v>
      </c>
      <c r="B730" s="305" t="s">
        <v>304</v>
      </c>
      <c r="C730" s="108">
        <v>1989</v>
      </c>
      <c r="D730" s="108"/>
      <c r="E730" s="109" t="s">
        <v>218</v>
      </c>
      <c r="F730" s="110">
        <v>9</v>
      </c>
      <c r="G730" s="110">
        <v>1</v>
      </c>
      <c r="H730" s="111"/>
      <c r="I730" s="111"/>
      <c r="J730" s="111"/>
      <c r="K730" s="112"/>
      <c r="L730" s="113">
        <v>1877378</v>
      </c>
      <c r="M730" s="113">
        <v>0</v>
      </c>
      <c r="N730" s="113">
        <v>0</v>
      </c>
      <c r="O730" s="113">
        <f t="shared" si="200"/>
        <v>1877378</v>
      </c>
      <c r="P730" s="113">
        <v>0</v>
      </c>
      <c r="Q730" s="114" t="e">
        <f t="shared" si="201"/>
        <v>#DIV/0!</v>
      </c>
      <c r="R730" s="115"/>
      <c r="S730" s="326">
        <v>43465</v>
      </c>
    </row>
    <row r="731" spans="1:19" customFormat="1" ht="31.5">
      <c r="A731" s="107">
        <f t="shared" si="202"/>
        <v>147</v>
      </c>
      <c r="B731" s="305" t="s">
        <v>228</v>
      </c>
      <c r="C731" s="118" t="s">
        <v>190</v>
      </c>
      <c r="D731" s="118"/>
      <c r="E731" s="109" t="s">
        <v>218</v>
      </c>
      <c r="F731" s="118">
        <v>4</v>
      </c>
      <c r="G731" s="118">
        <v>2</v>
      </c>
      <c r="H731" s="118"/>
      <c r="I731" s="118"/>
      <c r="J731" s="118"/>
      <c r="K731" s="119"/>
      <c r="L731" s="113">
        <v>2945836</v>
      </c>
      <c r="M731" s="113">
        <v>0</v>
      </c>
      <c r="N731" s="113">
        <v>0</v>
      </c>
      <c r="O731" s="113">
        <f t="shared" si="200"/>
        <v>2945836</v>
      </c>
      <c r="P731" s="113">
        <v>0</v>
      </c>
      <c r="Q731" s="114" t="e">
        <f t="shared" si="201"/>
        <v>#DIV/0!</v>
      </c>
      <c r="R731" s="115"/>
      <c r="S731" s="326">
        <v>43465</v>
      </c>
    </row>
    <row r="732" spans="1:19" customFormat="1" ht="31.5">
      <c r="A732" s="107">
        <f t="shared" si="202"/>
        <v>148</v>
      </c>
      <c r="B732" s="305" t="s">
        <v>225</v>
      </c>
      <c r="C732" s="118">
        <v>1932</v>
      </c>
      <c r="D732" s="118"/>
      <c r="E732" s="109" t="s">
        <v>218</v>
      </c>
      <c r="F732" s="118">
        <v>5</v>
      </c>
      <c r="G732" s="118">
        <v>5</v>
      </c>
      <c r="H732" s="118"/>
      <c r="I732" s="118"/>
      <c r="J732" s="118"/>
      <c r="K732" s="119"/>
      <c r="L732" s="113">
        <v>1118494</v>
      </c>
      <c r="M732" s="113">
        <v>0</v>
      </c>
      <c r="N732" s="113">
        <v>0</v>
      </c>
      <c r="O732" s="113">
        <f t="shared" si="200"/>
        <v>1118494</v>
      </c>
      <c r="P732" s="113">
        <v>0</v>
      </c>
      <c r="Q732" s="114" t="e">
        <f t="shared" si="201"/>
        <v>#DIV/0!</v>
      </c>
      <c r="R732" s="115"/>
      <c r="S732" s="326">
        <v>43465</v>
      </c>
    </row>
    <row r="733" spans="1:19" customFormat="1" ht="31.5">
      <c r="A733" s="107">
        <f t="shared" si="202"/>
        <v>149</v>
      </c>
      <c r="B733" s="305" t="s">
        <v>232</v>
      </c>
      <c r="C733" s="118" t="s">
        <v>190</v>
      </c>
      <c r="D733" s="118"/>
      <c r="E733" s="109" t="s">
        <v>218</v>
      </c>
      <c r="F733" s="118">
        <v>3</v>
      </c>
      <c r="G733" s="118">
        <v>2</v>
      </c>
      <c r="H733" s="118"/>
      <c r="I733" s="118"/>
      <c r="J733" s="118"/>
      <c r="K733" s="119"/>
      <c r="L733" s="113">
        <v>2540427</v>
      </c>
      <c r="M733" s="113">
        <v>0</v>
      </c>
      <c r="N733" s="113">
        <v>0</v>
      </c>
      <c r="O733" s="113">
        <f t="shared" si="200"/>
        <v>2540427</v>
      </c>
      <c r="P733" s="113">
        <v>0</v>
      </c>
      <c r="Q733" s="114" t="e">
        <f t="shared" si="201"/>
        <v>#DIV/0!</v>
      </c>
      <c r="R733" s="115"/>
      <c r="S733" s="326">
        <v>43465</v>
      </c>
    </row>
    <row r="734" spans="1:19" customFormat="1" ht="31.5">
      <c r="A734" s="107">
        <f t="shared" si="202"/>
        <v>150</v>
      </c>
      <c r="B734" s="305" t="s">
        <v>275</v>
      </c>
      <c r="C734" s="107">
        <v>1951</v>
      </c>
      <c r="D734" s="108"/>
      <c r="E734" s="109" t="s">
        <v>218</v>
      </c>
      <c r="F734" s="108">
        <v>3</v>
      </c>
      <c r="G734" s="108">
        <v>3</v>
      </c>
      <c r="H734" s="117"/>
      <c r="I734" s="117"/>
      <c r="J734" s="117"/>
      <c r="K734" s="101"/>
      <c r="L734" s="113">
        <v>2253297</v>
      </c>
      <c r="M734" s="113">
        <v>0</v>
      </c>
      <c r="N734" s="113">
        <v>0</v>
      </c>
      <c r="O734" s="113">
        <f t="shared" si="200"/>
        <v>2253297</v>
      </c>
      <c r="P734" s="113">
        <v>0</v>
      </c>
      <c r="Q734" s="114" t="e">
        <f t="shared" si="201"/>
        <v>#DIV/0!</v>
      </c>
      <c r="R734" s="115"/>
      <c r="S734" s="326">
        <v>43465</v>
      </c>
    </row>
    <row r="735" spans="1:19" customFormat="1" ht="21.75" customHeight="1">
      <c r="A735" s="107">
        <f t="shared" si="202"/>
        <v>151</v>
      </c>
      <c r="B735" s="305" t="s">
        <v>286</v>
      </c>
      <c r="C735" s="108">
        <v>1971</v>
      </c>
      <c r="D735" s="108"/>
      <c r="E735" s="109" t="s">
        <v>219</v>
      </c>
      <c r="F735" s="110">
        <v>5</v>
      </c>
      <c r="G735" s="110">
        <v>4</v>
      </c>
      <c r="H735" s="111"/>
      <c r="I735" s="111"/>
      <c r="J735" s="111"/>
      <c r="K735" s="112"/>
      <c r="L735" s="113">
        <v>1390061</v>
      </c>
      <c r="M735" s="113">
        <v>0</v>
      </c>
      <c r="N735" s="113">
        <v>0</v>
      </c>
      <c r="O735" s="113">
        <f t="shared" si="200"/>
        <v>1390061</v>
      </c>
      <c r="P735" s="113">
        <v>0</v>
      </c>
      <c r="Q735" s="114" t="e">
        <f t="shared" si="201"/>
        <v>#DIV/0!</v>
      </c>
      <c r="R735" s="115"/>
      <c r="S735" s="326">
        <v>43465</v>
      </c>
    </row>
    <row r="736" spans="1:19" customFormat="1" ht="31.5">
      <c r="A736" s="107">
        <f t="shared" si="202"/>
        <v>152</v>
      </c>
      <c r="B736" s="301" t="s">
        <v>342</v>
      </c>
      <c r="C736" s="107">
        <v>1961</v>
      </c>
      <c r="D736" s="108"/>
      <c r="E736" s="109" t="s">
        <v>218</v>
      </c>
      <c r="F736" s="108">
        <v>5</v>
      </c>
      <c r="G736" s="108">
        <v>4</v>
      </c>
      <c r="H736" s="117"/>
      <c r="I736" s="117"/>
      <c r="J736" s="117"/>
      <c r="K736" s="101"/>
      <c r="L736" s="113">
        <v>3213804</v>
      </c>
      <c r="M736" s="113">
        <v>0</v>
      </c>
      <c r="N736" s="113">
        <v>0</v>
      </c>
      <c r="O736" s="113">
        <f t="shared" si="200"/>
        <v>3213804</v>
      </c>
      <c r="P736" s="113">
        <v>0</v>
      </c>
      <c r="Q736" s="114" t="e">
        <f t="shared" si="201"/>
        <v>#DIV/0!</v>
      </c>
      <c r="R736" s="115"/>
      <c r="S736" s="326">
        <v>43465</v>
      </c>
    </row>
    <row r="737" spans="1:30" customFormat="1" ht="31.5">
      <c r="A737" s="107">
        <f t="shared" si="202"/>
        <v>153</v>
      </c>
      <c r="B737" s="305" t="s">
        <v>298</v>
      </c>
      <c r="C737" s="108">
        <v>1958</v>
      </c>
      <c r="D737" s="108"/>
      <c r="E737" s="109" t="s">
        <v>218</v>
      </c>
      <c r="F737" s="110">
        <v>4</v>
      </c>
      <c r="G737" s="110">
        <v>3</v>
      </c>
      <c r="H737" s="111"/>
      <c r="I737" s="111"/>
      <c r="J737" s="111"/>
      <c r="K737" s="112"/>
      <c r="L737" s="113">
        <v>3202371</v>
      </c>
      <c r="M737" s="113">
        <v>0</v>
      </c>
      <c r="N737" s="113">
        <v>0</v>
      </c>
      <c r="O737" s="113">
        <f t="shared" si="200"/>
        <v>3202371</v>
      </c>
      <c r="P737" s="113">
        <v>0</v>
      </c>
      <c r="Q737" s="114" t="e">
        <f t="shared" si="201"/>
        <v>#DIV/0!</v>
      </c>
      <c r="R737" s="115"/>
      <c r="S737" s="326">
        <v>43465</v>
      </c>
    </row>
    <row r="738" spans="1:30" s="3" customFormat="1" ht="31.5">
      <c r="A738" s="107">
        <f t="shared" si="202"/>
        <v>154</v>
      </c>
      <c r="B738" s="305" t="s">
        <v>253</v>
      </c>
      <c r="C738" s="118">
        <v>1959</v>
      </c>
      <c r="D738" s="118"/>
      <c r="E738" s="109" t="s">
        <v>218</v>
      </c>
      <c r="F738" s="118">
        <v>2</v>
      </c>
      <c r="G738" s="118">
        <v>1</v>
      </c>
      <c r="H738" s="118"/>
      <c r="I738" s="118"/>
      <c r="J738" s="118"/>
      <c r="K738" s="119"/>
      <c r="L738" s="113">
        <v>709022</v>
      </c>
      <c r="M738" s="113">
        <v>0</v>
      </c>
      <c r="N738" s="113">
        <v>0</v>
      </c>
      <c r="O738" s="113">
        <f t="shared" si="200"/>
        <v>709022</v>
      </c>
      <c r="P738" s="113">
        <v>0</v>
      </c>
      <c r="Q738" s="114" t="e">
        <f t="shared" si="201"/>
        <v>#DIV/0!</v>
      </c>
      <c r="R738" s="115"/>
      <c r="S738" s="326">
        <v>43465</v>
      </c>
      <c r="T738"/>
      <c r="U738"/>
      <c r="V738"/>
      <c r="W738"/>
      <c r="X738"/>
      <c r="Y738"/>
      <c r="Z738"/>
      <c r="AA738"/>
      <c r="AB738"/>
      <c r="AC738"/>
      <c r="AD738"/>
    </row>
    <row r="739" spans="1:30" customFormat="1" ht="31.5">
      <c r="A739" s="107">
        <f t="shared" si="202"/>
        <v>155</v>
      </c>
      <c r="B739" s="305" t="s">
        <v>260</v>
      </c>
      <c r="C739" s="118">
        <v>1958</v>
      </c>
      <c r="D739" s="118"/>
      <c r="E739" s="109" t="s">
        <v>218</v>
      </c>
      <c r="F739" s="118">
        <v>2</v>
      </c>
      <c r="G739" s="118">
        <v>1</v>
      </c>
      <c r="H739" s="118"/>
      <c r="I739" s="118"/>
      <c r="J739" s="118"/>
      <c r="K739" s="119"/>
      <c r="L739" s="113">
        <v>1136930</v>
      </c>
      <c r="M739" s="113">
        <v>0</v>
      </c>
      <c r="N739" s="113">
        <v>0</v>
      </c>
      <c r="O739" s="113">
        <f t="shared" si="200"/>
        <v>1136930</v>
      </c>
      <c r="P739" s="113">
        <v>0</v>
      </c>
      <c r="Q739" s="114" t="e">
        <f t="shared" si="201"/>
        <v>#DIV/0!</v>
      </c>
      <c r="R739" s="115"/>
      <c r="S739" s="326">
        <v>43465</v>
      </c>
    </row>
    <row r="740" spans="1:30" customFormat="1" ht="31.5">
      <c r="A740" s="107">
        <f t="shared" si="202"/>
        <v>156</v>
      </c>
      <c r="B740" s="305" t="s">
        <v>349</v>
      </c>
      <c r="C740" s="108">
        <v>1958</v>
      </c>
      <c r="D740" s="108"/>
      <c r="E740" s="109" t="s">
        <v>218</v>
      </c>
      <c r="F740" s="110">
        <v>2</v>
      </c>
      <c r="G740" s="110">
        <v>2</v>
      </c>
      <c r="H740" s="111"/>
      <c r="I740" s="111"/>
      <c r="J740" s="111"/>
      <c r="K740" s="112"/>
      <c r="L740" s="113">
        <v>1320636</v>
      </c>
      <c r="M740" s="113">
        <v>0</v>
      </c>
      <c r="N740" s="113">
        <v>0</v>
      </c>
      <c r="O740" s="113">
        <f t="shared" si="200"/>
        <v>1320636</v>
      </c>
      <c r="P740" s="113">
        <v>0</v>
      </c>
      <c r="Q740" s="114" t="e">
        <f t="shared" si="201"/>
        <v>#DIV/0!</v>
      </c>
      <c r="R740" s="115"/>
      <c r="S740" s="326">
        <v>43465</v>
      </c>
    </row>
    <row r="741" spans="1:30" customFormat="1" ht="15.75">
      <c r="A741" s="107">
        <f t="shared" si="202"/>
        <v>157</v>
      </c>
      <c r="B741" s="305" t="s">
        <v>302</v>
      </c>
      <c r="C741" s="108">
        <v>1986</v>
      </c>
      <c r="D741" s="108"/>
      <c r="E741" s="109" t="s">
        <v>219</v>
      </c>
      <c r="F741" s="110">
        <v>9</v>
      </c>
      <c r="G741" s="110">
        <v>3</v>
      </c>
      <c r="H741" s="111"/>
      <c r="I741" s="111"/>
      <c r="J741" s="111"/>
      <c r="K741" s="112"/>
      <c r="L741" s="113">
        <v>4265098</v>
      </c>
      <c r="M741" s="113">
        <v>0</v>
      </c>
      <c r="N741" s="113">
        <v>0</v>
      </c>
      <c r="O741" s="113">
        <f t="shared" si="200"/>
        <v>4265098</v>
      </c>
      <c r="P741" s="113">
        <v>0</v>
      </c>
      <c r="Q741" s="114" t="e">
        <f t="shared" si="201"/>
        <v>#DIV/0!</v>
      </c>
      <c r="R741" s="115"/>
      <c r="S741" s="326">
        <v>43465</v>
      </c>
    </row>
    <row r="742" spans="1:30" customFormat="1" ht="31.5">
      <c r="A742" s="107">
        <f t="shared" si="202"/>
        <v>158</v>
      </c>
      <c r="B742" s="305" t="s">
        <v>341</v>
      </c>
      <c r="C742" s="107">
        <v>1963</v>
      </c>
      <c r="D742" s="108"/>
      <c r="E742" s="109" t="s">
        <v>218</v>
      </c>
      <c r="F742" s="108">
        <v>4</v>
      </c>
      <c r="G742" s="108">
        <v>4</v>
      </c>
      <c r="H742" s="117"/>
      <c r="I742" s="117"/>
      <c r="J742" s="117"/>
      <c r="K742" s="101"/>
      <c r="L742" s="113">
        <v>2115890</v>
      </c>
      <c r="M742" s="113">
        <v>0</v>
      </c>
      <c r="N742" s="113">
        <v>0</v>
      </c>
      <c r="O742" s="113">
        <f t="shared" si="200"/>
        <v>2115890</v>
      </c>
      <c r="P742" s="113">
        <v>0</v>
      </c>
      <c r="Q742" s="114" t="e">
        <f t="shared" si="201"/>
        <v>#DIV/0!</v>
      </c>
      <c r="R742" s="115"/>
      <c r="S742" s="326">
        <v>43465</v>
      </c>
    </row>
    <row r="743" spans="1:30" customFormat="1" ht="31.5">
      <c r="A743" s="107">
        <f t="shared" si="202"/>
        <v>159</v>
      </c>
      <c r="B743" s="301" t="s">
        <v>242</v>
      </c>
      <c r="C743" s="118">
        <v>1961</v>
      </c>
      <c r="D743" s="118"/>
      <c r="E743" s="109" t="s">
        <v>218</v>
      </c>
      <c r="F743" s="118">
        <v>3</v>
      </c>
      <c r="G743" s="118">
        <v>2</v>
      </c>
      <c r="H743" s="118"/>
      <c r="I743" s="118"/>
      <c r="J743" s="118"/>
      <c r="K743" s="119"/>
      <c r="L743" s="113">
        <v>482251.51</v>
      </c>
      <c r="M743" s="113">
        <v>0</v>
      </c>
      <c r="N743" s="113">
        <v>0</v>
      </c>
      <c r="O743" s="113">
        <f t="shared" si="200"/>
        <v>482251.51</v>
      </c>
      <c r="P743" s="113">
        <v>0</v>
      </c>
      <c r="Q743" s="114" t="e">
        <f t="shared" si="201"/>
        <v>#DIV/0!</v>
      </c>
      <c r="R743" s="115"/>
      <c r="S743" s="326">
        <v>43465</v>
      </c>
    </row>
    <row r="744" spans="1:30" customFormat="1" ht="31.5">
      <c r="A744" s="107">
        <f t="shared" si="202"/>
        <v>160</v>
      </c>
      <c r="B744" s="305" t="s">
        <v>279</v>
      </c>
      <c r="C744" s="107">
        <v>1959</v>
      </c>
      <c r="D744" s="108"/>
      <c r="E744" s="109" t="s">
        <v>218</v>
      </c>
      <c r="F744" s="108">
        <v>3</v>
      </c>
      <c r="G744" s="108">
        <v>2</v>
      </c>
      <c r="H744" s="117"/>
      <c r="I744" s="117"/>
      <c r="J744" s="117"/>
      <c r="K744" s="101"/>
      <c r="L744" s="113">
        <v>1018040.92</v>
      </c>
      <c r="M744" s="113">
        <v>0</v>
      </c>
      <c r="N744" s="113">
        <v>0</v>
      </c>
      <c r="O744" s="113">
        <f t="shared" si="200"/>
        <v>1018040.92</v>
      </c>
      <c r="P744" s="113">
        <v>0</v>
      </c>
      <c r="Q744" s="114" t="e">
        <f t="shared" si="201"/>
        <v>#DIV/0!</v>
      </c>
      <c r="R744" s="115"/>
      <c r="S744" s="326">
        <v>43465</v>
      </c>
    </row>
    <row r="745" spans="1:30" customFormat="1" ht="31.5">
      <c r="A745" s="107">
        <f t="shared" si="202"/>
        <v>161</v>
      </c>
      <c r="B745" s="305" t="s">
        <v>262</v>
      </c>
      <c r="C745" s="118">
        <v>1977</v>
      </c>
      <c r="D745" s="118"/>
      <c r="E745" s="109" t="s">
        <v>218</v>
      </c>
      <c r="F745" s="118">
        <v>9</v>
      </c>
      <c r="G745" s="118">
        <v>1</v>
      </c>
      <c r="H745" s="118"/>
      <c r="I745" s="118"/>
      <c r="J745" s="118"/>
      <c r="K745" s="119"/>
      <c r="L745" s="113">
        <v>1871554</v>
      </c>
      <c r="M745" s="113">
        <v>0</v>
      </c>
      <c r="N745" s="113">
        <v>0</v>
      </c>
      <c r="O745" s="113">
        <f t="shared" si="200"/>
        <v>1871554</v>
      </c>
      <c r="P745" s="113">
        <v>0</v>
      </c>
      <c r="Q745" s="114" t="e">
        <f t="shared" si="201"/>
        <v>#DIV/0!</v>
      </c>
      <c r="R745" s="115"/>
      <c r="S745" s="326">
        <v>43465</v>
      </c>
    </row>
    <row r="746" spans="1:30" customFormat="1" ht="31.5">
      <c r="A746" s="107">
        <f t="shared" si="202"/>
        <v>162</v>
      </c>
      <c r="B746" s="301" t="s">
        <v>290</v>
      </c>
      <c r="C746" s="108">
        <v>1974</v>
      </c>
      <c r="D746" s="108"/>
      <c r="E746" s="109" t="s">
        <v>218</v>
      </c>
      <c r="F746" s="110">
        <v>5</v>
      </c>
      <c r="G746" s="110">
        <v>4</v>
      </c>
      <c r="H746" s="111"/>
      <c r="I746" s="111"/>
      <c r="J746" s="111"/>
      <c r="K746" s="112"/>
      <c r="L746" s="113">
        <v>2652530</v>
      </c>
      <c r="M746" s="113">
        <v>0</v>
      </c>
      <c r="N746" s="113">
        <v>0</v>
      </c>
      <c r="O746" s="113">
        <f t="shared" si="200"/>
        <v>2652530</v>
      </c>
      <c r="P746" s="113">
        <v>0</v>
      </c>
      <c r="Q746" s="114" t="e">
        <f t="shared" si="201"/>
        <v>#DIV/0!</v>
      </c>
      <c r="R746" s="115"/>
      <c r="S746" s="326">
        <v>43465</v>
      </c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customFormat="1" ht="15.75">
      <c r="A747" s="107">
        <f t="shared" si="202"/>
        <v>163</v>
      </c>
      <c r="B747" s="305" t="s">
        <v>356</v>
      </c>
      <c r="C747" s="108">
        <v>1974</v>
      </c>
      <c r="D747" s="108"/>
      <c r="E747" s="109" t="s">
        <v>219</v>
      </c>
      <c r="F747" s="110">
        <v>5</v>
      </c>
      <c r="G747" s="110">
        <v>6</v>
      </c>
      <c r="H747" s="111"/>
      <c r="I747" s="111"/>
      <c r="J747" s="111"/>
      <c r="K747" s="112"/>
      <c r="L747" s="113">
        <v>3645969</v>
      </c>
      <c r="M747" s="113">
        <v>0</v>
      </c>
      <c r="N747" s="113">
        <v>0</v>
      </c>
      <c r="O747" s="113">
        <f t="shared" si="200"/>
        <v>3645969</v>
      </c>
      <c r="P747" s="113">
        <v>0</v>
      </c>
      <c r="Q747" s="114" t="e">
        <f t="shared" si="201"/>
        <v>#DIV/0!</v>
      </c>
      <c r="R747" s="115"/>
      <c r="S747" s="326">
        <v>43465</v>
      </c>
    </row>
    <row r="748" spans="1:30" s="62" customFormat="1" ht="15.75">
      <c r="A748" s="107">
        <f t="shared" si="202"/>
        <v>164</v>
      </c>
      <c r="B748" s="305" t="s">
        <v>354</v>
      </c>
      <c r="C748" s="107">
        <v>1986</v>
      </c>
      <c r="D748" s="108"/>
      <c r="E748" s="109" t="s">
        <v>219</v>
      </c>
      <c r="F748" s="108">
        <v>9</v>
      </c>
      <c r="G748" s="108">
        <v>1</v>
      </c>
      <c r="H748" s="117"/>
      <c r="I748" s="117"/>
      <c r="J748" s="117"/>
      <c r="K748" s="101"/>
      <c r="L748" s="113">
        <v>771330</v>
      </c>
      <c r="M748" s="113">
        <v>0</v>
      </c>
      <c r="N748" s="113">
        <v>0</v>
      </c>
      <c r="O748" s="113">
        <f t="shared" si="200"/>
        <v>771330</v>
      </c>
      <c r="P748" s="113">
        <v>0</v>
      </c>
      <c r="Q748" s="114" t="e">
        <f t="shared" si="201"/>
        <v>#DIV/0!</v>
      </c>
      <c r="R748" s="115"/>
      <c r="S748" s="326">
        <v>43465</v>
      </c>
      <c r="T748"/>
      <c r="U748"/>
      <c r="V748"/>
      <c r="W748"/>
      <c r="X748"/>
      <c r="Y748"/>
      <c r="Z748"/>
      <c r="AA748"/>
      <c r="AB748"/>
      <c r="AC748"/>
      <c r="AD748"/>
    </row>
    <row r="749" spans="1:30" customFormat="1" ht="15.75">
      <c r="A749" s="107">
        <f t="shared" si="202"/>
        <v>165</v>
      </c>
      <c r="B749" s="301" t="s">
        <v>352</v>
      </c>
      <c r="C749" s="118">
        <v>1972</v>
      </c>
      <c r="D749" s="118"/>
      <c r="E749" s="109" t="s">
        <v>219</v>
      </c>
      <c r="F749" s="118">
        <v>9</v>
      </c>
      <c r="G749" s="118">
        <v>1</v>
      </c>
      <c r="H749" s="118"/>
      <c r="I749" s="118"/>
      <c r="J749" s="118"/>
      <c r="K749" s="119"/>
      <c r="L749" s="113">
        <v>1894719</v>
      </c>
      <c r="M749" s="113">
        <v>0</v>
      </c>
      <c r="N749" s="113">
        <v>0</v>
      </c>
      <c r="O749" s="113">
        <f t="shared" si="200"/>
        <v>1894719</v>
      </c>
      <c r="P749" s="113">
        <v>0</v>
      </c>
      <c r="Q749" s="114" t="e">
        <f t="shared" si="201"/>
        <v>#DIV/0!</v>
      </c>
      <c r="R749" s="115"/>
      <c r="S749" s="326">
        <v>43465</v>
      </c>
    </row>
    <row r="750" spans="1:30" customFormat="1" ht="31.5">
      <c r="A750" s="107">
        <f t="shared" si="202"/>
        <v>166</v>
      </c>
      <c r="B750" s="305" t="s">
        <v>355</v>
      </c>
      <c r="C750" s="107">
        <v>1964</v>
      </c>
      <c r="D750" s="108"/>
      <c r="E750" s="109" t="s">
        <v>218</v>
      </c>
      <c r="F750" s="108">
        <v>5</v>
      </c>
      <c r="G750" s="108">
        <v>3</v>
      </c>
      <c r="H750" s="117"/>
      <c r="I750" s="117"/>
      <c r="J750" s="117"/>
      <c r="K750" s="101"/>
      <c r="L750" s="113">
        <v>1492412</v>
      </c>
      <c r="M750" s="113">
        <v>0</v>
      </c>
      <c r="N750" s="113">
        <v>0</v>
      </c>
      <c r="O750" s="113">
        <f t="shared" si="200"/>
        <v>1492412</v>
      </c>
      <c r="P750" s="113">
        <v>0</v>
      </c>
      <c r="Q750" s="114" t="e">
        <f t="shared" si="201"/>
        <v>#DIV/0!</v>
      </c>
      <c r="R750" s="115"/>
      <c r="S750" s="326">
        <v>43465</v>
      </c>
    </row>
    <row r="751" spans="1:30" customFormat="1" ht="31.5">
      <c r="A751" s="107">
        <f t="shared" si="202"/>
        <v>167</v>
      </c>
      <c r="B751" s="301" t="s">
        <v>318</v>
      </c>
      <c r="C751" s="118">
        <v>1884</v>
      </c>
      <c r="D751" s="118"/>
      <c r="E751" s="109" t="s">
        <v>218</v>
      </c>
      <c r="F751" s="118">
        <v>2</v>
      </c>
      <c r="G751" s="118">
        <v>2</v>
      </c>
      <c r="H751" s="118"/>
      <c r="I751" s="118"/>
      <c r="J751" s="118"/>
      <c r="K751" s="119"/>
      <c r="L751" s="113">
        <v>651523.25</v>
      </c>
      <c r="M751" s="113">
        <v>0</v>
      </c>
      <c r="N751" s="113">
        <v>0</v>
      </c>
      <c r="O751" s="113">
        <f t="shared" si="200"/>
        <v>651523.25</v>
      </c>
      <c r="P751" s="113">
        <v>0</v>
      </c>
      <c r="Q751" s="114" t="e">
        <f t="shared" si="201"/>
        <v>#DIV/0!</v>
      </c>
      <c r="R751" s="115"/>
      <c r="S751" s="326">
        <v>43465</v>
      </c>
    </row>
    <row r="752" spans="1:30" customFormat="1" ht="15.75">
      <c r="A752" s="107">
        <f t="shared" si="202"/>
        <v>168</v>
      </c>
      <c r="B752" s="305" t="s">
        <v>353</v>
      </c>
      <c r="C752" s="118">
        <v>1948</v>
      </c>
      <c r="D752" s="118"/>
      <c r="E752" s="109" t="s">
        <v>220</v>
      </c>
      <c r="F752" s="118">
        <v>2</v>
      </c>
      <c r="G752" s="118">
        <v>2</v>
      </c>
      <c r="H752" s="118"/>
      <c r="I752" s="118"/>
      <c r="J752" s="118"/>
      <c r="K752" s="119"/>
      <c r="L752" s="113">
        <v>1221424.83</v>
      </c>
      <c r="M752" s="113">
        <v>0</v>
      </c>
      <c r="N752" s="113">
        <v>0</v>
      </c>
      <c r="O752" s="113">
        <f t="shared" si="200"/>
        <v>1221424.83</v>
      </c>
      <c r="P752" s="113">
        <v>0</v>
      </c>
      <c r="Q752" s="114" t="e">
        <f t="shared" si="201"/>
        <v>#DIV/0!</v>
      </c>
      <c r="R752" s="115"/>
      <c r="S752" s="326">
        <v>43465</v>
      </c>
    </row>
    <row r="753" spans="1:19" s="1" customFormat="1" ht="29.45" customHeight="1">
      <c r="A753" s="107"/>
      <c r="B753" s="1341" t="s">
        <v>91</v>
      </c>
      <c r="C753" s="1341"/>
      <c r="D753" s="1341"/>
      <c r="E753" s="1341"/>
      <c r="F753" s="1341"/>
      <c r="G753" s="1341"/>
      <c r="H753" s="104">
        <f t="shared" ref="H753:N753" si="203">SUM(H754:H766)</f>
        <v>11522.799999999997</v>
      </c>
      <c r="I753" s="104">
        <f t="shared" si="203"/>
        <v>10273.200000000003</v>
      </c>
      <c r="J753" s="104">
        <f t="shared" si="203"/>
        <v>8826.4000000000015</v>
      </c>
      <c r="K753" s="105">
        <f t="shared" si="203"/>
        <v>365</v>
      </c>
      <c r="L753" s="655">
        <f t="shared" si="203"/>
        <v>21022265</v>
      </c>
      <c r="M753" s="113">
        <f t="shared" si="203"/>
        <v>0</v>
      </c>
      <c r="N753" s="113">
        <f t="shared" si="203"/>
        <v>0</v>
      </c>
      <c r="O753" s="113">
        <f>SUM(O754:O766)</f>
        <v>21022265</v>
      </c>
      <c r="P753" s="113">
        <f t="shared" ref="P753" si="204">SUM(P754:P759)</f>
        <v>0</v>
      </c>
      <c r="Q753" s="106" t="s">
        <v>40</v>
      </c>
      <c r="R753" s="106" t="s">
        <v>40</v>
      </c>
      <c r="S753" s="326">
        <v>43465</v>
      </c>
    </row>
    <row r="754" spans="1:19" s="30" customFormat="1" ht="31.5">
      <c r="A754" s="107">
        <v>1</v>
      </c>
      <c r="B754" s="889" t="s">
        <v>949</v>
      </c>
      <c r="C754" s="108">
        <v>1965</v>
      </c>
      <c r="D754" s="108"/>
      <c r="E754" s="109" t="s">
        <v>218</v>
      </c>
      <c r="F754" s="764">
        <v>5</v>
      </c>
      <c r="G754" s="764">
        <v>4</v>
      </c>
      <c r="H754" s="764">
        <v>3272</v>
      </c>
      <c r="I754" s="764">
        <v>3153.3</v>
      </c>
      <c r="J754" s="764">
        <v>2896.4</v>
      </c>
      <c r="K754" s="764">
        <v>110</v>
      </c>
      <c r="L754" s="655">
        <f>O754</f>
        <v>2589031</v>
      </c>
      <c r="M754" s="113">
        <v>0</v>
      </c>
      <c r="N754" s="113">
        <v>0</v>
      </c>
      <c r="O754" s="113">
        <v>2589031</v>
      </c>
      <c r="P754" s="113">
        <v>0</v>
      </c>
      <c r="Q754" s="114">
        <f t="shared" ref="Q754:Q766" si="205">L754/I754</f>
        <v>821.05445089271552</v>
      </c>
      <c r="R754" s="114">
        <v>7920</v>
      </c>
      <c r="S754" s="326">
        <v>43465</v>
      </c>
    </row>
    <row r="755" spans="1:19" s="30" customFormat="1" ht="31.5">
      <c r="A755" s="107">
        <f t="shared" si="202"/>
        <v>2</v>
      </c>
      <c r="B755" s="889" t="s">
        <v>950</v>
      </c>
      <c r="C755" s="108">
        <v>1956</v>
      </c>
      <c r="D755" s="108"/>
      <c r="E755" s="109" t="s">
        <v>218</v>
      </c>
      <c r="F755" s="764">
        <v>2</v>
      </c>
      <c r="G755" s="764">
        <v>2</v>
      </c>
      <c r="H755" s="764">
        <v>743.9</v>
      </c>
      <c r="I755" s="764">
        <v>678.9</v>
      </c>
      <c r="J755" s="764">
        <v>627.9</v>
      </c>
      <c r="K755" s="764">
        <v>25</v>
      </c>
      <c r="L755" s="655">
        <f t="shared" ref="L755:L766" si="206">O755</f>
        <v>2100989</v>
      </c>
      <c r="M755" s="113">
        <v>0</v>
      </c>
      <c r="N755" s="113">
        <v>0</v>
      </c>
      <c r="O755" s="113">
        <v>2100989</v>
      </c>
      <c r="P755" s="113">
        <v>0</v>
      </c>
      <c r="Q755" s="114">
        <f t="shared" si="205"/>
        <v>3094.6958314921199</v>
      </c>
      <c r="R755" s="114">
        <v>7920</v>
      </c>
      <c r="S755" s="326">
        <v>43465</v>
      </c>
    </row>
    <row r="756" spans="1:19" s="30" customFormat="1" ht="31.5">
      <c r="A756" s="107">
        <f t="shared" si="202"/>
        <v>3</v>
      </c>
      <c r="B756" s="889" t="s">
        <v>951</v>
      </c>
      <c r="C756" s="108">
        <v>1960</v>
      </c>
      <c r="D756" s="108"/>
      <c r="E756" s="109" t="s">
        <v>218</v>
      </c>
      <c r="F756" s="764">
        <v>2</v>
      </c>
      <c r="G756" s="764">
        <v>2</v>
      </c>
      <c r="H756" s="764">
        <v>874</v>
      </c>
      <c r="I756" s="764">
        <v>771.7</v>
      </c>
      <c r="J756" s="764">
        <v>717.8</v>
      </c>
      <c r="K756" s="764">
        <v>26</v>
      </c>
      <c r="L756" s="655">
        <f t="shared" si="206"/>
        <v>1913404</v>
      </c>
      <c r="M756" s="113">
        <v>0</v>
      </c>
      <c r="N756" s="113">
        <v>0</v>
      </c>
      <c r="O756" s="113">
        <v>1913404</v>
      </c>
      <c r="P756" s="113">
        <v>0</v>
      </c>
      <c r="Q756" s="114">
        <f t="shared" si="205"/>
        <v>2479.466113774783</v>
      </c>
      <c r="R756" s="114">
        <v>7920</v>
      </c>
      <c r="S756" s="326">
        <v>43465</v>
      </c>
    </row>
    <row r="757" spans="1:19" s="30" customFormat="1" ht="31.5">
      <c r="A757" s="107">
        <v>4</v>
      </c>
      <c r="B757" s="889" t="s">
        <v>952</v>
      </c>
      <c r="C757" s="108">
        <v>1962</v>
      </c>
      <c r="D757" s="108"/>
      <c r="E757" s="109" t="s">
        <v>218</v>
      </c>
      <c r="F757" s="764">
        <v>4</v>
      </c>
      <c r="G757" s="764">
        <v>4</v>
      </c>
      <c r="H757" s="764">
        <v>3077.1</v>
      </c>
      <c r="I757" s="764">
        <v>2842.8</v>
      </c>
      <c r="J757" s="764">
        <v>2461.8000000000002</v>
      </c>
      <c r="K757" s="764">
        <v>109</v>
      </c>
      <c r="L757" s="655">
        <f t="shared" si="206"/>
        <v>2563779</v>
      </c>
      <c r="M757" s="113">
        <v>0</v>
      </c>
      <c r="N757" s="113">
        <v>0</v>
      </c>
      <c r="O757" s="113">
        <v>2563779</v>
      </c>
      <c r="P757" s="113">
        <v>0</v>
      </c>
      <c r="Q757" s="114">
        <f t="shared" si="205"/>
        <v>901.84993668214429</v>
      </c>
      <c r="R757" s="114">
        <v>7920</v>
      </c>
      <c r="S757" s="326">
        <v>43465</v>
      </c>
    </row>
    <row r="758" spans="1:19" s="30" customFormat="1" ht="30.6" customHeight="1">
      <c r="A758" s="107">
        <f t="shared" si="202"/>
        <v>5</v>
      </c>
      <c r="B758" s="889" t="s">
        <v>953</v>
      </c>
      <c r="C758" s="108">
        <v>1917</v>
      </c>
      <c r="D758" s="108"/>
      <c r="E758" s="109" t="s">
        <v>218</v>
      </c>
      <c r="F758" s="764">
        <v>3</v>
      </c>
      <c r="G758" s="764">
        <v>2</v>
      </c>
      <c r="H758" s="764">
        <v>689.3</v>
      </c>
      <c r="I758" s="764">
        <v>626.29999999999995</v>
      </c>
      <c r="J758" s="764">
        <v>366.8</v>
      </c>
      <c r="K758" s="764">
        <v>11</v>
      </c>
      <c r="L758" s="655">
        <f t="shared" si="206"/>
        <v>1211476</v>
      </c>
      <c r="M758" s="113">
        <v>0</v>
      </c>
      <c r="N758" s="113">
        <v>0</v>
      </c>
      <c r="O758" s="113">
        <v>1211476</v>
      </c>
      <c r="P758" s="113">
        <v>0</v>
      </c>
      <c r="Q758" s="114">
        <f t="shared" si="205"/>
        <v>1934.3381765926874</v>
      </c>
      <c r="R758" s="114">
        <v>7920</v>
      </c>
      <c r="S758" s="326">
        <v>43465</v>
      </c>
    </row>
    <row r="759" spans="1:19" s="30" customFormat="1" ht="31.5">
      <c r="A759" s="107">
        <f t="shared" si="202"/>
        <v>6</v>
      </c>
      <c r="B759" s="889" t="s">
        <v>954</v>
      </c>
      <c r="C759" s="108">
        <v>1917</v>
      </c>
      <c r="D759" s="108"/>
      <c r="E759" s="109" t="s">
        <v>218</v>
      </c>
      <c r="F759" s="764">
        <v>2</v>
      </c>
      <c r="G759" s="764">
        <v>2</v>
      </c>
      <c r="H759" s="764">
        <v>474.3</v>
      </c>
      <c r="I759" s="764">
        <v>194.4</v>
      </c>
      <c r="J759" s="764">
        <v>194.4</v>
      </c>
      <c r="K759" s="764">
        <v>2</v>
      </c>
      <c r="L759" s="655">
        <f t="shared" si="206"/>
        <v>3154876</v>
      </c>
      <c r="M759" s="113">
        <v>0</v>
      </c>
      <c r="N759" s="113">
        <v>0</v>
      </c>
      <c r="O759" s="113">
        <v>3154876</v>
      </c>
      <c r="P759" s="113">
        <v>0</v>
      </c>
      <c r="Q759" s="114">
        <f t="shared" si="205"/>
        <v>16228.786008230452</v>
      </c>
      <c r="R759" s="114">
        <v>7920</v>
      </c>
      <c r="S759" s="326">
        <v>43465</v>
      </c>
    </row>
    <row r="760" spans="1:19" s="30" customFormat="1" ht="31.5">
      <c r="A760" s="107">
        <v>7</v>
      </c>
      <c r="B760" s="889" t="s">
        <v>955</v>
      </c>
      <c r="C760" s="108">
        <v>1917</v>
      </c>
      <c r="D760" s="108"/>
      <c r="E760" s="109" t="s">
        <v>218</v>
      </c>
      <c r="F760" s="764">
        <v>2</v>
      </c>
      <c r="G760" s="764">
        <v>1</v>
      </c>
      <c r="H760" s="764">
        <v>357</v>
      </c>
      <c r="I760" s="764">
        <v>323.2</v>
      </c>
      <c r="J760" s="764">
        <v>126</v>
      </c>
      <c r="K760" s="764">
        <v>11</v>
      </c>
      <c r="L760" s="655">
        <f t="shared" si="206"/>
        <v>869705</v>
      </c>
      <c r="M760" s="113">
        <v>0</v>
      </c>
      <c r="N760" s="113">
        <v>0</v>
      </c>
      <c r="O760" s="113">
        <v>869705</v>
      </c>
      <c r="P760" s="113">
        <v>0</v>
      </c>
      <c r="Q760" s="114">
        <f t="shared" si="205"/>
        <v>2690.9189356435645</v>
      </c>
      <c r="R760" s="114">
        <v>7920</v>
      </c>
      <c r="S760" s="326">
        <v>43465</v>
      </c>
    </row>
    <row r="761" spans="1:19" s="30" customFormat="1" ht="31.5">
      <c r="A761" s="107">
        <v>8</v>
      </c>
      <c r="B761" s="889" t="s">
        <v>956</v>
      </c>
      <c r="C761" s="108">
        <v>1917</v>
      </c>
      <c r="D761" s="108"/>
      <c r="E761" s="109" t="s">
        <v>218</v>
      </c>
      <c r="F761" s="764">
        <v>3</v>
      </c>
      <c r="G761" s="764">
        <v>2</v>
      </c>
      <c r="H761" s="764">
        <v>490.4</v>
      </c>
      <c r="I761" s="764">
        <v>363</v>
      </c>
      <c r="J761" s="764">
        <v>371.4</v>
      </c>
      <c r="K761" s="764">
        <v>14</v>
      </c>
      <c r="L761" s="655">
        <f t="shared" si="206"/>
        <v>1873863</v>
      </c>
      <c r="M761" s="113">
        <v>0</v>
      </c>
      <c r="N761" s="113">
        <v>0</v>
      </c>
      <c r="O761" s="113">
        <v>1873863</v>
      </c>
      <c r="P761" s="113">
        <v>0</v>
      </c>
      <c r="Q761" s="114">
        <f t="shared" si="205"/>
        <v>5162.1570247933887</v>
      </c>
      <c r="R761" s="114">
        <v>7920</v>
      </c>
      <c r="S761" s="326">
        <v>43465</v>
      </c>
    </row>
    <row r="762" spans="1:19" s="30" customFormat="1" ht="31.5">
      <c r="A762" s="107">
        <v>9</v>
      </c>
      <c r="B762" s="889" t="s">
        <v>957</v>
      </c>
      <c r="C762" s="108">
        <v>1917</v>
      </c>
      <c r="D762" s="108"/>
      <c r="E762" s="109" t="s">
        <v>218</v>
      </c>
      <c r="F762" s="764">
        <v>3</v>
      </c>
      <c r="G762" s="764">
        <v>2</v>
      </c>
      <c r="H762" s="764">
        <v>555.5</v>
      </c>
      <c r="I762" s="764">
        <v>484.4</v>
      </c>
      <c r="J762" s="764">
        <v>442</v>
      </c>
      <c r="K762" s="764">
        <v>16</v>
      </c>
      <c r="L762" s="655">
        <f t="shared" si="206"/>
        <v>1044244</v>
      </c>
      <c r="M762" s="113">
        <v>0</v>
      </c>
      <c r="N762" s="113">
        <v>0</v>
      </c>
      <c r="O762" s="113">
        <v>1044244</v>
      </c>
      <c r="P762" s="113">
        <v>0</v>
      </c>
      <c r="Q762" s="114">
        <f t="shared" si="205"/>
        <v>2155.7473162675474</v>
      </c>
      <c r="R762" s="114">
        <v>7920</v>
      </c>
      <c r="S762" s="326">
        <v>43465</v>
      </c>
    </row>
    <row r="763" spans="1:19" s="30" customFormat="1" ht="31.5">
      <c r="A763" s="107">
        <v>10</v>
      </c>
      <c r="B763" s="889" t="s">
        <v>958</v>
      </c>
      <c r="C763" s="108">
        <v>1917</v>
      </c>
      <c r="D763" s="108"/>
      <c r="E763" s="109" t="s">
        <v>218</v>
      </c>
      <c r="F763" s="764">
        <v>3</v>
      </c>
      <c r="G763" s="764">
        <v>1</v>
      </c>
      <c r="H763" s="764">
        <v>336.5</v>
      </c>
      <c r="I763" s="764">
        <v>334</v>
      </c>
      <c r="J763" s="764">
        <v>262.60000000000002</v>
      </c>
      <c r="K763" s="764">
        <v>9</v>
      </c>
      <c r="L763" s="655">
        <f t="shared" si="206"/>
        <v>831874</v>
      </c>
      <c r="M763" s="113">
        <v>0</v>
      </c>
      <c r="N763" s="113">
        <v>0</v>
      </c>
      <c r="O763" s="113">
        <v>831874</v>
      </c>
      <c r="P763" s="113">
        <v>0</v>
      </c>
      <c r="Q763" s="114">
        <f t="shared" si="205"/>
        <v>2490.6407185628741</v>
      </c>
      <c r="R763" s="114">
        <v>7920</v>
      </c>
      <c r="S763" s="326">
        <v>43465</v>
      </c>
    </row>
    <row r="764" spans="1:19" s="30" customFormat="1" ht="31.5">
      <c r="A764" s="107">
        <v>11</v>
      </c>
      <c r="B764" s="889" t="s">
        <v>959</v>
      </c>
      <c r="C764" s="108">
        <v>1917</v>
      </c>
      <c r="D764" s="108"/>
      <c r="E764" s="109" t="s">
        <v>218</v>
      </c>
      <c r="F764" s="764">
        <v>2</v>
      </c>
      <c r="G764" s="764">
        <v>1</v>
      </c>
      <c r="H764" s="764">
        <v>268</v>
      </c>
      <c r="I764" s="764">
        <v>233</v>
      </c>
      <c r="J764" s="764">
        <v>189.7</v>
      </c>
      <c r="K764" s="764">
        <v>12</v>
      </c>
      <c r="L764" s="655">
        <f t="shared" si="206"/>
        <v>1249958</v>
      </c>
      <c r="M764" s="113">
        <v>0</v>
      </c>
      <c r="N764" s="113">
        <v>0</v>
      </c>
      <c r="O764" s="113">
        <v>1249958</v>
      </c>
      <c r="P764" s="113">
        <v>0</v>
      </c>
      <c r="Q764" s="114">
        <f t="shared" si="205"/>
        <v>5364.6266094420598</v>
      </c>
      <c r="R764" s="114">
        <v>7920</v>
      </c>
      <c r="S764" s="326">
        <v>43465</v>
      </c>
    </row>
    <row r="765" spans="1:19" s="30" customFormat="1" ht="31.5">
      <c r="A765" s="107">
        <v>12</v>
      </c>
      <c r="B765" s="889" t="s">
        <v>960</v>
      </c>
      <c r="C765" s="108">
        <v>1917</v>
      </c>
      <c r="D765" s="108"/>
      <c r="E765" s="109" t="s">
        <v>218</v>
      </c>
      <c r="F765" s="764">
        <v>2</v>
      </c>
      <c r="G765" s="764">
        <v>1</v>
      </c>
      <c r="H765" s="764">
        <v>222.8</v>
      </c>
      <c r="I765" s="764">
        <v>118</v>
      </c>
      <c r="J765" s="764">
        <v>43.7</v>
      </c>
      <c r="K765" s="764">
        <v>17</v>
      </c>
      <c r="L765" s="655">
        <f t="shared" si="206"/>
        <v>1054021</v>
      </c>
      <c r="M765" s="113">
        <v>0</v>
      </c>
      <c r="N765" s="113">
        <v>0</v>
      </c>
      <c r="O765" s="113">
        <v>1054021</v>
      </c>
      <c r="P765" s="113">
        <v>0</v>
      </c>
      <c r="Q765" s="114">
        <f t="shared" si="205"/>
        <v>8932.3813559322025</v>
      </c>
      <c r="R765" s="114">
        <v>7920</v>
      </c>
      <c r="S765" s="326">
        <v>43465</v>
      </c>
    </row>
    <row r="766" spans="1:19" s="30" customFormat="1" ht="31.9" customHeight="1">
      <c r="A766" s="107">
        <v>13</v>
      </c>
      <c r="B766" s="889" t="s">
        <v>961</v>
      </c>
      <c r="C766" s="108">
        <v>1917</v>
      </c>
      <c r="D766" s="108"/>
      <c r="E766" s="109" t="s">
        <v>962</v>
      </c>
      <c r="F766" s="764">
        <v>2</v>
      </c>
      <c r="G766" s="764">
        <v>1</v>
      </c>
      <c r="H766" s="764">
        <v>162</v>
      </c>
      <c r="I766" s="764">
        <v>150.19999999999999</v>
      </c>
      <c r="J766" s="764">
        <v>125.9</v>
      </c>
      <c r="K766" s="764">
        <v>3</v>
      </c>
      <c r="L766" s="655">
        <f t="shared" si="206"/>
        <v>565045</v>
      </c>
      <c r="M766" s="113">
        <v>0</v>
      </c>
      <c r="N766" s="113">
        <v>0</v>
      </c>
      <c r="O766" s="113">
        <v>565045</v>
      </c>
      <c r="P766" s="113">
        <v>0</v>
      </c>
      <c r="Q766" s="114">
        <f t="shared" si="205"/>
        <v>3761.9507323568578</v>
      </c>
      <c r="R766" s="114">
        <v>7920</v>
      </c>
      <c r="S766" s="326">
        <v>43465</v>
      </c>
    </row>
    <row r="767" spans="1:19" s="30" customFormat="1" ht="15.75" customHeight="1">
      <c r="A767" s="318"/>
      <c r="B767" s="1342" t="s">
        <v>92</v>
      </c>
      <c r="C767" s="1342"/>
      <c r="D767" s="1342"/>
      <c r="E767" s="1342"/>
      <c r="F767" s="1342"/>
      <c r="G767" s="1342"/>
      <c r="H767" s="894">
        <f>H768+H769</f>
        <v>929.5</v>
      </c>
      <c r="I767" s="894">
        <f t="shared" ref="I767:P767" si="207">I768+I769</f>
        <v>850.9</v>
      </c>
      <c r="J767" s="894">
        <f t="shared" si="207"/>
        <v>744.5</v>
      </c>
      <c r="K767" s="894">
        <f t="shared" si="207"/>
        <v>43</v>
      </c>
      <c r="L767" s="895">
        <f t="shared" si="207"/>
        <v>1681461</v>
      </c>
      <c r="M767" s="895">
        <f t="shared" si="207"/>
        <v>0</v>
      </c>
      <c r="N767" s="895">
        <f t="shared" si="207"/>
        <v>0</v>
      </c>
      <c r="O767" s="895">
        <f t="shared" si="207"/>
        <v>1681461</v>
      </c>
      <c r="P767" s="895">
        <f t="shared" si="207"/>
        <v>0</v>
      </c>
      <c r="Q767" s="325" t="s">
        <v>40</v>
      </c>
      <c r="R767" s="663" t="s">
        <v>40</v>
      </c>
      <c r="S767" s="326">
        <v>43465</v>
      </c>
    </row>
    <row r="768" spans="1:19" s="30" customFormat="1" ht="15.75" customHeight="1">
      <c r="A768" s="318"/>
      <c r="B768" s="336" t="s">
        <v>647</v>
      </c>
      <c r="C768" s="318">
        <v>1953</v>
      </c>
      <c r="D768" s="318"/>
      <c r="E768" s="318" t="s">
        <v>646</v>
      </c>
      <c r="F768" s="318">
        <v>2</v>
      </c>
      <c r="G768" s="318">
        <v>1</v>
      </c>
      <c r="H768" s="322">
        <v>431.8</v>
      </c>
      <c r="I768" s="360">
        <v>395.2</v>
      </c>
      <c r="J768" s="360">
        <v>288.8</v>
      </c>
      <c r="K768" s="323">
        <v>22</v>
      </c>
      <c r="L768" s="324">
        <v>409319</v>
      </c>
      <c r="M768" s="324">
        <v>0</v>
      </c>
      <c r="N768" s="324">
        <v>0</v>
      </c>
      <c r="O768" s="324">
        <v>409319</v>
      </c>
      <c r="P768" s="324">
        <v>0</v>
      </c>
      <c r="Q768" s="325">
        <f>L768/I768</f>
        <v>1035.7262145748989</v>
      </c>
      <c r="R768" s="663">
        <v>7920</v>
      </c>
      <c r="S768" s="326">
        <v>43465</v>
      </c>
    </row>
    <row r="769" spans="1:62" s="1" customFormat="1" ht="31.5">
      <c r="A769" s="318">
        <f>A766+1</f>
        <v>14</v>
      </c>
      <c r="B769" s="890" t="s">
        <v>648</v>
      </c>
      <c r="C769" s="375">
        <v>1961</v>
      </c>
      <c r="D769" s="375"/>
      <c r="E769" s="321" t="s">
        <v>218</v>
      </c>
      <c r="F769" s="375">
        <v>2</v>
      </c>
      <c r="G769" s="375">
        <v>1</v>
      </c>
      <c r="H769" s="694">
        <v>497.7</v>
      </c>
      <c r="I769" s="375">
        <v>455.7</v>
      </c>
      <c r="J769" s="375">
        <v>455.7</v>
      </c>
      <c r="K769" s="378">
        <v>21</v>
      </c>
      <c r="L769" s="324">
        <v>1272142</v>
      </c>
      <c r="M769" s="324">
        <v>0</v>
      </c>
      <c r="N769" s="324">
        <v>0</v>
      </c>
      <c r="O769" s="324">
        <v>1272142</v>
      </c>
      <c r="P769" s="324">
        <v>0</v>
      </c>
      <c r="Q769" s="379">
        <f>L769/I769</f>
        <v>2791.6216809304369</v>
      </c>
      <c r="R769" s="325">
        <v>7920</v>
      </c>
      <c r="S769" s="326">
        <v>43465</v>
      </c>
    </row>
    <row r="770" spans="1:62" s="1" customFormat="1" ht="15.75" customHeight="1">
      <c r="A770" s="318"/>
      <c r="B770" s="1341" t="s">
        <v>93</v>
      </c>
      <c r="C770" s="1341"/>
      <c r="D770" s="1341"/>
      <c r="E770" s="1341"/>
      <c r="F770" s="1341"/>
      <c r="G770" s="1341"/>
      <c r="H770" s="694">
        <f>SUM(H771:H772)</f>
        <v>4540.7999999999993</v>
      </c>
      <c r="I770" s="694">
        <f t="shared" ref="I770:P770" si="208">SUM(I771:I772)</f>
        <v>4540.7999999999993</v>
      </c>
      <c r="J770" s="694">
        <f t="shared" si="208"/>
        <v>3048.6</v>
      </c>
      <c r="K770" s="694">
        <f t="shared" si="208"/>
        <v>151</v>
      </c>
      <c r="L770" s="696">
        <f t="shared" si="208"/>
        <v>4013524</v>
      </c>
      <c r="M770" s="696">
        <f t="shared" si="208"/>
        <v>0</v>
      </c>
      <c r="N770" s="696">
        <f t="shared" si="208"/>
        <v>0</v>
      </c>
      <c r="O770" s="696">
        <f t="shared" si="208"/>
        <v>4013524</v>
      </c>
      <c r="P770" s="696">
        <f t="shared" si="208"/>
        <v>0</v>
      </c>
      <c r="Q770" s="344" t="s">
        <v>40</v>
      </c>
      <c r="R770" s="344" t="s">
        <v>40</v>
      </c>
      <c r="S770" s="326">
        <v>43465</v>
      </c>
    </row>
    <row r="771" spans="1:62" s="1" customFormat="1" ht="15.75">
      <c r="A771" s="318">
        <f>A769+1</f>
        <v>15</v>
      </c>
      <c r="B771" s="700" t="s">
        <v>788</v>
      </c>
      <c r="C771" s="340">
        <v>1974</v>
      </c>
      <c r="D771" s="340"/>
      <c r="E771" s="321" t="s">
        <v>219</v>
      </c>
      <c r="F771" s="343">
        <v>5</v>
      </c>
      <c r="G771" s="343">
        <v>6</v>
      </c>
      <c r="H771" s="587">
        <v>4364.8999999999996</v>
      </c>
      <c r="I771" s="341">
        <v>4364.8999999999996</v>
      </c>
      <c r="J771" s="341">
        <v>2872.7</v>
      </c>
      <c r="K771" s="343">
        <v>144</v>
      </c>
      <c r="L771" s="324">
        <v>2978035</v>
      </c>
      <c r="M771" s="324">
        <v>0</v>
      </c>
      <c r="N771" s="324">
        <v>0</v>
      </c>
      <c r="O771" s="324">
        <f t="shared" ref="O771:O772" si="209">L771</f>
        <v>2978035</v>
      </c>
      <c r="P771" s="324">
        <v>0</v>
      </c>
      <c r="Q771" s="344">
        <f>L771/I771</f>
        <v>682.2687804989805</v>
      </c>
      <c r="R771" s="325">
        <v>7920</v>
      </c>
      <c r="S771" s="326">
        <v>43465</v>
      </c>
    </row>
    <row r="772" spans="1:62" s="1" customFormat="1" ht="31.5">
      <c r="A772" s="318">
        <f t="shared" si="202"/>
        <v>16</v>
      </c>
      <c r="B772" s="700" t="s">
        <v>789</v>
      </c>
      <c r="C772" s="340">
        <v>1958</v>
      </c>
      <c r="D772" s="340"/>
      <c r="E772" s="321" t="s">
        <v>777</v>
      </c>
      <c r="F772" s="343">
        <v>1</v>
      </c>
      <c r="G772" s="343">
        <v>1</v>
      </c>
      <c r="H772" s="587">
        <v>175.9</v>
      </c>
      <c r="I772" s="341">
        <v>175.9</v>
      </c>
      <c r="J772" s="341">
        <v>175.9</v>
      </c>
      <c r="K772" s="343">
        <v>7</v>
      </c>
      <c r="L772" s="324">
        <v>1035489</v>
      </c>
      <c r="M772" s="324">
        <v>0</v>
      </c>
      <c r="N772" s="324">
        <v>0</v>
      </c>
      <c r="O772" s="324">
        <f t="shared" si="209"/>
        <v>1035489</v>
      </c>
      <c r="P772" s="324">
        <v>0</v>
      </c>
      <c r="Q772" s="344">
        <f>L772/I772</f>
        <v>5886.8050028425241</v>
      </c>
      <c r="R772" s="325">
        <v>7920</v>
      </c>
      <c r="S772" s="326">
        <v>43465</v>
      </c>
    </row>
    <row r="773" spans="1:62" s="1" customFormat="1" ht="15.75">
      <c r="A773" s="318"/>
      <c r="B773" s="695"/>
      <c r="C773" s="340"/>
      <c r="D773" s="340"/>
      <c r="E773" s="321"/>
      <c r="F773" s="343"/>
      <c r="G773" s="343"/>
      <c r="H773" s="587"/>
      <c r="I773" s="341"/>
      <c r="J773" s="341"/>
      <c r="K773" s="343"/>
      <c r="L773" s="324"/>
      <c r="M773" s="324"/>
      <c r="N773" s="324"/>
      <c r="O773" s="324"/>
      <c r="P773" s="324"/>
      <c r="Q773" s="344"/>
      <c r="R773" s="325"/>
      <c r="S773" s="326"/>
    </row>
    <row r="774" spans="1:62" s="1" customFormat="1" ht="15.75">
      <c r="A774" s="318"/>
      <c r="B774" s="695"/>
      <c r="C774" s="340"/>
      <c r="D774" s="340"/>
      <c r="E774" s="321"/>
      <c r="F774" s="343"/>
      <c r="G774" s="343"/>
      <c r="H774" s="587"/>
      <c r="I774" s="341"/>
      <c r="J774" s="341"/>
      <c r="K774" s="343"/>
      <c r="L774" s="324"/>
      <c r="M774" s="324"/>
      <c r="N774" s="324"/>
      <c r="O774" s="324"/>
      <c r="P774" s="324"/>
      <c r="Q774" s="344"/>
      <c r="R774" s="325"/>
      <c r="S774" s="326"/>
    </row>
    <row r="775" spans="1:62" s="1" customFormat="1" ht="15.75">
      <c r="A775" s="318"/>
      <c r="B775" s="695"/>
      <c r="C775" s="340"/>
      <c r="D775" s="340"/>
      <c r="E775" s="321"/>
      <c r="F775" s="343"/>
      <c r="G775" s="343"/>
      <c r="H775" s="587"/>
      <c r="I775" s="341"/>
      <c r="J775" s="341"/>
      <c r="K775" s="343"/>
      <c r="L775" s="324"/>
      <c r="M775" s="324"/>
      <c r="N775" s="324"/>
      <c r="O775" s="324"/>
      <c r="P775" s="324"/>
      <c r="Q775" s="344"/>
      <c r="R775" s="325"/>
      <c r="S775" s="326"/>
    </row>
    <row r="776" spans="1:62" s="1" customFormat="1" ht="15.75">
      <c r="A776" s="318"/>
      <c r="B776" s="695"/>
      <c r="C776" s="340"/>
      <c r="D776" s="340"/>
      <c r="E776" s="321"/>
      <c r="F776" s="343"/>
      <c r="G776" s="343"/>
      <c r="H776" s="587"/>
      <c r="I776" s="341"/>
      <c r="J776" s="341"/>
      <c r="K776" s="343"/>
      <c r="L776" s="324"/>
      <c r="M776" s="324"/>
      <c r="N776" s="324"/>
      <c r="O776" s="324"/>
      <c r="P776" s="324"/>
      <c r="Q776" s="344"/>
      <c r="R776" s="325"/>
      <c r="S776" s="326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</row>
    <row r="777" spans="1:62" s="1" customFormat="1" ht="15.75">
      <c r="A777" s="318"/>
      <c r="B777" s="695"/>
      <c r="C777" s="340"/>
      <c r="D777" s="340"/>
      <c r="E777" s="321"/>
      <c r="F777" s="343"/>
      <c r="G777" s="343"/>
      <c r="H777" s="587"/>
      <c r="I777" s="341"/>
      <c r="J777" s="341"/>
      <c r="K777" s="343"/>
      <c r="L777" s="324"/>
      <c r="M777" s="324"/>
      <c r="N777" s="324"/>
      <c r="O777" s="324"/>
      <c r="P777" s="324"/>
      <c r="Q777" s="344"/>
      <c r="R777" s="325"/>
      <c r="S777" s="326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</row>
    <row r="778" spans="1:62" s="1" customFormat="1" ht="15.75">
      <c r="A778" s="318"/>
      <c r="B778" s="695"/>
      <c r="C778" s="340"/>
      <c r="D778" s="340"/>
      <c r="E778" s="321"/>
      <c r="F778" s="343"/>
      <c r="G778" s="343"/>
      <c r="H778" s="587"/>
      <c r="I778" s="341"/>
      <c r="J778" s="341"/>
      <c r="K778" s="343"/>
      <c r="L778" s="324"/>
      <c r="M778" s="324"/>
      <c r="N778" s="324"/>
      <c r="O778" s="324"/>
      <c r="P778" s="324"/>
      <c r="Q778" s="344"/>
      <c r="R778" s="325"/>
      <c r="S778" s="326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</row>
    <row r="779" spans="1:62" s="1" customFormat="1" ht="15.75">
      <c r="A779" s="318"/>
      <c r="B779" s="695"/>
      <c r="C779" s="340"/>
      <c r="D779" s="340"/>
      <c r="E779" s="321"/>
      <c r="F779" s="343"/>
      <c r="G779" s="343"/>
      <c r="H779" s="587"/>
      <c r="I779" s="341"/>
      <c r="J779" s="341"/>
      <c r="K779" s="343"/>
      <c r="L779" s="324"/>
      <c r="M779" s="324"/>
      <c r="N779" s="324"/>
      <c r="O779" s="324"/>
      <c r="P779" s="324"/>
      <c r="Q779" s="344"/>
      <c r="R779" s="325"/>
      <c r="S779" s="326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</row>
    <row r="780" spans="1:62" s="1" customFormat="1" ht="15.75">
      <c r="A780" s="318"/>
      <c r="B780" s="695"/>
      <c r="C780" s="340"/>
      <c r="D780" s="340"/>
      <c r="E780" s="321"/>
      <c r="F780" s="343"/>
      <c r="G780" s="343"/>
      <c r="H780" s="587"/>
      <c r="I780" s="341"/>
      <c r="J780" s="341"/>
      <c r="K780" s="343"/>
      <c r="L780" s="324"/>
      <c r="M780" s="324"/>
      <c r="N780" s="324"/>
      <c r="O780" s="324"/>
      <c r="P780" s="324"/>
      <c r="Q780" s="344"/>
      <c r="R780" s="325"/>
      <c r="S780" s="326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</row>
    <row r="781" spans="1:62" s="1" customFormat="1" ht="15.75">
      <c r="A781" s="318"/>
      <c r="B781" s="695"/>
      <c r="C781" s="340"/>
      <c r="D781" s="340"/>
      <c r="E781" s="321"/>
      <c r="F781" s="343"/>
      <c r="G781" s="343"/>
      <c r="H781" s="587"/>
      <c r="I781" s="341"/>
      <c r="J781" s="341"/>
      <c r="K781" s="343"/>
      <c r="L781" s="324"/>
      <c r="M781" s="324"/>
      <c r="N781" s="324"/>
      <c r="O781" s="324"/>
      <c r="P781" s="324"/>
      <c r="Q781" s="344"/>
      <c r="R781" s="325"/>
      <c r="S781" s="326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</row>
    <row r="782" spans="1:62" s="1" customFormat="1" ht="15.75">
      <c r="A782" s="318"/>
      <c r="B782" s="695"/>
      <c r="C782" s="340"/>
      <c r="D782" s="340"/>
      <c r="E782" s="321"/>
      <c r="F782" s="343"/>
      <c r="G782" s="343"/>
      <c r="H782" s="587"/>
      <c r="I782" s="341"/>
      <c r="J782" s="341"/>
      <c r="K782" s="343"/>
      <c r="L782" s="324"/>
      <c r="M782" s="324"/>
      <c r="N782" s="324"/>
      <c r="O782" s="324"/>
      <c r="P782" s="324"/>
      <c r="Q782" s="344"/>
      <c r="R782" s="325"/>
      <c r="S782" s="326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</row>
    <row r="783" spans="1:62" s="1" customFormat="1" ht="15.75">
      <c r="A783" s="318"/>
      <c r="B783" s="695"/>
      <c r="C783" s="340"/>
      <c r="D783" s="340"/>
      <c r="E783" s="321"/>
      <c r="F783" s="343"/>
      <c r="G783" s="343"/>
      <c r="H783" s="587"/>
      <c r="I783" s="341"/>
      <c r="J783" s="341"/>
      <c r="K783" s="343"/>
      <c r="L783" s="324"/>
      <c r="M783" s="324"/>
      <c r="N783" s="324"/>
      <c r="O783" s="324"/>
      <c r="P783" s="324"/>
      <c r="Q783" s="344"/>
      <c r="R783" s="325"/>
      <c r="S783" s="326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</row>
    <row r="784" spans="1:62" s="1" customFormat="1" ht="15.75">
      <c r="A784" s="318"/>
      <c r="B784" s="695"/>
      <c r="C784" s="340"/>
      <c r="D784" s="340"/>
      <c r="E784" s="321"/>
      <c r="F784" s="343"/>
      <c r="G784" s="343"/>
      <c r="H784" s="587"/>
      <c r="I784" s="341"/>
      <c r="J784" s="341"/>
      <c r="K784" s="343"/>
      <c r="L784" s="324"/>
      <c r="M784" s="324"/>
      <c r="N784" s="324"/>
      <c r="O784" s="324"/>
      <c r="P784" s="324"/>
      <c r="Q784" s="344"/>
      <c r="R784" s="325"/>
      <c r="S784" s="326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</row>
    <row r="785" spans="1:62" s="1" customFormat="1" ht="15.75">
      <c r="A785" s="318"/>
      <c r="B785" s="695"/>
      <c r="C785" s="340"/>
      <c r="D785" s="340"/>
      <c r="E785" s="321"/>
      <c r="F785" s="343"/>
      <c r="G785" s="343"/>
      <c r="H785" s="587"/>
      <c r="I785" s="341"/>
      <c r="J785" s="341"/>
      <c r="K785" s="343"/>
      <c r="L785" s="324"/>
      <c r="M785" s="324"/>
      <c r="N785" s="324"/>
      <c r="O785" s="324"/>
      <c r="P785" s="324"/>
      <c r="Q785" s="344"/>
      <c r="R785" s="325"/>
      <c r="S785" s="326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</row>
    <row r="786" spans="1:62" s="1" customFormat="1" ht="15.75">
      <c r="A786" s="318"/>
      <c r="B786" s="695"/>
      <c r="C786" s="340"/>
      <c r="D786" s="340"/>
      <c r="E786" s="321"/>
      <c r="F786" s="343"/>
      <c r="G786" s="343"/>
      <c r="H786" s="587"/>
      <c r="I786" s="341"/>
      <c r="J786" s="341"/>
      <c r="K786" s="343"/>
      <c r="L786" s="324"/>
      <c r="M786" s="324"/>
      <c r="N786" s="324"/>
      <c r="O786" s="324"/>
      <c r="P786" s="324"/>
      <c r="Q786" s="344"/>
      <c r="R786" s="325"/>
      <c r="S786" s="326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</row>
    <row r="787" spans="1:62" s="1" customFormat="1" ht="15.75">
      <c r="A787" s="318"/>
      <c r="B787" s="695"/>
      <c r="C787" s="340"/>
      <c r="D787" s="340"/>
      <c r="E787" s="321"/>
      <c r="F787" s="343"/>
      <c r="G787" s="343"/>
      <c r="H787" s="587"/>
      <c r="I787" s="341"/>
      <c r="J787" s="341"/>
      <c r="K787" s="343"/>
      <c r="L787" s="324"/>
      <c r="M787" s="324"/>
      <c r="N787" s="324"/>
      <c r="O787" s="324"/>
      <c r="P787" s="324"/>
      <c r="Q787" s="344"/>
      <c r="R787" s="325"/>
      <c r="S787" s="326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</row>
    <row r="788" spans="1:62" s="1" customFormat="1" ht="15.75">
      <c r="A788" s="318"/>
      <c r="B788" s="695"/>
      <c r="C788" s="340"/>
      <c r="D788" s="340"/>
      <c r="E788" s="321"/>
      <c r="F788" s="343"/>
      <c r="G788" s="343"/>
      <c r="H788" s="587"/>
      <c r="I788" s="341"/>
      <c r="J788" s="341"/>
      <c r="K788" s="343"/>
      <c r="L788" s="324"/>
      <c r="M788" s="324"/>
      <c r="N788" s="324"/>
      <c r="O788" s="324"/>
      <c r="P788" s="324"/>
      <c r="Q788" s="344"/>
      <c r="R788" s="325"/>
      <c r="S788" s="326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</row>
    <row r="789" spans="1:62" s="1" customFormat="1" ht="15.75">
      <c r="A789" s="318"/>
      <c r="B789" s="695"/>
      <c r="C789" s="340"/>
      <c r="D789" s="340"/>
      <c r="E789" s="321"/>
      <c r="F789" s="343"/>
      <c r="G789" s="343"/>
      <c r="H789" s="587"/>
      <c r="I789" s="341"/>
      <c r="J789" s="341"/>
      <c r="K789" s="343"/>
      <c r="L789" s="324"/>
      <c r="M789" s="324"/>
      <c r="N789" s="324"/>
      <c r="O789" s="324"/>
      <c r="P789" s="324"/>
      <c r="Q789" s="344"/>
      <c r="R789" s="325"/>
      <c r="S789" s="326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</row>
    <row r="790" spans="1:62" s="1" customFormat="1" ht="15.75">
      <c r="A790" s="318"/>
      <c r="B790" s="695"/>
      <c r="C790" s="340"/>
      <c r="D790" s="340"/>
      <c r="E790" s="321"/>
      <c r="F790" s="343"/>
      <c r="G790" s="343"/>
      <c r="H790" s="587"/>
      <c r="I790" s="341"/>
      <c r="J790" s="341"/>
      <c r="K790" s="343"/>
      <c r="L790" s="324"/>
      <c r="M790" s="324"/>
      <c r="N790" s="324"/>
      <c r="O790" s="324"/>
      <c r="P790" s="324"/>
      <c r="Q790" s="344"/>
      <c r="R790" s="325"/>
      <c r="S790" s="326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</row>
    <row r="791" spans="1:62" s="1" customFormat="1" ht="15.75">
      <c r="A791" s="318"/>
      <c r="B791" s="695"/>
      <c r="C791" s="340"/>
      <c r="D791" s="340"/>
      <c r="E791" s="321"/>
      <c r="F791" s="343"/>
      <c r="G791" s="343"/>
      <c r="H791" s="587"/>
      <c r="I791" s="341"/>
      <c r="J791" s="341"/>
      <c r="K791" s="343"/>
      <c r="L791" s="324"/>
      <c r="M791" s="324"/>
      <c r="N791" s="324"/>
      <c r="O791" s="324"/>
      <c r="P791" s="324"/>
      <c r="Q791" s="344"/>
      <c r="R791" s="325"/>
      <c r="S791" s="326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</row>
    <row r="792" spans="1:62" s="1" customFormat="1" ht="15.75">
      <c r="A792" s="318"/>
      <c r="B792" s="695"/>
      <c r="C792" s="340"/>
      <c r="D792" s="340"/>
      <c r="E792" s="321"/>
      <c r="F792" s="343"/>
      <c r="G792" s="343"/>
      <c r="H792" s="587"/>
      <c r="I792" s="341"/>
      <c r="J792" s="341"/>
      <c r="K792" s="343"/>
      <c r="L792" s="324"/>
      <c r="M792" s="324"/>
      <c r="N792" s="324"/>
      <c r="O792" s="324"/>
      <c r="P792" s="324"/>
      <c r="Q792" s="344"/>
      <c r="R792" s="325"/>
      <c r="S792" s="326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</row>
    <row r="793" spans="1:62" s="1" customFormat="1" ht="15.75">
      <c r="A793" s="318"/>
      <c r="B793" s="695"/>
      <c r="C793" s="340"/>
      <c r="D793" s="340"/>
      <c r="E793" s="321"/>
      <c r="F793" s="343"/>
      <c r="G793" s="343"/>
      <c r="H793" s="587"/>
      <c r="I793" s="341"/>
      <c r="J793" s="341"/>
      <c r="K793" s="343"/>
      <c r="L793" s="324"/>
      <c r="M793" s="324"/>
      <c r="N793" s="324"/>
      <c r="O793" s="324"/>
      <c r="P793" s="324"/>
      <c r="Q793" s="344"/>
      <c r="R793" s="325"/>
      <c r="S793" s="326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</row>
    <row r="794" spans="1:62" s="1" customFormat="1" ht="15.75">
      <c r="A794" s="318"/>
      <c r="B794" s="695"/>
      <c r="C794" s="340"/>
      <c r="D794" s="340"/>
      <c r="E794" s="321"/>
      <c r="F794" s="343"/>
      <c r="G794" s="343"/>
      <c r="H794" s="587"/>
      <c r="I794" s="341"/>
      <c r="J794" s="341"/>
      <c r="K794" s="343"/>
      <c r="L794" s="324"/>
      <c r="M794" s="324"/>
      <c r="N794" s="324"/>
      <c r="O794" s="324"/>
      <c r="P794" s="324"/>
      <c r="Q794" s="344"/>
      <c r="R794" s="325"/>
      <c r="S794" s="326"/>
    </row>
    <row r="795" spans="1:62" s="1" customFormat="1" ht="15.75">
      <c r="A795" s="318"/>
      <c r="B795" s="695"/>
      <c r="C795" s="340"/>
      <c r="D795" s="340"/>
      <c r="E795" s="321"/>
      <c r="F795" s="343"/>
      <c r="G795" s="343"/>
      <c r="H795" s="587"/>
      <c r="I795" s="341"/>
      <c r="J795" s="341"/>
      <c r="K795" s="343"/>
      <c r="L795" s="324"/>
      <c r="M795" s="324"/>
      <c r="N795" s="324"/>
      <c r="O795" s="324"/>
      <c r="P795" s="324"/>
      <c r="Q795" s="344"/>
      <c r="R795" s="325"/>
      <c r="S795" s="326"/>
    </row>
    <row r="796" spans="1:62" s="1" customFormat="1" ht="15.75">
      <c r="A796" s="408"/>
      <c r="B796" s="1335" t="s">
        <v>94</v>
      </c>
      <c r="C796" s="1335"/>
      <c r="D796" s="1335"/>
      <c r="E796" s="1335"/>
      <c r="F796" s="1335"/>
      <c r="G796" s="1335"/>
      <c r="H796" s="409">
        <f>SUM(H797:H805)</f>
        <v>13237.699999999999</v>
      </c>
      <c r="I796" s="409">
        <f t="shared" ref="I796:P796" si="210">SUM(I797:I805)</f>
        <v>12074.8</v>
      </c>
      <c r="J796" s="409">
        <f t="shared" si="210"/>
        <v>11564.1</v>
      </c>
      <c r="K796" s="409">
        <f t="shared" si="210"/>
        <v>482</v>
      </c>
      <c r="L796" s="415">
        <f t="shared" si="210"/>
        <v>17682419</v>
      </c>
      <c r="M796" s="415">
        <f t="shared" si="210"/>
        <v>0</v>
      </c>
      <c r="N796" s="415">
        <f t="shared" si="210"/>
        <v>0</v>
      </c>
      <c r="O796" s="415">
        <f t="shared" si="210"/>
        <v>17682419</v>
      </c>
      <c r="P796" s="415">
        <f t="shared" si="210"/>
        <v>0</v>
      </c>
      <c r="Q796" s="106" t="s">
        <v>40</v>
      </c>
      <c r="R796" s="106" t="s">
        <v>40</v>
      </c>
      <c r="S796" s="326">
        <v>43465</v>
      </c>
    </row>
    <row r="797" spans="1:62" s="47" customFormat="1" ht="31.5">
      <c r="A797" s="318">
        <f>A795+1</f>
        <v>1</v>
      </c>
      <c r="B797" s="427" t="s">
        <v>539</v>
      </c>
      <c r="C797" s="417">
        <v>1917</v>
      </c>
      <c r="D797" s="321"/>
      <c r="E797" s="321" t="s">
        <v>548</v>
      </c>
      <c r="F797" s="428">
        <v>2</v>
      </c>
      <c r="G797" s="428">
        <v>2</v>
      </c>
      <c r="H797" s="429">
        <v>415.4</v>
      </c>
      <c r="I797" s="429">
        <v>353.8</v>
      </c>
      <c r="J797" s="419">
        <v>353.8</v>
      </c>
      <c r="K797" s="420">
        <v>16</v>
      </c>
      <c r="L797" s="324">
        <v>1329885</v>
      </c>
      <c r="M797" s="324">
        <v>0</v>
      </c>
      <c r="N797" s="324">
        <v>0</v>
      </c>
      <c r="O797" s="324">
        <f t="shared" ref="O797:O805" si="211">L797</f>
        <v>1329885</v>
      </c>
      <c r="P797" s="324">
        <v>0</v>
      </c>
      <c r="Q797" s="419">
        <f t="shared" ref="Q797:Q805" si="212">L797/I797</f>
        <v>3758.8609383832672</v>
      </c>
      <c r="R797" s="325">
        <v>7920</v>
      </c>
      <c r="S797" s="326">
        <v>43465</v>
      </c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</row>
    <row r="798" spans="1:62" s="1" customFormat="1" ht="31.5">
      <c r="A798" s="318">
        <f t="shared" ref="A798:A837" si="213">A797+1</f>
        <v>2</v>
      </c>
      <c r="B798" s="427" t="s">
        <v>540</v>
      </c>
      <c r="C798" s="417">
        <v>1959</v>
      </c>
      <c r="D798" s="321"/>
      <c r="E798" s="321" t="s">
        <v>218</v>
      </c>
      <c r="F798" s="428">
        <v>4</v>
      </c>
      <c r="G798" s="428">
        <v>2</v>
      </c>
      <c r="H798" s="429">
        <v>1363.4</v>
      </c>
      <c r="I798" s="429">
        <v>1254</v>
      </c>
      <c r="J798" s="419">
        <v>1047.7</v>
      </c>
      <c r="K798" s="420">
        <v>65</v>
      </c>
      <c r="L798" s="324">
        <v>1856453</v>
      </c>
      <c r="M798" s="324">
        <v>0</v>
      </c>
      <c r="N798" s="324">
        <v>0</v>
      </c>
      <c r="O798" s="324">
        <f t="shared" si="211"/>
        <v>1856453</v>
      </c>
      <c r="P798" s="324">
        <v>0</v>
      </c>
      <c r="Q798" s="419">
        <f t="shared" si="212"/>
        <v>1480.4250398724082</v>
      </c>
      <c r="R798" s="325">
        <v>7920</v>
      </c>
      <c r="S798" s="326">
        <v>43465</v>
      </c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spans="1:62" s="1" customFormat="1" ht="31.5">
      <c r="A799" s="318">
        <f t="shared" si="213"/>
        <v>3</v>
      </c>
      <c r="B799" s="427" t="s">
        <v>541</v>
      </c>
      <c r="C799" s="417">
        <v>1954</v>
      </c>
      <c r="D799" s="321"/>
      <c r="E799" s="321" t="s">
        <v>218</v>
      </c>
      <c r="F799" s="428">
        <v>2</v>
      </c>
      <c r="G799" s="428">
        <v>1</v>
      </c>
      <c r="H799" s="429">
        <v>474.2</v>
      </c>
      <c r="I799" s="429">
        <v>434.9</v>
      </c>
      <c r="J799" s="418">
        <v>373.7</v>
      </c>
      <c r="K799" s="420">
        <v>18</v>
      </c>
      <c r="L799" s="324">
        <v>1518210</v>
      </c>
      <c r="M799" s="324">
        <v>0</v>
      </c>
      <c r="N799" s="324">
        <v>0</v>
      </c>
      <c r="O799" s="324">
        <f t="shared" si="211"/>
        <v>1518210</v>
      </c>
      <c r="P799" s="324">
        <v>0</v>
      </c>
      <c r="Q799" s="419">
        <f t="shared" si="212"/>
        <v>3490.9404460795586</v>
      </c>
      <c r="R799" s="325">
        <v>7920</v>
      </c>
      <c r="S799" s="326">
        <v>43465</v>
      </c>
    </row>
    <row r="800" spans="1:62" s="1" customFormat="1" ht="31.5">
      <c r="A800" s="318">
        <f t="shared" si="213"/>
        <v>4</v>
      </c>
      <c r="B800" s="427" t="s">
        <v>542</v>
      </c>
      <c r="C800" s="417">
        <v>1964</v>
      </c>
      <c r="D800" s="321"/>
      <c r="E800" s="321" t="s">
        <v>218</v>
      </c>
      <c r="F800" s="428">
        <v>2</v>
      </c>
      <c r="G800" s="428">
        <v>2</v>
      </c>
      <c r="H800" s="429">
        <v>509</v>
      </c>
      <c r="I800" s="429">
        <v>450.7</v>
      </c>
      <c r="J800" s="419">
        <v>414.1</v>
      </c>
      <c r="K800" s="420">
        <v>23</v>
      </c>
      <c r="L800" s="324">
        <v>203023</v>
      </c>
      <c r="M800" s="324">
        <v>0</v>
      </c>
      <c r="N800" s="324">
        <v>0</v>
      </c>
      <c r="O800" s="324">
        <f t="shared" si="211"/>
        <v>203023</v>
      </c>
      <c r="P800" s="324">
        <v>0</v>
      </c>
      <c r="Q800" s="419">
        <f t="shared" si="212"/>
        <v>450.46150432660306</v>
      </c>
      <c r="R800" s="325">
        <v>7920</v>
      </c>
      <c r="S800" s="326">
        <v>43465</v>
      </c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</row>
    <row r="801" spans="1:30" s="1" customFormat="1" ht="31.5">
      <c r="A801" s="318">
        <f t="shared" si="213"/>
        <v>5</v>
      </c>
      <c r="B801" s="427" t="s">
        <v>543</v>
      </c>
      <c r="C801" s="417">
        <v>1957</v>
      </c>
      <c r="D801" s="321"/>
      <c r="E801" s="321" t="s">
        <v>218</v>
      </c>
      <c r="F801" s="428">
        <v>2</v>
      </c>
      <c r="G801" s="428">
        <v>3</v>
      </c>
      <c r="H801" s="429">
        <v>1084.2</v>
      </c>
      <c r="I801" s="429">
        <v>1010.2</v>
      </c>
      <c r="J801" s="419">
        <v>1010.2</v>
      </c>
      <c r="K801" s="420">
        <v>37</v>
      </c>
      <c r="L801" s="324">
        <v>2925993</v>
      </c>
      <c r="M801" s="324">
        <v>0</v>
      </c>
      <c r="N801" s="324">
        <v>0</v>
      </c>
      <c r="O801" s="324">
        <f t="shared" si="211"/>
        <v>2925993</v>
      </c>
      <c r="P801" s="324">
        <v>0</v>
      </c>
      <c r="Q801" s="419">
        <f t="shared" si="212"/>
        <v>2896.449217976638</v>
      </c>
      <c r="R801" s="325">
        <v>7920</v>
      </c>
      <c r="S801" s="326">
        <v>43465</v>
      </c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spans="1:30" s="10" customFormat="1" ht="31.5">
      <c r="A802" s="318">
        <f t="shared" si="213"/>
        <v>6</v>
      </c>
      <c r="B802" s="427" t="s">
        <v>544</v>
      </c>
      <c r="C802" s="417">
        <v>1964</v>
      </c>
      <c r="D802" s="321"/>
      <c r="E802" s="321" t="s">
        <v>218</v>
      </c>
      <c r="F802" s="428">
        <v>2</v>
      </c>
      <c r="G802" s="428">
        <v>3</v>
      </c>
      <c r="H802" s="429">
        <v>526.6</v>
      </c>
      <c r="I802" s="429">
        <v>467.5</v>
      </c>
      <c r="J802" s="418">
        <v>466</v>
      </c>
      <c r="K802" s="420">
        <v>28</v>
      </c>
      <c r="L802" s="324">
        <v>1413679</v>
      </c>
      <c r="M802" s="324">
        <v>0</v>
      </c>
      <c r="N802" s="324">
        <v>0</v>
      </c>
      <c r="O802" s="324">
        <f t="shared" si="211"/>
        <v>1413679</v>
      </c>
      <c r="P802" s="324">
        <v>0</v>
      </c>
      <c r="Q802" s="419">
        <f t="shared" si="212"/>
        <v>3023.9122994652407</v>
      </c>
      <c r="R802" s="325">
        <v>7920</v>
      </c>
      <c r="S802" s="326">
        <v>43465</v>
      </c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s="10" customFormat="1" ht="31.5">
      <c r="A803" s="318">
        <f t="shared" si="213"/>
        <v>7</v>
      </c>
      <c r="B803" s="427" t="s">
        <v>545</v>
      </c>
      <c r="C803" s="417">
        <v>1988</v>
      </c>
      <c r="D803" s="321"/>
      <c r="E803" s="321" t="s">
        <v>218</v>
      </c>
      <c r="F803" s="428">
        <v>5</v>
      </c>
      <c r="G803" s="428">
        <v>4</v>
      </c>
      <c r="H803" s="429">
        <v>4793</v>
      </c>
      <c r="I803" s="429">
        <v>4322.3999999999996</v>
      </c>
      <c r="J803" s="419">
        <v>4162.7</v>
      </c>
      <c r="K803" s="420">
        <v>165</v>
      </c>
      <c r="L803" s="324">
        <v>3624132</v>
      </c>
      <c r="M803" s="324">
        <v>0</v>
      </c>
      <c r="N803" s="324">
        <v>0</v>
      </c>
      <c r="O803" s="324">
        <f t="shared" si="211"/>
        <v>3624132</v>
      </c>
      <c r="P803" s="324">
        <v>0</v>
      </c>
      <c r="Q803" s="419">
        <f t="shared" si="212"/>
        <v>838.45363686840653</v>
      </c>
      <c r="R803" s="325">
        <v>7920</v>
      </c>
      <c r="S803" s="326">
        <v>43465</v>
      </c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spans="1:30" s="48" customFormat="1" ht="31.5">
      <c r="A804" s="318">
        <f t="shared" si="213"/>
        <v>8</v>
      </c>
      <c r="B804" s="427" t="s">
        <v>546</v>
      </c>
      <c r="C804" s="417">
        <v>1974</v>
      </c>
      <c r="D804" s="321"/>
      <c r="E804" s="321" t="s">
        <v>218</v>
      </c>
      <c r="F804" s="428">
        <v>5</v>
      </c>
      <c r="G804" s="428">
        <v>4</v>
      </c>
      <c r="H804" s="429">
        <v>3418.1</v>
      </c>
      <c r="I804" s="429">
        <f>2529+648</f>
        <v>3177</v>
      </c>
      <c r="J804" s="419">
        <v>3133.4</v>
      </c>
      <c r="K804" s="420">
        <v>103</v>
      </c>
      <c r="L804" s="324">
        <v>3091007</v>
      </c>
      <c r="M804" s="324">
        <v>0</v>
      </c>
      <c r="N804" s="324">
        <v>0</v>
      </c>
      <c r="O804" s="324">
        <f t="shared" si="211"/>
        <v>3091007</v>
      </c>
      <c r="P804" s="324">
        <v>0</v>
      </c>
      <c r="Q804" s="419">
        <f t="shared" si="212"/>
        <v>972.93264085615363</v>
      </c>
      <c r="R804" s="325">
        <v>7920</v>
      </c>
      <c r="S804" s="326">
        <v>43465</v>
      </c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spans="1:30" s="49" customFormat="1" ht="31.5">
      <c r="A805" s="318">
        <f t="shared" si="213"/>
        <v>9</v>
      </c>
      <c r="B805" s="427" t="s">
        <v>547</v>
      </c>
      <c r="C805" s="417">
        <v>1956</v>
      </c>
      <c r="D805" s="321"/>
      <c r="E805" s="321" t="s">
        <v>218</v>
      </c>
      <c r="F805" s="428">
        <v>2</v>
      </c>
      <c r="G805" s="428">
        <v>2</v>
      </c>
      <c r="H805" s="429">
        <v>653.79999999999995</v>
      </c>
      <c r="I805" s="429">
        <v>604.29999999999995</v>
      </c>
      <c r="J805" s="419">
        <v>602.5</v>
      </c>
      <c r="K805" s="420">
        <v>27</v>
      </c>
      <c r="L805" s="324">
        <v>1720037</v>
      </c>
      <c r="M805" s="324">
        <v>0</v>
      </c>
      <c r="N805" s="324">
        <v>0</v>
      </c>
      <c r="O805" s="324">
        <f t="shared" si="211"/>
        <v>1720037</v>
      </c>
      <c r="P805" s="324">
        <v>0</v>
      </c>
      <c r="Q805" s="419">
        <f t="shared" si="212"/>
        <v>2846.32963759722</v>
      </c>
      <c r="R805" s="325">
        <v>7920</v>
      </c>
      <c r="S805" s="326">
        <v>43465</v>
      </c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</row>
    <row r="806" spans="1:30" s="49" customFormat="1" ht="15.75">
      <c r="A806" s="381"/>
      <c r="B806" s="422"/>
      <c r="C806" s="384"/>
      <c r="D806" s="384"/>
      <c r="E806" s="384"/>
      <c r="F806" s="423"/>
      <c r="G806" s="423"/>
      <c r="H806" s="424"/>
      <c r="I806" s="424"/>
      <c r="J806" s="424"/>
      <c r="K806" s="425"/>
      <c r="L806" s="426"/>
      <c r="M806" s="324"/>
      <c r="N806" s="324"/>
      <c r="O806" s="324"/>
      <c r="P806" s="324"/>
      <c r="Q806" s="419"/>
      <c r="R806" s="325"/>
      <c r="S806" s="326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s="49" customFormat="1" ht="15.75">
      <c r="A807" s="318"/>
      <c r="B807" s="416"/>
      <c r="C807" s="321"/>
      <c r="D807" s="321"/>
      <c r="E807" s="321"/>
      <c r="F807" s="417"/>
      <c r="G807" s="417"/>
      <c r="H807" s="418"/>
      <c r="I807" s="419"/>
      <c r="J807" s="419"/>
      <c r="K807" s="420"/>
      <c r="L807" s="324"/>
      <c r="M807" s="324"/>
      <c r="N807" s="324"/>
      <c r="O807" s="324"/>
      <c r="P807" s="324"/>
      <c r="Q807" s="419"/>
      <c r="R807" s="325"/>
      <c r="S807" s="326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s="49" customFormat="1" ht="15.75">
      <c r="A808" s="318"/>
      <c r="B808" s="878"/>
      <c r="C808" s="321"/>
      <c r="D808" s="321"/>
      <c r="E808" s="321"/>
      <c r="F808" s="417"/>
      <c r="G808" s="417"/>
      <c r="H808" s="418"/>
      <c r="I808" s="419"/>
      <c r="J808" s="419"/>
      <c r="K808" s="420"/>
      <c r="L808" s="324"/>
      <c r="M808" s="324"/>
      <c r="N808" s="324"/>
      <c r="O808" s="324"/>
      <c r="P808" s="324"/>
      <c r="Q808" s="419"/>
      <c r="R808" s="325"/>
      <c r="S808" s="326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</row>
    <row r="809" spans="1:30" s="1" customFormat="1" ht="15.75">
      <c r="A809" s="318"/>
      <c r="B809" s="1346" t="s">
        <v>123</v>
      </c>
      <c r="C809" s="1346"/>
      <c r="D809" s="1346"/>
      <c r="E809" s="1346"/>
      <c r="F809" s="1346"/>
      <c r="G809" s="1346"/>
      <c r="H809" s="341">
        <f>SUM(H810:H814)</f>
        <v>26975.9</v>
      </c>
      <c r="I809" s="341">
        <f t="shared" ref="I809:P809" si="214">SUM(I810:I814)</f>
        <v>18734.5</v>
      </c>
      <c r="J809" s="341">
        <f t="shared" si="214"/>
        <v>11535.880000000001</v>
      </c>
      <c r="K809" s="341">
        <f t="shared" si="214"/>
        <v>1039</v>
      </c>
      <c r="L809" s="675">
        <f t="shared" si="214"/>
        <v>12904489</v>
      </c>
      <c r="M809" s="675">
        <f t="shared" si="214"/>
        <v>0</v>
      </c>
      <c r="N809" s="675">
        <f t="shared" si="214"/>
        <v>0</v>
      </c>
      <c r="O809" s="675">
        <f t="shared" si="214"/>
        <v>12904489</v>
      </c>
      <c r="P809" s="675">
        <f t="shared" si="214"/>
        <v>0</v>
      </c>
      <c r="Q809" s="344" t="s">
        <v>40</v>
      </c>
      <c r="R809" s="340" t="s">
        <v>40</v>
      </c>
      <c r="S809" s="326">
        <v>43465</v>
      </c>
    </row>
    <row r="810" spans="1:30" s="1" customFormat="1" ht="23.45" customHeight="1">
      <c r="A810" s="318">
        <f>A808+1</f>
        <v>1</v>
      </c>
      <c r="B810" s="876" t="s">
        <v>736</v>
      </c>
      <c r="C810" s="375">
        <v>1967</v>
      </c>
      <c r="D810" s="375"/>
      <c r="E810" s="321" t="s">
        <v>219</v>
      </c>
      <c r="F810" s="340">
        <v>5</v>
      </c>
      <c r="G810" s="340">
        <v>5</v>
      </c>
      <c r="H810" s="341">
        <v>4774.3999999999996</v>
      </c>
      <c r="I810" s="340">
        <v>3076.1</v>
      </c>
      <c r="J810" s="340">
        <v>1777.99</v>
      </c>
      <c r="K810" s="378">
        <v>167</v>
      </c>
      <c r="L810" s="324">
        <v>2291418</v>
      </c>
      <c r="M810" s="324">
        <f>SUM(M811:M824)</f>
        <v>0</v>
      </c>
      <c r="N810" s="324">
        <v>0</v>
      </c>
      <c r="O810" s="324">
        <f>L810</f>
        <v>2291418</v>
      </c>
      <c r="P810" s="324">
        <v>0</v>
      </c>
      <c r="Q810" s="344">
        <f t="shared" ref="Q810:Q824" si="215">L810/I810</f>
        <v>744.91011345534935</v>
      </c>
      <c r="R810" s="325">
        <v>7920</v>
      </c>
      <c r="S810" s="326">
        <v>43465</v>
      </c>
    </row>
    <row r="811" spans="1:30" s="1" customFormat="1" ht="19.149999999999999" customHeight="1">
      <c r="A811" s="318">
        <f t="shared" si="213"/>
        <v>2</v>
      </c>
      <c r="B811" s="876" t="s">
        <v>737</v>
      </c>
      <c r="C811" s="375">
        <v>1968</v>
      </c>
      <c r="D811" s="375"/>
      <c r="E811" s="321" t="s">
        <v>219</v>
      </c>
      <c r="F811" s="340">
        <v>5</v>
      </c>
      <c r="G811" s="340">
        <v>6</v>
      </c>
      <c r="H811" s="341">
        <v>5788.6</v>
      </c>
      <c r="I811" s="340">
        <v>4355.8</v>
      </c>
      <c r="J811" s="340">
        <v>2217.1</v>
      </c>
      <c r="K811" s="378">
        <v>263</v>
      </c>
      <c r="L811" s="324">
        <v>3059197</v>
      </c>
      <c r="M811" s="324">
        <f>SUM(M812:M825)</f>
        <v>0</v>
      </c>
      <c r="N811" s="324">
        <v>0</v>
      </c>
      <c r="O811" s="324">
        <f>L811</f>
        <v>3059197</v>
      </c>
      <c r="P811" s="324">
        <v>0</v>
      </c>
      <c r="Q811" s="344">
        <f t="shared" si="215"/>
        <v>702.32724183846824</v>
      </c>
      <c r="R811" s="325">
        <v>7920</v>
      </c>
      <c r="S811" s="326">
        <v>43465</v>
      </c>
    </row>
    <row r="812" spans="1:30" s="1" customFormat="1" ht="21.6" customHeight="1">
      <c r="A812" s="318">
        <f t="shared" si="213"/>
        <v>3</v>
      </c>
      <c r="B812" s="876" t="s">
        <v>738</v>
      </c>
      <c r="C812" s="375">
        <v>1975</v>
      </c>
      <c r="D812" s="340"/>
      <c r="E812" s="321" t="s">
        <v>219</v>
      </c>
      <c r="F812" s="340">
        <v>5</v>
      </c>
      <c r="G812" s="340">
        <v>5</v>
      </c>
      <c r="H812" s="341">
        <v>5315.1</v>
      </c>
      <c r="I812" s="340">
        <v>3456.7</v>
      </c>
      <c r="J812" s="340">
        <v>2288.34</v>
      </c>
      <c r="K812" s="378">
        <v>175</v>
      </c>
      <c r="L812" s="324">
        <v>2247330</v>
      </c>
      <c r="M812" s="324">
        <f>SUM(M813:M826)</f>
        <v>0</v>
      </c>
      <c r="N812" s="324">
        <v>0</v>
      </c>
      <c r="O812" s="324">
        <f>L812</f>
        <v>2247330</v>
      </c>
      <c r="P812" s="324">
        <v>0</v>
      </c>
      <c r="Q812" s="344">
        <f t="shared" si="215"/>
        <v>650.13741429687275</v>
      </c>
      <c r="R812" s="325">
        <v>7920</v>
      </c>
      <c r="S812" s="326">
        <v>43465</v>
      </c>
    </row>
    <row r="813" spans="1:30" s="1" customFormat="1" ht="19.149999999999999" customHeight="1">
      <c r="A813" s="318">
        <f t="shared" si="213"/>
        <v>4</v>
      </c>
      <c r="B813" s="876" t="s">
        <v>739</v>
      </c>
      <c r="C813" s="375">
        <v>1967</v>
      </c>
      <c r="D813" s="340"/>
      <c r="E813" s="321" t="s">
        <v>219</v>
      </c>
      <c r="F813" s="340">
        <v>5</v>
      </c>
      <c r="G813" s="340">
        <v>6</v>
      </c>
      <c r="H813" s="341">
        <v>5774.2</v>
      </c>
      <c r="I813" s="340">
        <v>4340.7</v>
      </c>
      <c r="J813" s="340">
        <v>2339.63</v>
      </c>
      <c r="K813" s="378">
        <v>255</v>
      </c>
      <c r="L813" s="324">
        <v>3059179</v>
      </c>
      <c r="M813" s="324">
        <f>SUM(M814:M827)</f>
        <v>0</v>
      </c>
      <c r="N813" s="324">
        <v>0</v>
      </c>
      <c r="O813" s="324">
        <f>L813</f>
        <v>3059179</v>
      </c>
      <c r="P813" s="324">
        <v>0</v>
      </c>
      <c r="Q813" s="344">
        <f t="shared" si="215"/>
        <v>704.76628193609326</v>
      </c>
      <c r="R813" s="325">
        <v>7920</v>
      </c>
      <c r="S813" s="326">
        <v>43465</v>
      </c>
    </row>
    <row r="814" spans="1:30" s="1" customFormat="1" ht="21.6" customHeight="1">
      <c r="A814" s="318">
        <f t="shared" si="213"/>
        <v>5</v>
      </c>
      <c r="B814" s="876" t="s">
        <v>740</v>
      </c>
      <c r="C814" s="375">
        <v>1988</v>
      </c>
      <c r="D814" s="340"/>
      <c r="E814" s="321" t="s">
        <v>219</v>
      </c>
      <c r="F814" s="340">
        <v>5</v>
      </c>
      <c r="G814" s="340">
        <v>5</v>
      </c>
      <c r="H814" s="341">
        <v>5323.6</v>
      </c>
      <c r="I814" s="340">
        <v>3505.2</v>
      </c>
      <c r="J814" s="340">
        <v>2912.82</v>
      </c>
      <c r="K814" s="378">
        <v>179</v>
      </c>
      <c r="L814" s="324">
        <v>2247365</v>
      </c>
      <c r="M814" s="324">
        <f>SUM(M815:M828)</f>
        <v>0</v>
      </c>
      <c r="N814" s="324">
        <v>0</v>
      </c>
      <c r="O814" s="324">
        <f>L814</f>
        <v>2247365</v>
      </c>
      <c r="P814" s="324">
        <v>0</v>
      </c>
      <c r="Q814" s="344">
        <f t="shared" si="215"/>
        <v>641.15171744836243</v>
      </c>
      <c r="R814" s="325">
        <v>7920</v>
      </c>
      <c r="S814" s="326">
        <v>43465</v>
      </c>
    </row>
    <row r="815" spans="1:30" s="1" customFormat="1" ht="15.75">
      <c r="A815" s="318"/>
      <c r="B815" s="876"/>
      <c r="C815" s="375"/>
      <c r="D815" s="340"/>
      <c r="E815" s="321"/>
      <c r="F815" s="340"/>
      <c r="G815" s="340"/>
      <c r="H815" s="341"/>
      <c r="I815" s="340"/>
      <c r="J815" s="340"/>
      <c r="K815" s="378"/>
      <c r="L815" s="324"/>
      <c r="M815" s="324"/>
      <c r="N815" s="324"/>
      <c r="O815" s="324"/>
      <c r="P815" s="324"/>
      <c r="Q815" s="344"/>
      <c r="R815" s="325"/>
      <c r="S815" s="326">
        <v>43465</v>
      </c>
    </row>
    <row r="816" spans="1:30" s="1" customFormat="1" ht="15.75">
      <c r="A816" s="318"/>
      <c r="B816" s="876"/>
      <c r="C816" s="645"/>
      <c r="D816" s="340"/>
      <c r="E816" s="321"/>
      <c r="F816" s="340"/>
      <c r="G816" s="340"/>
      <c r="H816" s="341"/>
      <c r="I816" s="340"/>
      <c r="J816" s="340"/>
      <c r="K816" s="378"/>
      <c r="L816" s="324"/>
      <c r="M816" s="324"/>
      <c r="N816" s="324"/>
      <c r="O816" s="324"/>
      <c r="P816" s="324"/>
      <c r="Q816" s="344"/>
      <c r="R816" s="325"/>
      <c r="S816" s="326">
        <v>43465</v>
      </c>
    </row>
    <row r="817" spans="1:19" s="1" customFormat="1" ht="15.75">
      <c r="A817" s="318"/>
      <c r="B817" s="876"/>
      <c r="C817" s="645"/>
      <c r="D817" s="340"/>
      <c r="E817" s="321"/>
      <c r="F817" s="340"/>
      <c r="G817" s="340"/>
      <c r="H817" s="341"/>
      <c r="I817" s="340"/>
      <c r="J817" s="340"/>
      <c r="K817" s="378"/>
      <c r="L817" s="324"/>
      <c r="M817" s="324"/>
      <c r="N817" s="324"/>
      <c r="O817" s="324"/>
      <c r="P817" s="324"/>
      <c r="Q817" s="344"/>
      <c r="R817" s="325"/>
      <c r="S817" s="326">
        <v>43465</v>
      </c>
    </row>
    <row r="818" spans="1:19" s="1" customFormat="1" ht="15.75">
      <c r="A818" s="318"/>
      <c r="B818" s="876"/>
      <c r="C818" s="375"/>
      <c r="D818" s="340"/>
      <c r="E818" s="321"/>
      <c r="F818" s="340"/>
      <c r="G818" s="340"/>
      <c r="H818" s="341"/>
      <c r="I818" s="340"/>
      <c r="J818" s="340"/>
      <c r="K818" s="378"/>
      <c r="L818" s="324"/>
      <c r="M818" s="324"/>
      <c r="N818" s="324"/>
      <c r="O818" s="324"/>
      <c r="P818" s="324"/>
      <c r="Q818" s="344"/>
      <c r="R818" s="325"/>
      <c r="S818" s="326">
        <v>43465</v>
      </c>
    </row>
    <row r="819" spans="1:19" s="1" customFormat="1" ht="15.75">
      <c r="A819" s="318"/>
      <c r="B819" s="876"/>
      <c r="C819" s="375"/>
      <c r="D819" s="340"/>
      <c r="E819" s="321"/>
      <c r="F819" s="340"/>
      <c r="G819" s="340"/>
      <c r="H819" s="341"/>
      <c r="I819" s="340"/>
      <c r="J819" s="340"/>
      <c r="K819" s="378"/>
      <c r="L819" s="324"/>
      <c r="M819" s="324"/>
      <c r="N819" s="324"/>
      <c r="O819" s="324"/>
      <c r="P819" s="324"/>
      <c r="Q819" s="344"/>
      <c r="R819" s="325"/>
      <c r="S819" s="326">
        <v>43465</v>
      </c>
    </row>
    <row r="820" spans="1:19" s="1" customFormat="1" ht="15.75">
      <c r="A820" s="318"/>
      <c r="B820" s="876"/>
      <c r="C820" s="375"/>
      <c r="D820" s="340"/>
      <c r="E820" s="321"/>
      <c r="F820" s="340"/>
      <c r="G820" s="340"/>
      <c r="H820" s="341"/>
      <c r="I820" s="340"/>
      <c r="J820" s="340"/>
      <c r="K820" s="378"/>
      <c r="L820" s="324"/>
      <c r="M820" s="324"/>
      <c r="N820" s="324"/>
      <c r="O820" s="324"/>
      <c r="P820" s="324"/>
      <c r="Q820" s="344"/>
      <c r="R820" s="325"/>
      <c r="S820" s="326">
        <v>43465</v>
      </c>
    </row>
    <row r="821" spans="1:19" s="1" customFormat="1" ht="15.75">
      <c r="A821" s="318"/>
      <c r="B821" s="876"/>
      <c r="C821" s="375"/>
      <c r="D821" s="340"/>
      <c r="E821" s="321"/>
      <c r="F821" s="340"/>
      <c r="G821" s="340"/>
      <c r="H821" s="341"/>
      <c r="I821" s="340"/>
      <c r="J821" s="340"/>
      <c r="K821" s="378"/>
      <c r="L821" s="324"/>
      <c r="M821" s="324"/>
      <c r="N821" s="324"/>
      <c r="O821" s="324"/>
      <c r="P821" s="324"/>
      <c r="Q821" s="344"/>
      <c r="R821" s="325"/>
      <c r="S821" s="326">
        <v>43465</v>
      </c>
    </row>
    <row r="822" spans="1:19" s="1" customFormat="1" ht="23.45" customHeight="1">
      <c r="A822" s="318"/>
      <c r="B822" s="1346" t="s">
        <v>864</v>
      </c>
      <c r="C822" s="1346"/>
      <c r="D822" s="1346"/>
      <c r="E822" s="1346"/>
      <c r="F822" s="1346"/>
      <c r="G822" s="1346"/>
      <c r="H822" s="341">
        <f>H823+H824</f>
        <v>5260.1</v>
      </c>
      <c r="I822" s="341">
        <f t="shared" ref="I822:P822" si="216">I823+I824</f>
        <v>4037.1</v>
      </c>
      <c r="J822" s="341">
        <f t="shared" si="216"/>
        <v>3675.3</v>
      </c>
      <c r="K822" s="341">
        <f t="shared" si="216"/>
        <v>160</v>
      </c>
      <c r="L822" s="675">
        <f t="shared" si="216"/>
        <v>3651703</v>
      </c>
      <c r="M822" s="675">
        <f t="shared" si="216"/>
        <v>0</v>
      </c>
      <c r="N822" s="675">
        <f t="shared" si="216"/>
        <v>0</v>
      </c>
      <c r="O822" s="675">
        <f t="shared" si="216"/>
        <v>3651703</v>
      </c>
      <c r="P822" s="675">
        <f t="shared" si="216"/>
        <v>0</v>
      </c>
      <c r="Q822" s="344" t="s">
        <v>40</v>
      </c>
      <c r="R822" s="340" t="s">
        <v>40</v>
      </c>
      <c r="S822" s="326">
        <v>43465</v>
      </c>
    </row>
    <row r="823" spans="1:19" s="1" customFormat="1" ht="31.5">
      <c r="A823" s="318"/>
      <c r="B823" s="913" t="s">
        <v>867</v>
      </c>
      <c r="C823" s="375">
        <v>1964</v>
      </c>
      <c r="D823" s="340"/>
      <c r="E823" s="321" t="s">
        <v>218</v>
      </c>
      <c r="F823" s="340">
        <v>4</v>
      </c>
      <c r="G823" s="340">
        <v>3</v>
      </c>
      <c r="H823" s="341">
        <v>2597.5</v>
      </c>
      <c r="I823" s="340">
        <v>2042</v>
      </c>
      <c r="J823" s="340">
        <v>1921.8</v>
      </c>
      <c r="K823" s="378">
        <v>82</v>
      </c>
      <c r="L823" s="324">
        <v>2505179</v>
      </c>
      <c r="M823" s="324">
        <v>0</v>
      </c>
      <c r="N823" s="324">
        <v>0</v>
      </c>
      <c r="O823" s="324">
        <v>2505179</v>
      </c>
      <c r="P823" s="324">
        <v>0</v>
      </c>
      <c r="Q823" s="344">
        <f t="shared" si="215"/>
        <v>1226.8261508325172</v>
      </c>
      <c r="R823" s="325">
        <v>7920</v>
      </c>
      <c r="S823" s="326">
        <v>43465</v>
      </c>
    </row>
    <row r="824" spans="1:19" s="1" customFormat="1" ht="31.5">
      <c r="A824" s="318"/>
      <c r="B824" s="913" t="s">
        <v>868</v>
      </c>
      <c r="C824" s="375">
        <v>1962</v>
      </c>
      <c r="D824" s="340"/>
      <c r="E824" s="321" t="s">
        <v>218</v>
      </c>
      <c r="F824" s="340">
        <v>4</v>
      </c>
      <c r="G824" s="340">
        <v>3</v>
      </c>
      <c r="H824" s="341">
        <v>2662.6</v>
      </c>
      <c r="I824" s="340">
        <v>1995.1</v>
      </c>
      <c r="J824" s="340">
        <v>1753.5</v>
      </c>
      <c r="K824" s="378">
        <v>78</v>
      </c>
      <c r="L824" s="324">
        <v>1146524</v>
      </c>
      <c r="M824" s="324">
        <v>0</v>
      </c>
      <c r="N824" s="324">
        <v>0</v>
      </c>
      <c r="O824" s="324">
        <v>1146524</v>
      </c>
      <c r="P824" s="324">
        <v>0</v>
      </c>
      <c r="Q824" s="344">
        <f t="shared" si="215"/>
        <v>574.66994135632297</v>
      </c>
      <c r="R824" s="325">
        <v>7920</v>
      </c>
      <c r="S824" s="326">
        <v>43465</v>
      </c>
    </row>
    <row r="825" spans="1:19" s="16" customFormat="1" ht="25.15" customHeight="1">
      <c r="A825" s="318"/>
      <c r="B825" s="1346" t="s">
        <v>72</v>
      </c>
      <c r="C825" s="1346"/>
      <c r="D825" s="1346"/>
      <c r="E825" s="1346"/>
      <c r="F825" s="1346"/>
      <c r="G825" s="1346"/>
      <c r="H825" s="341">
        <f>H826</f>
        <v>3267.2000000000003</v>
      </c>
      <c r="I825" s="340">
        <f t="shared" ref="I825:R825" si="217">I826</f>
        <v>2464.1</v>
      </c>
      <c r="J825" s="340">
        <f t="shared" si="217"/>
        <v>1697.4</v>
      </c>
      <c r="K825" s="343">
        <f t="shared" si="217"/>
        <v>71</v>
      </c>
      <c r="L825" s="324">
        <f t="shared" si="217"/>
        <v>4218095</v>
      </c>
      <c r="M825" s="324">
        <f t="shared" si="217"/>
        <v>0</v>
      </c>
      <c r="N825" s="324">
        <f t="shared" si="217"/>
        <v>0</v>
      </c>
      <c r="O825" s="324">
        <f t="shared" si="217"/>
        <v>4218095</v>
      </c>
      <c r="P825" s="324">
        <f t="shared" si="217"/>
        <v>0</v>
      </c>
      <c r="Q825" s="344" t="str">
        <f t="shared" si="217"/>
        <v>Х</v>
      </c>
      <c r="R825" s="340" t="str">
        <f t="shared" si="217"/>
        <v>Х</v>
      </c>
      <c r="S825" s="326">
        <v>43465</v>
      </c>
    </row>
    <row r="826" spans="1:19" s="16" customFormat="1" ht="33" customHeight="1">
      <c r="A826" s="318"/>
      <c r="B826" s="1346" t="s">
        <v>95</v>
      </c>
      <c r="C826" s="1346"/>
      <c r="D826" s="1346"/>
      <c r="E826" s="1346"/>
      <c r="F826" s="1346"/>
      <c r="G826" s="1346"/>
      <c r="H826" s="341">
        <f>SUM(H827:H828)</f>
        <v>3267.2000000000003</v>
      </c>
      <c r="I826" s="341">
        <f t="shared" ref="I826:P826" si="218">SUM(I827:I828)</f>
        <v>2464.1</v>
      </c>
      <c r="J826" s="341">
        <f t="shared" si="218"/>
        <v>1697.4</v>
      </c>
      <c r="K826" s="341">
        <f t="shared" si="218"/>
        <v>71</v>
      </c>
      <c r="L826" s="821">
        <f t="shared" si="218"/>
        <v>4218095</v>
      </c>
      <c r="M826" s="821">
        <f t="shared" si="218"/>
        <v>0</v>
      </c>
      <c r="N826" s="821">
        <f t="shared" si="218"/>
        <v>0</v>
      </c>
      <c r="O826" s="821">
        <f t="shared" si="218"/>
        <v>4218095</v>
      </c>
      <c r="P826" s="821">
        <f t="shared" si="218"/>
        <v>0</v>
      </c>
      <c r="Q826" s="344" t="s">
        <v>40</v>
      </c>
      <c r="R826" s="375" t="s">
        <v>40</v>
      </c>
      <c r="S826" s="326">
        <v>43465</v>
      </c>
    </row>
    <row r="827" spans="1:19" s="1" customFormat="1" ht="20.45" customHeight="1">
      <c r="A827" s="318" t="e">
        <f>#REF!+1</f>
        <v>#REF!</v>
      </c>
      <c r="B827" s="336" t="s">
        <v>627</v>
      </c>
      <c r="C827" s="320">
        <v>1984</v>
      </c>
      <c r="D827" s="320"/>
      <c r="E827" s="321" t="s">
        <v>220</v>
      </c>
      <c r="F827" s="320">
        <v>5</v>
      </c>
      <c r="G827" s="320">
        <v>3</v>
      </c>
      <c r="H827" s="322">
        <v>2845.8</v>
      </c>
      <c r="I827" s="320">
        <v>2090.6999999999998</v>
      </c>
      <c r="J827" s="360">
        <v>1373.7</v>
      </c>
      <c r="K827" s="323">
        <v>49</v>
      </c>
      <c r="L827" s="324">
        <v>2605488</v>
      </c>
      <c r="M827" s="324">
        <v>0</v>
      </c>
      <c r="N827" s="324">
        <v>0</v>
      </c>
      <c r="O827" s="324">
        <f>L827</f>
        <v>2605488</v>
      </c>
      <c r="P827" s="324">
        <v>0</v>
      </c>
      <c r="Q827" s="325">
        <f t="shared" ref="Q827:Q828" si="219">L827/I827</f>
        <v>1246.2275792796672</v>
      </c>
      <c r="R827" s="617">
        <v>7920</v>
      </c>
      <c r="S827" s="326">
        <v>43465</v>
      </c>
    </row>
    <row r="828" spans="1:19" s="1" customFormat="1" ht="31.5">
      <c r="A828" s="318" t="e">
        <f t="shared" si="213"/>
        <v>#REF!</v>
      </c>
      <c r="B828" s="336" t="s">
        <v>624</v>
      </c>
      <c r="C828" s="320">
        <v>1970</v>
      </c>
      <c r="D828" s="320"/>
      <c r="E828" s="321" t="s">
        <v>218</v>
      </c>
      <c r="F828" s="320">
        <v>2</v>
      </c>
      <c r="G828" s="320">
        <v>2</v>
      </c>
      <c r="H828" s="322">
        <v>421.4</v>
      </c>
      <c r="I828" s="320">
        <v>373.4</v>
      </c>
      <c r="J828" s="360">
        <v>323.7</v>
      </c>
      <c r="K828" s="323">
        <v>22</v>
      </c>
      <c r="L828" s="324">
        <v>1612607</v>
      </c>
      <c r="M828" s="324">
        <v>0</v>
      </c>
      <c r="N828" s="324">
        <v>0</v>
      </c>
      <c r="O828" s="324">
        <f>L828</f>
        <v>1612607</v>
      </c>
      <c r="P828" s="324">
        <v>0</v>
      </c>
      <c r="Q828" s="325">
        <f t="shared" si="219"/>
        <v>4318.7118371719334</v>
      </c>
      <c r="R828" s="617">
        <v>7920</v>
      </c>
      <c r="S828" s="326">
        <v>43465</v>
      </c>
    </row>
    <row r="829" spans="1:19" s="1" customFormat="1" ht="15.75">
      <c r="A829" s="318"/>
      <c r="B829" s="336"/>
      <c r="C829" s="320"/>
      <c r="D829" s="320"/>
      <c r="E829" s="321"/>
      <c r="F829" s="320"/>
      <c r="G829" s="320"/>
      <c r="H829" s="322"/>
      <c r="I829" s="320"/>
      <c r="J829" s="320"/>
      <c r="K829" s="323"/>
      <c r="L829" s="324"/>
      <c r="M829" s="324"/>
      <c r="N829" s="324"/>
      <c r="O829" s="324"/>
      <c r="P829" s="324"/>
      <c r="Q829" s="325"/>
      <c r="R829" s="325"/>
      <c r="S829" s="326"/>
    </row>
    <row r="830" spans="1:19" s="1" customFormat="1" ht="15.75">
      <c r="A830" s="318"/>
      <c r="B830" s="336"/>
      <c r="C830" s="320"/>
      <c r="D830" s="320"/>
      <c r="E830" s="321"/>
      <c r="F830" s="320"/>
      <c r="G830" s="320"/>
      <c r="H830" s="322"/>
      <c r="I830" s="320"/>
      <c r="J830" s="320"/>
      <c r="K830" s="323"/>
      <c r="L830" s="324"/>
      <c r="M830" s="324"/>
      <c r="N830" s="324"/>
      <c r="O830" s="324"/>
      <c r="P830" s="324"/>
      <c r="Q830" s="325"/>
      <c r="R830" s="325"/>
      <c r="S830" s="326"/>
    </row>
    <row r="831" spans="1:19" s="1" customFormat="1" ht="15.75">
      <c r="A831" s="318"/>
      <c r="B831" s="336"/>
      <c r="C831" s="320"/>
      <c r="D831" s="320"/>
      <c r="E831" s="321"/>
      <c r="F831" s="320"/>
      <c r="G831" s="320"/>
      <c r="H831" s="322"/>
      <c r="I831" s="320"/>
      <c r="J831" s="320"/>
      <c r="K831" s="323"/>
      <c r="L831" s="324"/>
      <c r="M831" s="324"/>
      <c r="N831" s="324"/>
      <c r="O831" s="324"/>
      <c r="P831" s="324"/>
      <c r="Q831" s="325"/>
      <c r="R831" s="325"/>
      <c r="S831" s="326"/>
    </row>
    <row r="832" spans="1:19" s="1" customFormat="1" ht="15.75">
      <c r="A832" s="318"/>
      <c r="B832" s="336"/>
      <c r="C832" s="320"/>
      <c r="D832" s="320"/>
      <c r="E832" s="321"/>
      <c r="F832" s="320"/>
      <c r="G832" s="320"/>
      <c r="H832" s="322"/>
      <c r="I832" s="320"/>
      <c r="J832" s="320"/>
      <c r="K832" s="323"/>
      <c r="L832" s="324"/>
      <c r="M832" s="324"/>
      <c r="N832" s="324"/>
      <c r="O832" s="324"/>
      <c r="P832" s="324"/>
      <c r="Q832" s="325"/>
      <c r="R832" s="325"/>
      <c r="S832" s="326"/>
    </row>
    <row r="833" spans="1:34" s="1" customFormat="1" ht="15.75">
      <c r="A833" s="318"/>
      <c r="B833" s="336"/>
      <c r="C833" s="320"/>
      <c r="D833" s="320"/>
      <c r="E833" s="321"/>
      <c r="F833" s="320"/>
      <c r="G833" s="320"/>
      <c r="H833" s="322"/>
      <c r="I833" s="320"/>
      <c r="J833" s="360"/>
      <c r="K833" s="323"/>
      <c r="L833" s="324"/>
      <c r="M833" s="324"/>
      <c r="N833" s="324"/>
      <c r="O833" s="324"/>
      <c r="P833" s="324"/>
      <c r="Q833" s="325"/>
      <c r="R833" s="325"/>
      <c r="S833" s="326"/>
    </row>
    <row r="834" spans="1:34" s="1" customFormat="1" ht="15.75" customHeight="1">
      <c r="A834" s="107"/>
      <c r="B834" s="1331" t="s">
        <v>41</v>
      </c>
      <c r="C834" s="1331"/>
      <c r="D834" s="1331"/>
      <c r="E834" s="1331"/>
      <c r="F834" s="1331"/>
      <c r="G834" s="1331"/>
      <c r="H834" s="111">
        <f>H835</f>
        <v>4403.5</v>
      </c>
      <c r="I834" s="111">
        <f t="shared" ref="I834:P834" si="220">I835</f>
        <v>3444.7999999999997</v>
      </c>
      <c r="J834" s="111">
        <f t="shared" si="220"/>
        <v>3007.7999999999997</v>
      </c>
      <c r="K834" s="112">
        <f t="shared" si="220"/>
        <v>191</v>
      </c>
      <c r="L834" s="113">
        <f t="shared" si="220"/>
        <v>9289441</v>
      </c>
      <c r="M834" s="113">
        <f t="shared" si="220"/>
        <v>0</v>
      </c>
      <c r="N834" s="113">
        <f t="shared" si="220"/>
        <v>0</v>
      </c>
      <c r="O834" s="113">
        <f t="shared" si="220"/>
        <v>9289441</v>
      </c>
      <c r="P834" s="113">
        <f t="shared" si="220"/>
        <v>0</v>
      </c>
      <c r="Q834" s="114" t="s">
        <v>40</v>
      </c>
      <c r="R834" s="126" t="s">
        <v>40</v>
      </c>
      <c r="S834" s="326">
        <v>43465</v>
      </c>
    </row>
    <row r="835" spans="1:34" s="1" customFormat="1" ht="15.75" customHeight="1">
      <c r="A835" s="107"/>
      <c r="B835" s="1332" t="s">
        <v>96</v>
      </c>
      <c r="C835" s="1332"/>
      <c r="D835" s="1331"/>
      <c r="E835" s="1331"/>
      <c r="F835" s="1332"/>
      <c r="G835" s="1332"/>
      <c r="H835" s="628">
        <f>SUM(H836:H840)</f>
        <v>4403.5</v>
      </c>
      <c r="I835" s="628">
        <f>SUM(I836:I840)</f>
        <v>3444.7999999999997</v>
      </c>
      <c r="J835" s="628">
        <f>SUM(J836:J840)</f>
        <v>3007.7999999999997</v>
      </c>
      <c r="K835" s="776">
        <f>SUM(K836:K840)</f>
        <v>191</v>
      </c>
      <c r="L835" s="658">
        <f>SUM(L836:L840)</f>
        <v>9289441</v>
      </c>
      <c r="M835" s="113">
        <f t="shared" ref="M835:P835" si="221">SUM(M836:M840)</f>
        <v>0</v>
      </c>
      <c r="N835" s="113">
        <f t="shared" si="221"/>
        <v>0</v>
      </c>
      <c r="O835" s="113">
        <f t="shared" si="221"/>
        <v>9289441</v>
      </c>
      <c r="P835" s="113">
        <f t="shared" si="221"/>
        <v>0</v>
      </c>
      <c r="Q835" s="114" t="s">
        <v>40</v>
      </c>
      <c r="R835" s="126" t="s">
        <v>40</v>
      </c>
      <c r="S835" s="326">
        <v>43465</v>
      </c>
    </row>
    <row r="836" spans="1:34" s="1" customFormat="1" ht="31.5">
      <c r="A836" s="631">
        <f>A833+1</f>
        <v>1</v>
      </c>
      <c r="B836" s="774" t="s">
        <v>825</v>
      </c>
      <c r="C836" s="769">
        <v>1969</v>
      </c>
      <c r="D836" s="761"/>
      <c r="E836" s="611" t="s">
        <v>218</v>
      </c>
      <c r="F836" s="769">
        <v>4</v>
      </c>
      <c r="G836" s="769">
        <v>3</v>
      </c>
      <c r="H836" s="767">
        <v>1913.2</v>
      </c>
      <c r="I836" s="767">
        <v>1395.6</v>
      </c>
      <c r="J836" s="767">
        <f>I836-118.1</f>
        <v>1277.5</v>
      </c>
      <c r="K836" s="769">
        <v>84</v>
      </c>
      <c r="L836" s="773">
        <v>1058186</v>
      </c>
      <c r="M836" s="655">
        <v>0</v>
      </c>
      <c r="N836" s="113">
        <v>0</v>
      </c>
      <c r="O836" s="113">
        <f>L836</f>
        <v>1058186</v>
      </c>
      <c r="P836" s="113">
        <v>0</v>
      </c>
      <c r="Q836" s="114">
        <f>L836/I836</f>
        <v>758.23015190599028</v>
      </c>
      <c r="R836" s="114">
        <v>7920</v>
      </c>
      <c r="S836" s="326">
        <v>43465</v>
      </c>
    </row>
    <row r="837" spans="1:34" s="1" customFormat="1" ht="31.5">
      <c r="A837" s="631">
        <f t="shared" si="213"/>
        <v>2</v>
      </c>
      <c r="B837" s="775" t="s">
        <v>826</v>
      </c>
      <c r="C837" s="769">
        <v>1957</v>
      </c>
      <c r="D837" s="761"/>
      <c r="E837" s="611" t="s">
        <v>830</v>
      </c>
      <c r="F837" s="769">
        <v>2</v>
      </c>
      <c r="G837" s="769">
        <v>2</v>
      </c>
      <c r="H837" s="767">
        <v>426.8</v>
      </c>
      <c r="I837" s="767">
        <v>395</v>
      </c>
      <c r="J837" s="767">
        <f>I837-95.1</f>
        <v>299.89999999999998</v>
      </c>
      <c r="K837" s="769">
        <v>20</v>
      </c>
      <c r="L837" s="773">
        <v>1264714</v>
      </c>
      <c r="M837" s="655">
        <v>0</v>
      </c>
      <c r="N837" s="113">
        <v>0</v>
      </c>
      <c r="O837" s="113">
        <f t="shared" ref="O837:O840" si="222">L837</f>
        <v>1264714</v>
      </c>
      <c r="P837" s="113">
        <v>0</v>
      </c>
      <c r="Q837" s="114">
        <f>L837/I837</f>
        <v>3201.8075949367089</v>
      </c>
      <c r="R837" s="114">
        <v>7920</v>
      </c>
      <c r="S837" s="326">
        <v>43465</v>
      </c>
    </row>
    <row r="838" spans="1:34" s="1" customFormat="1" ht="31.5">
      <c r="A838" s="631">
        <f>A837+1</f>
        <v>3</v>
      </c>
      <c r="B838" s="774" t="s">
        <v>827</v>
      </c>
      <c r="C838" s="769">
        <v>1956</v>
      </c>
      <c r="D838" s="761"/>
      <c r="E838" s="611" t="s">
        <v>218</v>
      </c>
      <c r="F838" s="769">
        <v>2</v>
      </c>
      <c r="G838" s="769">
        <v>1</v>
      </c>
      <c r="H838" s="767">
        <v>960</v>
      </c>
      <c r="I838" s="767">
        <v>572.1</v>
      </c>
      <c r="J838" s="767">
        <f>I838-196.3</f>
        <v>375.8</v>
      </c>
      <c r="K838" s="769">
        <v>40</v>
      </c>
      <c r="L838" s="773">
        <v>3274864</v>
      </c>
      <c r="M838" s="655">
        <v>0</v>
      </c>
      <c r="N838" s="113">
        <v>0</v>
      </c>
      <c r="O838" s="113">
        <f t="shared" si="222"/>
        <v>3274864</v>
      </c>
      <c r="P838" s="113">
        <v>0</v>
      </c>
      <c r="Q838" s="114">
        <f>L838/I838</f>
        <v>5724.285963992309</v>
      </c>
      <c r="R838" s="114">
        <v>7920</v>
      </c>
      <c r="S838" s="326">
        <v>43465</v>
      </c>
    </row>
    <row r="839" spans="1:34" s="1" customFormat="1" ht="31.5">
      <c r="A839" s="631">
        <f t="shared" ref="A839:A840" si="223">A838+1</f>
        <v>4</v>
      </c>
      <c r="B839" s="774" t="s">
        <v>828</v>
      </c>
      <c r="C839" s="769">
        <v>1952</v>
      </c>
      <c r="D839" s="761"/>
      <c r="E839" s="611" t="s">
        <v>218</v>
      </c>
      <c r="F839" s="769">
        <v>2</v>
      </c>
      <c r="G839" s="769">
        <v>2</v>
      </c>
      <c r="H839" s="767">
        <v>715.8</v>
      </c>
      <c r="I839" s="767">
        <v>712</v>
      </c>
      <c r="J839" s="767">
        <f>I839-27.5</f>
        <v>684.5</v>
      </c>
      <c r="K839" s="769">
        <v>32</v>
      </c>
      <c r="L839" s="773">
        <v>2082655</v>
      </c>
      <c r="M839" s="655">
        <v>0</v>
      </c>
      <c r="N839" s="113">
        <v>0</v>
      </c>
      <c r="O839" s="113">
        <f t="shared" si="222"/>
        <v>2082655</v>
      </c>
      <c r="P839" s="113">
        <v>0</v>
      </c>
      <c r="Q839" s="114">
        <f>L839/I839</f>
        <v>2925.0772471910113</v>
      </c>
      <c r="R839" s="114">
        <v>7920</v>
      </c>
      <c r="S839" s="326">
        <v>43465</v>
      </c>
    </row>
    <row r="840" spans="1:34" s="1" customFormat="1" ht="31.5">
      <c r="A840" s="631">
        <f t="shared" si="223"/>
        <v>5</v>
      </c>
      <c r="B840" s="774" t="s">
        <v>829</v>
      </c>
      <c r="C840" s="769">
        <v>1949</v>
      </c>
      <c r="D840" s="761"/>
      <c r="E840" s="611" t="s">
        <v>218</v>
      </c>
      <c r="F840" s="769">
        <v>2</v>
      </c>
      <c r="G840" s="769">
        <v>1</v>
      </c>
      <c r="H840" s="767">
        <v>387.7</v>
      </c>
      <c r="I840" s="767">
        <v>370.1</v>
      </c>
      <c r="J840" s="767">
        <f>I840</f>
        <v>370.1</v>
      </c>
      <c r="K840" s="769">
        <v>15</v>
      </c>
      <c r="L840" s="773">
        <v>1609022</v>
      </c>
      <c r="M840" s="655">
        <v>0</v>
      </c>
      <c r="N840" s="113">
        <v>0</v>
      </c>
      <c r="O840" s="113">
        <f t="shared" si="222"/>
        <v>1609022</v>
      </c>
      <c r="P840" s="113">
        <v>0</v>
      </c>
      <c r="Q840" s="114">
        <f>L840/I840</f>
        <v>4347.5330991623887</v>
      </c>
      <c r="R840" s="114">
        <v>7920</v>
      </c>
      <c r="S840" s="326">
        <v>43465</v>
      </c>
    </row>
    <row r="841" spans="1:34" s="1" customFormat="1" ht="15.75">
      <c r="A841" s="107"/>
      <c r="B841" s="1333" t="s">
        <v>68</v>
      </c>
      <c r="C841" s="1333"/>
      <c r="D841" s="1292"/>
      <c r="E841" s="1292"/>
      <c r="F841" s="1333"/>
      <c r="G841" s="1333"/>
      <c r="H841" s="765">
        <f>H842</f>
        <v>285.2</v>
      </c>
      <c r="I841" s="766">
        <f t="shared" ref="I841:P842" si="224">I842</f>
        <v>266</v>
      </c>
      <c r="J841" s="766">
        <f t="shared" si="224"/>
        <v>153.9</v>
      </c>
      <c r="K841" s="777">
        <f t="shared" si="224"/>
        <v>13</v>
      </c>
      <c r="L841" s="771">
        <f t="shared" si="224"/>
        <v>443001</v>
      </c>
      <c r="M841" s="113">
        <f t="shared" si="224"/>
        <v>0</v>
      </c>
      <c r="N841" s="113">
        <f t="shared" si="224"/>
        <v>0</v>
      </c>
      <c r="O841" s="113">
        <f t="shared" si="224"/>
        <v>443001</v>
      </c>
      <c r="P841" s="113">
        <f t="shared" si="224"/>
        <v>0</v>
      </c>
      <c r="Q841" s="106" t="s">
        <v>40</v>
      </c>
      <c r="R841" s="106" t="s">
        <v>40</v>
      </c>
      <c r="S841" s="326">
        <v>43465</v>
      </c>
    </row>
    <row r="842" spans="1:34" s="1" customFormat="1" ht="15.75" customHeight="1">
      <c r="A842" s="107"/>
      <c r="B842" s="1294" t="s">
        <v>97</v>
      </c>
      <c r="C842" s="1294"/>
      <c r="D842" s="1294"/>
      <c r="E842" s="1294"/>
      <c r="F842" s="1294"/>
      <c r="G842" s="1294"/>
      <c r="H842" s="128">
        <f>H843</f>
        <v>285.2</v>
      </c>
      <c r="I842" s="106">
        <f t="shared" si="224"/>
        <v>266</v>
      </c>
      <c r="J842" s="106">
        <f t="shared" si="224"/>
        <v>153.9</v>
      </c>
      <c r="K842" s="119">
        <f t="shared" si="224"/>
        <v>13</v>
      </c>
      <c r="L842" s="113">
        <f t="shared" si="224"/>
        <v>443001</v>
      </c>
      <c r="M842" s="113">
        <f t="shared" si="224"/>
        <v>0</v>
      </c>
      <c r="N842" s="113">
        <f t="shared" si="224"/>
        <v>0</v>
      </c>
      <c r="O842" s="113">
        <f t="shared" si="224"/>
        <v>443001</v>
      </c>
      <c r="P842" s="113">
        <f t="shared" si="224"/>
        <v>0</v>
      </c>
      <c r="Q842" s="106" t="s">
        <v>40</v>
      </c>
      <c r="R842" s="106" t="s">
        <v>40</v>
      </c>
      <c r="S842" s="326">
        <v>43465</v>
      </c>
    </row>
    <row r="843" spans="1:34" s="1" customFormat="1" ht="31.5">
      <c r="A843" s="318"/>
      <c r="B843" s="605" t="s">
        <v>769</v>
      </c>
      <c r="C843" s="340">
        <v>1930</v>
      </c>
      <c r="D843" s="340"/>
      <c r="E843" s="321" t="s">
        <v>218</v>
      </c>
      <c r="F843" s="340">
        <v>2</v>
      </c>
      <c r="G843" s="340">
        <v>1</v>
      </c>
      <c r="H843" s="341">
        <v>285.2</v>
      </c>
      <c r="I843" s="344">
        <v>266</v>
      </c>
      <c r="J843" s="344">
        <v>153.9</v>
      </c>
      <c r="K843" s="343">
        <v>13</v>
      </c>
      <c r="L843" s="324">
        <v>443001</v>
      </c>
      <c r="M843" s="324">
        <v>0</v>
      </c>
      <c r="N843" s="324">
        <v>0</v>
      </c>
      <c r="O843" s="324">
        <v>443001</v>
      </c>
      <c r="P843" s="324">
        <v>0</v>
      </c>
      <c r="Q843" s="325">
        <f>L843/I843</f>
        <v>1665.4172932330828</v>
      </c>
      <c r="R843" s="325">
        <v>7920</v>
      </c>
      <c r="S843" s="326">
        <v>43465</v>
      </c>
    </row>
    <row r="844" spans="1:34" s="16" customFormat="1" ht="15.75">
      <c r="A844" s="107"/>
      <c r="B844" s="1292" t="s">
        <v>43</v>
      </c>
      <c r="C844" s="1292"/>
      <c r="D844" s="1292"/>
      <c r="E844" s="1292"/>
      <c r="F844" s="1292"/>
      <c r="G844" s="1292"/>
      <c r="H844" s="106">
        <f>H845+H860</f>
        <v>23164.559999999998</v>
      </c>
      <c r="I844" s="106">
        <f t="shared" ref="I844:J844" si="225">I845+I860</f>
        <v>21134.959999999999</v>
      </c>
      <c r="J844" s="106">
        <f t="shared" si="225"/>
        <v>19251.09</v>
      </c>
      <c r="K844" s="119">
        <f>K845+K860</f>
        <v>853</v>
      </c>
      <c r="L844" s="113">
        <f t="shared" ref="L844:P844" si="226">L845+L860</f>
        <v>23032470</v>
      </c>
      <c r="M844" s="113">
        <f t="shared" si="226"/>
        <v>0</v>
      </c>
      <c r="N844" s="113">
        <f t="shared" si="226"/>
        <v>1400000</v>
      </c>
      <c r="O844" s="113">
        <f t="shared" si="226"/>
        <v>21632470</v>
      </c>
      <c r="P844" s="113">
        <f t="shared" si="226"/>
        <v>0</v>
      </c>
      <c r="Q844" s="106" t="s">
        <v>40</v>
      </c>
      <c r="R844" s="106" t="s">
        <v>40</v>
      </c>
      <c r="S844" s="326">
        <v>43465</v>
      </c>
    </row>
    <row r="845" spans="1:34" s="10" customFormat="1" ht="15.75" customHeight="1">
      <c r="A845" s="107"/>
      <c r="B845" s="1294" t="s">
        <v>125</v>
      </c>
      <c r="C845" s="1294"/>
      <c r="D845" s="1294"/>
      <c r="E845" s="1294"/>
      <c r="F845" s="1294"/>
      <c r="G845" s="1294"/>
      <c r="H845" s="128">
        <f t="shared" ref="H845:M845" si="227">SUM(H846:H859)</f>
        <v>20106.559999999998</v>
      </c>
      <c r="I845" s="106">
        <f t="shared" si="227"/>
        <v>18426.259999999998</v>
      </c>
      <c r="J845" s="106">
        <f t="shared" si="227"/>
        <v>16665.189999999999</v>
      </c>
      <c r="K845" s="119">
        <f t="shared" si="227"/>
        <v>735</v>
      </c>
      <c r="L845" s="113">
        <f t="shared" si="227"/>
        <v>20696312</v>
      </c>
      <c r="M845" s="113">
        <f t="shared" si="227"/>
        <v>0</v>
      </c>
      <c r="N845" s="113">
        <f t="shared" ref="N845:O845" si="228">SUM(N846:N859)</f>
        <v>0</v>
      </c>
      <c r="O845" s="113">
        <f t="shared" si="228"/>
        <v>20696312</v>
      </c>
      <c r="P845" s="113">
        <f>SUM(P846:P862)</f>
        <v>0</v>
      </c>
      <c r="Q845" s="106" t="s">
        <v>40</v>
      </c>
      <c r="R845" s="106" t="s">
        <v>40</v>
      </c>
      <c r="S845" s="326">
        <v>43465</v>
      </c>
    </row>
    <row r="846" spans="1:34" s="40" customFormat="1" ht="15.75">
      <c r="A846" s="107">
        <f>A843+1</f>
        <v>1</v>
      </c>
      <c r="B846" s="130" t="s">
        <v>405</v>
      </c>
      <c r="C846" s="131">
        <v>1979</v>
      </c>
      <c r="D846" s="132"/>
      <c r="E846" s="109" t="s">
        <v>219</v>
      </c>
      <c r="F846" s="131">
        <v>5</v>
      </c>
      <c r="G846" s="131">
        <v>6</v>
      </c>
      <c r="H846" s="133">
        <v>4364.1000000000004</v>
      </c>
      <c r="I846" s="131">
        <v>3933.3</v>
      </c>
      <c r="J846" s="131">
        <v>3786.33</v>
      </c>
      <c r="K846" s="123">
        <v>163</v>
      </c>
      <c r="L846" s="113">
        <v>2301804</v>
      </c>
      <c r="M846" s="113">
        <v>0</v>
      </c>
      <c r="N846" s="113">
        <v>0</v>
      </c>
      <c r="O846" s="113">
        <f t="shared" ref="O846:O859" si="229">L846</f>
        <v>2301804</v>
      </c>
      <c r="P846" s="113">
        <v>0</v>
      </c>
      <c r="Q846" s="134">
        <f>L846/I846</f>
        <v>585.2093661810693</v>
      </c>
      <c r="R846" s="114">
        <v>6774</v>
      </c>
      <c r="S846" s="326">
        <v>43465</v>
      </c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</row>
    <row r="847" spans="1:34" s="41" customFormat="1" ht="31.5">
      <c r="A847" s="107">
        <f t="shared" ref="A847:A902" si="230">A846+1</f>
        <v>2</v>
      </c>
      <c r="B847" s="120" t="s">
        <v>393</v>
      </c>
      <c r="C847" s="109">
        <v>1976</v>
      </c>
      <c r="D847" s="109"/>
      <c r="E847" s="109" t="s">
        <v>218</v>
      </c>
      <c r="F847" s="135">
        <v>5</v>
      </c>
      <c r="G847" s="109">
        <v>6</v>
      </c>
      <c r="H847" s="136">
        <v>4869.8</v>
      </c>
      <c r="I847" s="137">
        <v>4494.8</v>
      </c>
      <c r="J847" s="137">
        <v>3910.1</v>
      </c>
      <c r="K847" s="138">
        <v>161</v>
      </c>
      <c r="L847" s="113">
        <v>1743478</v>
      </c>
      <c r="M847" s="113">
        <v>0</v>
      </c>
      <c r="N847" s="113">
        <v>0</v>
      </c>
      <c r="O847" s="113">
        <f t="shared" si="229"/>
        <v>1743478</v>
      </c>
      <c r="P847" s="113">
        <v>0</v>
      </c>
      <c r="Q847" s="139">
        <f>L847/I847</f>
        <v>387.88778143632641</v>
      </c>
      <c r="R847" s="102">
        <v>6774</v>
      </c>
      <c r="S847" s="326">
        <v>43465</v>
      </c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F847" s="40"/>
      <c r="AG847" s="40"/>
      <c r="AH847" s="40"/>
    </row>
    <row r="848" spans="1:34" s="41" customFormat="1" ht="31.5">
      <c r="A848" s="107">
        <f t="shared" si="230"/>
        <v>3</v>
      </c>
      <c r="B848" s="140" t="s">
        <v>406</v>
      </c>
      <c r="C848" s="132">
        <v>2005</v>
      </c>
      <c r="D848" s="132"/>
      <c r="E848" s="109" t="s">
        <v>218</v>
      </c>
      <c r="F848" s="131">
        <v>2</v>
      </c>
      <c r="G848" s="131">
        <v>2</v>
      </c>
      <c r="H848" s="133">
        <v>2170.6999999999998</v>
      </c>
      <c r="I848" s="125">
        <v>1890.5</v>
      </c>
      <c r="J848" s="125">
        <v>1756.6</v>
      </c>
      <c r="K848" s="123">
        <v>72</v>
      </c>
      <c r="L848" s="113">
        <v>2485001</v>
      </c>
      <c r="M848" s="113">
        <v>0</v>
      </c>
      <c r="N848" s="113">
        <v>0</v>
      </c>
      <c r="O848" s="113">
        <f t="shared" si="229"/>
        <v>2485001</v>
      </c>
      <c r="P848" s="113">
        <v>0</v>
      </c>
      <c r="Q848" s="126">
        <f>L848/I848</f>
        <v>1314.4676011637132</v>
      </c>
      <c r="R848" s="114">
        <v>6774</v>
      </c>
      <c r="S848" s="326">
        <v>43465</v>
      </c>
    </row>
    <row r="849" spans="1:34" s="41" customFormat="1" ht="31.5">
      <c r="A849" s="107">
        <f t="shared" si="230"/>
        <v>4</v>
      </c>
      <c r="B849" s="130" t="s">
        <v>402</v>
      </c>
      <c r="C849" s="131">
        <v>1961</v>
      </c>
      <c r="D849" s="132"/>
      <c r="E849" s="109" t="s">
        <v>218</v>
      </c>
      <c r="F849" s="131">
        <v>2</v>
      </c>
      <c r="G849" s="132">
        <v>3</v>
      </c>
      <c r="H849" s="141">
        <v>662.8</v>
      </c>
      <c r="I849" s="142">
        <v>612.6</v>
      </c>
      <c r="J849" s="142">
        <v>517</v>
      </c>
      <c r="K849" s="143">
        <v>32</v>
      </c>
      <c r="L849" s="113">
        <v>1237591</v>
      </c>
      <c r="M849" s="113">
        <v>0</v>
      </c>
      <c r="N849" s="113">
        <v>0</v>
      </c>
      <c r="O849" s="113">
        <f t="shared" si="229"/>
        <v>1237591</v>
      </c>
      <c r="P849" s="113">
        <v>0</v>
      </c>
      <c r="Q849" s="144">
        <f>L849/I849</f>
        <v>2020.2269017303297</v>
      </c>
      <c r="R849" s="114">
        <v>6774</v>
      </c>
      <c r="S849" s="326">
        <v>43465</v>
      </c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</row>
    <row r="850" spans="1:34" s="41" customFormat="1" ht="31.5">
      <c r="A850" s="107">
        <f t="shared" si="230"/>
        <v>5</v>
      </c>
      <c r="B850" s="145" t="s">
        <v>397</v>
      </c>
      <c r="C850" s="131">
        <v>1953</v>
      </c>
      <c r="D850" s="132"/>
      <c r="E850" s="109" t="s">
        <v>218</v>
      </c>
      <c r="F850" s="131">
        <v>2</v>
      </c>
      <c r="G850" s="132">
        <v>2</v>
      </c>
      <c r="H850" s="146">
        <v>470.96</v>
      </c>
      <c r="I850" s="147">
        <v>417.36</v>
      </c>
      <c r="J850" s="147">
        <v>356.76</v>
      </c>
      <c r="K850" s="148">
        <v>10</v>
      </c>
      <c r="L850" s="113">
        <v>1448078</v>
      </c>
      <c r="M850" s="113">
        <v>0</v>
      </c>
      <c r="N850" s="113">
        <v>0</v>
      </c>
      <c r="O850" s="113">
        <f t="shared" si="229"/>
        <v>1448078</v>
      </c>
      <c r="P850" s="113">
        <v>0</v>
      </c>
      <c r="Q850" s="144">
        <f>L850/I850</f>
        <v>3469.6137626988689</v>
      </c>
      <c r="R850" s="114">
        <v>6774</v>
      </c>
      <c r="S850" s="326">
        <v>43465</v>
      </c>
    </row>
    <row r="851" spans="1:34" s="41" customFormat="1" ht="31.5">
      <c r="A851" s="107">
        <f t="shared" si="230"/>
        <v>6</v>
      </c>
      <c r="B851" s="145" t="s">
        <v>398</v>
      </c>
      <c r="C851" s="131">
        <v>1954</v>
      </c>
      <c r="D851" s="132"/>
      <c r="E851" s="109" t="s">
        <v>218</v>
      </c>
      <c r="F851" s="131">
        <v>2</v>
      </c>
      <c r="G851" s="132">
        <v>2</v>
      </c>
      <c r="H851" s="141">
        <v>922.3</v>
      </c>
      <c r="I851" s="142">
        <v>862.3</v>
      </c>
      <c r="J851" s="142">
        <v>862.3</v>
      </c>
      <c r="K851" s="123">
        <v>31</v>
      </c>
      <c r="L851" s="113">
        <v>1963797</v>
      </c>
      <c r="M851" s="113">
        <v>0</v>
      </c>
      <c r="N851" s="113">
        <v>0</v>
      </c>
      <c r="O851" s="113">
        <f t="shared" si="229"/>
        <v>1963797</v>
      </c>
      <c r="P851" s="113">
        <v>0</v>
      </c>
      <c r="Q851" s="144">
        <f xml:space="preserve"> L851/I851</f>
        <v>2277.3941783601995</v>
      </c>
      <c r="R851" s="114">
        <v>6774</v>
      </c>
      <c r="S851" s="326">
        <v>43465</v>
      </c>
    </row>
    <row r="852" spans="1:34" s="42" customFormat="1" ht="31.5">
      <c r="A852" s="107">
        <f t="shared" si="230"/>
        <v>7</v>
      </c>
      <c r="B852" s="145" t="s">
        <v>399</v>
      </c>
      <c r="C852" s="131">
        <v>1961</v>
      </c>
      <c r="D852" s="132"/>
      <c r="E852" s="109" t="s">
        <v>218</v>
      </c>
      <c r="F852" s="131">
        <v>4</v>
      </c>
      <c r="G852" s="132">
        <v>4</v>
      </c>
      <c r="H852" s="133">
        <v>2386.6</v>
      </c>
      <c r="I852" s="125">
        <v>2260.4</v>
      </c>
      <c r="J852" s="125">
        <v>2024.9</v>
      </c>
      <c r="K852" s="123">
        <v>66</v>
      </c>
      <c r="L852" s="113">
        <v>2119530</v>
      </c>
      <c r="M852" s="113">
        <v>0</v>
      </c>
      <c r="N852" s="113">
        <v>0</v>
      </c>
      <c r="O852" s="113">
        <f t="shared" si="229"/>
        <v>2119530</v>
      </c>
      <c r="P852" s="113">
        <v>0</v>
      </c>
      <c r="Q852" s="144">
        <f t="shared" ref="Q852:Q859" si="231">L852/I852</f>
        <v>937.67917182799499</v>
      </c>
      <c r="R852" s="114">
        <v>6774</v>
      </c>
      <c r="S852" s="326">
        <v>43465</v>
      </c>
    </row>
    <row r="853" spans="1:34" s="42" customFormat="1" ht="31.5">
      <c r="A853" s="107">
        <f t="shared" si="230"/>
        <v>8</v>
      </c>
      <c r="B853" s="130" t="s">
        <v>403</v>
      </c>
      <c r="C853" s="131">
        <v>1956</v>
      </c>
      <c r="D853" s="132"/>
      <c r="E853" s="109" t="s">
        <v>218</v>
      </c>
      <c r="F853" s="131">
        <v>2</v>
      </c>
      <c r="G853" s="132">
        <v>2</v>
      </c>
      <c r="H853" s="149">
        <v>833.9</v>
      </c>
      <c r="I853" s="142">
        <v>785.9</v>
      </c>
      <c r="J853" s="142">
        <v>675</v>
      </c>
      <c r="K853" s="143">
        <v>32</v>
      </c>
      <c r="L853" s="113">
        <v>1098163</v>
      </c>
      <c r="M853" s="113">
        <v>0</v>
      </c>
      <c r="N853" s="113">
        <v>0</v>
      </c>
      <c r="O853" s="113">
        <f t="shared" si="229"/>
        <v>1098163</v>
      </c>
      <c r="P853" s="113">
        <v>0</v>
      </c>
      <c r="Q853" s="144">
        <f t="shared" si="231"/>
        <v>1397.3317215930781</v>
      </c>
      <c r="R853" s="114">
        <v>6774</v>
      </c>
      <c r="S853" s="326">
        <v>43465</v>
      </c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</row>
    <row r="854" spans="1:34" s="42" customFormat="1" ht="31.5">
      <c r="A854" s="107">
        <f t="shared" si="230"/>
        <v>9</v>
      </c>
      <c r="B854" s="130" t="s">
        <v>404</v>
      </c>
      <c r="C854" s="131">
        <v>1959</v>
      </c>
      <c r="D854" s="132"/>
      <c r="E854" s="109" t="s">
        <v>218</v>
      </c>
      <c r="F854" s="131">
        <v>2</v>
      </c>
      <c r="G854" s="132">
        <v>3</v>
      </c>
      <c r="H854" s="150">
        <v>640.5</v>
      </c>
      <c r="I854" s="147">
        <v>621.79999999999995</v>
      </c>
      <c r="J854" s="147">
        <v>490.9</v>
      </c>
      <c r="K854" s="143">
        <v>35</v>
      </c>
      <c r="L854" s="113">
        <v>1241309</v>
      </c>
      <c r="M854" s="113">
        <v>0</v>
      </c>
      <c r="N854" s="113">
        <v>0</v>
      </c>
      <c r="O854" s="113">
        <f t="shared" si="229"/>
        <v>1241309</v>
      </c>
      <c r="P854" s="113">
        <v>0</v>
      </c>
      <c r="Q854" s="144">
        <f t="shared" si="231"/>
        <v>1996.3155355419751</v>
      </c>
      <c r="R854" s="114">
        <v>6774</v>
      </c>
      <c r="S854" s="326">
        <v>43465</v>
      </c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</row>
    <row r="855" spans="1:34" s="42" customFormat="1" ht="31.5">
      <c r="A855" s="107">
        <f t="shared" si="230"/>
        <v>10</v>
      </c>
      <c r="B855" s="130" t="s">
        <v>400</v>
      </c>
      <c r="C855" s="131">
        <v>1960</v>
      </c>
      <c r="D855" s="132"/>
      <c r="E855" s="109" t="s">
        <v>218</v>
      </c>
      <c r="F855" s="131">
        <v>2</v>
      </c>
      <c r="G855" s="132">
        <v>2</v>
      </c>
      <c r="H855" s="141">
        <v>504.1</v>
      </c>
      <c r="I855" s="142">
        <v>445.3</v>
      </c>
      <c r="J855" s="142">
        <v>373.3</v>
      </c>
      <c r="K855" s="143">
        <v>24</v>
      </c>
      <c r="L855" s="113">
        <v>1041360</v>
      </c>
      <c r="M855" s="113">
        <v>0</v>
      </c>
      <c r="N855" s="113">
        <v>0</v>
      </c>
      <c r="O855" s="113">
        <f t="shared" si="229"/>
        <v>1041360</v>
      </c>
      <c r="P855" s="113">
        <v>0</v>
      </c>
      <c r="Q855" s="144">
        <f t="shared" si="231"/>
        <v>2338.5582753200088</v>
      </c>
      <c r="R855" s="114">
        <v>6774</v>
      </c>
      <c r="S855" s="326">
        <v>43465</v>
      </c>
    </row>
    <row r="856" spans="1:34" s="44" customFormat="1" ht="31.5">
      <c r="A856" s="107">
        <f>A855+1</f>
        <v>11</v>
      </c>
      <c r="B856" s="130" t="s">
        <v>401</v>
      </c>
      <c r="C856" s="131">
        <v>1961</v>
      </c>
      <c r="D856" s="132"/>
      <c r="E856" s="109" t="s">
        <v>218</v>
      </c>
      <c r="F856" s="131">
        <v>2</v>
      </c>
      <c r="G856" s="132">
        <v>2</v>
      </c>
      <c r="H856" s="141">
        <v>506.2</v>
      </c>
      <c r="I856" s="142">
        <v>447.4</v>
      </c>
      <c r="J856" s="142">
        <f>I856</f>
        <v>447.4</v>
      </c>
      <c r="K856" s="143">
        <v>18</v>
      </c>
      <c r="L856" s="113">
        <v>1138866</v>
      </c>
      <c r="M856" s="113">
        <v>0</v>
      </c>
      <c r="N856" s="113">
        <v>0</v>
      </c>
      <c r="O856" s="113">
        <f t="shared" si="229"/>
        <v>1138866</v>
      </c>
      <c r="P856" s="113">
        <v>0</v>
      </c>
      <c r="Q856" s="144">
        <f t="shared" si="231"/>
        <v>2545.5207867679928</v>
      </c>
      <c r="R856" s="114">
        <v>6774</v>
      </c>
      <c r="S856" s="326">
        <v>43465</v>
      </c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</row>
    <row r="857" spans="1:34" s="41" customFormat="1" ht="31.5">
      <c r="A857" s="107">
        <f>A856+1</f>
        <v>12</v>
      </c>
      <c r="B857" s="145" t="s">
        <v>394</v>
      </c>
      <c r="C857" s="131">
        <v>1966</v>
      </c>
      <c r="D857" s="132"/>
      <c r="E857" s="109" t="s">
        <v>218</v>
      </c>
      <c r="F857" s="131">
        <v>2</v>
      </c>
      <c r="G857" s="132">
        <v>2</v>
      </c>
      <c r="H857" s="141">
        <v>482.5</v>
      </c>
      <c r="I857" s="142">
        <v>454.1</v>
      </c>
      <c r="J857" s="142">
        <v>370.7</v>
      </c>
      <c r="K857" s="123">
        <v>31</v>
      </c>
      <c r="L857" s="113">
        <v>848546</v>
      </c>
      <c r="M857" s="113">
        <v>0</v>
      </c>
      <c r="N857" s="113">
        <v>0</v>
      </c>
      <c r="O857" s="113">
        <f t="shared" si="229"/>
        <v>848546</v>
      </c>
      <c r="P857" s="113">
        <v>0</v>
      </c>
      <c r="Q857" s="144">
        <f t="shared" si="231"/>
        <v>1868.6324598106144</v>
      </c>
      <c r="R857" s="114">
        <v>6774</v>
      </c>
      <c r="S857" s="326">
        <v>43465</v>
      </c>
    </row>
    <row r="858" spans="1:34" s="41" customFormat="1" ht="31.5">
      <c r="A858" s="107">
        <f>A857+1</f>
        <v>13</v>
      </c>
      <c r="B858" s="145" t="s">
        <v>395</v>
      </c>
      <c r="C858" s="131">
        <v>1969</v>
      </c>
      <c r="D858" s="132"/>
      <c r="E858" s="109" t="s">
        <v>218</v>
      </c>
      <c r="F858" s="131">
        <v>2</v>
      </c>
      <c r="G858" s="132">
        <v>2</v>
      </c>
      <c r="H858" s="141">
        <v>502.6</v>
      </c>
      <c r="I858" s="151">
        <v>471</v>
      </c>
      <c r="J858" s="142">
        <v>423.8</v>
      </c>
      <c r="K858" s="123">
        <v>21</v>
      </c>
      <c r="L858" s="113">
        <v>848706</v>
      </c>
      <c r="M858" s="113">
        <v>0</v>
      </c>
      <c r="N858" s="113">
        <v>0</v>
      </c>
      <c r="O858" s="113">
        <f t="shared" si="229"/>
        <v>848706</v>
      </c>
      <c r="P858" s="113">
        <v>0</v>
      </c>
      <c r="Q858" s="144">
        <f t="shared" si="231"/>
        <v>1801.9235668789809</v>
      </c>
      <c r="R858" s="114">
        <v>6774</v>
      </c>
      <c r="S858" s="326">
        <v>43465</v>
      </c>
    </row>
    <row r="859" spans="1:34" s="41" customFormat="1" ht="31.5">
      <c r="A859" s="107">
        <f>A858+1</f>
        <v>14</v>
      </c>
      <c r="B859" s="145" t="s">
        <v>396</v>
      </c>
      <c r="C859" s="131">
        <v>1973</v>
      </c>
      <c r="D859" s="132"/>
      <c r="E859" s="109" t="s">
        <v>218</v>
      </c>
      <c r="F859" s="131">
        <v>2</v>
      </c>
      <c r="G859" s="132">
        <v>2</v>
      </c>
      <c r="H859" s="141">
        <v>789.5</v>
      </c>
      <c r="I859" s="142">
        <v>729.5</v>
      </c>
      <c r="J859" s="142">
        <v>670.1</v>
      </c>
      <c r="K859" s="123">
        <v>39</v>
      </c>
      <c r="L859" s="113">
        <v>1180083</v>
      </c>
      <c r="M859" s="113">
        <v>0</v>
      </c>
      <c r="N859" s="113">
        <v>0</v>
      </c>
      <c r="O859" s="113">
        <f t="shared" si="229"/>
        <v>1180083</v>
      </c>
      <c r="P859" s="113">
        <v>0</v>
      </c>
      <c r="Q859" s="144">
        <f t="shared" si="231"/>
        <v>1617.6600411240577</v>
      </c>
      <c r="R859" s="114">
        <v>6774</v>
      </c>
      <c r="S859" s="326">
        <v>43465</v>
      </c>
    </row>
    <row r="860" spans="1:34" s="42" customFormat="1" ht="15.75" customHeight="1">
      <c r="A860" s="107"/>
      <c r="B860" s="1294" t="s">
        <v>210</v>
      </c>
      <c r="C860" s="1294"/>
      <c r="D860" s="1294"/>
      <c r="E860" s="1294"/>
      <c r="F860" s="1294"/>
      <c r="G860" s="1294"/>
      <c r="H860" s="106">
        <f>H861+H862</f>
        <v>3058</v>
      </c>
      <c r="I860" s="106">
        <f t="shared" ref="I860:P860" si="232">I861+I862</f>
        <v>2708.7</v>
      </c>
      <c r="J860" s="106">
        <f t="shared" si="232"/>
        <v>2585.9</v>
      </c>
      <c r="K860" s="119">
        <f t="shared" si="232"/>
        <v>118</v>
      </c>
      <c r="L860" s="113">
        <f t="shared" si="232"/>
        <v>2336158</v>
      </c>
      <c r="M860" s="113">
        <f t="shared" si="232"/>
        <v>0</v>
      </c>
      <c r="N860" s="113">
        <f t="shared" si="232"/>
        <v>1400000</v>
      </c>
      <c r="O860" s="113">
        <f t="shared" si="232"/>
        <v>936158</v>
      </c>
      <c r="P860" s="113">
        <f t="shared" si="232"/>
        <v>0</v>
      </c>
      <c r="Q860" s="106" t="s">
        <v>40</v>
      </c>
      <c r="R860" s="106" t="s">
        <v>40</v>
      </c>
      <c r="S860" s="326">
        <v>43465</v>
      </c>
    </row>
    <row r="861" spans="1:34" s="42" customFormat="1" ht="16.5" customHeight="1">
      <c r="A861" s="107">
        <f>A859+1</f>
        <v>15</v>
      </c>
      <c r="B861" s="140" t="s">
        <v>407</v>
      </c>
      <c r="C861" s="132">
        <v>1986</v>
      </c>
      <c r="D861" s="132"/>
      <c r="E861" s="109" t="s">
        <v>222</v>
      </c>
      <c r="F861" s="131">
        <v>3</v>
      </c>
      <c r="G861" s="132">
        <v>3</v>
      </c>
      <c r="H861" s="152">
        <v>1529</v>
      </c>
      <c r="I861" s="153">
        <v>1345.2</v>
      </c>
      <c r="J861" s="153">
        <v>1345.2</v>
      </c>
      <c r="K861" s="143">
        <v>60</v>
      </c>
      <c r="L861" s="113">
        <f>O861+N861</f>
        <v>1168079</v>
      </c>
      <c r="M861" s="113">
        <v>0</v>
      </c>
      <c r="N861" s="113">
        <v>700000</v>
      </c>
      <c r="O861" s="113">
        <v>468079</v>
      </c>
      <c r="P861" s="113">
        <v>0</v>
      </c>
      <c r="Q861" s="144">
        <f>L861/I861</f>
        <v>868.33110318168303</v>
      </c>
      <c r="R861" s="114">
        <v>6774</v>
      </c>
      <c r="S861" s="326">
        <v>43465</v>
      </c>
    </row>
    <row r="862" spans="1:34" s="42" customFormat="1" ht="18" customHeight="1">
      <c r="A862" s="107">
        <f>A861+1</f>
        <v>16</v>
      </c>
      <c r="B862" s="140" t="s">
        <v>408</v>
      </c>
      <c r="C862" s="132">
        <v>1986</v>
      </c>
      <c r="D862" s="132"/>
      <c r="E862" s="109" t="s">
        <v>222</v>
      </c>
      <c r="F862" s="131">
        <v>3</v>
      </c>
      <c r="G862" s="132">
        <v>3</v>
      </c>
      <c r="H862" s="152">
        <v>1529</v>
      </c>
      <c r="I862" s="153">
        <v>1363.5</v>
      </c>
      <c r="J862" s="153">
        <v>1240.7</v>
      </c>
      <c r="K862" s="143">
        <v>58</v>
      </c>
      <c r="L862" s="113">
        <f>O862+N862</f>
        <v>1168079</v>
      </c>
      <c r="M862" s="113">
        <v>0</v>
      </c>
      <c r="N862" s="113">
        <v>700000</v>
      </c>
      <c r="O862" s="113">
        <v>468079</v>
      </c>
      <c r="P862" s="113">
        <v>0</v>
      </c>
      <c r="Q862" s="144">
        <f>L862/I862</f>
        <v>856.67693436010268</v>
      </c>
      <c r="R862" s="114">
        <v>6774</v>
      </c>
      <c r="S862" s="326">
        <v>43465</v>
      </c>
    </row>
    <row r="863" spans="1:34" s="1" customFormat="1" ht="15.75">
      <c r="A863" s="107"/>
      <c r="B863" s="1292" t="s">
        <v>44</v>
      </c>
      <c r="C863" s="1292"/>
      <c r="D863" s="1292"/>
      <c r="E863" s="1292"/>
      <c r="F863" s="1292"/>
      <c r="G863" s="1292"/>
      <c r="H863" s="128">
        <f>H864</f>
        <v>520.9</v>
      </c>
      <c r="I863" s="106">
        <f t="shared" ref="I863:P864" si="233">I864</f>
        <v>520.9</v>
      </c>
      <c r="J863" s="106">
        <f t="shared" si="233"/>
        <v>295.10000000000002</v>
      </c>
      <c r="K863" s="119">
        <f t="shared" si="233"/>
        <v>25</v>
      </c>
      <c r="L863" s="113">
        <f>L864</f>
        <v>922687</v>
      </c>
      <c r="M863" s="113">
        <f t="shared" si="233"/>
        <v>0</v>
      </c>
      <c r="N863" s="113">
        <f t="shared" si="233"/>
        <v>0</v>
      </c>
      <c r="O863" s="113">
        <f t="shared" si="233"/>
        <v>922687</v>
      </c>
      <c r="P863" s="113">
        <f t="shared" si="233"/>
        <v>0</v>
      </c>
      <c r="Q863" s="106" t="s">
        <v>40</v>
      </c>
      <c r="R863" s="114" t="s">
        <v>40</v>
      </c>
      <c r="S863" s="326">
        <v>43465</v>
      </c>
    </row>
    <row r="864" spans="1:34" s="1" customFormat="1" ht="15.75" customHeight="1">
      <c r="A864" s="107"/>
      <c r="B864" s="1294" t="s">
        <v>435</v>
      </c>
      <c r="C864" s="1294"/>
      <c r="D864" s="1294"/>
      <c r="E864" s="1294"/>
      <c r="F864" s="1294"/>
      <c r="G864" s="1294"/>
      <c r="H864" s="128">
        <f>H865</f>
        <v>520.9</v>
      </c>
      <c r="I864" s="128">
        <f t="shared" si="233"/>
        <v>520.9</v>
      </c>
      <c r="J864" s="128">
        <f t="shared" si="233"/>
        <v>295.10000000000002</v>
      </c>
      <c r="K864" s="128">
        <f t="shared" si="233"/>
        <v>25</v>
      </c>
      <c r="L864" s="565">
        <f t="shared" si="233"/>
        <v>922687</v>
      </c>
      <c r="M864" s="565">
        <f t="shared" si="233"/>
        <v>0</v>
      </c>
      <c r="N864" s="565">
        <f t="shared" si="233"/>
        <v>0</v>
      </c>
      <c r="O864" s="565">
        <f t="shared" si="233"/>
        <v>922687</v>
      </c>
      <c r="P864" s="565">
        <f t="shared" si="233"/>
        <v>0</v>
      </c>
      <c r="Q864" s="106" t="s">
        <v>40</v>
      </c>
      <c r="R864" s="106" t="s">
        <v>40</v>
      </c>
      <c r="S864" s="326">
        <v>43465</v>
      </c>
    </row>
    <row r="865" spans="1:19" s="1" customFormat="1" ht="31.5">
      <c r="A865" s="318"/>
      <c r="B865" s="336" t="s">
        <v>767</v>
      </c>
      <c r="C865" s="318">
        <v>1972</v>
      </c>
      <c r="D865" s="320"/>
      <c r="E865" s="321" t="s">
        <v>218</v>
      </c>
      <c r="F865" s="320">
        <v>2</v>
      </c>
      <c r="G865" s="320">
        <v>2</v>
      </c>
      <c r="H865" s="322">
        <v>520.9</v>
      </c>
      <c r="I865" s="320">
        <v>520.9</v>
      </c>
      <c r="J865" s="320">
        <v>295.10000000000002</v>
      </c>
      <c r="K865" s="323">
        <v>25</v>
      </c>
      <c r="L865" s="324">
        <v>922687</v>
      </c>
      <c r="M865" s="324">
        <v>0</v>
      </c>
      <c r="N865" s="324">
        <v>0</v>
      </c>
      <c r="O865" s="324">
        <v>922687</v>
      </c>
      <c r="P865" s="324">
        <v>0</v>
      </c>
      <c r="Q865" s="663">
        <f>L865/I865</f>
        <v>1771.3323094643886</v>
      </c>
      <c r="R865" s="325">
        <v>7920</v>
      </c>
      <c r="S865" s="326">
        <v>43465</v>
      </c>
    </row>
    <row r="866" spans="1:19" s="1" customFormat="1" ht="15.75">
      <c r="A866" s="318"/>
      <c r="B866" s="336"/>
      <c r="C866" s="320"/>
      <c r="D866" s="320"/>
      <c r="E866" s="321"/>
      <c r="F866" s="320"/>
      <c r="G866" s="320"/>
      <c r="H866" s="322"/>
      <c r="I866" s="320"/>
      <c r="J866" s="320"/>
      <c r="K866" s="323"/>
      <c r="L866" s="324"/>
      <c r="M866" s="324"/>
      <c r="N866" s="324"/>
      <c r="O866" s="324"/>
      <c r="P866" s="324"/>
      <c r="Q866" s="325"/>
      <c r="R866" s="325"/>
      <c r="S866" s="326">
        <v>43465</v>
      </c>
    </row>
    <row r="867" spans="1:19" s="1" customFormat="1" ht="22.9" customHeight="1">
      <c r="A867" s="107"/>
      <c r="B867" s="1292" t="s">
        <v>45</v>
      </c>
      <c r="C867" s="1292"/>
      <c r="D867" s="1292"/>
      <c r="E867" s="1292"/>
      <c r="F867" s="1292"/>
      <c r="G867" s="1292"/>
      <c r="H867" s="128">
        <f>H868+H872+H874+H876+H878+H880</f>
        <v>7577.5</v>
      </c>
      <c r="I867" s="128">
        <f t="shared" ref="I867:P867" si="234">I868+I872+I874+I876+I878+I880</f>
        <v>6511.2799999999988</v>
      </c>
      <c r="J867" s="128">
        <f t="shared" si="234"/>
        <v>5997.3799999999992</v>
      </c>
      <c r="K867" s="128">
        <f t="shared" si="234"/>
        <v>291</v>
      </c>
      <c r="L867" s="565">
        <f t="shared" si="234"/>
        <v>8577331</v>
      </c>
      <c r="M867" s="565">
        <f t="shared" si="234"/>
        <v>0</v>
      </c>
      <c r="N867" s="565">
        <f t="shared" si="234"/>
        <v>0</v>
      </c>
      <c r="O867" s="565">
        <f t="shared" si="234"/>
        <v>8577331</v>
      </c>
      <c r="P867" s="565">
        <f t="shared" si="234"/>
        <v>0</v>
      </c>
      <c r="Q867" s="106" t="s">
        <v>40</v>
      </c>
      <c r="R867" s="114" t="s">
        <v>40</v>
      </c>
      <c r="S867" s="326">
        <v>43465</v>
      </c>
    </row>
    <row r="868" spans="1:19" s="1" customFormat="1" ht="15.75">
      <c r="A868" s="318"/>
      <c r="B868" s="1346" t="s">
        <v>98</v>
      </c>
      <c r="C868" s="1346"/>
      <c r="D868" s="1346"/>
      <c r="E868" s="1346"/>
      <c r="F868" s="1346"/>
      <c r="G868" s="1346"/>
      <c r="H868" s="341">
        <f t="shared" ref="H868:P868" si="235">SUM(H869:H871)</f>
        <v>1910.1999999999998</v>
      </c>
      <c r="I868" s="341">
        <f t="shared" si="235"/>
        <v>1758.1799999999998</v>
      </c>
      <c r="J868" s="341">
        <f t="shared" si="235"/>
        <v>1545.98</v>
      </c>
      <c r="K868" s="343">
        <f t="shared" si="235"/>
        <v>85</v>
      </c>
      <c r="L868" s="324">
        <f t="shared" si="235"/>
        <v>3345596</v>
      </c>
      <c r="M868" s="324">
        <f t="shared" si="235"/>
        <v>0</v>
      </c>
      <c r="N868" s="324">
        <f t="shared" si="235"/>
        <v>0</v>
      </c>
      <c r="O868" s="324">
        <f t="shared" si="235"/>
        <v>3345596</v>
      </c>
      <c r="P868" s="324">
        <f t="shared" si="235"/>
        <v>0</v>
      </c>
      <c r="Q868" s="344" t="s">
        <v>40</v>
      </c>
      <c r="R868" s="344" t="s">
        <v>40</v>
      </c>
      <c r="S868" s="326">
        <v>43465</v>
      </c>
    </row>
    <row r="869" spans="1:19" s="1" customFormat="1" ht="15.75">
      <c r="A869" s="318">
        <f>A866+1</f>
        <v>1</v>
      </c>
      <c r="B869" s="591" t="s">
        <v>795</v>
      </c>
      <c r="C869" s="318">
        <v>1940</v>
      </c>
      <c r="D869" s="320"/>
      <c r="E869" s="321" t="s">
        <v>221</v>
      </c>
      <c r="F869" s="592">
        <v>2</v>
      </c>
      <c r="G869" s="592">
        <v>2</v>
      </c>
      <c r="H869" s="587">
        <v>549.29999999999995</v>
      </c>
      <c r="I869" s="588">
        <v>502.9</v>
      </c>
      <c r="J869" s="589">
        <v>334.4</v>
      </c>
      <c r="K869" s="590">
        <v>23</v>
      </c>
      <c r="L869" s="324">
        <v>1012287</v>
      </c>
      <c r="M869" s="324">
        <v>0</v>
      </c>
      <c r="N869" s="324">
        <v>0</v>
      </c>
      <c r="O869" s="324">
        <v>1012287</v>
      </c>
      <c r="P869" s="324">
        <f>SUM(P876:P876)</f>
        <v>0</v>
      </c>
      <c r="Q869" s="325">
        <f>L869/I869</f>
        <v>2012.8991847285743</v>
      </c>
      <c r="R869" s="325">
        <v>7920</v>
      </c>
      <c r="S869" s="326">
        <v>43465</v>
      </c>
    </row>
    <row r="870" spans="1:19" s="1" customFormat="1" ht="15.75">
      <c r="A870" s="318">
        <f>A869+1</f>
        <v>2</v>
      </c>
      <c r="B870" s="591" t="s">
        <v>796</v>
      </c>
      <c r="C870" s="318"/>
      <c r="D870" s="320"/>
      <c r="E870" s="321" t="s">
        <v>221</v>
      </c>
      <c r="F870" s="592">
        <v>2</v>
      </c>
      <c r="G870" s="592">
        <v>2</v>
      </c>
      <c r="H870" s="587">
        <v>366.9</v>
      </c>
      <c r="I870" s="588">
        <v>345.7</v>
      </c>
      <c r="J870" s="589">
        <v>302</v>
      </c>
      <c r="K870" s="590">
        <v>18</v>
      </c>
      <c r="L870" s="324">
        <v>710003</v>
      </c>
      <c r="M870" s="324">
        <v>0</v>
      </c>
      <c r="N870" s="324">
        <v>0</v>
      </c>
      <c r="O870" s="324">
        <f>L870</f>
        <v>710003</v>
      </c>
      <c r="P870" s="324">
        <f>SUM(P871:P874)</f>
        <v>0</v>
      </c>
      <c r="Q870" s="325">
        <f>L870/I870</f>
        <v>2053.8125542377784</v>
      </c>
      <c r="R870" s="325">
        <v>7920</v>
      </c>
      <c r="S870" s="326">
        <v>43465</v>
      </c>
    </row>
    <row r="871" spans="1:19" s="1" customFormat="1" ht="31.5">
      <c r="A871" s="318">
        <f>A870+1</f>
        <v>3</v>
      </c>
      <c r="B871" s="591" t="s">
        <v>797</v>
      </c>
      <c r="C871" s="318">
        <v>1974</v>
      </c>
      <c r="D871" s="320"/>
      <c r="E871" s="321" t="s">
        <v>218</v>
      </c>
      <c r="F871" s="592">
        <v>2</v>
      </c>
      <c r="G871" s="592">
        <v>3</v>
      </c>
      <c r="H871" s="587">
        <v>994</v>
      </c>
      <c r="I871" s="588">
        <v>909.58</v>
      </c>
      <c r="J871" s="589">
        <v>909.58</v>
      </c>
      <c r="K871" s="590">
        <v>44</v>
      </c>
      <c r="L871" s="324">
        <v>1623306</v>
      </c>
      <c r="M871" s="324">
        <v>0</v>
      </c>
      <c r="N871" s="324">
        <v>0</v>
      </c>
      <c r="O871" s="324">
        <f>L871</f>
        <v>1623306</v>
      </c>
      <c r="P871" s="324">
        <f>SUM(P874:P879)</f>
        <v>0</v>
      </c>
      <c r="Q871" s="325">
        <f>L871/I871</f>
        <v>1784.6764440730885</v>
      </c>
      <c r="R871" s="325">
        <v>7920</v>
      </c>
      <c r="S871" s="326">
        <v>43465</v>
      </c>
    </row>
    <row r="872" spans="1:19" s="1" customFormat="1" ht="24.6" customHeight="1">
      <c r="A872" s="318"/>
      <c r="B872" s="1346" t="s">
        <v>688</v>
      </c>
      <c r="C872" s="1346"/>
      <c r="D872" s="1346"/>
      <c r="E872" s="1346"/>
      <c r="F872" s="1346"/>
      <c r="G872" s="1346"/>
      <c r="H872" s="587">
        <f>H873</f>
        <v>484.1</v>
      </c>
      <c r="I872" s="587">
        <f t="shared" ref="I872:P872" si="236">I873</f>
        <v>484.1</v>
      </c>
      <c r="J872" s="587">
        <f t="shared" si="236"/>
        <v>307.8</v>
      </c>
      <c r="K872" s="587">
        <f t="shared" si="236"/>
        <v>31</v>
      </c>
      <c r="L872" s="948">
        <f t="shared" si="236"/>
        <v>908962</v>
      </c>
      <c r="M872" s="948">
        <f t="shared" si="236"/>
        <v>0</v>
      </c>
      <c r="N872" s="948">
        <f t="shared" si="236"/>
        <v>0</v>
      </c>
      <c r="O872" s="948">
        <f t="shared" si="236"/>
        <v>908962</v>
      </c>
      <c r="P872" s="948">
        <f t="shared" si="236"/>
        <v>0</v>
      </c>
      <c r="Q872" s="344" t="s">
        <v>40</v>
      </c>
      <c r="R872" s="325" t="s">
        <v>40</v>
      </c>
      <c r="S872" s="326">
        <v>43465</v>
      </c>
    </row>
    <row r="873" spans="1:19" s="1" customFormat="1" ht="31.5">
      <c r="A873" s="318"/>
      <c r="B873" s="591" t="s">
        <v>690</v>
      </c>
      <c r="C873" s="318">
        <v>1960</v>
      </c>
      <c r="D873" s="320"/>
      <c r="E873" s="321" t="s">
        <v>218</v>
      </c>
      <c r="F873" s="592">
        <v>2</v>
      </c>
      <c r="G873" s="592">
        <v>3</v>
      </c>
      <c r="H873" s="587">
        <v>484.1</v>
      </c>
      <c r="I873" s="588">
        <v>484.1</v>
      </c>
      <c r="J873" s="589">
        <v>307.8</v>
      </c>
      <c r="K873" s="590">
        <v>31</v>
      </c>
      <c r="L873" s="324">
        <v>908962</v>
      </c>
      <c r="M873" s="324">
        <v>0</v>
      </c>
      <c r="N873" s="324">
        <v>0</v>
      </c>
      <c r="O873" s="324">
        <v>908962</v>
      </c>
      <c r="P873" s="324">
        <v>0</v>
      </c>
      <c r="Q873" s="325">
        <f t="shared" ref="Q873" si="237">L873/I873</f>
        <v>1877.6327205122907</v>
      </c>
      <c r="R873" s="325">
        <v>7920</v>
      </c>
      <c r="S873" s="326">
        <v>43465</v>
      </c>
    </row>
    <row r="874" spans="1:19" s="1" customFormat="1" ht="28.15" customHeight="1">
      <c r="A874" s="318"/>
      <c r="B874" s="1346" t="s">
        <v>99</v>
      </c>
      <c r="C874" s="1346"/>
      <c r="D874" s="1346"/>
      <c r="E874" s="1346"/>
      <c r="F874" s="1346"/>
      <c r="G874" s="1346"/>
      <c r="H874" s="341">
        <f>H875</f>
        <v>386.6</v>
      </c>
      <c r="I874" s="341">
        <f t="shared" ref="I874:P874" si="238">I875</f>
        <v>364.6</v>
      </c>
      <c r="J874" s="341">
        <f t="shared" si="238"/>
        <v>324.3</v>
      </c>
      <c r="K874" s="341">
        <f t="shared" si="238"/>
        <v>19</v>
      </c>
      <c r="L874" s="675">
        <f t="shared" si="238"/>
        <v>655569</v>
      </c>
      <c r="M874" s="675">
        <f t="shared" si="238"/>
        <v>0</v>
      </c>
      <c r="N874" s="675">
        <f t="shared" si="238"/>
        <v>0</v>
      </c>
      <c r="O874" s="675">
        <f t="shared" si="238"/>
        <v>655569</v>
      </c>
      <c r="P874" s="675">
        <f t="shared" si="238"/>
        <v>0</v>
      </c>
      <c r="Q874" s="344" t="s">
        <v>40</v>
      </c>
      <c r="R874" s="344" t="s">
        <v>40</v>
      </c>
      <c r="S874" s="326">
        <v>43465</v>
      </c>
    </row>
    <row r="875" spans="1:19" s="20" customFormat="1" ht="31.5">
      <c r="A875" s="318">
        <f>A871+1</f>
        <v>4</v>
      </c>
      <c r="B875" s="706" t="s">
        <v>800</v>
      </c>
      <c r="C875" s="375">
        <v>1955</v>
      </c>
      <c r="D875" s="375"/>
      <c r="E875" s="321" t="s">
        <v>218</v>
      </c>
      <c r="F875" s="375">
        <v>2</v>
      </c>
      <c r="G875" s="375">
        <v>2</v>
      </c>
      <c r="H875" s="694">
        <v>386.6</v>
      </c>
      <c r="I875" s="712">
        <v>364.6</v>
      </c>
      <c r="J875" s="712">
        <v>324.3</v>
      </c>
      <c r="K875" s="378">
        <v>19</v>
      </c>
      <c r="L875" s="324">
        <v>655569</v>
      </c>
      <c r="M875" s="324">
        <v>0</v>
      </c>
      <c r="N875" s="324">
        <v>0</v>
      </c>
      <c r="O875" s="324">
        <f>L875</f>
        <v>655569</v>
      </c>
      <c r="P875" s="324">
        <v>0</v>
      </c>
      <c r="Q875" s="379">
        <f>L875/I875</f>
        <v>1798.049917718047</v>
      </c>
      <c r="R875" s="325">
        <v>7920</v>
      </c>
      <c r="S875" s="326">
        <v>43465</v>
      </c>
    </row>
    <row r="876" spans="1:19" s="1" customFormat="1" ht="15.75" customHeight="1">
      <c r="A876" s="318"/>
      <c r="B876" s="1347" t="s">
        <v>100</v>
      </c>
      <c r="C876" s="1347"/>
      <c r="D876" s="1347"/>
      <c r="E876" s="1347"/>
      <c r="F876" s="1347"/>
      <c r="G876" s="1347"/>
      <c r="H876" s="587">
        <f>H877</f>
        <v>3324.5</v>
      </c>
      <c r="I876" s="418">
        <f t="shared" ref="I876:P876" si="239">I877</f>
        <v>3031.5</v>
      </c>
      <c r="J876" s="418">
        <f t="shared" si="239"/>
        <v>2946.4</v>
      </c>
      <c r="K876" s="596">
        <f t="shared" si="239"/>
        <v>127</v>
      </c>
      <c r="L876" s="324">
        <f t="shared" si="239"/>
        <v>2020412</v>
      </c>
      <c r="M876" s="324">
        <f t="shared" si="239"/>
        <v>0</v>
      </c>
      <c r="N876" s="324">
        <f>N877</f>
        <v>0</v>
      </c>
      <c r="O876" s="324">
        <f t="shared" si="239"/>
        <v>2020412</v>
      </c>
      <c r="P876" s="324">
        <f t="shared" si="239"/>
        <v>0</v>
      </c>
      <c r="Q876" s="325" t="s">
        <v>40</v>
      </c>
      <c r="R876" s="325" t="s">
        <v>40</v>
      </c>
      <c r="S876" s="326">
        <v>43465</v>
      </c>
    </row>
    <row r="877" spans="1:19" s="1" customFormat="1" ht="31.5">
      <c r="A877" s="318" t="e">
        <f>#REF!+1</f>
        <v>#REF!</v>
      </c>
      <c r="B877" s="591" t="s">
        <v>694</v>
      </c>
      <c r="C877" s="318">
        <v>1983</v>
      </c>
      <c r="D877" s="320"/>
      <c r="E877" s="321" t="s">
        <v>219</v>
      </c>
      <c r="F877" s="320">
        <v>5</v>
      </c>
      <c r="G877" s="320">
        <v>4</v>
      </c>
      <c r="H877" s="587">
        <v>3324.5</v>
      </c>
      <c r="I877" s="588">
        <v>3031.5</v>
      </c>
      <c r="J877" s="589">
        <v>2946.4</v>
      </c>
      <c r="K877" s="590">
        <v>127</v>
      </c>
      <c r="L877" s="324">
        <v>2020412</v>
      </c>
      <c r="M877" s="324">
        <v>0</v>
      </c>
      <c r="N877" s="324">
        <v>0</v>
      </c>
      <c r="O877" s="324">
        <v>2020412</v>
      </c>
      <c r="P877" s="324">
        <v>0</v>
      </c>
      <c r="Q877" s="325">
        <f>L877/I877</f>
        <v>666.4727032822035</v>
      </c>
      <c r="R877" s="325">
        <v>7920</v>
      </c>
      <c r="S877" s="326">
        <v>43465</v>
      </c>
    </row>
    <row r="878" spans="1:19" s="1" customFormat="1" ht="15.75" customHeight="1">
      <c r="A878" s="321"/>
      <c r="B878" s="1348" t="s">
        <v>101</v>
      </c>
      <c r="C878" s="1348"/>
      <c r="D878" s="1348"/>
      <c r="E878" s="1348"/>
      <c r="F878" s="1348"/>
      <c r="G878" s="1348"/>
      <c r="H878" s="587">
        <f>H879</f>
        <v>1472.1</v>
      </c>
      <c r="I878" s="587">
        <f t="shared" ref="I878:P878" si="240">I879</f>
        <v>872.9</v>
      </c>
      <c r="J878" s="587">
        <f t="shared" si="240"/>
        <v>872.9</v>
      </c>
      <c r="K878" s="587">
        <f t="shared" si="240"/>
        <v>29</v>
      </c>
      <c r="L878" s="948">
        <f t="shared" si="240"/>
        <v>1646792</v>
      </c>
      <c r="M878" s="948">
        <f t="shared" si="240"/>
        <v>0</v>
      </c>
      <c r="N878" s="948">
        <f t="shared" si="240"/>
        <v>0</v>
      </c>
      <c r="O878" s="948">
        <f t="shared" si="240"/>
        <v>1646792</v>
      </c>
      <c r="P878" s="948">
        <f t="shared" si="240"/>
        <v>0</v>
      </c>
      <c r="Q878" s="418" t="s">
        <v>40</v>
      </c>
      <c r="R878" s="418" t="s">
        <v>40</v>
      </c>
      <c r="S878" s="326">
        <v>43465</v>
      </c>
    </row>
    <row r="879" spans="1:19" s="20" customFormat="1" ht="31.5">
      <c r="A879" s="321" t="e">
        <f>A877+1</f>
        <v>#REF!</v>
      </c>
      <c r="B879" s="843" t="s">
        <v>924</v>
      </c>
      <c r="C879" s="321">
        <v>1984</v>
      </c>
      <c r="D879" s="321"/>
      <c r="E879" s="321" t="s">
        <v>218</v>
      </c>
      <c r="F879" s="321">
        <v>2</v>
      </c>
      <c r="G879" s="321">
        <v>2</v>
      </c>
      <c r="H879" s="879">
        <v>1472.1</v>
      </c>
      <c r="I879" s="588">
        <v>872.9</v>
      </c>
      <c r="J879" s="588">
        <v>872.9</v>
      </c>
      <c r="K879" s="420">
        <v>29</v>
      </c>
      <c r="L879" s="324">
        <v>1646792</v>
      </c>
      <c r="M879" s="324">
        <v>0</v>
      </c>
      <c r="N879" s="324">
        <v>0</v>
      </c>
      <c r="O879" s="324">
        <f>L879</f>
        <v>1646792</v>
      </c>
      <c r="P879" s="324">
        <v>0</v>
      </c>
      <c r="Q879" s="588">
        <f>L879/I879</f>
        <v>1886.5757818765037</v>
      </c>
      <c r="R879" s="418">
        <v>7920</v>
      </c>
      <c r="S879" s="326">
        <v>43465</v>
      </c>
    </row>
    <row r="880" spans="1:19" s="20" customFormat="1" ht="15.75" customHeight="1">
      <c r="A880" s="318"/>
      <c r="B880" s="1349" t="s">
        <v>126</v>
      </c>
      <c r="C880" s="1349"/>
      <c r="D880" s="1349"/>
      <c r="E880" s="1349"/>
      <c r="F880" s="1349"/>
      <c r="G880" s="1349"/>
      <c r="H880" s="694">
        <f>H881</f>
        <v>0</v>
      </c>
      <c r="I880" s="375">
        <f t="shared" ref="I880:P880" si="241">I881</f>
        <v>0</v>
      </c>
      <c r="J880" s="375">
        <f t="shared" si="241"/>
        <v>0</v>
      </c>
      <c r="K880" s="378">
        <f t="shared" si="241"/>
        <v>0</v>
      </c>
      <c r="L880" s="324">
        <f t="shared" si="241"/>
        <v>0</v>
      </c>
      <c r="M880" s="324">
        <f t="shared" si="241"/>
        <v>0</v>
      </c>
      <c r="N880" s="324">
        <f t="shared" si="241"/>
        <v>0</v>
      </c>
      <c r="O880" s="324">
        <f t="shared" si="241"/>
        <v>0</v>
      </c>
      <c r="P880" s="324">
        <f t="shared" si="241"/>
        <v>0</v>
      </c>
      <c r="Q880" s="379" t="s">
        <v>40</v>
      </c>
      <c r="R880" s="375" t="s">
        <v>40</v>
      </c>
      <c r="S880" s="326">
        <v>43465</v>
      </c>
    </row>
    <row r="881" spans="1:19" s="1" customFormat="1" ht="15.75">
      <c r="A881" s="318"/>
      <c r="B881" s="618"/>
      <c r="C881" s="318"/>
      <c r="D881" s="318"/>
      <c r="E881" s="321"/>
      <c r="F881" s="318"/>
      <c r="G881" s="318"/>
      <c r="H881" s="760"/>
      <c r="I881" s="318"/>
      <c r="J881" s="318"/>
      <c r="K881" s="590"/>
      <c r="L881" s="324"/>
      <c r="M881" s="324"/>
      <c r="N881" s="324"/>
      <c r="O881" s="324"/>
      <c r="P881" s="324"/>
      <c r="Q881" s="379"/>
      <c r="R881" s="325"/>
      <c r="S881" s="326"/>
    </row>
    <row r="882" spans="1:19" s="1" customFormat="1" ht="15.75">
      <c r="A882" s="107"/>
      <c r="B882" s="1292" t="s">
        <v>46</v>
      </c>
      <c r="C882" s="1292"/>
      <c r="D882" s="1292"/>
      <c r="E882" s="1292"/>
      <c r="F882" s="1292"/>
      <c r="G882" s="1292"/>
      <c r="H882" s="128">
        <f>H883</f>
        <v>459.1</v>
      </c>
      <c r="I882" s="106">
        <f t="shared" ref="I882:P882" si="242">I883</f>
        <v>410.7</v>
      </c>
      <c r="J882" s="106">
        <f t="shared" si="242"/>
        <v>353.4</v>
      </c>
      <c r="K882" s="119">
        <f t="shared" si="242"/>
        <v>18</v>
      </c>
      <c r="L882" s="113">
        <f t="shared" si="242"/>
        <v>674133</v>
      </c>
      <c r="M882" s="113">
        <f t="shared" si="242"/>
        <v>0</v>
      </c>
      <c r="N882" s="113">
        <f t="shared" si="242"/>
        <v>0</v>
      </c>
      <c r="O882" s="113">
        <f t="shared" si="242"/>
        <v>674133</v>
      </c>
      <c r="P882" s="113">
        <f t="shared" si="242"/>
        <v>0</v>
      </c>
      <c r="Q882" s="106" t="s">
        <v>40</v>
      </c>
      <c r="R882" s="106" t="s">
        <v>40</v>
      </c>
      <c r="S882" s="326">
        <v>43465</v>
      </c>
    </row>
    <row r="883" spans="1:19" s="1" customFormat="1" ht="15.75">
      <c r="A883" s="107"/>
      <c r="B883" s="1292" t="s">
        <v>102</v>
      </c>
      <c r="C883" s="1292"/>
      <c r="D883" s="1292"/>
      <c r="E883" s="1292"/>
      <c r="F883" s="1292"/>
      <c r="G883" s="1292"/>
      <c r="H883" s="128">
        <f>H884+H885</f>
        <v>459.1</v>
      </c>
      <c r="I883" s="106">
        <f t="shared" ref="I883:N883" si="243">I884+I885</f>
        <v>410.7</v>
      </c>
      <c r="J883" s="106">
        <f t="shared" si="243"/>
        <v>353.4</v>
      </c>
      <c r="K883" s="119">
        <f t="shared" si="243"/>
        <v>18</v>
      </c>
      <c r="L883" s="113">
        <f t="shared" si="243"/>
        <v>674133</v>
      </c>
      <c r="M883" s="113">
        <f t="shared" si="243"/>
        <v>0</v>
      </c>
      <c r="N883" s="113">
        <f t="shared" si="243"/>
        <v>0</v>
      </c>
      <c r="O883" s="113">
        <f>O884+O885</f>
        <v>674133</v>
      </c>
      <c r="P883" s="113">
        <f t="shared" ref="P883" si="244">P884+P885</f>
        <v>0</v>
      </c>
      <c r="Q883" s="106" t="s">
        <v>40</v>
      </c>
      <c r="R883" s="106" t="s">
        <v>40</v>
      </c>
      <c r="S883" s="326">
        <v>43465</v>
      </c>
    </row>
    <row r="884" spans="1:19" s="1" customFormat="1" ht="15.75">
      <c r="A884" s="318">
        <f>A881+1</f>
        <v>1</v>
      </c>
      <c r="B884" s="319" t="s">
        <v>484</v>
      </c>
      <c r="C884" s="320">
        <v>1958</v>
      </c>
      <c r="D884" s="359"/>
      <c r="E884" s="321" t="s">
        <v>222</v>
      </c>
      <c r="F884" s="320">
        <v>2</v>
      </c>
      <c r="G884" s="320">
        <v>2</v>
      </c>
      <c r="H884" s="322">
        <v>459.1</v>
      </c>
      <c r="I884" s="360">
        <v>410.7</v>
      </c>
      <c r="J884" s="320">
        <v>353.4</v>
      </c>
      <c r="K884" s="323">
        <v>18</v>
      </c>
      <c r="L884" s="324">
        <v>674133</v>
      </c>
      <c r="M884" s="324">
        <v>0</v>
      </c>
      <c r="N884" s="324">
        <v>0</v>
      </c>
      <c r="O884" s="324">
        <v>674133</v>
      </c>
      <c r="P884" s="324">
        <v>0</v>
      </c>
      <c r="Q884" s="325">
        <f>L884/I884</f>
        <v>1641.4243973703433</v>
      </c>
      <c r="R884" s="325">
        <v>7920</v>
      </c>
      <c r="S884" s="326">
        <v>43465</v>
      </c>
    </row>
    <row r="885" spans="1:19" s="1" customFormat="1" ht="15.75">
      <c r="A885" s="107"/>
      <c r="B885" s="301"/>
      <c r="C885" s="108"/>
      <c r="D885" s="156"/>
      <c r="E885" s="109"/>
      <c r="F885" s="108"/>
      <c r="G885" s="108"/>
      <c r="H885" s="111"/>
      <c r="I885" s="108"/>
      <c r="J885" s="108"/>
      <c r="K885" s="112"/>
      <c r="L885" s="113"/>
      <c r="M885" s="113"/>
      <c r="N885" s="113"/>
      <c r="O885" s="113"/>
      <c r="P885" s="113"/>
      <c r="Q885" s="114"/>
      <c r="R885" s="114"/>
      <c r="S885" s="326"/>
    </row>
    <row r="886" spans="1:19" s="1" customFormat="1" ht="15.75">
      <c r="A886" s="107"/>
      <c r="B886" s="1292" t="s">
        <v>47</v>
      </c>
      <c r="C886" s="1292"/>
      <c r="D886" s="1292"/>
      <c r="E886" s="1292"/>
      <c r="F886" s="1292"/>
      <c r="G886" s="1292"/>
      <c r="H886" s="128">
        <f>H887</f>
        <v>597</v>
      </c>
      <c r="I886" s="106">
        <f t="shared" ref="I886:P887" si="245">I887</f>
        <v>553.20000000000005</v>
      </c>
      <c r="J886" s="106">
        <f t="shared" si="245"/>
        <v>553.20000000000005</v>
      </c>
      <c r="K886" s="119">
        <f t="shared" si="245"/>
        <v>22</v>
      </c>
      <c r="L886" s="113">
        <f t="shared" si="245"/>
        <v>1786109</v>
      </c>
      <c r="M886" s="113">
        <f>M887</f>
        <v>0</v>
      </c>
      <c r="N886" s="113">
        <f t="shared" si="245"/>
        <v>0</v>
      </c>
      <c r="O886" s="113">
        <f t="shared" si="245"/>
        <v>1786109</v>
      </c>
      <c r="P886" s="113">
        <f t="shared" si="245"/>
        <v>0</v>
      </c>
      <c r="Q886" s="106" t="s">
        <v>40</v>
      </c>
      <c r="R886" s="114" t="s">
        <v>40</v>
      </c>
      <c r="S886" s="326">
        <v>43465</v>
      </c>
    </row>
    <row r="887" spans="1:19" s="1" customFormat="1" ht="15.75">
      <c r="A887" s="318"/>
      <c r="B887" s="1346" t="s">
        <v>103</v>
      </c>
      <c r="C887" s="1346"/>
      <c r="D887" s="1346"/>
      <c r="E887" s="1346"/>
      <c r="F887" s="1346"/>
      <c r="G887" s="1346"/>
      <c r="H887" s="341">
        <f>H888</f>
        <v>597</v>
      </c>
      <c r="I887" s="341">
        <f t="shared" si="245"/>
        <v>553.20000000000005</v>
      </c>
      <c r="J887" s="341">
        <f t="shared" si="245"/>
        <v>553.20000000000005</v>
      </c>
      <c r="K887" s="341">
        <f t="shared" si="245"/>
        <v>22</v>
      </c>
      <c r="L887" s="675">
        <f t="shared" si="245"/>
        <v>1786109</v>
      </c>
      <c r="M887" s="675">
        <f t="shared" si="245"/>
        <v>0</v>
      </c>
      <c r="N887" s="675">
        <f t="shared" si="245"/>
        <v>0</v>
      </c>
      <c r="O887" s="675">
        <f t="shared" si="245"/>
        <v>1786109</v>
      </c>
      <c r="P887" s="675">
        <f t="shared" si="245"/>
        <v>0</v>
      </c>
      <c r="Q887" s="344" t="s">
        <v>40</v>
      </c>
      <c r="R887" s="344" t="s">
        <v>40</v>
      </c>
      <c r="S887" s="326">
        <v>43465</v>
      </c>
    </row>
    <row r="888" spans="1:19" s="1" customFormat="1" ht="31.5">
      <c r="A888" s="318">
        <f>A885+1</f>
        <v>1</v>
      </c>
      <c r="B888" s="938" t="s">
        <v>878</v>
      </c>
      <c r="C888" s="554" t="s">
        <v>879</v>
      </c>
      <c r="D888" s="554"/>
      <c r="E888" s="321" t="s">
        <v>218</v>
      </c>
      <c r="F888" s="320">
        <v>2</v>
      </c>
      <c r="G888" s="320">
        <v>2</v>
      </c>
      <c r="H888" s="587">
        <v>597</v>
      </c>
      <c r="I888" s="418">
        <v>553.20000000000005</v>
      </c>
      <c r="J888" s="418">
        <v>553.20000000000005</v>
      </c>
      <c r="K888" s="323">
        <v>22</v>
      </c>
      <c r="L888" s="324">
        <v>1786109</v>
      </c>
      <c r="M888" s="324">
        <v>0</v>
      </c>
      <c r="N888" s="324">
        <v>0</v>
      </c>
      <c r="O888" s="324">
        <v>1786109</v>
      </c>
      <c r="P888" s="324">
        <v>0</v>
      </c>
      <c r="Q888" s="418">
        <f>L888/I888</f>
        <v>3228.6858279103394</v>
      </c>
      <c r="R888" s="325">
        <v>7920</v>
      </c>
      <c r="S888" s="326">
        <v>43465</v>
      </c>
    </row>
    <row r="889" spans="1:19" s="1" customFormat="1" ht="15.75">
      <c r="A889" s="107"/>
      <c r="B889" s="1292" t="s">
        <v>48</v>
      </c>
      <c r="C889" s="1292"/>
      <c r="D889" s="1292"/>
      <c r="E889" s="1292"/>
      <c r="F889" s="1292"/>
      <c r="G889" s="1292"/>
      <c r="H889" s="128">
        <f t="shared" ref="H889:P889" si="246">H890+H894</f>
        <v>1595.8000000000002</v>
      </c>
      <c r="I889" s="106">
        <f t="shared" si="246"/>
        <v>1449</v>
      </c>
      <c r="J889" s="106">
        <f t="shared" si="246"/>
        <v>1359.9</v>
      </c>
      <c r="K889" s="119">
        <f t="shared" si="246"/>
        <v>74</v>
      </c>
      <c r="L889" s="113">
        <f t="shared" si="246"/>
        <v>2857043</v>
      </c>
      <c r="M889" s="113">
        <f t="shared" si="246"/>
        <v>0</v>
      </c>
      <c r="N889" s="113">
        <f t="shared" si="246"/>
        <v>414501.02</v>
      </c>
      <c r="O889" s="113">
        <f t="shared" si="246"/>
        <v>2442541.98</v>
      </c>
      <c r="P889" s="113">
        <f t="shared" si="246"/>
        <v>0</v>
      </c>
      <c r="Q889" s="106" t="s">
        <v>40</v>
      </c>
      <c r="R889" s="114" t="s">
        <v>40</v>
      </c>
      <c r="S889" s="326">
        <v>43465</v>
      </c>
    </row>
    <row r="890" spans="1:19" s="1" customFormat="1" ht="15.75">
      <c r="A890" s="318"/>
      <c r="B890" s="1346" t="s">
        <v>107</v>
      </c>
      <c r="C890" s="1346"/>
      <c r="D890" s="1346"/>
      <c r="E890" s="1346"/>
      <c r="F890" s="1346"/>
      <c r="G890" s="1346"/>
      <c r="H890" s="341">
        <f>SUM(H891:H892)</f>
        <v>1330.3000000000002</v>
      </c>
      <c r="I890" s="341">
        <f t="shared" ref="I890:P890" si="247">SUM(I891:I892)</f>
        <v>1206.0999999999999</v>
      </c>
      <c r="J890" s="341">
        <f t="shared" si="247"/>
        <v>1117</v>
      </c>
      <c r="K890" s="341">
        <f t="shared" si="247"/>
        <v>72</v>
      </c>
      <c r="L890" s="675">
        <f t="shared" si="247"/>
        <v>2303204</v>
      </c>
      <c r="M890" s="675">
        <f t="shared" si="247"/>
        <v>0</v>
      </c>
      <c r="N890" s="675">
        <f t="shared" si="247"/>
        <v>0</v>
      </c>
      <c r="O890" s="675">
        <f t="shared" si="247"/>
        <v>2303204</v>
      </c>
      <c r="P890" s="675">
        <f t="shared" si="247"/>
        <v>0</v>
      </c>
      <c r="Q890" s="344" t="s">
        <v>40</v>
      </c>
      <c r="R890" s="344" t="s">
        <v>40</v>
      </c>
      <c r="S890" s="326">
        <v>43465</v>
      </c>
    </row>
    <row r="891" spans="1:19" s="1" customFormat="1" ht="31.5">
      <c r="A891" s="318" t="e">
        <f>#REF!+1</f>
        <v>#REF!</v>
      </c>
      <c r="B891" s="591" t="s">
        <v>772</v>
      </c>
      <c r="C891" s="671">
        <v>1968</v>
      </c>
      <c r="D891" s="671"/>
      <c r="E891" s="321" t="s">
        <v>218</v>
      </c>
      <c r="F891" s="671">
        <v>5</v>
      </c>
      <c r="G891" s="671">
        <v>4</v>
      </c>
      <c r="H891" s="672">
        <v>541.20000000000005</v>
      </c>
      <c r="I891" s="673">
        <v>476.4</v>
      </c>
      <c r="J891" s="673">
        <v>387.3</v>
      </c>
      <c r="K891" s="674">
        <v>39</v>
      </c>
      <c r="L891" s="324">
        <v>1572372</v>
      </c>
      <c r="M891" s="324">
        <v>0</v>
      </c>
      <c r="N891" s="324">
        <v>0</v>
      </c>
      <c r="O891" s="324">
        <f>L891</f>
        <v>1572372</v>
      </c>
      <c r="P891" s="324">
        <v>0</v>
      </c>
      <c r="Q891" s="344">
        <f>L891/I891</f>
        <v>3300.5289672544081</v>
      </c>
      <c r="R891" s="325">
        <v>7920</v>
      </c>
      <c r="S891" s="326">
        <v>43465</v>
      </c>
    </row>
    <row r="892" spans="1:19" s="28" customFormat="1" ht="31.5">
      <c r="A892" s="318" t="e">
        <f t="shared" si="230"/>
        <v>#REF!</v>
      </c>
      <c r="B892" s="591" t="s">
        <v>773</v>
      </c>
      <c r="C892" s="340">
        <v>1980</v>
      </c>
      <c r="D892" s="340"/>
      <c r="E892" s="321" t="s">
        <v>218</v>
      </c>
      <c r="F892" s="340">
        <v>2</v>
      </c>
      <c r="G892" s="340">
        <v>2</v>
      </c>
      <c r="H892" s="341">
        <v>789.1</v>
      </c>
      <c r="I892" s="344">
        <v>729.7</v>
      </c>
      <c r="J892" s="344">
        <v>729.7</v>
      </c>
      <c r="K892" s="343">
        <v>33</v>
      </c>
      <c r="L892" s="324">
        <v>730832</v>
      </c>
      <c r="M892" s="324">
        <v>0</v>
      </c>
      <c r="N892" s="324">
        <v>0</v>
      </c>
      <c r="O892" s="324">
        <f>L892</f>
        <v>730832</v>
      </c>
      <c r="P892" s="324">
        <v>0</v>
      </c>
      <c r="Q892" s="344">
        <f>L892/I892</f>
        <v>1001.5513224612854</v>
      </c>
      <c r="R892" s="325">
        <v>7920</v>
      </c>
      <c r="S892" s="326">
        <v>43465</v>
      </c>
    </row>
    <row r="893" spans="1:19" s="28" customFormat="1" ht="15.75">
      <c r="A893" s="107"/>
      <c r="B893" s="161"/>
      <c r="C893" s="158"/>
      <c r="D893" s="158"/>
      <c r="E893" s="109"/>
      <c r="F893" s="158"/>
      <c r="G893" s="158"/>
      <c r="H893" s="159"/>
      <c r="I893" s="157"/>
      <c r="J893" s="157"/>
      <c r="K893" s="160"/>
      <c r="L893" s="113"/>
      <c r="M893" s="113"/>
      <c r="N893" s="113"/>
      <c r="O893" s="113"/>
      <c r="P893" s="113"/>
      <c r="Q893" s="106"/>
      <c r="R893" s="114"/>
      <c r="S893" s="326"/>
    </row>
    <row r="894" spans="1:19" s="1" customFormat="1" ht="15.75" customHeight="1">
      <c r="A894" s="107"/>
      <c r="B894" s="1294" t="s">
        <v>104</v>
      </c>
      <c r="C894" s="1294"/>
      <c r="D894" s="1294"/>
      <c r="E894" s="1294"/>
      <c r="F894" s="1294"/>
      <c r="G894" s="1294"/>
      <c r="H894" s="128">
        <f>H895</f>
        <v>265.5</v>
      </c>
      <c r="I894" s="106">
        <f t="shared" ref="I894:P894" si="248">I895</f>
        <v>242.9</v>
      </c>
      <c r="J894" s="106">
        <f t="shared" si="248"/>
        <v>242.9</v>
      </c>
      <c r="K894" s="119">
        <f t="shared" si="248"/>
        <v>2</v>
      </c>
      <c r="L894" s="113">
        <f t="shared" si="248"/>
        <v>553839</v>
      </c>
      <c r="M894" s="113">
        <f t="shared" si="248"/>
        <v>0</v>
      </c>
      <c r="N894" s="113">
        <f t="shared" si="248"/>
        <v>414501.02</v>
      </c>
      <c r="O894" s="113">
        <f t="shared" si="248"/>
        <v>139337.98000000001</v>
      </c>
      <c r="P894" s="113">
        <f t="shared" si="248"/>
        <v>0</v>
      </c>
      <c r="Q894" s="106" t="s">
        <v>40</v>
      </c>
      <c r="R894" s="114" t="s">
        <v>40</v>
      </c>
      <c r="S894" s="326">
        <v>43465</v>
      </c>
    </row>
    <row r="895" spans="1:19" s="1" customFormat="1" ht="31.5">
      <c r="A895" s="107">
        <f>A893+1</f>
        <v>1</v>
      </c>
      <c r="B895" s="301" t="s">
        <v>458</v>
      </c>
      <c r="C895" s="110">
        <v>1953</v>
      </c>
      <c r="D895" s="108"/>
      <c r="E895" s="109" t="s">
        <v>218</v>
      </c>
      <c r="F895" s="108">
        <v>2</v>
      </c>
      <c r="G895" s="108">
        <v>1</v>
      </c>
      <c r="H895" s="111">
        <v>265.5</v>
      </c>
      <c r="I895" s="108">
        <v>242.9</v>
      </c>
      <c r="J895" s="108">
        <v>242.9</v>
      </c>
      <c r="K895" s="112">
        <v>2</v>
      </c>
      <c r="L895" s="113">
        <f>N895+O895</f>
        <v>553839</v>
      </c>
      <c r="M895" s="113">
        <v>0</v>
      </c>
      <c r="N895" s="113">
        <v>414501.02</v>
      </c>
      <c r="O895" s="113">
        <v>139337.98000000001</v>
      </c>
      <c r="P895" s="113">
        <v>0</v>
      </c>
      <c r="Q895" s="114">
        <f>L895/I895</f>
        <v>2280.1111568546726</v>
      </c>
      <c r="R895" s="114">
        <v>6774</v>
      </c>
      <c r="S895" s="326">
        <v>43465</v>
      </c>
    </row>
    <row r="896" spans="1:19" s="1" customFormat="1" ht="15.75">
      <c r="A896" s="107"/>
      <c r="B896" s="1350" t="s">
        <v>49</v>
      </c>
      <c r="C896" s="1350"/>
      <c r="D896" s="1350"/>
      <c r="E896" s="1350"/>
      <c r="F896" s="1350"/>
      <c r="G896" s="1350"/>
      <c r="H896" s="128">
        <f>H897+H900+H903+H905</f>
        <v>3572.5</v>
      </c>
      <c r="I896" s="128">
        <f t="shared" ref="I896:P896" si="249">I897+I900+I903+I905</f>
        <v>3050.2000000000003</v>
      </c>
      <c r="J896" s="128">
        <f t="shared" si="249"/>
        <v>3006.9</v>
      </c>
      <c r="K896" s="162">
        <f t="shared" si="249"/>
        <v>171</v>
      </c>
      <c r="L896" s="113">
        <f t="shared" si="249"/>
        <v>6285922.7999999998</v>
      </c>
      <c r="M896" s="113">
        <f t="shared" si="249"/>
        <v>0</v>
      </c>
      <c r="N896" s="113">
        <f t="shared" si="249"/>
        <v>59804</v>
      </c>
      <c r="O896" s="113">
        <f t="shared" si="249"/>
        <v>6226118.7999999998</v>
      </c>
      <c r="P896" s="113">
        <f t="shared" si="249"/>
        <v>0</v>
      </c>
      <c r="Q896" s="106" t="s">
        <v>40</v>
      </c>
      <c r="R896" s="114" t="s">
        <v>40</v>
      </c>
      <c r="S896" s="326">
        <v>43465</v>
      </c>
    </row>
    <row r="897" spans="1:34" s="1" customFormat="1" ht="15.75">
      <c r="A897" s="107"/>
      <c r="B897" s="1292" t="s">
        <v>105</v>
      </c>
      <c r="C897" s="1292"/>
      <c r="D897" s="1292"/>
      <c r="E897" s="1292"/>
      <c r="F897" s="1292"/>
      <c r="G897" s="1292"/>
      <c r="H897" s="128">
        <f>H898+H899</f>
        <v>722</v>
      </c>
      <c r="I897" s="162">
        <f t="shared" ref="I897:J897" si="250">I898+I899</f>
        <v>475.1</v>
      </c>
      <c r="J897" s="162">
        <f t="shared" si="250"/>
        <v>431.8</v>
      </c>
      <c r="K897" s="119">
        <f>K898+K899</f>
        <v>39</v>
      </c>
      <c r="L897" s="113">
        <f t="shared" ref="L897:P897" si="251">L898+L899</f>
        <v>1753559</v>
      </c>
      <c r="M897" s="113">
        <f t="shared" si="251"/>
        <v>0</v>
      </c>
      <c r="N897" s="113">
        <f t="shared" si="251"/>
        <v>0</v>
      </c>
      <c r="O897" s="113">
        <f t="shared" si="251"/>
        <v>1753559</v>
      </c>
      <c r="P897" s="113">
        <f t="shared" si="251"/>
        <v>0</v>
      </c>
      <c r="Q897" s="106" t="s">
        <v>40</v>
      </c>
      <c r="R897" s="106" t="s">
        <v>40</v>
      </c>
      <c r="S897" s="326">
        <v>43465</v>
      </c>
    </row>
    <row r="898" spans="1:34" s="1" customFormat="1" ht="31.5">
      <c r="A898" s="318">
        <f>A895+1</f>
        <v>2</v>
      </c>
      <c r="B898" s="339" t="s">
        <v>482</v>
      </c>
      <c r="C898" s="340">
        <v>1968</v>
      </c>
      <c r="D898" s="340"/>
      <c r="E898" s="321" t="s">
        <v>218</v>
      </c>
      <c r="F898" s="340">
        <v>2</v>
      </c>
      <c r="G898" s="340">
        <v>2</v>
      </c>
      <c r="H898" s="341">
        <v>722</v>
      </c>
      <c r="I898" s="342">
        <v>475.1</v>
      </c>
      <c r="J898" s="342">
        <v>431.8</v>
      </c>
      <c r="K898" s="343">
        <v>39</v>
      </c>
      <c r="L898" s="324">
        <v>1753559</v>
      </c>
      <c r="M898" s="324">
        <v>0</v>
      </c>
      <c r="N898" s="324">
        <v>0</v>
      </c>
      <c r="O898" s="324">
        <f>L898</f>
        <v>1753559</v>
      </c>
      <c r="P898" s="324">
        <v>0</v>
      </c>
      <c r="Q898" s="344">
        <f>L898/I898</f>
        <v>3690.9261208166699</v>
      </c>
      <c r="R898" s="325">
        <v>7920</v>
      </c>
      <c r="S898" s="326">
        <v>43465</v>
      </c>
    </row>
    <row r="899" spans="1:34" s="1" customFormat="1" ht="15.75">
      <c r="A899" s="107"/>
      <c r="B899" s="307"/>
      <c r="C899" s="118"/>
      <c r="D899" s="118"/>
      <c r="E899" s="109"/>
      <c r="F899" s="118"/>
      <c r="G899" s="118"/>
      <c r="H899" s="128"/>
      <c r="I899" s="106"/>
      <c r="J899" s="118"/>
      <c r="K899" s="119"/>
      <c r="L899" s="113"/>
      <c r="M899" s="113"/>
      <c r="N899" s="113"/>
      <c r="O899" s="113"/>
      <c r="P899" s="113"/>
      <c r="Q899" s="106"/>
      <c r="R899" s="114"/>
      <c r="S899" s="326"/>
    </row>
    <row r="900" spans="1:34" s="1" customFormat="1" ht="15.75" customHeight="1">
      <c r="A900" s="107"/>
      <c r="B900" s="1294" t="s">
        <v>188</v>
      </c>
      <c r="C900" s="1294"/>
      <c r="D900" s="1294"/>
      <c r="E900" s="1294"/>
      <c r="F900" s="1294"/>
      <c r="G900" s="1294"/>
      <c r="H900" s="128">
        <f>H901+H902</f>
        <v>1595.1</v>
      </c>
      <c r="I900" s="128">
        <f t="shared" ref="I900:J900" si="252">I901+I902</f>
        <v>1431.3</v>
      </c>
      <c r="J900" s="128">
        <f t="shared" si="252"/>
        <v>1431.3</v>
      </c>
      <c r="K900" s="162">
        <f>K901+K902</f>
        <v>87</v>
      </c>
      <c r="L900" s="113">
        <f t="shared" ref="L900:P900" si="253">L901+L902</f>
        <v>1905804</v>
      </c>
      <c r="M900" s="113">
        <f t="shared" si="253"/>
        <v>0</v>
      </c>
      <c r="N900" s="113">
        <f t="shared" si="253"/>
        <v>59804</v>
      </c>
      <c r="O900" s="113">
        <f t="shared" si="253"/>
        <v>1846000</v>
      </c>
      <c r="P900" s="113">
        <f t="shared" si="253"/>
        <v>0</v>
      </c>
      <c r="Q900" s="106" t="s">
        <v>40</v>
      </c>
      <c r="R900" s="114" t="s">
        <v>40</v>
      </c>
      <c r="S900" s="326">
        <v>43465</v>
      </c>
    </row>
    <row r="901" spans="1:34" s="1" customFormat="1" ht="15.75">
      <c r="A901" s="107">
        <f>A899+1</f>
        <v>1</v>
      </c>
      <c r="B901" s="300" t="s">
        <v>410</v>
      </c>
      <c r="C901" s="302">
        <v>1968</v>
      </c>
      <c r="D901" s="118"/>
      <c r="E901" s="109" t="s">
        <v>219</v>
      </c>
      <c r="F901" s="118">
        <v>2</v>
      </c>
      <c r="G901" s="118">
        <v>3</v>
      </c>
      <c r="H901" s="128">
        <v>798.1</v>
      </c>
      <c r="I901" s="106">
        <v>714.4</v>
      </c>
      <c r="J901" s="118">
        <v>714.4</v>
      </c>
      <c r="K901" s="119">
        <v>42</v>
      </c>
      <c r="L901" s="113">
        <v>958459</v>
      </c>
      <c r="M901" s="113">
        <v>0</v>
      </c>
      <c r="N901" s="113">
        <v>35459</v>
      </c>
      <c r="O901" s="113">
        <v>923000</v>
      </c>
      <c r="P901" s="113">
        <v>0</v>
      </c>
      <c r="Q901" s="106">
        <f>L901/I901</f>
        <v>1341.6279395296754</v>
      </c>
      <c r="R901" s="114">
        <v>6774</v>
      </c>
      <c r="S901" s="326">
        <v>43465</v>
      </c>
    </row>
    <row r="902" spans="1:34" s="1" customFormat="1" ht="15.75">
      <c r="A902" s="107">
        <f t="shared" si="230"/>
        <v>2</v>
      </c>
      <c r="B902" s="307" t="s">
        <v>411</v>
      </c>
      <c r="C902" s="118">
        <v>1970</v>
      </c>
      <c r="D902" s="118"/>
      <c r="E902" s="109" t="s">
        <v>219</v>
      </c>
      <c r="F902" s="118">
        <v>2</v>
      </c>
      <c r="G902" s="118">
        <v>3</v>
      </c>
      <c r="H902" s="128">
        <v>797</v>
      </c>
      <c r="I902" s="106">
        <v>716.9</v>
      </c>
      <c r="J902" s="118">
        <v>716.9</v>
      </c>
      <c r="K902" s="119">
        <v>45</v>
      </c>
      <c r="L902" s="113">
        <v>947345</v>
      </c>
      <c r="M902" s="113">
        <v>0</v>
      </c>
      <c r="N902" s="113">
        <v>24345</v>
      </c>
      <c r="O902" s="113">
        <v>923000</v>
      </c>
      <c r="P902" s="113">
        <v>0</v>
      </c>
      <c r="Q902" s="106">
        <f>L902/I902</f>
        <v>1321.4465057888131</v>
      </c>
      <c r="R902" s="114">
        <v>6774</v>
      </c>
      <c r="S902" s="326">
        <v>43465</v>
      </c>
    </row>
    <row r="903" spans="1:34" s="1" customFormat="1" ht="15.75">
      <c r="A903" s="107"/>
      <c r="B903" s="1292" t="s">
        <v>189</v>
      </c>
      <c r="C903" s="1292"/>
      <c r="D903" s="1292"/>
      <c r="E903" s="1292"/>
      <c r="F903" s="1292"/>
      <c r="G903" s="1292"/>
      <c r="H903" s="128">
        <f>H904</f>
        <v>506.9</v>
      </c>
      <c r="I903" s="128">
        <f t="shared" ref="I903:P903" si="254">I904</f>
        <v>402.3</v>
      </c>
      <c r="J903" s="128">
        <f t="shared" si="254"/>
        <v>402.3</v>
      </c>
      <c r="K903" s="162">
        <f t="shared" si="254"/>
        <v>7</v>
      </c>
      <c r="L903" s="113">
        <f t="shared" si="254"/>
        <v>820660</v>
      </c>
      <c r="M903" s="113">
        <f t="shared" si="254"/>
        <v>0</v>
      </c>
      <c r="N903" s="113">
        <f t="shared" si="254"/>
        <v>0</v>
      </c>
      <c r="O903" s="113">
        <f t="shared" si="254"/>
        <v>820660</v>
      </c>
      <c r="P903" s="113">
        <f t="shared" si="254"/>
        <v>0</v>
      </c>
      <c r="Q903" s="106" t="s">
        <v>40</v>
      </c>
      <c r="R903" s="114" t="s">
        <v>40</v>
      </c>
      <c r="S903" s="326">
        <v>43465</v>
      </c>
    </row>
    <row r="904" spans="1:34" s="1" customFormat="1" ht="31.5">
      <c r="A904" s="107">
        <f>A902+1</f>
        <v>3</v>
      </c>
      <c r="B904" s="307" t="s">
        <v>412</v>
      </c>
      <c r="C904" s="118">
        <v>1958</v>
      </c>
      <c r="D904" s="118"/>
      <c r="E904" s="109" t="s">
        <v>218</v>
      </c>
      <c r="F904" s="118">
        <v>2</v>
      </c>
      <c r="G904" s="118">
        <v>1</v>
      </c>
      <c r="H904" s="128">
        <v>506.9</v>
      </c>
      <c r="I904" s="106">
        <v>402.3</v>
      </c>
      <c r="J904" s="118">
        <v>402.3</v>
      </c>
      <c r="K904" s="119">
        <v>7</v>
      </c>
      <c r="L904" s="113">
        <v>820660</v>
      </c>
      <c r="M904" s="113">
        <v>0</v>
      </c>
      <c r="N904" s="113">
        <v>0</v>
      </c>
      <c r="O904" s="113">
        <f>L904</f>
        <v>820660</v>
      </c>
      <c r="P904" s="113">
        <v>0</v>
      </c>
      <c r="Q904" s="106">
        <f>L904/I904</f>
        <v>2039.9204573701218</v>
      </c>
      <c r="R904" s="114">
        <v>6774</v>
      </c>
      <c r="S904" s="326">
        <v>43465</v>
      </c>
    </row>
    <row r="905" spans="1:34" s="1" customFormat="1" ht="15.75">
      <c r="A905" s="107"/>
      <c r="B905" s="1292" t="s">
        <v>131</v>
      </c>
      <c r="C905" s="1292"/>
      <c r="D905" s="1292"/>
      <c r="E905" s="1292"/>
      <c r="F905" s="1292"/>
      <c r="G905" s="1292"/>
      <c r="H905" s="128">
        <f>H906</f>
        <v>748.5</v>
      </c>
      <c r="I905" s="128">
        <f t="shared" ref="I905:P905" si="255">I906</f>
        <v>741.5</v>
      </c>
      <c r="J905" s="128">
        <f t="shared" si="255"/>
        <v>741.5</v>
      </c>
      <c r="K905" s="128">
        <f t="shared" si="255"/>
        <v>38</v>
      </c>
      <c r="L905" s="366">
        <f t="shared" si="255"/>
        <v>1805899.8</v>
      </c>
      <c r="M905" s="366">
        <f t="shared" si="255"/>
        <v>0</v>
      </c>
      <c r="N905" s="366">
        <f t="shared" si="255"/>
        <v>0</v>
      </c>
      <c r="O905" s="366">
        <f t="shared" si="255"/>
        <v>1805899.8</v>
      </c>
      <c r="P905" s="366">
        <f t="shared" si="255"/>
        <v>0</v>
      </c>
      <c r="Q905" s="106" t="s">
        <v>40</v>
      </c>
      <c r="R905" s="114" t="s">
        <v>40</v>
      </c>
      <c r="S905" s="326">
        <v>43465</v>
      </c>
    </row>
    <row r="906" spans="1:34" s="61" customFormat="1">
      <c r="A906" s="107">
        <f>A904+1</f>
        <v>4</v>
      </c>
      <c r="B906" s="163" t="s">
        <v>660</v>
      </c>
      <c r="C906" s="131">
        <v>1969</v>
      </c>
      <c r="D906" s="131"/>
      <c r="E906" s="109" t="s">
        <v>661</v>
      </c>
      <c r="F906" s="131">
        <v>2</v>
      </c>
      <c r="G906" s="131">
        <v>1</v>
      </c>
      <c r="H906" s="131">
        <v>748.5</v>
      </c>
      <c r="I906" s="131">
        <v>741.5</v>
      </c>
      <c r="J906" s="131">
        <v>741.5</v>
      </c>
      <c r="K906" s="131">
        <v>38</v>
      </c>
      <c r="L906" s="113">
        <v>1805899.8</v>
      </c>
      <c r="M906" s="113">
        <v>0</v>
      </c>
      <c r="N906" s="113">
        <v>0</v>
      </c>
      <c r="O906" s="113">
        <v>1805899.8</v>
      </c>
      <c r="P906" s="113">
        <v>0</v>
      </c>
      <c r="Q906" s="124">
        <f>L906/I906</f>
        <v>2435.4683749157116</v>
      </c>
      <c r="R906" s="114">
        <v>7920</v>
      </c>
      <c r="S906" s="326">
        <v>43465</v>
      </c>
    </row>
    <row r="907" spans="1:34" s="61" customFormat="1">
      <c r="A907" s="107"/>
      <c r="B907" s="145"/>
      <c r="C907" s="164"/>
      <c r="D907" s="131"/>
      <c r="E907" s="109"/>
      <c r="F907" s="131"/>
      <c r="G907" s="131"/>
      <c r="H907" s="131"/>
      <c r="I907" s="131"/>
      <c r="J907" s="131"/>
      <c r="K907" s="131"/>
      <c r="L907" s="113"/>
      <c r="M907" s="113"/>
      <c r="N907" s="113"/>
      <c r="O907" s="113"/>
      <c r="P907" s="113"/>
      <c r="Q907" s="124"/>
      <c r="R907" s="114"/>
      <c r="S907" s="326"/>
    </row>
    <row r="908" spans="1:34" s="1" customFormat="1" ht="15.75">
      <c r="A908" s="107"/>
      <c r="B908" s="1292" t="s">
        <v>50</v>
      </c>
      <c r="C908" s="1292"/>
      <c r="D908" s="1292"/>
      <c r="E908" s="1292"/>
      <c r="F908" s="1292"/>
      <c r="G908" s="1292"/>
      <c r="H908" s="106">
        <f>H909</f>
        <v>10972.3</v>
      </c>
      <c r="I908" s="106">
        <f t="shared" ref="I908:P908" si="256">I909</f>
        <v>9982.5</v>
      </c>
      <c r="J908" s="106">
        <f t="shared" si="256"/>
        <v>8768.7999999999993</v>
      </c>
      <c r="K908" s="119">
        <f t="shared" si="256"/>
        <v>402</v>
      </c>
      <c r="L908" s="113">
        <f t="shared" si="256"/>
        <v>13535827</v>
      </c>
      <c r="M908" s="113">
        <f t="shared" si="256"/>
        <v>0</v>
      </c>
      <c r="N908" s="113">
        <f t="shared" si="256"/>
        <v>0</v>
      </c>
      <c r="O908" s="113">
        <f t="shared" si="256"/>
        <v>13535827</v>
      </c>
      <c r="P908" s="113">
        <f t="shared" si="256"/>
        <v>0</v>
      </c>
      <c r="Q908" s="106" t="s">
        <v>40</v>
      </c>
      <c r="R908" s="114" t="s">
        <v>40</v>
      </c>
      <c r="S908" s="326">
        <v>43465</v>
      </c>
    </row>
    <row r="909" spans="1:34" s="18" customFormat="1" ht="15.75">
      <c r="A909" s="107"/>
      <c r="B909" s="1292" t="s">
        <v>106</v>
      </c>
      <c r="C909" s="1292"/>
      <c r="D909" s="1292"/>
      <c r="E909" s="1292"/>
      <c r="F909" s="1292"/>
      <c r="G909" s="1292"/>
      <c r="H909" s="409">
        <f t="shared" ref="H909:P909" si="257">SUM(H910:H915)</f>
        <v>10972.3</v>
      </c>
      <c r="I909" s="409">
        <f t="shared" si="257"/>
        <v>9982.5</v>
      </c>
      <c r="J909" s="409">
        <f t="shared" si="257"/>
        <v>8768.7999999999993</v>
      </c>
      <c r="K909" s="657">
        <f t="shared" si="257"/>
        <v>402</v>
      </c>
      <c r="L909" s="113">
        <f t="shared" si="257"/>
        <v>13535827</v>
      </c>
      <c r="M909" s="113">
        <f t="shared" si="257"/>
        <v>0</v>
      </c>
      <c r="N909" s="113">
        <f t="shared" si="257"/>
        <v>0</v>
      </c>
      <c r="O909" s="113">
        <f t="shared" si="257"/>
        <v>13535827</v>
      </c>
      <c r="P909" s="113">
        <f t="shared" si="257"/>
        <v>0</v>
      </c>
      <c r="Q909" s="106" t="s">
        <v>40</v>
      </c>
      <c r="R909" s="114" t="s">
        <v>40</v>
      </c>
      <c r="S909" s="326">
        <v>43465</v>
      </c>
    </row>
    <row r="910" spans="1:34" s="66" customFormat="1" ht="31.5">
      <c r="A910" s="107">
        <f>A907+1</f>
        <v>1</v>
      </c>
      <c r="B910" s="165" t="s">
        <v>843</v>
      </c>
      <c r="C910" s="166">
        <v>1978</v>
      </c>
      <c r="D910" s="167"/>
      <c r="E910" s="109" t="s">
        <v>218</v>
      </c>
      <c r="F910" s="167">
        <v>5</v>
      </c>
      <c r="G910" s="793">
        <v>4</v>
      </c>
      <c r="H910" s="795">
        <v>3329.3</v>
      </c>
      <c r="I910" s="794">
        <v>3057.4</v>
      </c>
      <c r="J910" s="794">
        <v>2858</v>
      </c>
      <c r="K910" s="794">
        <v>111</v>
      </c>
      <c r="L910" s="655">
        <v>2331667</v>
      </c>
      <c r="M910" s="113">
        <f>SUM(M911:M915)</f>
        <v>0</v>
      </c>
      <c r="N910" s="113">
        <f>SUM(N911:N915)</f>
        <v>0</v>
      </c>
      <c r="O910" s="113">
        <f t="shared" ref="O910:O915" si="258">L910</f>
        <v>2331667</v>
      </c>
      <c r="P910" s="113">
        <f>SUM(P911:P915)</f>
        <v>0</v>
      </c>
      <c r="Q910" s="168">
        <f t="shared" ref="Q910:Q915" si="259">L910/I910</f>
        <v>762.6306665794466</v>
      </c>
      <c r="R910" s="114">
        <v>7920</v>
      </c>
      <c r="S910" s="326">
        <v>43465</v>
      </c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</row>
    <row r="911" spans="1:34" s="50" customFormat="1" ht="31.5">
      <c r="A911" s="107">
        <f>A910+1</f>
        <v>2</v>
      </c>
      <c r="B911" s="165" t="s">
        <v>847</v>
      </c>
      <c r="C911" s="166">
        <v>1975</v>
      </c>
      <c r="D911" s="167"/>
      <c r="E911" s="109" t="s">
        <v>218</v>
      </c>
      <c r="F911" s="167">
        <v>2</v>
      </c>
      <c r="G911" s="793">
        <v>2</v>
      </c>
      <c r="H911" s="795">
        <v>834.4</v>
      </c>
      <c r="I911" s="794">
        <v>769.7</v>
      </c>
      <c r="J911" s="794">
        <v>396.1</v>
      </c>
      <c r="K911" s="794">
        <v>56</v>
      </c>
      <c r="L911" s="655">
        <v>2406324</v>
      </c>
      <c r="M911" s="113">
        <f>SUM(M912:M917)</f>
        <v>0</v>
      </c>
      <c r="N911" s="113">
        <f>SUM(N912:N917)</f>
        <v>0</v>
      </c>
      <c r="O911" s="113">
        <f t="shared" si="258"/>
        <v>2406324</v>
      </c>
      <c r="P911" s="113">
        <f>SUM(P912:P917)</f>
        <v>0</v>
      </c>
      <c r="Q911" s="168">
        <f t="shared" si="259"/>
        <v>3126.3141483694944</v>
      </c>
      <c r="R911" s="114">
        <v>7920</v>
      </c>
      <c r="S911" s="326">
        <v>43465</v>
      </c>
    </row>
    <row r="912" spans="1:34" s="50" customFormat="1" ht="31.5">
      <c r="A912" s="107">
        <f t="shared" ref="A912:A944" si="260">A911+1</f>
        <v>3</v>
      </c>
      <c r="B912" s="165" t="s">
        <v>848</v>
      </c>
      <c r="C912" s="166">
        <v>1971</v>
      </c>
      <c r="D912" s="167"/>
      <c r="E912" s="109" t="s">
        <v>218</v>
      </c>
      <c r="F912" s="167">
        <v>2</v>
      </c>
      <c r="G912" s="793">
        <v>2</v>
      </c>
      <c r="H912" s="795">
        <v>575.70000000000005</v>
      </c>
      <c r="I912" s="794">
        <v>528.20000000000005</v>
      </c>
      <c r="J912" s="794">
        <v>496.5</v>
      </c>
      <c r="K912" s="794">
        <v>13</v>
      </c>
      <c r="L912" s="655">
        <v>1559913</v>
      </c>
      <c r="M912" s="113">
        <f>SUM(M913:M916)</f>
        <v>0</v>
      </c>
      <c r="N912" s="113">
        <f>SUM(N913:N916)</f>
        <v>0</v>
      </c>
      <c r="O912" s="113">
        <f t="shared" si="258"/>
        <v>1559913</v>
      </c>
      <c r="P912" s="113">
        <f>SUM(P913:P916)</f>
        <v>0</v>
      </c>
      <c r="Q912" s="168">
        <f t="shared" si="259"/>
        <v>2953.2620219613782</v>
      </c>
      <c r="R912" s="114">
        <v>7920</v>
      </c>
      <c r="S912" s="326">
        <v>43465</v>
      </c>
    </row>
    <row r="913" spans="1:19" s="50" customFormat="1" ht="31.5">
      <c r="A913" s="107">
        <f t="shared" si="260"/>
        <v>4</v>
      </c>
      <c r="B913" s="165" t="s">
        <v>849</v>
      </c>
      <c r="C913" s="166">
        <v>1961</v>
      </c>
      <c r="D913" s="167"/>
      <c r="E913" s="109" t="s">
        <v>218</v>
      </c>
      <c r="F913" s="167">
        <v>2</v>
      </c>
      <c r="G913" s="793">
        <v>2</v>
      </c>
      <c r="H913" s="795">
        <v>502.8</v>
      </c>
      <c r="I913" s="794">
        <v>459</v>
      </c>
      <c r="J913" s="794">
        <v>348</v>
      </c>
      <c r="K913" s="794">
        <v>27</v>
      </c>
      <c r="L913" s="655">
        <v>1511041</v>
      </c>
      <c r="M913" s="113">
        <f>SUM(M914:M915)</f>
        <v>0</v>
      </c>
      <c r="N913" s="113">
        <f>SUM(N914:N915)</f>
        <v>0</v>
      </c>
      <c r="O913" s="113">
        <f t="shared" si="258"/>
        <v>1511041</v>
      </c>
      <c r="P913" s="113">
        <f>SUM(P914:P915)</f>
        <v>0</v>
      </c>
      <c r="Q913" s="168">
        <f t="shared" si="259"/>
        <v>3292.0283224400873</v>
      </c>
      <c r="R913" s="114">
        <v>7920</v>
      </c>
      <c r="S913" s="326">
        <v>43465</v>
      </c>
    </row>
    <row r="914" spans="1:19" s="50" customFormat="1" ht="31.5">
      <c r="A914" s="107">
        <v>5</v>
      </c>
      <c r="B914" s="165" t="s">
        <v>851</v>
      </c>
      <c r="C914" s="166">
        <v>1961</v>
      </c>
      <c r="D914" s="167"/>
      <c r="E914" s="109" t="s">
        <v>218</v>
      </c>
      <c r="F914" s="167">
        <v>2</v>
      </c>
      <c r="G914" s="793">
        <v>1</v>
      </c>
      <c r="H914" s="795">
        <v>339.4</v>
      </c>
      <c r="I914" s="794">
        <v>305.2</v>
      </c>
      <c r="J914" s="794">
        <v>222.7</v>
      </c>
      <c r="K914" s="794">
        <v>12</v>
      </c>
      <c r="L914" s="655">
        <v>936676</v>
      </c>
      <c r="M914" s="113">
        <f>SUM(M915:M919)</f>
        <v>0</v>
      </c>
      <c r="N914" s="113">
        <f>SUM(N915:N919)</f>
        <v>0</v>
      </c>
      <c r="O914" s="113">
        <f t="shared" si="258"/>
        <v>936676</v>
      </c>
      <c r="P914" s="113">
        <f>SUM(P915:P919)</f>
        <v>0</v>
      </c>
      <c r="Q914" s="168">
        <f t="shared" si="259"/>
        <v>3069.0563564875492</v>
      </c>
      <c r="R914" s="114">
        <v>7920</v>
      </c>
      <c r="S914" s="326">
        <v>43465</v>
      </c>
    </row>
    <row r="915" spans="1:19" s="50" customFormat="1" ht="31.5">
      <c r="A915" s="107">
        <v>6</v>
      </c>
      <c r="B915" s="165" t="s">
        <v>844</v>
      </c>
      <c r="C915" s="166">
        <v>1980</v>
      </c>
      <c r="D915" s="167"/>
      <c r="E915" s="109" t="s">
        <v>218</v>
      </c>
      <c r="F915" s="167">
        <v>5</v>
      </c>
      <c r="G915" s="793">
        <v>7</v>
      </c>
      <c r="H915" s="795">
        <v>5390.7</v>
      </c>
      <c r="I915" s="794">
        <v>4863</v>
      </c>
      <c r="J915" s="794">
        <v>4447.5</v>
      </c>
      <c r="K915" s="794">
        <v>183</v>
      </c>
      <c r="L915" s="655">
        <v>4790206</v>
      </c>
      <c r="M915" s="113">
        <f>SUM(M916:M920)</f>
        <v>0</v>
      </c>
      <c r="N915" s="113">
        <f>SUM(N916:N920)</f>
        <v>0</v>
      </c>
      <c r="O915" s="113">
        <f t="shared" si="258"/>
        <v>4790206</v>
      </c>
      <c r="P915" s="113">
        <f>SUM(P916:P920)</f>
        <v>0</v>
      </c>
      <c r="Q915" s="168">
        <f t="shared" si="259"/>
        <v>985.03105079169234</v>
      </c>
      <c r="R915" s="114">
        <v>7920</v>
      </c>
      <c r="S915" s="326">
        <v>43465</v>
      </c>
    </row>
    <row r="916" spans="1:19" s="1" customFormat="1" ht="15.75">
      <c r="A916" s="107"/>
      <c r="B916" s="1292" t="s">
        <v>51</v>
      </c>
      <c r="C916" s="1292"/>
      <c r="D916" s="1292"/>
      <c r="E916" s="1292"/>
      <c r="F916" s="1292"/>
      <c r="G916" s="1292"/>
      <c r="H916" s="765">
        <f>H917</f>
        <v>8644.4000000000015</v>
      </c>
      <c r="I916" s="791">
        <f t="shared" ref="I916:P916" si="261">I917</f>
        <v>8644.4000000000015</v>
      </c>
      <c r="J916" s="791">
        <f t="shared" si="261"/>
        <v>5920.9</v>
      </c>
      <c r="K916" s="777">
        <f t="shared" si="261"/>
        <v>283</v>
      </c>
      <c r="L916" s="113">
        <f t="shared" si="261"/>
        <v>11085155</v>
      </c>
      <c r="M916" s="113">
        <f t="shared" si="261"/>
        <v>0</v>
      </c>
      <c r="N916" s="113">
        <f t="shared" si="261"/>
        <v>0</v>
      </c>
      <c r="O916" s="113">
        <f t="shared" si="261"/>
        <v>11085155</v>
      </c>
      <c r="P916" s="113">
        <f t="shared" si="261"/>
        <v>0</v>
      </c>
      <c r="Q916" s="106" t="s">
        <v>40</v>
      </c>
      <c r="R916" s="106" t="s">
        <v>40</v>
      </c>
      <c r="S916" s="326">
        <v>43465</v>
      </c>
    </row>
    <row r="917" spans="1:19" s="1" customFormat="1" ht="27" customHeight="1">
      <c r="A917" s="107"/>
      <c r="B917" s="1292" t="s">
        <v>108</v>
      </c>
      <c r="C917" s="1292"/>
      <c r="D917" s="1292"/>
      <c r="E917" s="1292"/>
      <c r="F917" s="1335"/>
      <c r="G917" s="1335"/>
      <c r="H917" s="613">
        <f t="shared" ref="H917:P917" si="262">SUM(H918:H925)</f>
        <v>8644.4000000000015</v>
      </c>
      <c r="I917" s="952">
        <f t="shared" si="262"/>
        <v>8644.4000000000015</v>
      </c>
      <c r="J917" s="952">
        <f t="shared" si="262"/>
        <v>5920.9</v>
      </c>
      <c r="K917" s="657">
        <f t="shared" si="262"/>
        <v>283</v>
      </c>
      <c r="L917" s="113">
        <f t="shared" si="262"/>
        <v>11085155</v>
      </c>
      <c r="M917" s="113">
        <f t="shared" si="262"/>
        <v>0</v>
      </c>
      <c r="N917" s="113">
        <f t="shared" si="262"/>
        <v>0</v>
      </c>
      <c r="O917" s="113">
        <f t="shared" si="262"/>
        <v>11085155</v>
      </c>
      <c r="P917" s="113">
        <f t="shared" si="262"/>
        <v>0</v>
      </c>
      <c r="Q917" s="106" t="s">
        <v>40</v>
      </c>
      <c r="R917" s="106" t="s">
        <v>40</v>
      </c>
      <c r="S917" s="326">
        <v>43465</v>
      </c>
    </row>
    <row r="918" spans="1:19" s="51" customFormat="1" ht="31.5">
      <c r="A918" s="107">
        <v>1</v>
      </c>
      <c r="B918" s="945" t="s">
        <v>1006</v>
      </c>
      <c r="C918" s="118">
        <v>1974</v>
      </c>
      <c r="D918" s="118"/>
      <c r="E918" s="611" t="s">
        <v>218</v>
      </c>
      <c r="F918" s="968">
        <v>5</v>
      </c>
      <c r="G918" s="968">
        <v>4</v>
      </c>
      <c r="H918" s="959">
        <v>3702</v>
      </c>
      <c r="I918" s="960">
        <v>3702</v>
      </c>
      <c r="J918" s="959">
        <v>3117.7</v>
      </c>
      <c r="K918" s="968">
        <v>109</v>
      </c>
      <c r="L918" s="655">
        <f>O918</f>
        <v>2338689</v>
      </c>
      <c r="M918" s="113">
        <v>0</v>
      </c>
      <c r="N918" s="113">
        <v>0</v>
      </c>
      <c r="O918" s="113">
        <v>2338689</v>
      </c>
      <c r="P918" s="113">
        <v>0</v>
      </c>
      <c r="Q918" s="170">
        <f t="shared" ref="Q918:Q928" si="263">L918/I918</f>
        <v>631.73662884927069</v>
      </c>
      <c r="R918" s="114">
        <v>7920</v>
      </c>
      <c r="S918" s="326">
        <v>43465</v>
      </c>
    </row>
    <row r="919" spans="1:19" s="51" customFormat="1" ht="31.5">
      <c r="A919" s="107">
        <f t="shared" si="260"/>
        <v>2</v>
      </c>
      <c r="B919" s="945" t="s">
        <v>1007</v>
      </c>
      <c r="C919" s="118" t="s">
        <v>190</v>
      </c>
      <c r="D919" s="118"/>
      <c r="E919" s="611" t="s">
        <v>218</v>
      </c>
      <c r="F919" s="968">
        <v>2</v>
      </c>
      <c r="G919" s="968">
        <v>2</v>
      </c>
      <c r="H919" s="959">
        <v>172.5</v>
      </c>
      <c r="I919" s="960">
        <v>172.5</v>
      </c>
      <c r="J919" s="959">
        <v>128.19999999999999</v>
      </c>
      <c r="K919" s="968">
        <v>7</v>
      </c>
      <c r="L919" s="655">
        <f t="shared" ref="L919:L925" si="264">O919</f>
        <v>533628</v>
      </c>
      <c r="M919" s="113">
        <v>0</v>
      </c>
      <c r="N919" s="113">
        <v>0</v>
      </c>
      <c r="O919" s="113">
        <v>533628</v>
      </c>
      <c r="P919" s="113">
        <v>0</v>
      </c>
      <c r="Q919" s="170">
        <f t="shared" si="263"/>
        <v>3093.4956521739132</v>
      </c>
      <c r="R919" s="114">
        <v>7920</v>
      </c>
      <c r="S919" s="326">
        <v>43465</v>
      </c>
    </row>
    <row r="920" spans="1:19" s="51" customFormat="1" ht="31.5">
      <c r="A920" s="107">
        <f t="shared" si="260"/>
        <v>3</v>
      </c>
      <c r="B920" s="945" t="s">
        <v>1008</v>
      </c>
      <c r="C920" s="118">
        <v>1938</v>
      </c>
      <c r="D920" s="118"/>
      <c r="E920" s="611" t="s">
        <v>218</v>
      </c>
      <c r="F920" s="968">
        <v>2</v>
      </c>
      <c r="G920" s="968">
        <v>2</v>
      </c>
      <c r="H920" s="959">
        <v>256.60000000000002</v>
      </c>
      <c r="I920" s="960">
        <v>256.60000000000002</v>
      </c>
      <c r="J920" s="959">
        <v>165.1</v>
      </c>
      <c r="K920" s="968">
        <v>12</v>
      </c>
      <c r="L920" s="655">
        <f t="shared" si="264"/>
        <v>966865</v>
      </c>
      <c r="M920" s="113">
        <v>0</v>
      </c>
      <c r="N920" s="113">
        <v>0</v>
      </c>
      <c r="O920" s="113">
        <v>966865</v>
      </c>
      <c r="P920" s="113">
        <v>0</v>
      </c>
      <c r="Q920" s="170">
        <f t="shared" si="263"/>
        <v>3767.9851909586901</v>
      </c>
      <c r="R920" s="114">
        <v>7920</v>
      </c>
      <c r="S920" s="326">
        <v>43465</v>
      </c>
    </row>
    <row r="921" spans="1:19" s="1" customFormat="1" ht="30.6" customHeight="1">
      <c r="A921" s="107">
        <f t="shared" si="260"/>
        <v>4</v>
      </c>
      <c r="B921" s="945" t="s">
        <v>1009</v>
      </c>
      <c r="C921" s="172">
        <v>1960</v>
      </c>
      <c r="D921" s="171"/>
      <c r="E921" s="611" t="s">
        <v>218</v>
      </c>
      <c r="F921" s="968">
        <v>2</v>
      </c>
      <c r="G921" s="968">
        <v>1</v>
      </c>
      <c r="H921" s="959">
        <v>302.2</v>
      </c>
      <c r="I921" s="960">
        <v>302.2</v>
      </c>
      <c r="J921" s="959">
        <v>205.3</v>
      </c>
      <c r="K921" s="968">
        <v>12</v>
      </c>
      <c r="L921" s="655">
        <f t="shared" si="264"/>
        <v>947700</v>
      </c>
      <c r="M921" s="113">
        <v>0</v>
      </c>
      <c r="N921" s="113">
        <v>0</v>
      </c>
      <c r="O921" s="113">
        <v>947700</v>
      </c>
      <c r="P921" s="113">
        <v>0</v>
      </c>
      <c r="Q921" s="170">
        <f t="shared" si="263"/>
        <v>3136.0026472534746</v>
      </c>
      <c r="R921" s="114">
        <v>7920</v>
      </c>
      <c r="S921" s="326">
        <v>43465</v>
      </c>
    </row>
    <row r="922" spans="1:19" s="1" customFormat="1" ht="31.5">
      <c r="A922" s="107">
        <f t="shared" si="260"/>
        <v>5</v>
      </c>
      <c r="B922" s="945" t="s">
        <v>1010</v>
      </c>
      <c r="C922" s="118">
        <v>1959</v>
      </c>
      <c r="D922" s="118"/>
      <c r="E922" s="611" t="s">
        <v>218</v>
      </c>
      <c r="F922" s="968">
        <v>2</v>
      </c>
      <c r="G922" s="968">
        <v>1</v>
      </c>
      <c r="H922" s="959">
        <v>281.60000000000002</v>
      </c>
      <c r="I922" s="960">
        <v>281.60000000000002</v>
      </c>
      <c r="J922" s="959">
        <v>198.5</v>
      </c>
      <c r="K922" s="968">
        <v>13</v>
      </c>
      <c r="L922" s="655">
        <f t="shared" si="264"/>
        <v>853104</v>
      </c>
      <c r="M922" s="113">
        <v>0</v>
      </c>
      <c r="N922" s="113">
        <v>0</v>
      </c>
      <c r="O922" s="113">
        <v>853104</v>
      </c>
      <c r="P922" s="113">
        <v>0</v>
      </c>
      <c r="Q922" s="170">
        <f t="shared" si="263"/>
        <v>3029.488636363636</v>
      </c>
      <c r="R922" s="114">
        <v>7920</v>
      </c>
      <c r="S922" s="326">
        <v>43465</v>
      </c>
    </row>
    <row r="923" spans="1:19" s="23" customFormat="1" ht="31.5">
      <c r="A923" s="107">
        <f t="shared" si="260"/>
        <v>6</v>
      </c>
      <c r="B923" s="567" t="s">
        <v>1011</v>
      </c>
      <c r="C923" s="118" t="s">
        <v>190</v>
      </c>
      <c r="D923" s="118"/>
      <c r="E923" s="611" t="s">
        <v>218</v>
      </c>
      <c r="F923" s="968">
        <v>2</v>
      </c>
      <c r="G923" s="968">
        <v>2</v>
      </c>
      <c r="H923" s="959">
        <v>245</v>
      </c>
      <c r="I923" s="960">
        <v>245</v>
      </c>
      <c r="J923" s="959">
        <v>126</v>
      </c>
      <c r="K923" s="968">
        <v>7</v>
      </c>
      <c r="L923" s="655">
        <f t="shared" si="264"/>
        <v>789420</v>
      </c>
      <c r="M923" s="113">
        <v>0</v>
      </c>
      <c r="N923" s="113">
        <v>0</v>
      </c>
      <c r="O923" s="113">
        <v>789420</v>
      </c>
      <c r="P923" s="113">
        <v>0</v>
      </c>
      <c r="Q923" s="170">
        <f t="shared" si="263"/>
        <v>3222.1224489795918</v>
      </c>
      <c r="R923" s="114">
        <v>7920</v>
      </c>
      <c r="S923" s="326">
        <v>43465</v>
      </c>
    </row>
    <row r="924" spans="1:19" s="1" customFormat="1" ht="31.5">
      <c r="A924" s="107">
        <f t="shared" si="260"/>
        <v>7</v>
      </c>
      <c r="B924" s="945" t="s">
        <v>1012</v>
      </c>
      <c r="C924" s="118">
        <v>1963</v>
      </c>
      <c r="D924" s="118"/>
      <c r="E924" s="611" t="s">
        <v>218</v>
      </c>
      <c r="F924" s="968">
        <v>4</v>
      </c>
      <c r="G924" s="968">
        <v>3</v>
      </c>
      <c r="H924" s="959">
        <v>2536</v>
      </c>
      <c r="I924" s="960">
        <v>2536</v>
      </c>
      <c r="J924" s="959">
        <v>1398</v>
      </c>
      <c r="K924" s="968">
        <v>60</v>
      </c>
      <c r="L924" s="655">
        <f t="shared" si="264"/>
        <v>3688049</v>
      </c>
      <c r="M924" s="113">
        <v>0</v>
      </c>
      <c r="N924" s="113">
        <v>0</v>
      </c>
      <c r="O924" s="113">
        <v>3688049</v>
      </c>
      <c r="P924" s="113">
        <v>0</v>
      </c>
      <c r="Q924" s="170">
        <f t="shared" si="263"/>
        <v>1454.2779968454258</v>
      </c>
      <c r="R924" s="114">
        <v>7920</v>
      </c>
      <c r="S924" s="326">
        <v>43465</v>
      </c>
    </row>
    <row r="925" spans="1:19" s="1" customFormat="1" ht="31.5">
      <c r="A925" s="107">
        <f t="shared" si="260"/>
        <v>8</v>
      </c>
      <c r="B925" s="945" t="s">
        <v>1013</v>
      </c>
      <c r="C925" s="118">
        <v>1969</v>
      </c>
      <c r="D925" s="118"/>
      <c r="E925" s="611" t="s">
        <v>218</v>
      </c>
      <c r="F925" s="968">
        <v>3</v>
      </c>
      <c r="G925" s="968">
        <v>2</v>
      </c>
      <c r="H925" s="959">
        <v>1148.5</v>
      </c>
      <c r="I925" s="960">
        <v>1148.5</v>
      </c>
      <c r="J925" s="959">
        <v>582.1</v>
      </c>
      <c r="K925" s="968">
        <v>63</v>
      </c>
      <c r="L925" s="655">
        <f t="shared" si="264"/>
        <v>967700</v>
      </c>
      <c r="M925" s="113">
        <v>0</v>
      </c>
      <c r="N925" s="113">
        <v>0</v>
      </c>
      <c r="O925" s="113">
        <v>967700</v>
      </c>
      <c r="P925" s="113">
        <v>0</v>
      </c>
      <c r="Q925" s="170">
        <f t="shared" si="263"/>
        <v>842.5772747061385</v>
      </c>
      <c r="R925" s="114">
        <v>7920</v>
      </c>
      <c r="S925" s="326">
        <v>43465</v>
      </c>
    </row>
    <row r="926" spans="1:19" s="1" customFormat="1" ht="24.6" customHeight="1">
      <c r="A926" s="318"/>
      <c r="B926" s="1346" t="s">
        <v>882</v>
      </c>
      <c r="C926" s="1346"/>
      <c r="D926" s="1346"/>
      <c r="E926" s="1346"/>
      <c r="F926" s="1351"/>
      <c r="G926" s="1351"/>
      <c r="H926" s="969">
        <f>H927+H928</f>
        <v>1005.2</v>
      </c>
      <c r="I926" s="969">
        <f t="shared" ref="I926:P926" si="265">I927+I928</f>
        <v>1005.2</v>
      </c>
      <c r="J926" s="969">
        <f t="shared" si="265"/>
        <v>669.6</v>
      </c>
      <c r="K926" s="969">
        <f t="shared" si="265"/>
        <v>37</v>
      </c>
      <c r="L926" s="970">
        <f t="shared" si="265"/>
        <v>1029285</v>
      </c>
      <c r="M926" s="970">
        <f t="shared" si="265"/>
        <v>0</v>
      </c>
      <c r="N926" s="970">
        <f t="shared" si="265"/>
        <v>0</v>
      </c>
      <c r="O926" s="970">
        <f t="shared" si="265"/>
        <v>1029285</v>
      </c>
      <c r="P926" s="970">
        <f t="shared" si="265"/>
        <v>0</v>
      </c>
      <c r="Q926" s="344" t="s">
        <v>40</v>
      </c>
      <c r="R926" s="344" t="s">
        <v>40</v>
      </c>
      <c r="S926" s="326">
        <v>43465</v>
      </c>
    </row>
    <row r="927" spans="1:19" s="1" customFormat="1" ht="23.45" customHeight="1">
      <c r="A927" s="318"/>
      <c r="B927" s="971" t="s">
        <v>884</v>
      </c>
      <c r="C927" s="972">
        <v>1948</v>
      </c>
      <c r="D927" s="971"/>
      <c r="E927" s="321" t="s">
        <v>221</v>
      </c>
      <c r="F927" s="972">
        <v>2</v>
      </c>
      <c r="G927" s="972">
        <v>2</v>
      </c>
      <c r="H927" s="973">
        <v>516.5</v>
      </c>
      <c r="I927" s="973">
        <v>516.5</v>
      </c>
      <c r="J927" s="972">
        <v>316</v>
      </c>
      <c r="K927" s="974">
        <v>22</v>
      </c>
      <c r="L927" s="324">
        <v>781716</v>
      </c>
      <c r="M927" s="324">
        <v>0</v>
      </c>
      <c r="N927" s="324">
        <v>0</v>
      </c>
      <c r="O927" s="324">
        <v>781716</v>
      </c>
      <c r="P927" s="324">
        <v>0</v>
      </c>
      <c r="Q927" s="975">
        <f t="shared" si="263"/>
        <v>1513.486931268151</v>
      </c>
      <c r="R927" s="325">
        <v>7920</v>
      </c>
      <c r="S927" s="326">
        <v>43465</v>
      </c>
    </row>
    <row r="928" spans="1:19" s="1" customFormat="1" ht="22.9" customHeight="1">
      <c r="A928" s="318"/>
      <c r="B928" s="971" t="s">
        <v>885</v>
      </c>
      <c r="C928" s="972">
        <v>1938</v>
      </c>
      <c r="D928" s="971"/>
      <c r="E928" s="321" t="s">
        <v>221</v>
      </c>
      <c r="F928" s="972">
        <v>2</v>
      </c>
      <c r="G928" s="972">
        <v>1</v>
      </c>
      <c r="H928" s="973">
        <v>488.7</v>
      </c>
      <c r="I928" s="973">
        <v>488.7</v>
      </c>
      <c r="J928" s="972">
        <v>353.6</v>
      </c>
      <c r="K928" s="974">
        <v>15</v>
      </c>
      <c r="L928" s="324">
        <v>247569</v>
      </c>
      <c r="M928" s="324">
        <v>0</v>
      </c>
      <c r="N928" s="324">
        <v>0</v>
      </c>
      <c r="O928" s="324">
        <v>247569</v>
      </c>
      <c r="P928" s="324">
        <v>0</v>
      </c>
      <c r="Q928" s="975">
        <f t="shared" si="263"/>
        <v>506.58686310620016</v>
      </c>
      <c r="R928" s="325">
        <v>7920</v>
      </c>
      <c r="S928" s="326">
        <v>43465</v>
      </c>
    </row>
    <row r="929" spans="1:34" s="1" customFormat="1" ht="15.75">
      <c r="A929" s="107"/>
      <c r="B929" s="1292" t="s">
        <v>52</v>
      </c>
      <c r="C929" s="1292"/>
      <c r="D929" s="1292"/>
      <c r="E929" s="1292"/>
      <c r="F929" s="1292"/>
      <c r="G929" s="1292"/>
      <c r="H929" s="128">
        <f t="shared" ref="H929:P929" si="266">H933+H930+H935</f>
        <v>2360.4</v>
      </c>
      <c r="I929" s="128">
        <f t="shared" si="266"/>
        <v>2297</v>
      </c>
      <c r="J929" s="128">
        <f t="shared" si="266"/>
        <v>1649.1</v>
      </c>
      <c r="K929" s="162">
        <f t="shared" si="266"/>
        <v>89</v>
      </c>
      <c r="L929" s="113">
        <f t="shared" si="266"/>
        <v>3143655</v>
      </c>
      <c r="M929" s="113">
        <f t="shared" si="266"/>
        <v>0</v>
      </c>
      <c r="N929" s="113">
        <f t="shared" si="266"/>
        <v>92056</v>
      </c>
      <c r="O929" s="113">
        <f t="shared" si="266"/>
        <v>3051599</v>
      </c>
      <c r="P929" s="113">
        <f t="shared" si="266"/>
        <v>0</v>
      </c>
      <c r="Q929" s="106" t="s">
        <v>40</v>
      </c>
      <c r="R929" s="106" t="s">
        <v>40</v>
      </c>
      <c r="S929" s="326">
        <v>43465</v>
      </c>
    </row>
    <row r="930" spans="1:34" s="1" customFormat="1" ht="15.75">
      <c r="A930" s="318"/>
      <c r="B930" s="1346" t="s">
        <v>130</v>
      </c>
      <c r="C930" s="1346"/>
      <c r="D930" s="1346"/>
      <c r="E930" s="1346"/>
      <c r="F930" s="1346"/>
      <c r="G930" s="1346"/>
      <c r="H930" s="341">
        <f>H931</f>
        <v>704.6</v>
      </c>
      <c r="I930" s="341">
        <f t="shared" ref="I930:P930" si="267">I931</f>
        <v>704.6</v>
      </c>
      <c r="J930" s="341">
        <f t="shared" si="267"/>
        <v>455.3</v>
      </c>
      <c r="K930" s="341">
        <f t="shared" si="267"/>
        <v>24</v>
      </c>
      <c r="L930" s="675">
        <f t="shared" si="267"/>
        <v>1851309</v>
      </c>
      <c r="M930" s="675">
        <f t="shared" si="267"/>
        <v>0</v>
      </c>
      <c r="N930" s="675">
        <f t="shared" si="267"/>
        <v>0</v>
      </c>
      <c r="O930" s="675">
        <f t="shared" si="267"/>
        <v>1851309</v>
      </c>
      <c r="P930" s="675">
        <f t="shared" si="267"/>
        <v>0</v>
      </c>
      <c r="Q930" s="344" t="s">
        <v>40</v>
      </c>
      <c r="R930" s="344" t="s">
        <v>40</v>
      </c>
      <c r="S930" s="326">
        <v>43465</v>
      </c>
    </row>
    <row r="931" spans="1:34" s="41" customFormat="1" ht="31.5">
      <c r="A931" s="318" t="e">
        <f>#REF!+1</f>
        <v>#REF!</v>
      </c>
      <c r="B931" s="869" t="s">
        <v>673</v>
      </c>
      <c r="C931" s="375">
        <v>1960</v>
      </c>
      <c r="D931" s="375"/>
      <c r="E931" s="321" t="s">
        <v>218</v>
      </c>
      <c r="F931" s="375">
        <v>2</v>
      </c>
      <c r="G931" s="375">
        <v>2</v>
      </c>
      <c r="H931" s="375">
        <v>704.6</v>
      </c>
      <c r="I931" s="375">
        <v>704.6</v>
      </c>
      <c r="J931" s="375">
        <v>455.3</v>
      </c>
      <c r="K931" s="375">
        <v>24</v>
      </c>
      <c r="L931" s="324">
        <v>1851309</v>
      </c>
      <c r="M931" s="324">
        <v>0</v>
      </c>
      <c r="N931" s="324">
        <v>0</v>
      </c>
      <c r="O931" s="324">
        <f>L931</f>
        <v>1851309</v>
      </c>
      <c r="P931" s="324">
        <v>0</v>
      </c>
      <c r="Q931" s="325">
        <f>L931/I931</f>
        <v>2627.4609707635536</v>
      </c>
      <c r="R931" s="617">
        <v>7920</v>
      </c>
      <c r="S931" s="326">
        <v>43465</v>
      </c>
    </row>
    <row r="932" spans="1:34" s="41" customFormat="1" ht="15.75">
      <c r="A932" s="107"/>
      <c r="B932" s="145"/>
      <c r="C932" s="132"/>
      <c r="D932" s="132"/>
      <c r="E932" s="109"/>
      <c r="F932" s="132"/>
      <c r="G932" s="132"/>
      <c r="H932" s="174"/>
      <c r="I932" s="174"/>
      <c r="J932" s="107"/>
      <c r="K932" s="107"/>
      <c r="L932" s="113"/>
      <c r="M932" s="113"/>
      <c r="N932" s="113"/>
      <c r="O932" s="113"/>
      <c r="P932" s="113"/>
      <c r="Q932" s="114"/>
      <c r="R932" s="115"/>
      <c r="S932" s="326"/>
    </row>
    <row r="933" spans="1:34" s="1" customFormat="1" ht="15.75" customHeight="1">
      <c r="A933" s="107"/>
      <c r="B933" s="1294" t="s">
        <v>109</v>
      </c>
      <c r="C933" s="1294"/>
      <c r="D933" s="1294"/>
      <c r="E933" s="1294"/>
      <c r="F933" s="1294"/>
      <c r="G933" s="1294"/>
      <c r="H933" s="128">
        <f>H934</f>
        <v>799.3</v>
      </c>
      <c r="I933" s="106">
        <f t="shared" ref="I933:P933" si="268">I934</f>
        <v>735.9</v>
      </c>
      <c r="J933" s="106">
        <f t="shared" si="268"/>
        <v>693.8</v>
      </c>
      <c r="K933" s="119">
        <f t="shared" si="268"/>
        <v>32</v>
      </c>
      <c r="L933" s="113">
        <v>201010</v>
      </c>
      <c r="M933" s="113">
        <f t="shared" si="268"/>
        <v>0</v>
      </c>
      <c r="N933" s="113">
        <f t="shared" si="268"/>
        <v>92056</v>
      </c>
      <c r="O933" s="113">
        <f t="shared" si="268"/>
        <v>108954</v>
      </c>
      <c r="P933" s="113">
        <f t="shared" si="268"/>
        <v>0</v>
      </c>
      <c r="Q933" s="106" t="s">
        <v>40</v>
      </c>
      <c r="R933" s="106" t="s">
        <v>40</v>
      </c>
      <c r="S933" s="326">
        <v>43465</v>
      </c>
    </row>
    <row r="934" spans="1:34" s="1" customFormat="1" ht="15.75">
      <c r="A934" s="107">
        <f>A932+1</f>
        <v>1</v>
      </c>
      <c r="B934" s="303" t="s">
        <v>414</v>
      </c>
      <c r="C934" s="302">
        <v>1977</v>
      </c>
      <c r="D934" s="118"/>
      <c r="E934" s="109" t="s">
        <v>219</v>
      </c>
      <c r="F934" s="118">
        <v>2</v>
      </c>
      <c r="G934" s="118">
        <v>2</v>
      </c>
      <c r="H934" s="128">
        <v>799.3</v>
      </c>
      <c r="I934" s="106">
        <v>735.9</v>
      </c>
      <c r="J934" s="106">
        <v>693.8</v>
      </c>
      <c r="K934" s="119">
        <v>32</v>
      </c>
      <c r="L934" s="113">
        <v>201010</v>
      </c>
      <c r="M934" s="113">
        <v>0</v>
      </c>
      <c r="N934" s="113">
        <v>92056</v>
      </c>
      <c r="O934" s="113">
        <v>108954</v>
      </c>
      <c r="P934" s="113">
        <v>0</v>
      </c>
      <c r="Q934" s="106">
        <f>L934/I934</f>
        <v>273.14852561489334</v>
      </c>
      <c r="R934" s="114">
        <v>6774</v>
      </c>
      <c r="S934" s="326">
        <v>43465</v>
      </c>
    </row>
    <row r="935" spans="1:34" s="23" customFormat="1" ht="15.75" customHeight="1">
      <c r="A935" s="107"/>
      <c r="B935" s="1328" t="s">
        <v>198</v>
      </c>
      <c r="C935" s="1328"/>
      <c r="D935" s="1328"/>
      <c r="E935" s="1328"/>
      <c r="F935" s="1328"/>
      <c r="G935" s="1328"/>
      <c r="H935" s="128">
        <f>H936</f>
        <v>856.5</v>
      </c>
      <c r="I935" s="128">
        <f t="shared" ref="I935:P935" si="269">I936</f>
        <v>856.5</v>
      </c>
      <c r="J935" s="128">
        <f t="shared" si="269"/>
        <v>500</v>
      </c>
      <c r="K935" s="175">
        <f t="shared" si="269"/>
        <v>33</v>
      </c>
      <c r="L935" s="113">
        <f t="shared" si="269"/>
        <v>1091336</v>
      </c>
      <c r="M935" s="113">
        <f t="shared" si="269"/>
        <v>0</v>
      </c>
      <c r="N935" s="113">
        <f t="shared" si="269"/>
        <v>0</v>
      </c>
      <c r="O935" s="113">
        <f t="shared" si="269"/>
        <v>1091336</v>
      </c>
      <c r="P935" s="113">
        <f t="shared" si="269"/>
        <v>0</v>
      </c>
      <c r="Q935" s="106" t="s">
        <v>40</v>
      </c>
      <c r="R935" s="114" t="s">
        <v>40</v>
      </c>
      <c r="S935" s="326">
        <v>43465</v>
      </c>
    </row>
    <row r="936" spans="1:34" s="23" customFormat="1" ht="31.5">
      <c r="A936" s="107">
        <f>A934+1</f>
        <v>2</v>
      </c>
      <c r="B936" s="300" t="s">
        <v>415</v>
      </c>
      <c r="C936" s="302">
        <v>1982</v>
      </c>
      <c r="D936" s="118"/>
      <c r="E936" s="109" t="s">
        <v>218</v>
      </c>
      <c r="F936" s="118">
        <v>2</v>
      </c>
      <c r="G936" s="118">
        <v>3</v>
      </c>
      <c r="H936" s="128">
        <v>856.5</v>
      </c>
      <c r="I936" s="106">
        <v>856.5</v>
      </c>
      <c r="J936" s="106">
        <v>500</v>
      </c>
      <c r="K936" s="119">
        <v>33</v>
      </c>
      <c r="L936" s="113">
        <v>1091336</v>
      </c>
      <c r="M936" s="113">
        <v>0</v>
      </c>
      <c r="N936" s="113">
        <v>0</v>
      </c>
      <c r="O936" s="113">
        <f>L936</f>
        <v>1091336</v>
      </c>
      <c r="P936" s="113">
        <v>0</v>
      </c>
      <c r="Q936" s="106">
        <f>L936/I936</f>
        <v>1274.1809690601285</v>
      </c>
      <c r="R936" s="114">
        <v>6774</v>
      </c>
      <c r="S936" s="326">
        <v>43465</v>
      </c>
    </row>
    <row r="937" spans="1:34" s="1" customFormat="1" ht="15.75">
      <c r="A937" s="107"/>
      <c r="B937" s="1292" t="s">
        <v>53</v>
      </c>
      <c r="C937" s="1292"/>
      <c r="D937" s="1292"/>
      <c r="E937" s="1292"/>
      <c r="F937" s="1292"/>
      <c r="G937" s="1292"/>
      <c r="H937" s="106">
        <f t="shared" ref="H937:P937" si="270">H938+H945+H947+H949+H958+H961+H963+H956</f>
        <v>60427.200000000012</v>
      </c>
      <c r="I937" s="106">
        <f t="shared" si="270"/>
        <v>45396.3</v>
      </c>
      <c r="J937" s="106">
        <f t="shared" si="270"/>
        <v>43423.3</v>
      </c>
      <c r="K937" s="106">
        <f t="shared" si="270"/>
        <v>1907</v>
      </c>
      <c r="L937" s="565">
        <f t="shared" si="270"/>
        <v>46439075.920000002</v>
      </c>
      <c r="M937" s="565">
        <f t="shared" si="270"/>
        <v>0</v>
      </c>
      <c r="N937" s="565">
        <f t="shared" si="270"/>
        <v>146321.84</v>
      </c>
      <c r="O937" s="565">
        <f t="shared" si="270"/>
        <v>46292754.079999998</v>
      </c>
      <c r="P937" s="565">
        <f t="shared" si="270"/>
        <v>0</v>
      </c>
      <c r="Q937" s="106" t="s">
        <v>40</v>
      </c>
      <c r="R937" s="106" t="s">
        <v>40</v>
      </c>
      <c r="S937" s="326">
        <v>43465</v>
      </c>
    </row>
    <row r="938" spans="1:34" s="1" customFormat="1" ht="15.75">
      <c r="A938" s="107"/>
      <c r="B938" s="1292" t="s">
        <v>88</v>
      </c>
      <c r="C938" s="1292"/>
      <c r="D938" s="1292"/>
      <c r="E938" s="1292"/>
      <c r="F938" s="1292"/>
      <c r="G938" s="1292"/>
      <c r="H938" s="128">
        <f>SUM(H939:H944)</f>
        <v>44029.100000000006</v>
      </c>
      <c r="I938" s="128">
        <f t="shared" ref="I938:P938" si="271">SUM(I939:I944)</f>
        <v>30480.100000000002</v>
      </c>
      <c r="J938" s="128">
        <f t="shared" si="271"/>
        <v>29442.800000000003</v>
      </c>
      <c r="K938" s="128">
        <f t="shared" si="271"/>
        <v>1255</v>
      </c>
      <c r="L938" s="565">
        <f t="shared" si="271"/>
        <v>29383642</v>
      </c>
      <c r="M938" s="565">
        <f t="shared" si="271"/>
        <v>0</v>
      </c>
      <c r="N938" s="565">
        <f t="shared" si="271"/>
        <v>0</v>
      </c>
      <c r="O938" s="565">
        <f t="shared" si="271"/>
        <v>29383642</v>
      </c>
      <c r="P938" s="565">
        <f t="shared" si="271"/>
        <v>0</v>
      </c>
      <c r="Q938" s="106" t="s">
        <v>40</v>
      </c>
      <c r="R938" s="106" t="s">
        <v>40</v>
      </c>
      <c r="S938" s="326">
        <v>43465</v>
      </c>
    </row>
    <row r="939" spans="1:34" s="21" customFormat="1" ht="28.15" customHeight="1">
      <c r="A939" s="318">
        <v>1</v>
      </c>
      <c r="B939" s="851" t="s">
        <v>748</v>
      </c>
      <c r="C939" s="417">
        <v>1990</v>
      </c>
      <c r="D939" s="417"/>
      <c r="E939" s="321" t="s">
        <v>219</v>
      </c>
      <c r="F939" s="417">
        <v>9</v>
      </c>
      <c r="G939" s="852">
        <v>3</v>
      </c>
      <c r="H939" s="857">
        <v>8571.2000000000007</v>
      </c>
      <c r="I939" s="857">
        <v>5968.9</v>
      </c>
      <c r="J939" s="857">
        <f>I939-135.6</f>
        <v>5833.2999999999993</v>
      </c>
      <c r="K939" s="857">
        <v>237</v>
      </c>
      <c r="L939" s="325">
        <v>5877687</v>
      </c>
      <c r="M939" s="854">
        <v>0</v>
      </c>
      <c r="N939" s="324">
        <v>0</v>
      </c>
      <c r="O939" s="324">
        <f>L939</f>
        <v>5877687</v>
      </c>
      <c r="P939" s="324">
        <v>0</v>
      </c>
      <c r="Q939" s="325">
        <f t="shared" ref="Q939:Q944" si="272">L939/I939</f>
        <v>984.71862487225462</v>
      </c>
      <c r="R939" s="325">
        <v>7920</v>
      </c>
      <c r="S939" s="326">
        <v>43465</v>
      </c>
    </row>
    <row r="940" spans="1:34" s="21" customFormat="1" ht="19.149999999999999" customHeight="1">
      <c r="A940" s="318">
        <f t="shared" si="260"/>
        <v>2</v>
      </c>
      <c r="B940" s="851" t="s">
        <v>749</v>
      </c>
      <c r="C940" s="417">
        <v>1990</v>
      </c>
      <c r="D940" s="417"/>
      <c r="E940" s="321" t="s">
        <v>219</v>
      </c>
      <c r="F940" s="417">
        <v>9</v>
      </c>
      <c r="G940" s="852">
        <v>2</v>
      </c>
      <c r="H940" s="325">
        <v>5349</v>
      </c>
      <c r="I940" s="325">
        <v>3785.4</v>
      </c>
      <c r="J940" s="325">
        <f>I940-189.7</f>
        <v>3595.7000000000003</v>
      </c>
      <c r="K940" s="325">
        <v>153</v>
      </c>
      <c r="L940" s="325">
        <v>3911300</v>
      </c>
      <c r="M940" s="854">
        <v>0</v>
      </c>
      <c r="N940" s="324">
        <v>0</v>
      </c>
      <c r="O940" s="324">
        <f t="shared" ref="O940:O944" si="273">L940</f>
        <v>3911300</v>
      </c>
      <c r="P940" s="324">
        <v>0</v>
      </c>
      <c r="Q940" s="325">
        <f t="shared" si="272"/>
        <v>1033.259364928409</v>
      </c>
      <c r="R940" s="325">
        <v>7920</v>
      </c>
      <c r="S940" s="326">
        <v>43465</v>
      </c>
    </row>
    <row r="941" spans="1:34" s="21" customFormat="1" ht="20.45" customHeight="1">
      <c r="A941" s="318">
        <f t="shared" si="260"/>
        <v>3</v>
      </c>
      <c r="B941" s="851" t="s">
        <v>750</v>
      </c>
      <c r="C941" s="417">
        <v>1989</v>
      </c>
      <c r="D941" s="417"/>
      <c r="E941" s="321" t="s">
        <v>219</v>
      </c>
      <c r="F941" s="417">
        <v>9</v>
      </c>
      <c r="G941" s="852">
        <v>3</v>
      </c>
      <c r="H941" s="855">
        <v>7783.6</v>
      </c>
      <c r="I941" s="855">
        <v>5580.6</v>
      </c>
      <c r="J941" s="855">
        <f>I941</f>
        <v>5580.6</v>
      </c>
      <c r="K941" s="325">
        <v>241</v>
      </c>
      <c r="L941" s="325">
        <v>5873712</v>
      </c>
      <c r="M941" s="854">
        <v>0</v>
      </c>
      <c r="N941" s="324">
        <v>0</v>
      </c>
      <c r="O941" s="324">
        <f t="shared" si="273"/>
        <v>5873712</v>
      </c>
      <c r="P941" s="324">
        <v>0</v>
      </c>
      <c r="Q941" s="325">
        <f t="shared" si="272"/>
        <v>1052.5233845823029</v>
      </c>
      <c r="R941" s="325">
        <v>7920</v>
      </c>
      <c r="S941" s="326">
        <v>43465</v>
      </c>
    </row>
    <row r="942" spans="1:34" s="21" customFormat="1" ht="27" customHeight="1">
      <c r="A942" s="318">
        <f t="shared" si="260"/>
        <v>4</v>
      </c>
      <c r="B942" s="851" t="s">
        <v>751</v>
      </c>
      <c r="C942" s="417">
        <v>1988</v>
      </c>
      <c r="D942" s="417"/>
      <c r="E942" s="321" t="s">
        <v>219</v>
      </c>
      <c r="F942" s="417">
        <v>9</v>
      </c>
      <c r="G942" s="852">
        <v>3</v>
      </c>
      <c r="H942" s="853">
        <v>8105.9</v>
      </c>
      <c r="I942" s="853">
        <v>5431.3</v>
      </c>
      <c r="J942" s="853">
        <v>5098.1000000000004</v>
      </c>
      <c r="K942" s="853">
        <v>226</v>
      </c>
      <c r="L942" s="325">
        <v>5872977</v>
      </c>
      <c r="M942" s="854">
        <v>0</v>
      </c>
      <c r="N942" s="324">
        <v>0</v>
      </c>
      <c r="O942" s="324">
        <f t="shared" si="273"/>
        <v>5872977</v>
      </c>
      <c r="P942" s="324">
        <v>0</v>
      </c>
      <c r="Q942" s="325">
        <f t="shared" si="272"/>
        <v>1081.3206782906486</v>
      </c>
      <c r="R942" s="325">
        <v>7920</v>
      </c>
      <c r="S942" s="326">
        <v>43465</v>
      </c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</row>
    <row r="943" spans="1:34" s="52" customFormat="1" ht="23.45" customHeight="1">
      <c r="A943" s="318">
        <f t="shared" si="260"/>
        <v>5</v>
      </c>
      <c r="B943" s="851" t="s">
        <v>752</v>
      </c>
      <c r="C943" s="417">
        <v>1992</v>
      </c>
      <c r="D943" s="417"/>
      <c r="E943" s="321" t="s">
        <v>219</v>
      </c>
      <c r="F943" s="417">
        <v>9</v>
      </c>
      <c r="G943" s="852">
        <v>3</v>
      </c>
      <c r="H943" s="856">
        <v>9508.2000000000007</v>
      </c>
      <c r="I943" s="856">
        <v>6412.6</v>
      </c>
      <c r="J943" s="856">
        <f>I943-255.7</f>
        <v>6156.9000000000005</v>
      </c>
      <c r="K943" s="857">
        <v>267</v>
      </c>
      <c r="L943" s="857">
        <v>5882933</v>
      </c>
      <c r="M943" s="854">
        <v>0</v>
      </c>
      <c r="N943" s="324">
        <v>0</v>
      </c>
      <c r="O943" s="324">
        <f t="shared" si="273"/>
        <v>5882933</v>
      </c>
      <c r="P943" s="324">
        <v>0</v>
      </c>
      <c r="Q943" s="325">
        <f t="shared" si="272"/>
        <v>917.40214577550444</v>
      </c>
      <c r="R943" s="325">
        <v>7920</v>
      </c>
      <c r="S943" s="326">
        <v>43465</v>
      </c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</row>
    <row r="944" spans="1:34" s="21" customFormat="1" ht="31.5">
      <c r="A944" s="318">
        <f t="shared" si="260"/>
        <v>6</v>
      </c>
      <c r="B944" s="843" t="s">
        <v>753</v>
      </c>
      <c r="C944" s="417">
        <v>1993</v>
      </c>
      <c r="D944" s="417"/>
      <c r="E944" s="321" t="s">
        <v>218</v>
      </c>
      <c r="F944" s="417">
        <v>9</v>
      </c>
      <c r="G944" s="852">
        <v>1</v>
      </c>
      <c r="H944" s="856">
        <v>4711.2</v>
      </c>
      <c r="I944" s="856">
        <v>3301.3</v>
      </c>
      <c r="J944" s="856">
        <f>I944-123.1</f>
        <v>3178.2000000000003</v>
      </c>
      <c r="K944" s="857">
        <v>131</v>
      </c>
      <c r="L944" s="857">
        <v>1965033</v>
      </c>
      <c r="M944" s="854">
        <v>0</v>
      </c>
      <c r="N944" s="324">
        <v>0</v>
      </c>
      <c r="O944" s="324">
        <f t="shared" si="273"/>
        <v>1965033</v>
      </c>
      <c r="P944" s="324">
        <v>0</v>
      </c>
      <c r="Q944" s="325">
        <f t="shared" si="272"/>
        <v>595.23006088510579</v>
      </c>
      <c r="R944" s="325">
        <v>7920</v>
      </c>
      <c r="S944" s="326">
        <v>43465</v>
      </c>
    </row>
    <row r="945" spans="1:19" s="21" customFormat="1" ht="15.75" customHeight="1">
      <c r="A945" s="107"/>
      <c r="B945" s="1304" t="s">
        <v>132</v>
      </c>
      <c r="C945" s="1304"/>
      <c r="D945" s="1304"/>
      <c r="E945" s="1304"/>
      <c r="F945" s="1304"/>
      <c r="G945" s="1304"/>
      <c r="H945" s="117">
        <f>H946</f>
        <v>781</v>
      </c>
      <c r="I945" s="117">
        <f t="shared" ref="I945:P945" si="274">I946</f>
        <v>720.8</v>
      </c>
      <c r="J945" s="117">
        <f t="shared" si="274"/>
        <v>637.4</v>
      </c>
      <c r="K945" s="155">
        <f t="shared" si="274"/>
        <v>22</v>
      </c>
      <c r="L945" s="113">
        <f t="shared" si="274"/>
        <v>1107622</v>
      </c>
      <c r="M945" s="113">
        <f t="shared" si="274"/>
        <v>0</v>
      </c>
      <c r="N945" s="113">
        <f t="shared" si="274"/>
        <v>0</v>
      </c>
      <c r="O945" s="113">
        <f t="shared" si="274"/>
        <v>1107622</v>
      </c>
      <c r="P945" s="113">
        <f t="shared" si="274"/>
        <v>0</v>
      </c>
      <c r="Q945" s="114" t="s">
        <v>40</v>
      </c>
      <c r="R945" s="114" t="s">
        <v>40</v>
      </c>
      <c r="S945" s="326">
        <v>43465</v>
      </c>
    </row>
    <row r="946" spans="1:19" s="21" customFormat="1" ht="41.45" customHeight="1">
      <c r="A946" s="318" t="e">
        <f>#REF!+1</f>
        <v>#REF!</v>
      </c>
      <c r="B946" s="843" t="s">
        <v>701</v>
      </c>
      <c r="C946" s="417">
        <v>1972</v>
      </c>
      <c r="D946" s="417"/>
      <c r="E946" s="321" t="s">
        <v>218</v>
      </c>
      <c r="F946" s="417">
        <v>2</v>
      </c>
      <c r="G946" s="417">
        <v>2</v>
      </c>
      <c r="H946" s="587">
        <v>781</v>
      </c>
      <c r="I946" s="587">
        <v>720.8</v>
      </c>
      <c r="J946" s="587">
        <v>637.4</v>
      </c>
      <c r="K946" s="596">
        <v>22</v>
      </c>
      <c r="L946" s="324">
        <v>1107622</v>
      </c>
      <c r="M946" s="324">
        <v>0</v>
      </c>
      <c r="N946" s="324">
        <v>0</v>
      </c>
      <c r="O946" s="324">
        <f>L946</f>
        <v>1107622</v>
      </c>
      <c r="P946" s="324">
        <v>0</v>
      </c>
      <c r="Q946" s="325">
        <f>L946/I946</f>
        <v>1536.6564927857937</v>
      </c>
      <c r="R946" s="325">
        <v>7920</v>
      </c>
      <c r="S946" s="326">
        <v>43465</v>
      </c>
    </row>
    <row r="947" spans="1:19" s="1" customFormat="1" ht="15.75" customHeight="1">
      <c r="A947" s="107"/>
      <c r="B947" s="1294" t="s">
        <v>110</v>
      </c>
      <c r="C947" s="1294"/>
      <c r="D947" s="1294"/>
      <c r="E947" s="1294"/>
      <c r="F947" s="1294"/>
      <c r="G947" s="1294"/>
      <c r="H947" s="128">
        <f t="shared" ref="H947:O947" si="275">SUM(H948:H948)</f>
        <v>894.6</v>
      </c>
      <c r="I947" s="106">
        <f t="shared" si="275"/>
        <v>565.1</v>
      </c>
      <c r="J947" s="106">
        <f t="shared" si="275"/>
        <v>565.1</v>
      </c>
      <c r="K947" s="119">
        <f t="shared" si="275"/>
        <v>57</v>
      </c>
      <c r="L947" s="113">
        <f t="shared" si="275"/>
        <v>2348226</v>
      </c>
      <c r="M947" s="113">
        <f t="shared" si="275"/>
        <v>0</v>
      </c>
      <c r="N947" s="113">
        <f t="shared" si="275"/>
        <v>0</v>
      </c>
      <c r="O947" s="113">
        <f t="shared" si="275"/>
        <v>2348226</v>
      </c>
      <c r="P947" s="113">
        <v>0</v>
      </c>
      <c r="Q947" s="106" t="s">
        <v>40</v>
      </c>
      <c r="R947" s="106" t="s">
        <v>40</v>
      </c>
      <c r="S947" s="326">
        <v>43465</v>
      </c>
    </row>
    <row r="948" spans="1:19" s="1" customFormat="1" ht="15.75">
      <c r="A948" s="318" t="e">
        <f>A946+1</f>
        <v>#REF!</v>
      </c>
      <c r="B948" s="319" t="s">
        <v>475</v>
      </c>
      <c r="C948" s="318">
        <v>1972</v>
      </c>
      <c r="D948" s="320"/>
      <c r="E948" s="321" t="s">
        <v>473</v>
      </c>
      <c r="F948" s="320">
        <v>2</v>
      </c>
      <c r="G948" s="320">
        <v>3</v>
      </c>
      <c r="H948" s="322">
        <v>894.6</v>
      </c>
      <c r="I948" s="320">
        <v>565.1</v>
      </c>
      <c r="J948" s="320">
        <v>565.1</v>
      </c>
      <c r="K948" s="323">
        <v>57</v>
      </c>
      <c r="L948" s="324">
        <v>2348226</v>
      </c>
      <c r="M948" s="324">
        <v>0</v>
      </c>
      <c r="N948" s="324">
        <v>0</v>
      </c>
      <c r="O948" s="324">
        <v>2348226</v>
      </c>
      <c r="P948" s="324">
        <v>0</v>
      </c>
      <c r="Q948" s="325">
        <f>L948/I948</f>
        <v>4155.416740399929</v>
      </c>
      <c r="R948" s="325">
        <v>7920</v>
      </c>
      <c r="S948" s="326">
        <v>43465</v>
      </c>
    </row>
    <row r="949" spans="1:19" s="1" customFormat="1" ht="19.149999999999999" customHeight="1">
      <c r="A949" s="318"/>
      <c r="B949" s="1352" t="s">
        <v>128</v>
      </c>
      <c r="C949" s="1352"/>
      <c r="D949" s="1341"/>
      <c r="E949" s="1341"/>
      <c r="F949" s="1352"/>
      <c r="G949" s="1352"/>
      <c r="H949" s="801">
        <f>SUM(H950:H953)</f>
        <v>11540.800000000001</v>
      </c>
      <c r="I949" s="801">
        <f t="shared" ref="I949:P949" si="276">SUM(I950:I953)</f>
        <v>10578.000000000002</v>
      </c>
      <c r="J949" s="801">
        <f t="shared" si="276"/>
        <v>10228.1</v>
      </c>
      <c r="K949" s="801">
        <f t="shared" si="276"/>
        <v>394</v>
      </c>
      <c r="L949" s="801">
        <f t="shared" si="276"/>
        <v>9209860</v>
      </c>
      <c r="M949" s="802">
        <f t="shared" si="276"/>
        <v>0</v>
      </c>
      <c r="N949" s="802">
        <f t="shared" si="276"/>
        <v>0</v>
      </c>
      <c r="O949" s="802">
        <f t="shared" si="276"/>
        <v>9209860</v>
      </c>
      <c r="P949" s="802">
        <f t="shared" si="276"/>
        <v>0</v>
      </c>
      <c r="Q949" s="801" t="s">
        <v>40</v>
      </c>
      <c r="R949" s="736" t="s">
        <v>40</v>
      </c>
      <c r="S949" s="326">
        <v>43465</v>
      </c>
    </row>
    <row r="950" spans="1:19" s="59" customFormat="1" ht="21.6" customHeight="1">
      <c r="A950" s="803"/>
      <c r="B950" s="804" t="s">
        <v>725</v>
      </c>
      <c r="C950" s="805">
        <v>1991</v>
      </c>
      <c r="D950" s="806"/>
      <c r="E950" s="737" t="s">
        <v>219</v>
      </c>
      <c r="F950" s="805">
        <v>5</v>
      </c>
      <c r="G950" s="805">
        <v>5</v>
      </c>
      <c r="H950" s="807">
        <v>4237.8999999999996</v>
      </c>
      <c r="I950" s="808">
        <v>3869.7</v>
      </c>
      <c r="J950" s="807">
        <v>3564.5</v>
      </c>
      <c r="K950" s="805">
        <v>155</v>
      </c>
      <c r="L950" s="650">
        <v>2620143</v>
      </c>
      <c r="M950" s="809">
        <v>0</v>
      </c>
      <c r="N950" s="809">
        <v>0</v>
      </c>
      <c r="O950" s="809">
        <f>L950</f>
        <v>2620143</v>
      </c>
      <c r="P950" s="809">
        <v>0</v>
      </c>
      <c r="Q950" s="810">
        <f>L950/I950</f>
        <v>677.09202263741383</v>
      </c>
      <c r="R950" s="810">
        <v>7920</v>
      </c>
      <c r="S950" s="622">
        <v>43465</v>
      </c>
    </row>
    <row r="951" spans="1:19" s="59" customFormat="1" ht="22.9" customHeight="1">
      <c r="A951" s="803"/>
      <c r="B951" s="804" t="s">
        <v>726</v>
      </c>
      <c r="C951" s="805">
        <v>1995</v>
      </c>
      <c r="D951" s="806"/>
      <c r="E951" s="737" t="s">
        <v>219</v>
      </c>
      <c r="F951" s="805">
        <v>5</v>
      </c>
      <c r="G951" s="805">
        <v>6</v>
      </c>
      <c r="H951" s="807">
        <v>4861.6000000000004</v>
      </c>
      <c r="I951" s="808">
        <v>4465</v>
      </c>
      <c r="J951" s="807">
        <v>4465</v>
      </c>
      <c r="K951" s="805">
        <v>158</v>
      </c>
      <c r="L951" s="650">
        <v>3158092</v>
      </c>
      <c r="M951" s="809">
        <v>0</v>
      </c>
      <c r="N951" s="809">
        <v>0</v>
      </c>
      <c r="O951" s="809">
        <f t="shared" ref="O951:O953" si="277">L951</f>
        <v>3158092</v>
      </c>
      <c r="P951" s="809">
        <v>0</v>
      </c>
      <c r="Q951" s="810">
        <f t="shared" ref="Q951:Q953" si="278">L951/I951</f>
        <v>707.29944008958569</v>
      </c>
      <c r="R951" s="810">
        <v>7920</v>
      </c>
      <c r="S951" s="622">
        <v>43465</v>
      </c>
    </row>
    <row r="952" spans="1:19" s="59" customFormat="1" ht="33" customHeight="1">
      <c r="A952" s="803"/>
      <c r="B952" s="804" t="s">
        <v>727</v>
      </c>
      <c r="C952" s="805">
        <v>1983</v>
      </c>
      <c r="D952" s="806"/>
      <c r="E952" s="737" t="s">
        <v>219</v>
      </c>
      <c r="F952" s="805">
        <v>3</v>
      </c>
      <c r="G952" s="805">
        <v>3</v>
      </c>
      <c r="H952" s="807">
        <v>1514.1</v>
      </c>
      <c r="I952" s="807">
        <v>1403.1</v>
      </c>
      <c r="J952" s="807">
        <v>1403.1</v>
      </c>
      <c r="K952" s="805">
        <v>46</v>
      </c>
      <c r="L952" s="650">
        <v>1623752</v>
      </c>
      <c r="M952" s="809">
        <v>0</v>
      </c>
      <c r="N952" s="809">
        <v>0</v>
      </c>
      <c r="O952" s="809">
        <f t="shared" si="277"/>
        <v>1623752</v>
      </c>
      <c r="P952" s="809">
        <v>0</v>
      </c>
      <c r="Q952" s="810">
        <f t="shared" si="278"/>
        <v>1157.2603520775426</v>
      </c>
      <c r="R952" s="810">
        <v>7920</v>
      </c>
      <c r="S952" s="622">
        <v>43465</v>
      </c>
    </row>
    <row r="953" spans="1:19" s="59" customFormat="1" ht="31.5">
      <c r="A953" s="803"/>
      <c r="B953" s="804" t="s">
        <v>728</v>
      </c>
      <c r="C953" s="805">
        <v>1975</v>
      </c>
      <c r="D953" s="806"/>
      <c r="E953" s="737" t="s">
        <v>218</v>
      </c>
      <c r="F953" s="805">
        <v>2</v>
      </c>
      <c r="G953" s="805">
        <v>3</v>
      </c>
      <c r="H953" s="807">
        <v>927.2</v>
      </c>
      <c r="I953" s="808">
        <v>840.2</v>
      </c>
      <c r="J953" s="807">
        <v>795.5</v>
      </c>
      <c r="K953" s="805">
        <v>35</v>
      </c>
      <c r="L953" s="650">
        <v>1807873</v>
      </c>
      <c r="M953" s="809">
        <v>0</v>
      </c>
      <c r="N953" s="809">
        <v>0</v>
      </c>
      <c r="O953" s="809">
        <f t="shared" si="277"/>
        <v>1807873</v>
      </c>
      <c r="P953" s="809">
        <v>0</v>
      </c>
      <c r="Q953" s="810">
        <f t="shared" si="278"/>
        <v>2151.7174482266128</v>
      </c>
      <c r="R953" s="810">
        <v>7920</v>
      </c>
      <c r="S953" s="622">
        <v>43465</v>
      </c>
    </row>
    <row r="954" spans="1:19" s="59" customFormat="1" ht="15.75">
      <c r="A954" s="318"/>
      <c r="B954" s="632"/>
      <c r="C954" s="381"/>
      <c r="D954" s="320"/>
      <c r="E954" s="321"/>
      <c r="F954" s="633"/>
      <c r="G954" s="633"/>
      <c r="H954" s="633"/>
      <c r="I954" s="634"/>
      <c r="J954" s="633"/>
      <c r="K954" s="633"/>
      <c r="L954" s="426"/>
      <c r="M954" s="426"/>
      <c r="N954" s="426"/>
      <c r="O954" s="426"/>
      <c r="P954" s="426"/>
      <c r="Q954" s="623"/>
      <c r="R954" s="623"/>
      <c r="S954" s="326"/>
    </row>
    <row r="955" spans="1:19" s="59" customFormat="1" ht="15.75">
      <c r="A955" s="318"/>
      <c r="B955" s="336"/>
      <c r="C955" s="318"/>
      <c r="D955" s="320"/>
      <c r="E955" s="321"/>
      <c r="F955" s="320"/>
      <c r="G955" s="320"/>
      <c r="H955" s="320"/>
      <c r="I955" s="340"/>
      <c r="J955" s="320"/>
      <c r="K955" s="320"/>
      <c r="L955" s="324"/>
      <c r="M955" s="324"/>
      <c r="N955" s="324"/>
      <c r="O955" s="324"/>
      <c r="P955" s="324"/>
      <c r="Q955" s="325"/>
      <c r="R955" s="325"/>
      <c r="S955" s="326"/>
    </row>
    <row r="956" spans="1:19" s="59" customFormat="1" ht="24" customHeight="1">
      <c r="A956" s="107"/>
      <c r="B956" s="1353" t="s">
        <v>668</v>
      </c>
      <c r="C956" s="1354"/>
      <c r="D956" s="1354"/>
      <c r="E956" s="1354"/>
      <c r="F956" s="1354"/>
      <c r="G956" s="1355"/>
      <c r="H956" s="131">
        <f>H957</f>
        <v>687.8</v>
      </c>
      <c r="I956" s="131">
        <f t="shared" ref="I956:P956" si="279">I957</f>
        <v>639.4</v>
      </c>
      <c r="J956" s="131">
        <f t="shared" si="279"/>
        <v>639.4</v>
      </c>
      <c r="K956" s="131">
        <f t="shared" si="279"/>
        <v>23</v>
      </c>
      <c r="L956" s="570">
        <f t="shared" si="279"/>
        <v>1720569</v>
      </c>
      <c r="M956" s="570">
        <f t="shared" si="279"/>
        <v>0</v>
      </c>
      <c r="N956" s="570">
        <f t="shared" si="279"/>
        <v>0</v>
      </c>
      <c r="O956" s="570">
        <f t="shared" si="279"/>
        <v>1720569</v>
      </c>
      <c r="P956" s="570">
        <f t="shared" si="279"/>
        <v>0</v>
      </c>
      <c r="Q956" s="106" t="s">
        <v>40</v>
      </c>
      <c r="R956" s="114" t="s">
        <v>40</v>
      </c>
      <c r="S956" s="326">
        <v>43465</v>
      </c>
    </row>
    <row r="957" spans="1:19" s="59" customFormat="1" ht="35.450000000000003" customHeight="1">
      <c r="A957" s="107"/>
      <c r="B957" s="145" t="s">
        <v>671</v>
      </c>
      <c r="C957" s="132">
        <v>1960</v>
      </c>
      <c r="D957" s="131"/>
      <c r="E957" s="109" t="s">
        <v>218</v>
      </c>
      <c r="F957" s="131">
        <v>2</v>
      </c>
      <c r="G957" s="131">
        <v>2</v>
      </c>
      <c r="H957" s="131">
        <v>687.8</v>
      </c>
      <c r="I957" s="176">
        <v>639.4</v>
      </c>
      <c r="J957" s="131">
        <v>639.4</v>
      </c>
      <c r="K957" s="131">
        <v>23</v>
      </c>
      <c r="L957" s="113">
        <v>1720569</v>
      </c>
      <c r="M957" s="113">
        <v>0</v>
      </c>
      <c r="N957" s="113">
        <v>0</v>
      </c>
      <c r="O957" s="113">
        <v>1720569</v>
      </c>
      <c r="P957" s="113">
        <v>0</v>
      </c>
      <c r="Q957" s="124">
        <f t="shared" ref="Q957" si="280">L957/I957</f>
        <v>2690.9117923052863</v>
      </c>
      <c r="R957" s="114">
        <v>7920</v>
      </c>
      <c r="S957" s="326">
        <v>43465</v>
      </c>
    </row>
    <row r="958" spans="1:19" s="1" customFormat="1" ht="22.9" customHeight="1">
      <c r="A958" s="107"/>
      <c r="B958" s="1292" t="s">
        <v>994</v>
      </c>
      <c r="C958" s="1292"/>
      <c r="D958" s="1292"/>
      <c r="E958" s="1292"/>
      <c r="F958" s="1292"/>
      <c r="G958" s="1292"/>
      <c r="H958" s="128">
        <f>H959+H960</f>
        <v>932.40000000000009</v>
      </c>
      <c r="I958" s="128">
        <f t="shared" ref="I958:P958" si="281">I959+I960</f>
        <v>932.40000000000009</v>
      </c>
      <c r="J958" s="128">
        <f t="shared" si="281"/>
        <v>661.40000000000009</v>
      </c>
      <c r="K958" s="128">
        <f t="shared" si="281"/>
        <v>55</v>
      </c>
      <c r="L958" s="565">
        <f t="shared" si="281"/>
        <v>580386</v>
      </c>
      <c r="M958" s="565">
        <f t="shared" si="281"/>
        <v>0</v>
      </c>
      <c r="N958" s="565">
        <f t="shared" si="281"/>
        <v>0</v>
      </c>
      <c r="O958" s="565">
        <f t="shared" si="281"/>
        <v>580386</v>
      </c>
      <c r="P958" s="565">
        <f t="shared" si="281"/>
        <v>0</v>
      </c>
      <c r="Q958" s="106" t="s">
        <v>40</v>
      </c>
      <c r="R958" s="114" t="s">
        <v>40</v>
      </c>
      <c r="S958" s="326">
        <v>43465</v>
      </c>
    </row>
    <row r="959" spans="1:19" s="1" customFormat="1" ht="40.9" customHeight="1">
      <c r="A959" s="107"/>
      <c r="B959" s="945" t="s">
        <v>996</v>
      </c>
      <c r="C959" s="118">
        <v>1965</v>
      </c>
      <c r="D959" s="945"/>
      <c r="E959" s="944" t="s">
        <v>218</v>
      </c>
      <c r="F959" s="945">
        <v>2</v>
      </c>
      <c r="G959" s="945">
        <v>3</v>
      </c>
      <c r="H959" s="128">
        <v>445.8</v>
      </c>
      <c r="I959" s="106">
        <v>445.8</v>
      </c>
      <c r="J959" s="106">
        <v>316.60000000000002</v>
      </c>
      <c r="K959" s="119">
        <v>13</v>
      </c>
      <c r="L959" s="113">
        <v>290233</v>
      </c>
      <c r="M959" s="113">
        <v>0</v>
      </c>
      <c r="N959" s="113">
        <v>0</v>
      </c>
      <c r="O959" s="113">
        <v>290233</v>
      </c>
      <c r="P959" s="113">
        <v>0</v>
      </c>
      <c r="Q959" s="106">
        <f>L959/I959</f>
        <v>651.03858232391201</v>
      </c>
      <c r="R959" s="114">
        <v>7920</v>
      </c>
      <c r="S959" s="326">
        <v>43465</v>
      </c>
    </row>
    <row r="960" spans="1:19" s="1" customFormat="1" ht="31.5">
      <c r="A960" s="107"/>
      <c r="B960" s="945" t="s">
        <v>997</v>
      </c>
      <c r="C960" s="118">
        <v>1965</v>
      </c>
      <c r="D960" s="304"/>
      <c r="E960" s="109" t="s">
        <v>218</v>
      </c>
      <c r="F960" s="118">
        <v>2</v>
      </c>
      <c r="G960" s="118">
        <v>3</v>
      </c>
      <c r="H960" s="128">
        <v>486.6</v>
      </c>
      <c r="I960" s="106">
        <v>486.6</v>
      </c>
      <c r="J960" s="106">
        <v>344.8</v>
      </c>
      <c r="K960" s="119">
        <v>42</v>
      </c>
      <c r="L960" s="113">
        <v>290153</v>
      </c>
      <c r="M960" s="113">
        <v>0</v>
      </c>
      <c r="N960" s="113">
        <v>0</v>
      </c>
      <c r="O960" s="113">
        <v>290153</v>
      </c>
      <c r="P960" s="113">
        <v>0</v>
      </c>
      <c r="Q960" s="106">
        <f>L960/I960</f>
        <v>596.28647759967112</v>
      </c>
      <c r="R960" s="114">
        <v>7920</v>
      </c>
      <c r="S960" s="326">
        <v>43465</v>
      </c>
    </row>
    <row r="961" spans="1:19" s="1" customFormat="1" ht="15.75" customHeight="1">
      <c r="A961" s="107"/>
      <c r="B961" s="1294" t="s">
        <v>111</v>
      </c>
      <c r="C961" s="1294"/>
      <c r="D961" s="1294"/>
      <c r="E961" s="1294"/>
      <c r="F961" s="1294"/>
      <c r="G961" s="1294"/>
      <c r="H961" s="128">
        <f>H962</f>
        <v>533.5</v>
      </c>
      <c r="I961" s="128">
        <f t="shared" ref="I961:J961" si="282">I962</f>
        <v>525.5</v>
      </c>
      <c r="J961" s="128">
        <f t="shared" si="282"/>
        <v>294.10000000000002</v>
      </c>
      <c r="K961" s="119">
        <f>K962</f>
        <v>54</v>
      </c>
      <c r="L961" s="113">
        <f>L962</f>
        <v>657835.92000000004</v>
      </c>
      <c r="M961" s="113">
        <f t="shared" ref="M961:P961" si="283">M962</f>
        <v>0</v>
      </c>
      <c r="N961" s="113">
        <f t="shared" si="283"/>
        <v>146321.84</v>
      </c>
      <c r="O961" s="113">
        <f t="shared" si="283"/>
        <v>511514.08</v>
      </c>
      <c r="P961" s="113">
        <f t="shared" si="283"/>
        <v>0</v>
      </c>
      <c r="Q961" s="106" t="s">
        <v>40</v>
      </c>
      <c r="R961" s="106" t="s">
        <v>40</v>
      </c>
      <c r="S961" s="326">
        <v>43465</v>
      </c>
    </row>
    <row r="962" spans="1:19" s="1" customFormat="1" ht="31.5">
      <c r="A962" s="107"/>
      <c r="B962" s="303" t="s">
        <v>420</v>
      </c>
      <c r="C962" s="302">
        <v>1967</v>
      </c>
      <c r="D962" s="304"/>
      <c r="E962" s="109" t="s">
        <v>218</v>
      </c>
      <c r="F962" s="118">
        <v>2</v>
      </c>
      <c r="G962" s="118">
        <v>2</v>
      </c>
      <c r="H962" s="128">
        <v>533.5</v>
      </c>
      <c r="I962" s="106">
        <v>525.5</v>
      </c>
      <c r="J962" s="106">
        <v>294.10000000000002</v>
      </c>
      <c r="K962" s="119">
        <v>54</v>
      </c>
      <c r="L962" s="113">
        <v>657835.92000000004</v>
      </c>
      <c r="M962" s="113">
        <v>0</v>
      </c>
      <c r="N962" s="113">
        <v>146321.84</v>
      </c>
      <c r="O962" s="113">
        <v>511514.08</v>
      </c>
      <c r="P962" s="113">
        <v>0</v>
      </c>
      <c r="Q962" s="106">
        <f>L961/I962</f>
        <v>1251.828582302569</v>
      </c>
      <c r="R962" s="114">
        <v>6774</v>
      </c>
      <c r="S962" s="326">
        <v>43465</v>
      </c>
    </row>
    <row r="963" spans="1:19" s="1" customFormat="1" ht="15.75">
      <c r="A963" s="318"/>
      <c r="B963" s="1346" t="s">
        <v>129</v>
      </c>
      <c r="C963" s="1346"/>
      <c r="D963" s="1346"/>
      <c r="E963" s="1346"/>
      <c r="F963" s="1346"/>
      <c r="G963" s="1346"/>
      <c r="H963" s="341">
        <f>H964</f>
        <v>1028</v>
      </c>
      <c r="I963" s="341">
        <f t="shared" ref="I963:P963" si="284">I964</f>
        <v>955</v>
      </c>
      <c r="J963" s="341">
        <f t="shared" si="284"/>
        <v>955</v>
      </c>
      <c r="K963" s="341">
        <f t="shared" si="284"/>
        <v>47</v>
      </c>
      <c r="L963" s="675">
        <f t="shared" si="284"/>
        <v>1430935</v>
      </c>
      <c r="M963" s="675">
        <f t="shared" si="284"/>
        <v>0</v>
      </c>
      <c r="N963" s="675">
        <f t="shared" si="284"/>
        <v>0</v>
      </c>
      <c r="O963" s="675">
        <f t="shared" si="284"/>
        <v>1430935</v>
      </c>
      <c r="P963" s="675">
        <f t="shared" si="284"/>
        <v>0</v>
      </c>
      <c r="Q963" s="344" t="s">
        <v>40</v>
      </c>
      <c r="R963" s="325" t="s">
        <v>40</v>
      </c>
      <c r="S963" s="326">
        <v>43465</v>
      </c>
    </row>
    <row r="964" spans="1:19" s="59" customFormat="1" ht="31.5">
      <c r="A964" s="318"/>
      <c r="B964" s="942" t="s">
        <v>682</v>
      </c>
      <c r="C964" s="320">
        <v>1972</v>
      </c>
      <c r="D964" s="320"/>
      <c r="E964" s="321" t="s">
        <v>218</v>
      </c>
      <c r="F964" s="320">
        <v>3</v>
      </c>
      <c r="G964" s="320">
        <v>2</v>
      </c>
      <c r="H964" s="318">
        <v>1028</v>
      </c>
      <c r="I964" s="320">
        <v>955</v>
      </c>
      <c r="J964" s="320">
        <v>955</v>
      </c>
      <c r="K964" s="320">
        <v>47</v>
      </c>
      <c r="L964" s="324">
        <v>1430935</v>
      </c>
      <c r="M964" s="324">
        <v>0</v>
      </c>
      <c r="N964" s="324">
        <v>0</v>
      </c>
      <c r="O964" s="324">
        <v>1430935</v>
      </c>
      <c r="P964" s="324">
        <v>0</v>
      </c>
      <c r="Q964" s="325">
        <f>L964/I964</f>
        <v>1498.3612565445026</v>
      </c>
      <c r="R964" s="325">
        <v>7920</v>
      </c>
      <c r="S964" s="326">
        <v>43465</v>
      </c>
    </row>
    <row r="965" spans="1:19" s="59" customFormat="1" ht="15.75">
      <c r="A965" s="318"/>
      <c r="B965" s="336"/>
      <c r="C965" s="320"/>
      <c r="D965" s="320"/>
      <c r="E965" s="321"/>
      <c r="F965" s="320"/>
      <c r="G965" s="320"/>
      <c r="H965" s="320"/>
      <c r="I965" s="320"/>
      <c r="J965" s="320"/>
      <c r="K965" s="320"/>
      <c r="L965" s="324"/>
      <c r="M965" s="324"/>
      <c r="N965" s="324"/>
      <c r="O965" s="324"/>
      <c r="P965" s="324"/>
      <c r="Q965" s="325"/>
      <c r="R965" s="325"/>
      <c r="S965" s="326"/>
    </row>
    <row r="966" spans="1:19" s="59" customFormat="1" ht="15.75">
      <c r="A966" s="318"/>
      <c r="B966" s="336"/>
      <c r="C966" s="320"/>
      <c r="D966" s="320"/>
      <c r="E966" s="321"/>
      <c r="F966" s="320"/>
      <c r="G966" s="320"/>
      <c r="H966" s="320"/>
      <c r="I966" s="320"/>
      <c r="J966" s="320"/>
      <c r="K966" s="320"/>
      <c r="L966" s="324"/>
      <c r="M966" s="324"/>
      <c r="N966" s="324"/>
      <c r="O966" s="324"/>
      <c r="P966" s="324"/>
      <c r="Q966" s="325"/>
      <c r="R966" s="325"/>
      <c r="S966" s="326"/>
    </row>
    <row r="967" spans="1:19" s="59" customFormat="1" ht="15.75">
      <c r="A967" s="318"/>
      <c r="B967" s="336"/>
      <c r="C967" s="320"/>
      <c r="D967" s="320"/>
      <c r="E967" s="321"/>
      <c r="F967" s="320"/>
      <c r="G967" s="320"/>
      <c r="H967" s="320"/>
      <c r="I967" s="320"/>
      <c r="J967" s="320"/>
      <c r="K967" s="320"/>
      <c r="L967" s="324"/>
      <c r="M967" s="324"/>
      <c r="N967" s="324"/>
      <c r="O967" s="324"/>
      <c r="P967" s="324"/>
      <c r="Q967" s="325"/>
      <c r="R967" s="325"/>
      <c r="S967" s="326"/>
    </row>
    <row r="968" spans="1:19" s="1" customFormat="1" ht="15.75">
      <c r="A968" s="107"/>
      <c r="B968" s="1292" t="s">
        <v>54</v>
      </c>
      <c r="C968" s="1292"/>
      <c r="D968" s="1292"/>
      <c r="E968" s="1292"/>
      <c r="F968" s="1292"/>
      <c r="G968" s="1292"/>
      <c r="H968" s="128">
        <f>H969</f>
        <v>1983</v>
      </c>
      <c r="I968" s="106">
        <f t="shared" ref="I968:P968" si="285">I969</f>
        <v>1780.1</v>
      </c>
      <c r="J968" s="106">
        <f t="shared" si="285"/>
        <v>1780.1</v>
      </c>
      <c r="K968" s="119">
        <f t="shared" si="285"/>
        <v>80</v>
      </c>
      <c r="L968" s="113">
        <f t="shared" si="285"/>
        <v>2222747</v>
      </c>
      <c r="M968" s="113">
        <f t="shared" si="285"/>
        <v>0</v>
      </c>
      <c r="N968" s="113">
        <f t="shared" si="285"/>
        <v>0</v>
      </c>
      <c r="O968" s="113">
        <f t="shared" si="285"/>
        <v>2222747</v>
      </c>
      <c r="P968" s="113">
        <f t="shared" si="285"/>
        <v>0</v>
      </c>
      <c r="Q968" s="106" t="s">
        <v>40</v>
      </c>
      <c r="R968" s="106" t="s">
        <v>40</v>
      </c>
      <c r="S968" s="326">
        <v>43465</v>
      </c>
    </row>
    <row r="969" spans="1:19" s="1" customFormat="1" ht="15.75" customHeight="1">
      <c r="A969" s="107"/>
      <c r="B969" s="1294" t="s">
        <v>112</v>
      </c>
      <c r="C969" s="1294"/>
      <c r="D969" s="1294"/>
      <c r="E969" s="1294"/>
      <c r="F969" s="1294"/>
      <c r="G969" s="1294"/>
      <c r="H969" s="128">
        <f>SUM(H970:H972)</f>
        <v>1983</v>
      </c>
      <c r="I969" s="106">
        <f t="shared" ref="I969:P969" si="286">SUM(I970:I972)</f>
        <v>1780.1</v>
      </c>
      <c r="J969" s="106">
        <f t="shared" si="286"/>
        <v>1780.1</v>
      </c>
      <c r="K969" s="119">
        <f t="shared" si="286"/>
        <v>80</v>
      </c>
      <c r="L969" s="113">
        <f t="shared" si="286"/>
        <v>2222747</v>
      </c>
      <c r="M969" s="113">
        <f t="shared" si="286"/>
        <v>0</v>
      </c>
      <c r="N969" s="113">
        <f t="shared" si="286"/>
        <v>0</v>
      </c>
      <c r="O969" s="113">
        <f t="shared" si="286"/>
        <v>2222747</v>
      </c>
      <c r="P969" s="113">
        <f t="shared" si="286"/>
        <v>0</v>
      </c>
      <c r="Q969" s="106" t="s">
        <v>40</v>
      </c>
      <c r="R969" s="106" t="s">
        <v>40</v>
      </c>
      <c r="S969" s="326">
        <v>43465</v>
      </c>
    </row>
    <row r="970" spans="1:19" s="35" customFormat="1" ht="31.5">
      <c r="A970" s="107"/>
      <c r="B970" s="301" t="s">
        <v>422</v>
      </c>
      <c r="C970" s="107">
        <v>1972</v>
      </c>
      <c r="D970" s="173"/>
      <c r="E970" s="109" t="s">
        <v>218</v>
      </c>
      <c r="F970" s="108">
        <v>2</v>
      </c>
      <c r="G970" s="108">
        <v>2</v>
      </c>
      <c r="H970" s="111">
        <v>778.9</v>
      </c>
      <c r="I970" s="126">
        <v>719.8</v>
      </c>
      <c r="J970" s="126">
        <v>719.8</v>
      </c>
      <c r="K970" s="112">
        <v>27</v>
      </c>
      <c r="L970" s="113">
        <v>1003542</v>
      </c>
      <c r="M970" s="113">
        <v>0</v>
      </c>
      <c r="N970" s="113">
        <v>0</v>
      </c>
      <c r="O970" s="113">
        <f>L970</f>
        <v>1003542</v>
      </c>
      <c r="P970" s="113">
        <v>0</v>
      </c>
      <c r="Q970" s="114">
        <f>L970/I970</f>
        <v>1394.1956098916366</v>
      </c>
      <c r="R970" s="114">
        <v>6774</v>
      </c>
      <c r="S970" s="326">
        <v>43465</v>
      </c>
    </row>
    <row r="971" spans="1:19" s="35" customFormat="1" ht="31.5">
      <c r="A971" s="107"/>
      <c r="B971" s="301" t="s">
        <v>421</v>
      </c>
      <c r="C971" s="177">
        <v>1980</v>
      </c>
      <c r="D971" s="178"/>
      <c r="E971" s="109" t="s">
        <v>218</v>
      </c>
      <c r="F971" s="108">
        <v>3</v>
      </c>
      <c r="G971" s="108">
        <v>2</v>
      </c>
      <c r="H971" s="111">
        <v>928.6</v>
      </c>
      <c r="I971" s="126">
        <v>843.2</v>
      </c>
      <c r="J971" s="126">
        <v>843.2</v>
      </c>
      <c r="K971" s="112">
        <v>39</v>
      </c>
      <c r="L971" s="113">
        <v>740146</v>
      </c>
      <c r="M971" s="113">
        <v>0</v>
      </c>
      <c r="N971" s="113">
        <v>0</v>
      </c>
      <c r="O971" s="113">
        <f>L971</f>
        <v>740146</v>
      </c>
      <c r="P971" s="113">
        <v>0</v>
      </c>
      <c r="Q971" s="114">
        <f>L971/I971</f>
        <v>877.7822580645161</v>
      </c>
      <c r="R971" s="114">
        <v>6774</v>
      </c>
      <c r="S971" s="326">
        <v>43465</v>
      </c>
    </row>
    <row r="972" spans="1:19" s="35" customFormat="1" ht="15.75">
      <c r="A972" s="107"/>
      <c r="B972" s="301" t="s">
        <v>423</v>
      </c>
      <c r="C972" s="108">
        <v>1965</v>
      </c>
      <c r="D972" s="173"/>
      <c r="E972" s="109" t="s">
        <v>221</v>
      </c>
      <c r="F972" s="108">
        <v>2</v>
      </c>
      <c r="G972" s="108">
        <v>2</v>
      </c>
      <c r="H972" s="111">
        <v>275.5</v>
      </c>
      <c r="I972" s="126">
        <v>217.1</v>
      </c>
      <c r="J972" s="126">
        <v>217.1</v>
      </c>
      <c r="K972" s="112">
        <v>14</v>
      </c>
      <c r="L972" s="113">
        <v>479059</v>
      </c>
      <c r="M972" s="113">
        <v>0</v>
      </c>
      <c r="N972" s="113">
        <v>0</v>
      </c>
      <c r="O972" s="113">
        <f>L972</f>
        <v>479059</v>
      </c>
      <c r="P972" s="113">
        <v>0</v>
      </c>
      <c r="Q972" s="114">
        <f>L972/I972</f>
        <v>2206.6282818977429</v>
      </c>
      <c r="R972" s="114">
        <v>6774</v>
      </c>
      <c r="S972" s="326">
        <v>43465</v>
      </c>
    </row>
    <row r="973" spans="1:19" s="1" customFormat="1" ht="15.75">
      <c r="A973" s="107"/>
      <c r="B973" s="1292" t="s">
        <v>55</v>
      </c>
      <c r="C973" s="1292"/>
      <c r="D973" s="1292"/>
      <c r="E973" s="1292"/>
      <c r="F973" s="1292"/>
      <c r="G973" s="1292"/>
      <c r="H973" s="128">
        <f>H974</f>
        <v>561.4</v>
      </c>
      <c r="I973" s="106">
        <f t="shared" ref="I973:R974" si="287">I974</f>
        <v>513.79999999999995</v>
      </c>
      <c r="J973" s="106">
        <f t="shared" si="287"/>
        <v>450.8</v>
      </c>
      <c r="K973" s="119">
        <f t="shared" si="287"/>
        <v>19</v>
      </c>
      <c r="L973" s="113">
        <f t="shared" si="287"/>
        <v>1739787</v>
      </c>
      <c r="M973" s="113">
        <f t="shared" si="287"/>
        <v>0</v>
      </c>
      <c r="N973" s="113">
        <f t="shared" si="287"/>
        <v>0</v>
      </c>
      <c r="O973" s="113">
        <f t="shared" si="287"/>
        <v>1739787</v>
      </c>
      <c r="P973" s="113">
        <f t="shared" si="287"/>
        <v>0</v>
      </c>
      <c r="Q973" s="106" t="str">
        <f t="shared" si="287"/>
        <v>Х</v>
      </c>
      <c r="R973" s="106" t="str">
        <f t="shared" si="287"/>
        <v>Х</v>
      </c>
      <c r="S973" s="326">
        <v>43465</v>
      </c>
    </row>
    <row r="974" spans="1:19" s="1" customFormat="1" ht="15.75">
      <c r="A974" s="107"/>
      <c r="B974" s="1292" t="s">
        <v>122</v>
      </c>
      <c r="C974" s="1292"/>
      <c r="D974" s="1292"/>
      <c r="E974" s="1292"/>
      <c r="F974" s="1292"/>
      <c r="G974" s="1292"/>
      <c r="H974" s="128">
        <f>H975</f>
        <v>561.4</v>
      </c>
      <c r="I974" s="128">
        <f t="shared" si="287"/>
        <v>513.79999999999995</v>
      </c>
      <c r="J974" s="128">
        <f t="shared" si="287"/>
        <v>450.8</v>
      </c>
      <c r="K974" s="128">
        <f t="shared" si="287"/>
        <v>19</v>
      </c>
      <c r="L974" s="366">
        <f t="shared" si="287"/>
        <v>1739787</v>
      </c>
      <c r="M974" s="366">
        <f t="shared" si="287"/>
        <v>0</v>
      </c>
      <c r="N974" s="366">
        <f t="shared" si="287"/>
        <v>0</v>
      </c>
      <c r="O974" s="366">
        <f t="shared" si="287"/>
        <v>1739787</v>
      </c>
      <c r="P974" s="366">
        <f t="shared" si="287"/>
        <v>0</v>
      </c>
      <c r="Q974" s="106" t="s">
        <v>40</v>
      </c>
      <c r="R974" s="114" t="s">
        <v>40</v>
      </c>
      <c r="S974" s="326">
        <v>43465</v>
      </c>
    </row>
    <row r="975" spans="1:19" s="1" customFormat="1" ht="15.75">
      <c r="A975" s="318"/>
      <c r="B975" s="336" t="s">
        <v>602</v>
      </c>
      <c r="C975" s="554" t="s">
        <v>603</v>
      </c>
      <c r="D975" s="320"/>
      <c r="E975" s="321" t="s">
        <v>220</v>
      </c>
      <c r="F975" s="320">
        <v>2</v>
      </c>
      <c r="G975" s="320">
        <v>2</v>
      </c>
      <c r="H975" s="322">
        <v>561.4</v>
      </c>
      <c r="I975" s="325">
        <v>513.79999999999995</v>
      </c>
      <c r="J975" s="325">
        <v>450.8</v>
      </c>
      <c r="K975" s="323">
        <v>19</v>
      </c>
      <c r="L975" s="324">
        <v>1739787</v>
      </c>
      <c r="M975" s="324">
        <v>0</v>
      </c>
      <c r="N975" s="324">
        <v>0</v>
      </c>
      <c r="O975" s="324">
        <v>1739787</v>
      </c>
      <c r="P975" s="324">
        <v>0</v>
      </c>
      <c r="Q975" s="325">
        <f>L975/I975</f>
        <v>3386.1171662125344</v>
      </c>
      <c r="R975" s="325">
        <v>7920</v>
      </c>
      <c r="S975" s="326">
        <v>43465</v>
      </c>
    </row>
    <row r="976" spans="1:19" s="1" customFormat="1" ht="15.75">
      <c r="A976" s="318"/>
      <c r="B976" s="336"/>
      <c r="C976" s="554"/>
      <c r="D976" s="320"/>
      <c r="E976" s="321"/>
      <c r="F976" s="320"/>
      <c r="G976" s="320"/>
      <c r="H976" s="322"/>
      <c r="I976" s="325"/>
      <c r="J976" s="325"/>
      <c r="K976" s="323"/>
      <c r="L976" s="324"/>
      <c r="M976" s="324"/>
      <c r="N976" s="324"/>
      <c r="O976" s="324"/>
      <c r="P976" s="324"/>
      <c r="Q976" s="325"/>
      <c r="R976" s="325"/>
      <c r="S976" s="326"/>
    </row>
    <row r="977" spans="1:19" s="1" customFormat="1" ht="15.75">
      <c r="A977" s="318"/>
      <c r="B977" s="336"/>
      <c r="C977" s="554"/>
      <c r="D977" s="320"/>
      <c r="E977" s="321"/>
      <c r="F977" s="320"/>
      <c r="G977" s="320"/>
      <c r="H977" s="322"/>
      <c r="I977" s="325"/>
      <c r="J977" s="325"/>
      <c r="K977" s="323"/>
      <c r="L977" s="324"/>
      <c r="M977" s="324"/>
      <c r="N977" s="324"/>
      <c r="O977" s="324"/>
      <c r="P977" s="324"/>
      <c r="Q977" s="325"/>
      <c r="R977" s="325"/>
      <c r="S977" s="326"/>
    </row>
    <row r="978" spans="1:19" s="1" customFormat="1" ht="15.75">
      <c r="A978" s="107"/>
      <c r="B978" s="1292" t="s">
        <v>56</v>
      </c>
      <c r="C978" s="1292"/>
      <c r="D978" s="1292"/>
      <c r="E978" s="1292"/>
      <c r="F978" s="1292"/>
      <c r="G978" s="1292"/>
      <c r="H978" s="128">
        <f t="shared" ref="H978:P978" si="288">H986+H979+H990</f>
        <v>8391.7000000000007</v>
      </c>
      <c r="I978" s="106">
        <f t="shared" si="288"/>
        <v>6727.7999999999993</v>
      </c>
      <c r="J978" s="106">
        <f t="shared" si="288"/>
        <v>5681.7</v>
      </c>
      <c r="K978" s="119">
        <f t="shared" si="288"/>
        <v>401</v>
      </c>
      <c r="L978" s="113">
        <f t="shared" si="288"/>
        <v>11022985.029999999</v>
      </c>
      <c r="M978" s="113">
        <f t="shared" si="288"/>
        <v>0</v>
      </c>
      <c r="N978" s="113">
        <f t="shared" si="288"/>
        <v>0</v>
      </c>
      <c r="O978" s="113">
        <f t="shared" si="288"/>
        <v>11022985.029999999</v>
      </c>
      <c r="P978" s="113">
        <f t="shared" si="288"/>
        <v>0</v>
      </c>
      <c r="Q978" s="106" t="str">
        <f t="shared" ref="Q978:R978" si="289">Q979</f>
        <v>Х</v>
      </c>
      <c r="R978" s="106" t="str">
        <f t="shared" si="289"/>
        <v>Х</v>
      </c>
      <c r="S978" s="326">
        <v>43465</v>
      </c>
    </row>
    <row r="979" spans="1:19" s="18" customFormat="1" ht="22.9" customHeight="1">
      <c r="A979" s="318"/>
      <c r="B979" s="1349" t="s">
        <v>424</v>
      </c>
      <c r="C979" s="1349"/>
      <c r="D979" s="1349"/>
      <c r="E979" s="1349"/>
      <c r="F979" s="1356"/>
      <c r="G979" s="1356"/>
      <c r="H979" s="733">
        <f>SUM(H980:H985)</f>
        <v>5703</v>
      </c>
      <c r="I979" s="733">
        <f t="shared" ref="I979:P979" si="290">SUM(I980:I985)</f>
        <v>4172.7</v>
      </c>
      <c r="J979" s="733">
        <f t="shared" si="290"/>
        <v>3504.7999999999997</v>
      </c>
      <c r="K979" s="733">
        <f t="shared" si="290"/>
        <v>262</v>
      </c>
      <c r="L979" s="734">
        <f t="shared" si="290"/>
        <v>8669678</v>
      </c>
      <c r="M979" s="734">
        <f t="shared" si="290"/>
        <v>0</v>
      </c>
      <c r="N979" s="734">
        <f t="shared" si="290"/>
        <v>0</v>
      </c>
      <c r="O979" s="734">
        <f t="shared" si="290"/>
        <v>8669678</v>
      </c>
      <c r="P979" s="734">
        <f t="shared" si="290"/>
        <v>0</v>
      </c>
      <c r="Q979" s="735" t="s">
        <v>40</v>
      </c>
      <c r="R979" s="736" t="s">
        <v>40</v>
      </c>
      <c r="S979" s="326">
        <v>43465</v>
      </c>
    </row>
    <row r="980" spans="1:19" s="62" customFormat="1" ht="31.5">
      <c r="A980" s="318"/>
      <c r="B980" s="618" t="s">
        <v>708</v>
      </c>
      <c r="C980" s="318" t="s">
        <v>714</v>
      </c>
      <c r="D980" s="318"/>
      <c r="E980" s="737" t="s">
        <v>218</v>
      </c>
      <c r="F980" s="318">
        <v>2</v>
      </c>
      <c r="G980" s="318">
        <v>1</v>
      </c>
      <c r="H980" s="318">
        <v>496.4</v>
      </c>
      <c r="I980" s="318">
        <v>286.2</v>
      </c>
      <c r="J980" s="318">
        <v>286.2</v>
      </c>
      <c r="K980" s="318">
        <v>10</v>
      </c>
      <c r="L980" s="738">
        <v>435475</v>
      </c>
      <c r="M980" s="738">
        <v>0</v>
      </c>
      <c r="N980" s="738">
        <v>0</v>
      </c>
      <c r="O980" s="738">
        <v>435475</v>
      </c>
      <c r="P980" s="738">
        <v>0</v>
      </c>
      <c r="Q980" s="738">
        <f t="shared" ref="Q980:Q985" si="291">L980/I980</f>
        <v>1521.575821104123</v>
      </c>
      <c r="R980" s="738">
        <v>7920</v>
      </c>
      <c r="S980" s="622">
        <v>43465</v>
      </c>
    </row>
    <row r="981" spans="1:19" s="62" customFormat="1" ht="31.5">
      <c r="A981" s="318"/>
      <c r="B981" s="739" t="s">
        <v>709</v>
      </c>
      <c r="C981" s="318">
        <v>1963</v>
      </c>
      <c r="D981" s="318"/>
      <c r="E981" s="737" t="s">
        <v>218</v>
      </c>
      <c r="F981" s="318">
        <v>2</v>
      </c>
      <c r="G981" s="318">
        <v>2</v>
      </c>
      <c r="H981" s="318">
        <v>403.2</v>
      </c>
      <c r="I981" s="318">
        <v>356.4</v>
      </c>
      <c r="J981" s="318">
        <v>356.4</v>
      </c>
      <c r="K981" s="318">
        <v>26</v>
      </c>
      <c r="L981" s="738">
        <v>1920530</v>
      </c>
      <c r="M981" s="738">
        <v>0</v>
      </c>
      <c r="N981" s="738">
        <v>0</v>
      </c>
      <c r="O981" s="738">
        <v>1920530</v>
      </c>
      <c r="P981" s="738">
        <v>0</v>
      </c>
      <c r="Q981" s="738">
        <f t="shared" si="291"/>
        <v>5388.6924803591473</v>
      </c>
      <c r="R981" s="738">
        <v>7920</v>
      </c>
      <c r="S981" s="622">
        <v>43465</v>
      </c>
    </row>
    <row r="982" spans="1:19" s="62" customFormat="1" ht="31.5">
      <c r="A982" s="318"/>
      <c r="B982" s="618" t="s">
        <v>710</v>
      </c>
      <c r="C982" s="318">
        <v>1966</v>
      </c>
      <c r="D982" s="318"/>
      <c r="E982" s="737" t="s">
        <v>218</v>
      </c>
      <c r="F982" s="318">
        <v>3</v>
      </c>
      <c r="G982" s="318">
        <v>2</v>
      </c>
      <c r="H982" s="318">
        <v>892.3</v>
      </c>
      <c r="I982" s="318">
        <v>581.6</v>
      </c>
      <c r="J982" s="318">
        <v>427.1</v>
      </c>
      <c r="K982" s="318">
        <v>47</v>
      </c>
      <c r="L982" s="738">
        <v>957137</v>
      </c>
      <c r="M982" s="738">
        <v>0</v>
      </c>
      <c r="N982" s="738">
        <v>0</v>
      </c>
      <c r="O982" s="738">
        <v>957137</v>
      </c>
      <c r="P982" s="738">
        <v>0</v>
      </c>
      <c r="Q982" s="738">
        <f t="shared" si="291"/>
        <v>1645.6963548830811</v>
      </c>
      <c r="R982" s="738">
        <v>7920</v>
      </c>
      <c r="S982" s="622">
        <v>43465</v>
      </c>
    </row>
    <row r="983" spans="1:19" s="62" customFormat="1" ht="31.5">
      <c r="A983" s="318"/>
      <c r="B983" s="616" t="s">
        <v>711</v>
      </c>
      <c r="C983" s="318">
        <v>1962</v>
      </c>
      <c r="D983" s="318"/>
      <c r="E983" s="737" t="s">
        <v>218</v>
      </c>
      <c r="F983" s="318">
        <v>2</v>
      </c>
      <c r="G983" s="318">
        <v>2</v>
      </c>
      <c r="H983" s="318">
        <v>517.5</v>
      </c>
      <c r="I983" s="318">
        <v>458.6</v>
      </c>
      <c r="J983" s="318">
        <v>384.7</v>
      </c>
      <c r="K983" s="318">
        <v>16</v>
      </c>
      <c r="L983" s="738">
        <v>1620768</v>
      </c>
      <c r="M983" s="738">
        <v>0</v>
      </c>
      <c r="N983" s="738">
        <v>0</v>
      </c>
      <c r="O983" s="738">
        <v>1620768</v>
      </c>
      <c r="P983" s="738">
        <v>0</v>
      </c>
      <c r="Q983" s="738">
        <f t="shared" si="291"/>
        <v>3534.1648495420845</v>
      </c>
      <c r="R983" s="738">
        <v>7920</v>
      </c>
      <c r="S983" s="622">
        <v>43465</v>
      </c>
    </row>
    <row r="984" spans="1:19" s="62" customFormat="1" ht="31.5">
      <c r="A984" s="318"/>
      <c r="B984" s="618" t="s">
        <v>712</v>
      </c>
      <c r="C984" s="318">
        <v>1958</v>
      </c>
      <c r="D984" s="318"/>
      <c r="E984" s="737" t="s">
        <v>218</v>
      </c>
      <c r="F984" s="318">
        <v>2</v>
      </c>
      <c r="G984" s="318">
        <v>2</v>
      </c>
      <c r="H984" s="318">
        <v>859.2</v>
      </c>
      <c r="I984" s="318">
        <v>800.4</v>
      </c>
      <c r="J984" s="318">
        <v>673.3</v>
      </c>
      <c r="K984" s="318">
        <v>32</v>
      </c>
      <c r="L984" s="738">
        <v>1496185</v>
      </c>
      <c r="M984" s="738">
        <v>0</v>
      </c>
      <c r="N984" s="738">
        <v>0</v>
      </c>
      <c r="O984" s="738">
        <v>1496185</v>
      </c>
      <c r="P984" s="738">
        <v>0</v>
      </c>
      <c r="Q984" s="738">
        <f t="shared" si="291"/>
        <v>1869.2966016991504</v>
      </c>
      <c r="R984" s="738">
        <v>7920</v>
      </c>
      <c r="S984" s="622">
        <v>43465</v>
      </c>
    </row>
    <row r="985" spans="1:19" s="62" customFormat="1" ht="31.5">
      <c r="A985" s="318"/>
      <c r="B985" s="616" t="s">
        <v>713</v>
      </c>
      <c r="C985" s="318">
        <v>1970</v>
      </c>
      <c r="D985" s="318"/>
      <c r="E985" s="737" t="s">
        <v>218</v>
      </c>
      <c r="F985" s="318">
        <v>4</v>
      </c>
      <c r="G985" s="318">
        <v>1</v>
      </c>
      <c r="H985" s="318">
        <v>2534.4</v>
      </c>
      <c r="I985" s="318">
        <v>1689.5</v>
      </c>
      <c r="J985" s="318">
        <v>1377.1</v>
      </c>
      <c r="K985" s="318">
        <v>131</v>
      </c>
      <c r="L985" s="738">
        <v>2239583</v>
      </c>
      <c r="M985" s="738">
        <v>0</v>
      </c>
      <c r="N985" s="738">
        <v>0</v>
      </c>
      <c r="O985" s="738">
        <v>2239583</v>
      </c>
      <c r="P985" s="738">
        <v>0</v>
      </c>
      <c r="Q985" s="738">
        <f t="shared" si="291"/>
        <v>1325.589227582125</v>
      </c>
      <c r="R985" s="738">
        <v>7920</v>
      </c>
      <c r="S985" s="622">
        <v>43465</v>
      </c>
    </row>
    <row r="986" spans="1:19" s="1" customFormat="1" ht="21.6" customHeight="1">
      <c r="A986" s="107"/>
      <c r="B986" s="1294" t="s">
        <v>121</v>
      </c>
      <c r="C986" s="1294"/>
      <c r="D986" s="1294"/>
      <c r="E986" s="1294"/>
      <c r="F986" s="1294"/>
      <c r="G986" s="1294"/>
      <c r="H986" s="128">
        <f>H987+H988+H989</f>
        <v>1293.3000000000002</v>
      </c>
      <c r="I986" s="128">
        <f t="shared" ref="I986:P986" si="292">I987+I988+I989</f>
        <v>1159.6999999999998</v>
      </c>
      <c r="J986" s="128">
        <f t="shared" si="292"/>
        <v>849.40000000000009</v>
      </c>
      <c r="K986" s="128">
        <f t="shared" si="292"/>
        <v>57</v>
      </c>
      <c r="L986" s="565">
        <f t="shared" si="292"/>
        <v>2114731</v>
      </c>
      <c r="M986" s="565">
        <f t="shared" si="292"/>
        <v>0</v>
      </c>
      <c r="N986" s="565">
        <f t="shared" si="292"/>
        <v>0</v>
      </c>
      <c r="O986" s="565">
        <f t="shared" si="292"/>
        <v>2114731</v>
      </c>
      <c r="P986" s="565">
        <f t="shared" si="292"/>
        <v>0</v>
      </c>
      <c r="Q986" s="106" t="s">
        <v>40</v>
      </c>
      <c r="R986" s="106" t="s">
        <v>40</v>
      </c>
      <c r="S986" s="622">
        <v>43465</v>
      </c>
    </row>
    <row r="987" spans="1:19" s="1" customFormat="1" ht="30.6" customHeight="1">
      <c r="A987" s="107"/>
      <c r="B987" s="934" t="s">
        <v>990</v>
      </c>
      <c r="C987" s="935">
        <v>1956</v>
      </c>
      <c r="D987" s="934"/>
      <c r="E987" s="935" t="s">
        <v>218</v>
      </c>
      <c r="F987" s="935">
        <v>2</v>
      </c>
      <c r="G987" s="935">
        <v>2</v>
      </c>
      <c r="H987" s="128">
        <v>432.6</v>
      </c>
      <c r="I987" s="106">
        <v>387.2</v>
      </c>
      <c r="J987" s="106">
        <v>182.5</v>
      </c>
      <c r="K987" s="119">
        <v>26</v>
      </c>
      <c r="L987" s="113">
        <v>730231</v>
      </c>
      <c r="M987" s="113">
        <v>0</v>
      </c>
      <c r="N987" s="113">
        <v>0</v>
      </c>
      <c r="O987" s="113">
        <v>730231</v>
      </c>
      <c r="P987" s="113">
        <v>0</v>
      </c>
      <c r="Q987" s="106">
        <f>L987/I987</f>
        <v>1885.9271694214876</v>
      </c>
      <c r="R987" s="106">
        <v>7920</v>
      </c>
      <c r="S987" s="622">
        <v>43465</v>
      </c>
    </row>
    <row r="988" spans="1:19" s="1" customFormat="1" ht="37.15" customHeight="1">
      <c r="A988" s="107"/>
      <c r="B988" s="934" t="s">
        <v>991</v>
      </c>
      <c r="C988" s="935">
        <v>1954</v>
      </c>
      <c r="D988" s="934"/>
      <c r="E988" s="935" t="s">
        <v>218</v>
      </c>
      <c r="F988" s="935">
        <v>2</v>
      </c>
      <c r="G988" s="935">
        <v>2</v>
      </c>
      <c r="H988" s="128">
        <v>427.1</v>
      </c>
      <c r="I988" s="106">
        <v>383.9</v>
      </c>
      <c r="J988" s="106">
        <v>278.3</v>
      </c>
      <c r="K988" s="119">
        <v>17</v>
      </c>
      <c r="L988" s="113">
        <v>692216</v>
      </c>
      <c r="M988" s="113">
        <v>0</v>
      </c>
      <c r="N988" s="113">
        <v>0</v>
      </c>
      <c r="O988" s="113">
        <v>692216</v>
      </c>
      <c r="P988" s="113">
        <v>0</v>
      </c>
      <c r="Q988" s="106">
        <f>L988/I988</f>
        <v>1803.1153946340194</v>
      </c>
      <c r="R988" s="106">
        <v>7920</v>
      </c>
      <c r="S988" s="622">
        <v>43465</v>
      </c>
    </row>
    <row r="989" spans="1:19" s="1" customFormat="1" ht="31.5">
      <c r="A989" s="107"/>
      <c r="B989" s="934" t="s">
        <v>992</v>
      </c>
      <c r="C989" s="935">
        <v>1953</v>
      </c>
      <c r="D989" s="118"/>
      <c r="E989" s="109" t="s">
        <v>218</v>
      </c>
      <c r="F989" s="118">
        <v>2</v>
      </c>
      <c r="G989" s="118">
        <v>2</v>
      </c>
      <c r="H989" s="128">
        <v>433.6</v>
      </c>
      <c r="I989" s="106">
        <v>388.6</v>
      </c>
      <c r="J989" s="106">
        <v>388.6</v>
      </c>
      <c r="K989" s="119">
        <v>14</v>
      </c>
      <c r="L989" s="113">
        <v>692284</v>
      </c>
      <c r="M989" s="113">
        <v>0</v>
      </c>
      <c r="N989" s="113">
        <v>0</v>
      </c>
      <c r="O989" s="113">
        <f>L989</f>
        <v>692284</v>
      </c>
      <c r="P989" s="113">
        <v>0</v>
      </c>
      <c r="Q989" s="106">
        <f>L989/I989</f>
        <v>1781.4822439526504</v>
      </c>
      <c r="R989" s="114">
        <v>7920</v>
      </c>
      <c r="S989" s="326">
        <v>43465</v>
      </c>
    </row>
    <row r="990" spans="1:19" s="1" customFormat="1" ht="15.75" customHeight="1">
      <c r="A990" s="107"/>
      <c r="B990" s="1294" t="s">
        <v>120</v>
      </c>
      <c r="C990" s="1294"/>
      <c r="D990" s="1294"/>
      <c r="E990" s="1294"/>
      <c r="F990" s="1294"/>
      <c r="G990" s="1294"/>
      <c r="H990" s="128">
        <f>H991</f>
        <v>1395.4</v>
      </c>
      <c r="I990" s="106">
        <f t="shared" ref="I990:P990" si="293">I991</f>
        <v>1395.4</v>
      </c>
      <c r="J990" s="106">
        <f t="shared" si="293"/>
        <v>1327.5</v>
      </c>
      <c r="K990" s="119">
        <f t="shared" si="293"/>
        <v>82</v>
      </c>
      <c r="L990" s="113">
        <f t="shared" si="293"/>
        <v>238576.03</v>
      </c>
      <c r="M990" s="113">
        <f t="shared" si="293"/>
        <v>0</v>
      </c>
      <c r="N990" s="113">
        <f t="shared" si="293"/>
        <v>0</v>
      </c>
      <c r="O990" s="113">
        <f t="shared" si="293"/>
        <v>238576.03</v>
      </c>
      <c r="P990" s="113">
        <f t="shared" si="293"/>
        <v>0</v>
      </c>
      <c r="Q990" s="106" t="s">
        <v>40</v>
      </c>
      <c r="R990" s="106" t="s">
        <v>40</v>
      </c>
      <c r="S990" s="326">
        <v>43465</v>
      </c>
    </row>
    <row r="991" spans="1:19" s="1" customFormat="1" ht="15.75">
      <c r="A991" s="107"/>
      <c r="B991" s="303" t="s">
        <v>445</v>
      </c>
      <c r="C991" s="302">
        <v>1982</v>
      </c>
      <c r="D991" s="118"/>
      <c r="E991" s="109" t="s">
        <v>219</v>
      </c>
      <c r="F991" s="118">
        <v>3</v>
      </c>
      <c r="G991" s="118">
        <v>3</v>
      </c>
      <c r="H991" s="128">
        <v>1395.4</v>
      </c>
      <c r="I991" s="106">
        <f>H991</f>
        <v>1395.4</v>
      </c>
      <c r="J991" s="106">
        <v>1327.5</v>
      </c>
      <c r="K991" s="119">
        <v>82</v>
      </c>
      <c r="L991" s="113">
        <v>238576.03</v>
      </c>
      <c r="M991" s="113">
        <v>0</v>
      </c>
      <c r="N991" s="113">
        <v>0</v>
      </c>
      <c r="O991" s="113">
        <f>L991</f>
        <v>238576.03</v>
      </c>
      <c r="P991" s="113">
        <v>0</v>
      </c>
      <c r="Q991" s="106">
        <f>L991/I991</f>
        <v>170.97321914863122</v>
      </c>
      <c r="R991" s="114">
        <v>6774</v>
      </c>
      <c r="S991" s="326">
        <v>43465</v>
      </c>
    </row>
    <row r="992" spans="1:19" s="1" customFormat="1" ht="15.75">
      <c r="A992" s="107"/>
      <c r="B992" s="1292" t="s">
        <v>57</v>
      </c>
      <c r="C992" s="1292"/>
      <c r="D992" s="1292"/>
      <c r="E992" s="1292"/>
      <c r="F992" s="1292"/>
      <c r="G992" s="1292"/>
      <c r="H992" s="128">
        <f>H993</f>
        <v>4519.1000000000004</v>
      </c>
      <c r="I992" s="128">
        <f t="shared" ref="I992:P992" si="294">I993</f>
        <v>4025.1000000000004</v>
      </c>
      <c r="J992" s="128">
        <f t="shared" si="294"/>
        <v>4025.1000000000004</v>
      </c>
      <c r="K992" s="119">
        <f t="shared" si="294"/>
        <v>141</v>
      </c>
      <c r="L992" s="113">
        <f t="shared" si="294"/>
        <v>2547865</v>
      </c>
      <c r="M992" s="113">
        <f t="shared" si="294"/>
        <v>0</v>
      </c>
      <c r="N992" s="113">
        <f t="shared" si="294"/>
        <v>0</v>
      </c>
      <c r="O992" s="113">
        <f t="shared" si="294"/>
        <v>2547865</v>
      </c>
      <c r="P992" s="113">
        <f t="shared" si="294"/>
        <v>0</v>
      </c>
      <c r="Q992" s="106" t="s">
        <v>40</v>
      </c>
      <c r="R992" s="114" t="s">
        <v>40</v>
      </c>
      <c r="S992" s="326">
        <v>43465</v>
      </c>
    </row>
    <row r="993" spans="1:19" s="1" customFormat="1" ht="15.75" customHeight="1">
      <c r="A993" s="107"/>
      <c r="B993" s="1294" t="s">
        <v>119</v>
      </c>
      <c r="C993" s="1294"/>
      <c r="D993" s="1294"/>
      <c r="E993" s="1294"/>
      <c r="F993" s="1294"/>
      <c r="G993" s="1294"/>
      <c r="H993" s="128">
        <f t="shared" ref="H993:P993" si="295">H994+H995</f>
        <v>4519.1000000000004</v>
      </c>
      <c r="I993" s="128">
        <f t="shared" si="295"/>
        <v>4025.1000000000004</v>
      </c>
      <c r="J993" s="128">
        <f t="shared" si="295"/>
        <v>4025.1000000000004</v>
      </c>
      <c r="K993" s="119">
        <f t="shared" si="295"/>
        <v>141</v>
      </c>
      <c r="L993" s="113">
        <f t="shared" si="295"/>
        <v>2547865</v>
      </c>
      <c r="M993" s="113">
        <f t="shared" si="295"/>
        <v>0</v>
      </c>
      <c r="N993" s="113">
        <f t="shared" si="295"/>
        <v>0</v>
      </c>
      <c r="O993" s="113">
        <f t="shared" si="295"/>
        <v>2547865</v>
      </c>
      <c r="P993" s="113">
        <f t="shared" si="295"/>
        <v>0</v>
      </c>
      <c r="Q993" s="106" t="s">
        <v>40</v>
      </c>
      <c r="R993" s="106" t="s">
        <v>40</v>
      </c>
      <c r="S993" s="326">
        <v>43465</v>
      </c>
    </row>
    <row r="994" spans="1:19" s="1" customFormat="1" ht="15.75">
      <c r="A994" s="107"/>
      <c r="B994" s="907" t="s">
        <v>982</v>
      </c>
      <c r="C994" s="302">
        <v>1989</v>
      </c>
      <c r="D994" s="118"/>
      <c r="E994" s="109" t="s">
        <v>219</v>
      </c>
      <c r="F994" s="118">
        <v>3</v>
      </c>
      <c r="G994" s="118">
        <v>3</v>
      </c>
      <c r="H994" s="128">
        <v>1415</v>
      </c>
      <c r="I994" s="128">
        <v>1289.7</v>
      </c>
      <c r="J994" s="128">
        <v>1289.7</v>
      </c>
      <c r="K994" s="119">
        <v>52</v>
      </c>
      <c r="L994" s="113">
        <v>440353</v>
      </c>
      <c r="M994" s="113">
        <v>0</v>
      </c>
      <c r="N994" s="113">
        <v>0</v>
      </c>
      <c r="O994" s="113">
        <f>L994</f>
        <v>440353</v>
      </c>
      <c r="P994" s="113">
        <v>0</v>
      </c>
      <c r="Q994" s="106">
        <f>L994/I994</f>
        <v>341.43831898891216</v>
      </c>
      <c r="R994" s="114">
        <v>7920</v>
      </c>
      <c r="S994" s="326">
        <v>43465</v>
      </c>
    </row>
    <row r="995" spans="1:19" s="23" customFormat="1" ht="31.5">
      <c r="A995" s="107"/>
      <c r="B995" s="908" t="s">
        <v>983</v>
      </c>
      <c r="C995" s="302">
        <v>1992</v>
      </c>
      <c r="D995" s="118"/>
      <c r="E995" s="109" t="s">
        <v>218</v>
      </c>
      <c r="F995" s="118">
        <v>5</v>
      </c>
      <c r="G995" s="118">
        <v>4</v>
      </c>
      <c r="H995" s="128">
        <v>3104.1</v>
      </c>
      <c r="I995" s="128">
        <v>2735.4</v>
      </c>
      <c r="J995" s="128">
        <v>2735.4</v>
      </c>
      <c r="K995" s="119">
        <v>89</v>
      </c>
      <c r="L995" s="113">
        <v>2107512</v>
      </c>
      <c r="M995" s="113">
        <v>0</v>
      </c>
      <c r="N995" s="113">
        <v>0</v>
      </c>
      <c r="O995" s="113">
        <f>L995</f>
        <v>2107512</v>
      </c>
      <c r="P995" s="113">
        <v>0</v>
      </c>
      <c r="Q995" s="106">
        <f>L995/I995</f>
        <v>770.45843386707611</v>
      </c>
      <c r="R995" s="114">
        <v>7920</v>
      </c>
      <c r="S995" s="326">
        <v>43465</v>
      </c>
    </row>
    <row r="996" spans="1:19" s="1" customFormat="1" ht="15.75">
      <c r="A996" s="107"/>
      <c r="B996" s="1292" t="s">
        <v>58</v>
      </c>
      <c r="C996" s="1292"/>
      <c r="D996" s="1292"/>
      <c r="E996" s="1292"/>
      <c r="F996" s="1292"/>
      <c r="G996" s="1292"/>
      <c r="H996" s="128">
        <f>H997</f>
        <v>15250.300000000001</v>
      </c>
      <c r="I996" s="128">
        <f t="shared" ref="I996:P996" si="296">I997</f>
        <v>13418.4</v>
      </c>
      <c r="J996" s="128">
        <f t="shared" si="296"/>
        <v>12151.1</v>
      </c>
      <c r="K996" s="119">
        <f t="shared" si="296"/>
        <v>490</v>
      </c>
      <c r="L996" s="113">
        <f t="shared" si="296"/>
        <v>12013200</v>
      </c>
      <c r="M996" s="113">
        <f t="shared" si="296"/>
        <v>0</v>
      </c>
      <c r="N996" s="113">
        <f t="shared" si="296"/>
        <v>0</v>
      </c>
      <c r="O996" s="113">
        <f t="shared" si="296"/>
        <v>12013200</v>
      </c>
      <c r="P996" s="113">
        <f t="shared" si="296"/>
        <v>0</v>
      </c>
      <c r="Q996" s="106" t="s">
        <v>40</v>
      </c>
      <c r="R996" s="106" t="s">
        <v>40</v>
      </c>
      <c r="S996" s="326">
        <v>43465</v>
      </c>
    </row>
    <row r="997" spans="1:19" s="1" customFormat="1" ht="15.75" customHeight="1">
      <c r="A997" s="107"/>
      <c r="B997" s="1294" t="s">
        <v>87</v>
      </c>
      <c r="C997" s="1294"/>
      <c r="D997" s="1294"/>
      <c r="E997" s="1294"/>
      <c r="F997" s="1294"/>
      <c r="G997" s="1294"/>
      <c r="H997" s="128">
        <f>SUM(H998:H1006)</f>
        <v>15250.300000000001</v>
      </c>
      <c r="I997" s="106">
        <f t="shared" ref="I997:N997" si="297">SUM(I998:I1006)</f>
        <v>13418.4</v>
      </c>
      <c r="J997" s="106">
        <f t="shared" si="297"/>
        <v>12151.1</v>
      </c>
      <c r="K997" s="119">
        <f t="shared" si="297"/>
        <v>490</v>
      </c>
      <c r="L997" s="113">
        <f t="shared" si="297"/>
        <v>12013200</v>
      </c>
      <c r="M997" s="113">
        <f t="shared" si="297"/>
        <v>0</v>
      </c>
      <c r="N997" s="113">
        <f t="shared" si="297"/>
        <v>0</v>
      </c>
      <c r="O997" s="113">
        <f>SUM(O998:O1006)</f>
        <v>12013200</v>
      </c>
      <c r="P997" s="113">
        <v>0</v>
      </c>
      <c r="Q997" s="106" t="s">
        <v>40</v>
      </c>
      <c r="R997" s="106" t="s">
        <v>40</v>
      </c>
      <c r="S997" s="326">
        <v>43465</v>
      </c>
    </row>
    <row r="998" spans="1:19" s="30" customFormat="1" ht="31.5">
      <c r="A998" s="107"/>
      <c r="B998" s="300" t="s">
        <v>425</v>
      </c>
      <c r="C998" s="179">
        <v>1962</v>
      </c>
      <c r="D998" s="99"/>
      <c r="E998" s="109" t="s">
        <v>218</v>
      </c>
      <c r="F998" s="99">
        <v>5</v>
      </c>
      <c r="G998" s="99">
        <v>4</v>
      </c>
      <c r="H998" s="180">
        <v>3382</v>
      </c>
      <c r="I998" s="115">
        <v>3164.5</v>
      </c>
      <c r="J998" s="115">
        <v>2546.4</v>
      </c>
      <c r="K998" s="154">
        <v>88</v>
      </c>
      <c r="L998" s="113">
        <f t="shared" ref="L998:L1006" si="298">O998</f>
        <v>2239107</v>
      </c>
      <c r="M998" s="113">
        <v>0</v>
      </c>
      <c r="N998" s="113">
        <v>0</v>
      </c>
      <c r="O998" s="113">
        <v>2239107</v>
      </c>
      <c r="P998" s="113">
        <v>0</v>
      </c>
      <c r="Q998" s="100">
        <f t="shared" ref="Q998:Q1006" si="299">L998/I998</f>
        <v>707.57054826986882</v>
      </c>
      <c r="R998" s="114">
        <v>6774</v>
      </c>
      <c r="S998" s="326">
        <v>43465</v>
      </c>
    </row>
    <row r="999" spans="1:19" s="30" customFormat="1" ht="15.75">
      <c r="A999" s="107"/>
      <c r="B999" s="300" t="s">
        <v>79</v>
      </c>
      <c r="C999" s="99">
        <v>1949</v>
      </c>
      <c r="D999" s="99"/>
      <c r="E999" s="109" t="s">
        <v>222</v>
      </c>
      <c r="F999" s="99">
        <v>2</v>
      </c>
      <c r="G999" s="99">
        <v>2</v>
      </c>
      <c r="H999" s="180">
        <v>448.3</v>
      </c>
      <c r="I999" s="100">
        <v>402.5</v>
      </c>
      <c r="J999" s="100">
        <v>346.7</v>
      </c>
      <c r="K999" s="101">
        <v>16</v>
      </c>
      <c r="L999" s="113">
        <f t="shared" si="298"/>
        <v>706234</v>
      </c>
      <c r="M999" s="113">
        <v>0</v>
      </c>
      <c r="N999" s="113">
        <v>0</v>
      </c>
      <c r="O999" s="113">
        <v>706234</v>
      </c>
      <c r="P999" s="113">
        <v>0</v>
      </c>
      <c r="Q999" s="100">
        <f t="shared" si="299"/>
        <v>1754.6186335403727</v>
      </c>
      <c r="R999" s="114">
        <v>6774</v>
      </c>
      <c r="S999" s="326">
        <v>43465</v>
      </c>
    </row>
    <row r="1000" spans="1:19" s="30" customFormat="1" ht="15.75">
      <c r="A1000" s="107"/>
      <c r="B1000" s="300" t="s">
        <v>78</v>
      </c>
      <c r="C1000" s="99">
        <v>1949</v>
      </c>
      <c r="D1000" s="99"/>
      <c r="E1000" s="109" t="s">
        <v>221</v>
      </c>
      <c r="F1000" s="99">
        <v>2</v>
      </c>
      <c r="G1000" s="99">
        <v>2</v>
      </c>
      <c r="H1000" s="180">
        <v>438.3</v>
      </c>
      <c r="I1000" s="100">
        <v>393.5</v>
      </c>
      <c r="J1000" s="100">
        <f>I1000-49.9</f>
        <v>343.6</v>
      </c>
      <c r="K1000" s="101">
        <v>16</v>
      </c>
      <c r="L1000" s="113">
        <f t="shared" si="298"/>
        <v>651603</v>
      </c>
      <c r="M1000" s="113">
        <v>0</v>
      </c>
      <c r="N1000" s="113">
        <v>0</v>
      </c>
      <c r="O1000" s="113">
        <v>651603</v>
      </c>
      <c r="P1000" s="113">
        <v>0</v>
      </c>
      <c r="Q1000" s="100">
        <f t="shared" si="299"/>
        <v>1655.9161372299873</v>
      </c>
      <c r="R1000" s="114">
        <v>6774</v>
      </c>
      <c r="S1000" s="326">
        <v>43465</v>
      </c>
    </row>
    <row r="1001" spans="1:19" s="30" customFormat="1" ht="31.5">
      <c r="A1001" s="107"/>
      <c r="B1001" s="300" t="s">
        <v>426</v>
      </c>
      <c r="C1001" s="179">
        <v>1990</v>
      </c>
      <c r="D1001" s="99"/>
      <c r="E1001" s="109" t="s">
        <v>218</v>
      </c>
      <c r="F1001" s="99">
        <v>3</v>
      </c>
      <c r="G1001" s="99">
        <v>1</v>
      </c>
      <c r="H1001" s="180">
        <v>700.1</v>
      </c>
      <c r="I1001" s="115">
        <v>650.70000000000005</v>
      </c>
      <c r="J1001" s="115">
        <v>650.70000000000005</v>
      </c>
      <c r="K1001" s="154">
        <v>18</v>
      </c>
      <c r="L1001" s="113">
        <f t="shared" si="298"/>
        <v>698701</v>
      </c>
      <c r="M1001" s="113">
        <v>0</v>
      </c>
      <c r="N1001" s="113">
        <v>0</v>
      </c>
      <c r="O1001" s="113">
        <v>698701</v>
      </c>
      <c r="P1001" s="113">
        <v>0</v>
      </c>
      <c r="Q1001" s="100">
        <f t="shared" si="299"/>
        <v>1073.7682495773781</v>
      </c>
      <c r="R1001" s="114">
        <v>6774</v>
      </c>
      <c r="S1001" s="326">
        <v>43465</v>
      </c>
    </row>
    <row r="1002" spans="1:19" s="30" customFormat="1" ht="31.5">
      <c r="A1002" s="107"/>
      <c r="B1002" s="300" t="s">
        <v>80</v>
      </c>
      <c r="C1002" s="179">
        <v>1982</v>
      </c>
      <c r="D1002" s="99"/>
      <c r="E1002" s="109" t="s">
        <v>218</v>
      </c>
      <c r="F1002" s="99">
        <v>5</v>
      </c>
      <c r="G1002" s="99">
        <v>4</v>
      </c>
      <c r="H1002" s="181">
        <v>3159.2</v>
      </c>
      <c r="I1002" s="115">
        <v>2600.8000000000002</v>
      </c>
      <c r="J1002" s="115">
        <v>2455.5</v>
      </c>
      <c r="K1002" s="154">
        <v>106</v>
      </c>
      <c r="L1002" s="113">
        <f t="shared" si="298"/>
        <v>1512903</v>
      </c>
      <c r="M1002" s="113">
        <v>0</v>
      </c>
      <c r="N1002" s="113">
        <v>0</v>
      </c>
      <c r="O1002" s="113">
        <v>1512903</v>
      </c>
      <c r="P1002" s="113">
        <v>0</v>
      </c>
      <c r="Q1002" s="100">
        <f t="shared" si="299"/>
        <v>581.70678252845278</v>
      </c>
      <c r="R1002" s="114">
        <v>6774</v>
      </c>
      <c r="S1002" s="326">
        <v>43465</v>
      </c>
    </row>
    <row r="1003" spans="1:19" s="30" customFormat="1" ht="15.75">
      <c r="A1003" s="107"/>
      <c r="B1003" s="300" t="s">
        <v>84</v>
      </c>
      <c r="C1003" s="179">
        <v>1953</v>
      </c>
      <c r="D1003" s="99"/>
      <c r="E1003" s="109" t="s">
        <v>220</v>
      </c>
      <c r="F1003" s="99">
        <v>2</v>
      </c>
      <c r="G1003" s="99">
        <v>2</v>
      </c>
      <c r="H1003" s="181">
        <v>664.5</v>
      </c>
      <c r="I1003" s="115">
        <v>609.4</v>
      </c>
      <c r="J1003" s="115">
        <f>450.2-48.3</f>
        <v>401.9</v>
      </c>
      <c r="K1003" s="154">
        <v>15</v>
      </c>
      <c r="L1003" s="113">
        <f t="shared" si="298"/>
        <v>1668544</v>
      </c>
      <c r="M1003" s="113">
        <v>0</v>
      </c>
      <c r="N1003" s="113">
        <v>0</v>
      </c>
      <c r="O1003" s="113">
        <v>1668544</v>
      </c>
      <c r="P1003" s="113">
        <v>0</v>
      </c>
      <c r="Q1003" s="100">
        <f t="shared" si="299"/>
        <v>2738.0111585165737</v>
      </c>
      <c r="R1003" s="114">
        <v>6774</v>
      </c>
      <c r="S1003" s="326">
        <v>43465</v>
      </c>
    </row>
    <row r="1004" spans="1:19" s="30" customFormat="1" ht="31.5">
      <c r="A1004" s="107"/>
      <c r="B1004" s="300" t="s">
        <v>81</v>
      </c>
      <c r="C1004" s="179">
        <v>1988</v>
      </c>
      <c r="D1004" s="99"/>
      <c r="E1004" s="109" t="s">
        <v>218</v>
      </c>
      <c r="F1004" s="99">
        <v>5</v>
      </c>
      <c r="G1004" s="99">
        <v>6</v>
      </c>
      <c r="H1004" s="181">
        <v>4806.3999999999996</v>
      </c>
      <c r="I1004" s="115">
        <v>4087.2</v>
      </c>
      <c r="J1004" s="115">
        <v>4087.2</v>
      </c>
      <c r="K1004" s="154">
        <v>172</v>
      </c>
      <c r="L1004" s="113">
        <f t="shared" si="298"/>
        <v>2294873</v>
      </c>
      <c r="M1004" s="113">
        <v>0</v>
      </c>
      <c r="N1004" s="113">
        <v>0</v>
      </c>
      <c r="O1004" s="113">
        <v>2294873</v>
      </c>
      <c r="P1004" s="113">
        <v>0</v>
      </c>
      <c r="Q1004" s="100">
        <f t="shared" si="299"/>
        <v>561.47802896848702</v>
      </c>
      <c r="R1004" s="114">
        <v>6774</v>
      </c>
      <c r="S1004" s="326">
        <v>43465</v>
      </c>
    </row>
    <row r="1005" spans="1:19" s="30" customFormat="1" ht="15.75">
      <c r="A1005" s="107"/>
      <c r="B1005" s="300" t="s">
        <v>82</v>
      </c>
      <c r="C1005" s="179">
        <v>1948</v>
      </c>
      <c r="D1005" s="99"/>
      <c r="E1005" s="109" t="s">
        <v>221</v>
      </c>
      <c r="F1005" s="99">
        <v>2</v>
      </c>
      <c r="G1005" s="99">
        <v>1</v>
      </c>
      <c r="H1005" s="181">
        <v>559.9</v>
      </c>
      <c r="I1005" s="115">
        <v>503.7</v>
      </c>
      <c r="J1005" s="115">
        <f>I1005-190.7</f>
        <v>313</v>
      </c>
      <c r="K1005" s="154">
        <v>26</v>
      </c>
      <c r="L1005" s="113">
        <f t="shared" si="298"/>
        <v>879987</v>
      </c>
      <c r="M1005" s="113">
        <v>0</v>
      </c>
      <c r="N1005" s="113">
        <v>0</v>
      </c>
      <c r="O1005" s="113">
        <v>879987</v>
      </c>
      <c r="P1005" s="113">
        <v>0</v>
      </c>
      <c r="Q1005" s="100">
        <f t="shared" si="299"/>
        <v>1747.0458606313282</v>
      </c>
      <c r="R1005" s="114">
        <v>6774</v>
      </c>
      <c r="S1005" s="326">
        <v>43465</v>
      </c>
    </row>
    <row r="1006" spans="1:19" s="30" customFormat="1" ht="31.5">
      <c r="A1006" s="107"/>
      <c r="B1006" s="300" t="s">
        <v>83</v>
      </c>
      <c r="C1006" s="179">
        <v>1958</v>
      </c>
      <c r="D1006" s="99"/>
      <c r="E1006" s="109" t="s">
        <v>218</v>
      </c>
      <c r="F1006" s="99">
        <v>2</v>
      </c>
      <c r="G1006" s="99">
        <v>3</v>
      </c>
      <c r="H1006" s="181">
        <v>1091.5999999999999</v>
      </c>
      <c r="I1006" s="115">
        <v>1006.1</v>
      </c>
      <c r="J1006" s="115">
        <v>1006.1</v>
      </c>
      <c r="K1006" s="154">
        <v>33</v>
      </c>
      <c r="L1006" s="113">
        <f t="shared" si="298"/>
        <v>1361248</v>
      </c>
      <c r="M1006" s="113">
        <v>0</v>
      </c>
      <c r="N1006" s="113">
        <v>0</v>
      </c>
      <c r="O1006" s="113">
        <v>1361248</v>
      </c>
      <c r="P1006" s="113">
        <v>0</v>
      </c>
      <c r="Q1006" s="100">
        <f t="shared" si="299"/>
        <v>1352.9947321339828</v>
      </c>
      <c r="R1006" s="114">
        <v>6774</v>
      </c>
      <c r="S1006" s="326">
        <v>43465</v>
      </c>
    </row>
    <row r="1007" spans="1:19" s="1" customFormat="1" ht="15.75">
      <c r="A1007" s="107"/>
      <c r="B1007" s="1292" t="s">
        <v>60</v>
      </c>
      <c r="C1007" s="1292"/>
      <c r="D1007" s="1292"/>
      <c r="E1007" s="1292"/>
      <c r="F1007" s="1292"/>
      <c r="G1007" s="1292"/>
      <c r="H1007" s="128">
        <f>H1008</f>
        <v>10619.599999999999</v>
      </c>
      <c r="I1007" s="106">
        <f t="shared" ref="I1007:P1007" si="300">I1008</f>
        <v>8195.6999999999989</v>
      </c>
      <c r="J1007" s="106">
        <f t="shared" si="300"/>
        <v>6450.3</v>
      </c>
      <c r="K1007" s="119">
        <f t="shared" si="300"/>
        <v>429</v>
      </c>
      <c r="L1007" s="113">
        <f t="shared" si="300"/>
        <v>9462538</v>
      </c>
      <c r="M1007" s="113">
        <f t="shared" si="300"/>
        <v>0</v>
      </c>
      <c r="N1007" s="113">
        <f t="shared" si="300"/>
        <v>0</v>
      </c>
      <c r="O1007" s="113">
        <f t="shared" si="300"/>
        <v>9462538</v>
      </c>
      <c r="P1007" s="113">
        <f t="shared" si="300"/>
        <v>0</v>
      </c>
      <c r="Q1007" s="106" t="s">
        <v>40</v>
      </c>
      <c r="R1007" s="106" t="s">
        <v>40</v>
      </c>
      <c r="S1007" s="326">
        <v>43465</v>
      </c>
    </row>
    <row r="1008" spans="1:19" s="1" customFormat="1" ht="15.75">
      <c r="A1008" s="107"/>
      <c r="B1008" s="1292" t="s">
        <v>113</v>
      </c>
      <c r="C1008" s="1292"/>
      <c r="D1008" s="1292"/>
      <c r="E1008" s="1292"/>
      <c r="F1008" s="1292"/>
      <c r="G1008" s="1292"/>
      <c r="H1008" s="128">
        <f>SUM(H1009:H1012)</f>
        <v>10619.599999999999</v>
      </c>
      <c r="I1008" s="106">
        <f t="shared" ref="I1008:P1008" si="301">SUM(I1009:I1012)</f>
        <v>8195.6999999999989</v>
      </c>
      <c r="J1008" s="106">
        <f t="shared" si="301"/>
        <v>6450.3</v>
      </c>
      <c r="K1008" s="119">
        <f t="shared" si="301"/>
        <v>429</v>
      </c>
      <c r="L1008" s="113">
        <f t="shared" si="301"/>
        <v>9462538</v>
      </c>
      <c r="M1008" s="113">
        <f t="shared" si="301"/>
        <v>0</v>
      </c>
      <c r="N1008" s="113">
        <f t="shared" si="301"/>
        <v>0</v>
      </c>
      <c r="O1008" s="113">
        <f t="shared" si="301"/>
        <v>9462538</v>
      </c>
      <c r="P1008" s="113">
        <f t="shared" si="301"/>
        <v>0</v>
      </c>
      <c r="Q1008" s="106" t="s">
        <v>40</v>
      </c>
      <c r="R1008" s="106" t="s">
        <v>40</v>
      </c>
      <c r="S1008" s="326">
        <v>43465</v>
      </c>
    </row>
    <row r="1009" spans="1:19" s="53" customFormat="1" ht="15.75">
      <c r="A1009" s="107"/>
      <c r="B1009" s="301" t="s">
        <v>76</v>
      </c>
      <c r="C1009" s="108">
        <v>1979</v>
      </c>
      <c r="D1009" s="108"/>
      <c r="E1009" s="109" t="s">
        <v>219</v>
      </c>
      <c r="F1009" s="108">
        <v>5</v>
      </c>
      <c r="G1009" s="108">
        <v>4</v>
      </c>
      <c r="H1009" s="111">
        <v>3482.7</v>
      </c>
      <c r="I1009" s="108">
        <v>3216.7</v>
      </c>
      <c r="J1009" s="108">
        <v>2864.9</v>
      </c>
      <c r="K1009" s="112">
        <v>131</v>
      </c>
      <c r="L1009" s="113">
        <v>3626543</v>
      </c>
      <c r="M1009" s="113">
        <v>0</v>
      </c>
      <c r="N1009" s="113">
        <v>0</v>
      </c>
      <c r="O1009" s="113">
        <f>L1009</f>
        <v>3626543</v>
      </c>
      <c r="P1009" s="113">
        <v>0</v>
      </c>
      <c r="Q1009" s="114">
        <f>L1009/I1009</f>
        <v>1127.4110112848573</v>
      </c>
      <c r="R1009" s="114">
        <v>6774</v>
      </c>
      <c r="S1009" s="326">
        <v>43465</v>
      </c>
    </row>
    <row r="1010" spans="1:19" s="53" customFormat="1" ht="31.5">
      <c r="A1010" s="107"/>
      <c r="B1010" s="301" t="s">
        <v>75</v>
      </c>
      <c r="C1010" s="108">
        <v>1978</v>
      </c>
      <c r="D1010" s="108"/>
      <c r="E1010" s="109" t="s">
        <v>218</v>
      </c>
      <c r="F1010" s="108">
        <v>5</v>
      </c>
      <c r="G1010" s="108">
        <v>1</v>
      </c>
      <c r="H1010" s="111">
        <v>4056.6</v>
      </c>
      <c r="I1010" s="108">
        <v>2191.6</v>
      </c>
      <c r="J1010" s="108">
        <v>937</v>
      </c>
      <c r="K1010" s="112">
        <v>196</v>
      </c>
      <c r="L1010" s="113">
        <v>2160246</v>
      </c>
      <c r="M1010" s="113">
        <v>0</v>
      </c>
      <c r="N1010" s="113">
        <v>0</v>
      </c>
      <c r="O1010" s="113">
        <f>L1010</f>
        <v>2160246</v>
      </c>
      <c r="P1010" s="113">
        <v>0</v>
      </c>
      <c r="Q1010" s="114">
        <f>L1010/I1010</f>
        <v>985.69355721847057</v>
      </c>
      <c r="R1010" s="114">
        <v>6774</v>
      </c>
      <c r="S1010" s="326">
        <v>43465</v>
      </c>
    </row>
    <row r="1011" spans="1:19" s="53" customFormat="1" ht="31.5">
      <c r="A1011" s="107"/>
      <c r="B1011" s="301" t="s">
        <v>77</v>
      </c>
      <c r="C1011" s="108">
        <v>1925</v>
      </c>
      <c r="D1011" s="108"/>
      <c r="E1011" s="109" t="s">
        <v>218</v>
      </c>
      <c r="F1011" s="108">
        <v>2</v>
      </c>
      <c r="G1011" s="108">
        <v>2</v>
      </c>
      <c r="H1011" s="111">
        <v>597.1</v>
      </c>
      <c r="I1011" s="108">
        <v>487.9</v>
      </c>
      <c r="J1011" s="108">
        <v>455.6</v>
      </c>
      <c r="K1011" s="112">
        <v>16</v>
      </c>
      <c r="L1011" s="113">
        <v>1013564</v>
      </c>
      <c r="M1011" s="113">
        <v>0</v>
      </c>
      <c r="N1011" s="113">
        <v>0</v>
      </c>
      <c r="O1011" s="113">
        <f>L1011</f>
        <v>1013564</v>
      </c>
      <c r="P1011" s="113">
        <v>0</v>
      </c>
      <c r="Q1011" s="114">
        <f>L1011/I1011</f>
        <v>2077.401106784177</v>
      </c>
      <c r="R1011" s="114">
        <v>6774</v>
      </c>
      <c r="S1011" s="326">
        <v>43465</v>
      </c>
    </row>
    <row r="1012" spans="1:19" s="53" customFormat="1" ht="15.75">
      <c r="A1012" s="107"/>
      <c r="B1012" s="301" t="s">
        <v>427</v>
      </c>
      <c r="C1012" s="108">
        <v>1982</v>
      </c>
      <c r="D1012" s="108"/>
      <c r="E1012" s="109" t="s">
        <v>219</v>
      </c>
      <c r="F1012" s="108">
        <v>5</v>
      </c>
      <c r="G1012" s="108">
        <v>3</v>
      </c>
      <c r="H1012" s="111">
        <v>2483.1999999999998</v>
      </c>
      <c r="I1012" s="108">
        <v>2299.5</v>
      </c>
      <c r="J1012" s="108">
        <v>2192.8000000000002</v>
      </c>
      <c r="K1012" s="112">
        <v>86</v>
      </c>
      <c r="L1012" s="113">
        <v>2662185</v>
      </c>
      <c r="M1012" s="113">
        <v>0</v>
      </c>
      <c r="N1012" s="113">
        <v>0</v>
      </c>
      <c r="O1012" s="113">
        <f>L1012</f>
        <v>2662185</v>
      </c>
      <c r="P1012" s="113">
        <v>0</v>
      </c>
      <c r="Q1012" s="114">
        <f>L1012/I1012</f>
        <v>1157.723418134377</v>
      </c>
      <c r="R1012" s="114">
        <v>6774</v>
      </c>
      <c r="S1012" s="326">
        <v>43465</v>
      </c>
    </row>
    <row r="1013" spans="1:19" s="53" customFormat="1" ht="15.75" customHeight="1">
      <c r="A1013" s="107"/>
      <c r="B1013" s="1305" t="s">
        <v>208</v>
      </c>
      <c r="C1013" s="1305"/>
      <c r="D1013" s="1305"/>
      <c r="E1013" s="1305"/>
      <c r="F1013" s="1305"/>
      <c r="G1013" s="1305"/>
      <c r="H1013" s="114">
        <f t="shared" ref="H1013:O1014" si="302">H1014</f>
        <v>274.14</v>
      </c>
      <c r="I1013" s="114">
        <f t="shared" si="302"/>
        <v>246.3</v>
      </c>
      <c r="J1013" s="114">
        <f t="shared" si="302"/>
        <v>221.6</v>
      </c>
      <c r="K1013" s="112">
        <f t="shared" si="302"/>
        <v>13</v>
      </c>
      <c r="L1013" s="113">
        <f t="shared" si="302"/>
        <v>423156</v>
      </c>
      <c r="M1013" s="113">
        <f t="shared" si="302"/>
        <v>0</v>
      </c>
      <c r="N1013" s="113">
        <f t="shared" si="302"/>
        <v>0</v>
      </c>
      <c r="O1013" s="113">
        <f t="shared" si="302"/>
        <v>423156</v>
      </c>
      <c r="P1013" s="113">
        <f>P1014</f>
        <v>0</v>
      </c>
      <c r="Q1013" s="106" t="s">
        <v>40</v>
      </c>
      <c r="R1013" s="114" t="s">
        <v>40</v>
      </c>
      <c r="S1013" s="326">
        <v>43465</v>
      </c>
    </row>
    <row r="1014" spans="1:19" s="53" customFormat="1" ht="15.75">
      <c r="A1014" s="107"/>
      <c r="B1014" s="1292" t="s">
        <v>209</v>
      </c>
      <c r="C1014" s="1292"/>
      <c r="D1014" s="1292"/>
      <c r="E1014" s="1292"/>
      <c r="F1014" s="1292"/>
      <c r="G1014" s="1292"/>
      <c r="H1014" s="114">
        <f t="shared" si="302"/>
        <v>274.14</v>
      </c>
      <c r="I1014" s="114">
        <f t="shared" si="302"/>
        <v>246.3</v>
      </c>
      <c r="J1014" s="114">
        <f t="shared" si="302"/>
        <v>221.6</v>
      </c>
      <c r="K1014" s="112">
        <f t="shared" si="302"/>
        <v>13</v>
      </c>
      <c r="L1014" s="113">
        <f t="shared" si="302"/>
        <v>423156</v>
      </c>
      <c r="M1014" s="113">
        <f t="shared" si="302"/>
        <v>0</v>
      </c>
      <c r="N1014" s="113">
        <f t="shared" si="302"/>
        <v>0</v>
      </c>
      <c r="O1014" s="113">
        <f t="shared" si="302"/>
        <v>423156</v>
      </c>
      <c r="P1014" s="113">
        <f>P1015</f>
        <v>0</v>
      </c>
      <c r="Q1014" s="106" t="s">
        <v>40</v>
      </c>
      <c r="R1014" s="106" t="s">
        <v>40</v>
      </c>
      <c r="S1014" s="326">
        <v>43465</v>
      </c>
    </row>
    <row r="1015" spans="1:19" s="53" customFormat="1" ht="15.75">
      <c r="A1015" s="318"/>
      <c r="B1015" s="336" t="s">
        <v>479</v>
      </c>
      <c r="C1015" s="320">
        <v>1962</v>
      </c>
      <c r="D1015" s="320"/>
      <c r="E1015" s="321" t="s">
        <v>221</v>
      </c>
      <c r="F1015" s="320">
        <v>1</v>
      </c>
      <c r="G1015" s="320">
        <v>2</v>
      </c>
      <c r="H1015" s="322">
        <v>274.14</v>
      </c>
      <c r="I1015" s="320">
        <v>246.3</v>
      </c>
      <c r="J1015" s="320">
        <v>221.6</v>
      </c>
      <c r="K1015" s="323">
        <v>13</v>
      </c>
      <c r="L1015" s="324">
        <v>423156</v>
      </c>
      <c r="M1015" s="324">
        <v>0</v>
      </c>
      <c r="N1015" s="324">
        <v>0</v>
      </c>
      <c r="O1015" s="324">
        <v>423156</v>
      </c>
      <c r="P1015" s="324">
        <v>0</v>
      </c>
      <c r="Q1015" s="325">
        <f>L1015/I1015</f>
        <v>1718.0511571254567</v>
      </c>
      <c r="R1015" s="325">
        <v>7920</v>
      </c>
      <c r="S1015" s="326">
        <v>43465</v>
      </c>
    </row>
    <row r="1016" spans="1:19" s="1" customFormat="1" ht="15.75">
      <c r="A1016" s="107"/>
      <c r="B1016" s="1292" t="s">
        <v>61</v>
      </c>
      <c r="C1016" s="1292"/>
      <c r="D1016" s="1292"/>
      <c r="E1016" s="1292"/>
      <c r="F1016" s="1292"/>
      <c r="G1016" s="1292"/>
      <c r="H1016" s="128">
        <f>H1017</f>
        <v>1469.1399999999999</v>
      </c>
      <c r="I1016" s="106">
        <f t="shared" ref="I1016:P1016" si="303">I1017</f>
        <v>1300.3400000000001</v>
      </c>
      <c r="J1016" s="106">
        <f t="shared" si="303"/>
        <v>991.66</v>
      </c>
      <c r="K1016" s="119">
        <f t="shared" si="303"/>
        <v>75</v>
      </c>
      <c r="L1016" s="113">
        <f t="shared" si="303"/>
        <v>4886972</v>
      </c>
      <c r="M1016" s="113">
        <f t="shared" si="303"/>
        <v>0</v>
      </c>
      <c r="N1016" s="113">
        <f t="shared" si="303"/>
        <v>0</v>
      </c>
      <c r="O1016" s="113">
        <f t="shared" si="303"/>
        <v>4886972</v>
      </c>
      <c r="P1016" s="113">
        <f t="shared" si="303"/>
        <v>0</v>
      </c>
      <c r="Q1016" s="114" t="s">
        <v>40</v>
      </c>
      <c r="R1016" s="114" t="s">
        <v>40</v>
      </c>
      <c r="S1016" s="326">
        <v>43465</v>
      </c>
    </row>
    <row r="1017" spans="1:19" s="1" customFormat="1" ht="15.75">
      <c r="A1017" s="107"/>
      <c r="B1017" s="1292" t="s">
        <v>118</v>
      </c>
      <c r="C1017" s="1292"/>
      <c r="D1017" s="1292"/>
      <c r="E1017" s="1292"/>
      <c r="F1017" s="1292"/>
      <c r="G1017" s="1292"/>
      <c r="H1017" s="128">
        <f>H1018+H1019+H1020</f>
        <v>1469.1399999999999</v>
      </c>
      <c r="I1017" s="128">
        <f t="shared" ref="I1017:P1017" si="304">I1018+I1019+I1020</f>
        <v>1300.3400000000001</v>
      </c>
      <c r="J1017" s="128">
        <f t="shared" si="304"/>
        <v>991.66</v>
      </c>
      <c r="K1017" s="128">
        <f t="shared" si="304"/>
        <v>75</v>
      </c>
      <c r="L1017" s="366">
        <f t="shared" si="304"/>
        <v>4886972</v>
      </c>
      <c r="M1017" s="366">
        <f t="shared" si="304"/>
        <v>0</v>
      </c>
      <c r="N1017" s="366">
        <f t="shared" si="304"/>
        <v>0</v>
      </c>
      <c r="O1017" s="366">
        <f t="shared" si="304"/>
        <v>4886972</v>
      </c>
      <c r="P1017" s="366">
        <f t="shared" si="304"/>
        <v>0</v>
      </c>
      <c r="Q1017" s="114" t="s">
        <v>40</v>
      </c>
      <c r="R1017" s="106" t="s">
        <v>40</v>
      </c>
      <c r="S1017" s="326">
        <v>43465</v>
      </c>
    </row>
    <row r="1018" spans="1:19" s="1" customFormat="1" ht="31.5">
      <c r="A1018" s="318"/>
      <c r="B1018" s="364" t="s">
        <v>492</v>
      </c>
      <c r="C1018" s="340">
        <v>1961</v>
      </c>
      <c r="D1018" s="364"/>
      <c r="E1018" s="321" t="s">
        <v>218</v>
      </c>
      <c r="F1018" s="340">
        <v>2</v>
      </c>
      <c r="G1018" s="340">
        <v>2</v>
      </c>
      <c r="H1018" s="341">
        <v>411.7</v>
      </c>
      <c r="I1018" s="344">
        <v>380</v>
      </c>
      <c r="J1018" s="344">
        <v>188.1</v>
      </c>
      <c r="K1018" s="343">
        <v>33</v>
      </c>
      <c r="L1018" s="324">
        <v>1449272</v>
      </c>
      <c r="M1018" s="324">
        <v>0</v>
      </c>
      <c r="N1018" s="324">
        <v>0</v>
      </c>
      <c r="O1018" s="324">
        <v>1449272</v>
      </c>
      <c r="P1018" s="324">
        <v>0</v>
      </c>
      <c r="Q1018" s="325">
        <f t="shared" ref="Q1018:Q1019" si="305">L1018/I1018</f>
        <v>3813.8736842105263</v>
      </c>
      <c r="R1018" s="344">
        <v>7920</v>
      </c>
      <c r="S1018" s="326">
        <v>43465</v>
      </c>
    </row>
    <row r="1019" spans="1:19" s="1" customFormat="1" ht="31.5">
      <c r="A1019" s="318"/>
      <c r="B1019" s="364" t="s">
        <v>493</v>
      </c>
      <c r="C1019" s="340">
        <v>1976</v>
      </c>
      <c r="D1019" s="364"/>
      <c r="E1019" s="321" t="s">
        <v>218</v>
      </c>
      <c r="F1019" s="340">
        <v>2</v>
      </c>
      <c r="G1019" s="340">
        <v>2</v>
      </c>
      <c r="H1019" s="341">
        <v>832.6</v>
      </c>
      <c r="I1019" s="344">
        <v>738.9</v>
      </c>
      <c r="J1019" s="344">
        <v>663.52</v>
      </c>
      <c r="K1019" s="343">
        <v>29</v>
      </c>
      <c r="L1019" s="324">
        <v>2576258</v>
      </c>
      <c r="M1019" s="324">
        <v>0</v>
      </c>
      <c r="N1019" s="324">
        <v>0</v>
      </c>
      <c r="O1019" s="324">
        <v>2576258</v>
      </c>
      <c r="P1019" s="324">
        <v>0</v>
      </c>
      <c r="Q1019" s="325">
        <f t="shared" si="305"/>
        <v>3486.6125321423738</v>
      </c>
      <c r="R1019" s="344">
        <v>7920</v>
      </c>
      <c r="S1019" s="326">
        <v>43465</v>
      </c>
    </row>
    <row r="1020" spans="1:19" s="1" customFormat="1" ht="31.5">
      <c r="A1020" s="318"/>
      <c r="B1020" s="339" t="s">
        <v>494</v>
      </c>
      <c r="C1020" s="320">
        <v>1968</v>
      </c>
      <c r="D1020" s="320"/>
      <c r="E1020" s="321" t="s">
        <v>218</v>
      </c>
      <c r="F1020" s="320">
        <v>2</v>
      </c>
      <c r="G1020" s="320">
        <v>2</v>
      </c>
      <c r="H1020" s="322">
        <v>224.84</v>
      </c>
      <c r="I1020" s="325">
        <v>181.44</v>
      </c>
      <c r="J1020" s="325">
        <v>140.04</v>
      </c>
      <c r="K1020" s="323">
        <v>13</v>
      </c>
      <c r="L1020" s="324">
        <v>861442</v>
      </c>
      <c r="M1020" s="324">
        <v>0</v>
      </c>
      <c r="N1020" s="324">
        <v>0</v>
      </c>
      <c r="O1020" s="324">
        <v>861442</v>
      </c>
      <c r="P1020" s="324">
        <v>0</v>
      </c>
      <c r="Q1020" s="344">
        <f>L1020/I1020</f>
        <v>4747.8064373897705</v>
      </c>
      <c r="R1020" s="325">
        <v>7920</v>
      </c>
      <c r="S1020" s="326">
        <v>43465</v>
      </c>
    </row>
    <row r="1021" spans="1:19" s="1" customFormat="1" ht="15.75">
      <c r="A1021" s="107"/>
      <c r="B1021" s="1292" t="s">
        <v>649</v>
      </c>
      <c r="C1021" s="1292"/>
      <c r="D1021" s="1292"/>
      <c r="E1021" s="1292"/>
      <c r="F1021" s="1292"/>
      <c r="G1021" s="1292"/>
      <c r="H1021" s="111">
        <f>H1022</f>
        <v>2782.8</v>
      </c>
      <c r="I1021" s="111">
        <f t="shared" ref="I1021:P1021" si="306">I1022</f>
        <v>1743.6</v>
      </c>
      <c r="J1021" s="111">
        <f t="shared" si="306"/>
        <v>1259</v>
      </c>
      <c r="K1021" s="111">
        <f t="shared" si="306"/>
        <v>76</v>
      </c>
      <c r="L1021" s="566">
        <f t="shared" si="306"/>
        <v>1577672</v>
      </c>
      <c r="M1021" s="566">
        <f t="shared" si="306"/>
        <v>0</v>
      </c>
      <c r="N1021" s="566">
        <f t="shared" si="306"/>
        <v>0</v>
      </c>
      <c r="O1021" s="566">
        <f t="shared" si="306"/>
        <v>1577672</v>
      </c>
      <c r="P1021" s="566">
        <f t="shared" si="306"/>
        <v>0</v>
      </c>
      <c r="Q1021" s="114" t="s">
        <v>40</v>
      </c>
      <c r="R1021" s="114" t="s">
        <v>40</v>
      </c>
      <c r="S1021" s="326">
        <v>43465</v>
      </c>
    </row>
    <row r="1022" spans="1:19" s="1" customFormat="1" ht="15.75">
      <c r="A1022" s="107"/>
      <c r="B1022" s="1357" t="s">
        <v>652</v>
      </c>
      <c r="C1022" s="1358"/>
      <c r="D1022" s="1358"/>
      <c r="E1022" s="1358"/>
      <c r="F1022" s="1358"/>
      <c r="G1022" s="1359"/>
      <c r="H1022" s="111">
        <f>H1023+H1024</f>
        <v>2782.8</v>
      </c>
      <c r="I1022" s="111">
        <f t="shared" ref="I1022:P1022" si="307">I1023+I1024</f>
        <v>1743.6</v>
      </c>
      <c r="J1022" s="111">
        <f t="shared" si="307"/>
        <v>1259</v>
      </c>
      <c r="K1022" s="111">
        <f t="shared" si="307"/>
        <v>76</v>
      </c>
      <c r="L1022" s="566">
        <f t="shared" si="307"/>
        <v>1577672</v>
      </c>
      <c r="M1022" s="566">
        <f t="shared" si="307"/>
        <v>0</v>
      </c>
      <c r="N1022" s="566">
        <f t="shared" si="307"/>
        <v>0</v>
      </c>
      <c r="O1022" s="566">
        <f t="shared" si="307"/>
        <v>1577672</v>
      </c>
      <c r="P1022" s="566">
        <f t="shared" si="307"/>
        <v>0</v>
      </c>
      <c r="Q1022" s="114" t="s">
        <v>40</v>
      </c>
      <c r="R1022" s="106" t="s">
        <v>40</v>
      </c>
      <c r="S1022" s="326">
        <v>43465</v>
      </c>
    </row>
    <row r="1023" spans="1:19" s="1" customFormat="1" ht="15.75">
      <c r="A1023" s="107"/>
      <c r="B1023" s="567" t="s">
        <v>653</v>
      </c>
      <c r="C1023" s="108">
        <v>1982</v>
      </c>
      <c r="D1023" s="108"/>
      <c r="E1023" s="99" t="s">
        <v>220</v>
      </c>
      <c r="F1023" s="108">
        <v>2</v>
      </c>
      <c r="G1023" s="108">
        <v>3</v>
      </c>
      <c r="H1023" s="111">
        <v>1391.4</v>
      </c>
      <c r="I1023" s="114">
        <v>871.8</v>
      </c>
      <c r="J1023" s="114">
        <v>683.9</v>
      </c>
      <c r="K1023" s="112">
        <v>39</v>
      </c>
      <c r="L1023" s="113">
        <v>788836</v>
      </c>
      <c r="M1023" s="113">
        <v>0</v>
      </c>
      <c r="N1023" s="113">
        <v>0</v>
      </c>
      <c r="O1023" s="113">
        <v>788836</v>
      </c>
      <c r="P1023" s="113">
        <v>0</v>
      </c>
      <c r="Q1023" s="106">
        <f t="shared" ref="Q1023:Q1024" si="308">L1023/I1023</f>
        <v>904.83597155310861</v>
      </c>
      <c r="R1023" s="114">
        <v>7920</v>
      </c>
      <c r="S1023" s="326">
        <v>43465</v>
      </c>
    </row>
    <row r="1024" spans="1:19" s="1" customFormat="1" ht="15.75">
      <c r="A1024" s="107"/>
      <c r="B1024" s="567" t="s">
        <v>654</v>
      </c>
      <c r="C1024" s="108">
        <v>1982</v>
      </c>
      <c r="D1024" s="108"/>
      <c r="E1024" s="99" t="s">
        <v>220</v>
      </c>
      <c r="F1024" s="108">
        <v>2</v>
      </c>
      <c r="G1024" s="108">
        <v>3</v>
      </c>
      <c r="H1024" s="111">
        <v>1391.4</v>
      </c>
      <c r="I1024" s="114">
        <v>871.8</v>
      </c>
      <c r="J1024" s="114">
        <v>575.1</v>
      </c>
      <c r="K1024" s="112">
        <v>37</v>
      </c>
      <c r="L1024" s="113">
        <v>788836</v>
      </c>
      <c r="M1024" s="113">
        <v>0</v>
      </c>
      <c r="N1024" s="113">
        <v>0</v>
      </c>
      <c r="O1024" s="113">
        <v>788836</v>
      </c>
      <c r="P1024" s="113">
        <v>0</v>
      </c>
      <c r="Q1024" s="106">
        <f t="shared" si="308"/>
        <v>904.83597155310861</v>
      </c>
      <c r="R1024" s="114">
        <v>7920</v>
      </c>
      <c r="S1024" s="326">
        <v>43465</v>
      </c>
    </row>
    <row r="1025" spans="1:19" s="1" customFormat="1" ht="15.75">
      <c r="A1025" s="107"/>
      <c r="B1025" s="1292" t="s">
        <v>62</v>
      </c>
      <c r="C1025" s="1292"/>
      <c r="D1025" s="1292"/>
      <c r="E1025" s="1292"/>
      <c r="F1025" s="1292"/>
      <c r="G1025" s="1292"/>
      <c r="H1025" s="128">
        <f>H1026</f>
        <v>403.4</v>
      </c>
      <c r="I1025" s="106">
        <f t="shared" ref="I1025:P1025" si="309">I1026</f>
        <v>360.2</v>
      </c>
      <c r="J1025" s="106">
        <f t="shared" si="309"/>
        <v>360.2</v>
      </c>
      <c r="K1025" s="119">
        <f t="shared" si="309"/>
        <v>17</v>
      </c>
      <c r="L1025" s="113">
        <f t="shared" si="309"/>
        <v>1134905</v>
      </c>
      <c r="M1025" s="113">
        <f t="shared" si="309"/>
        <v>0</v>
      </c>
      <c r="N1025" s="113">
        <f t="shared" si="309"/>
        <v>0</v>
      </c>
      <c r="O1025" s="113">
        <f t="shared" si="309"/>
        <v>1134905</v>
      </c>
      <c r="P1025" s="113">
        <f t="shared" si="309"/>
        <v>0</v>
      </c>
      <c r="Q1025" s="106" t="s">
        <v>40</v>
      </c>
      <c r="R1025" s="106" t="s">
        <v>40</v>
      </c>
      <c r="S1025" s="326">
        <v>43465</v>
      </c>
    </row>
    <row r="1026" spans="1:19" s="1" customFormat="1" ht="15.75">
      <c r="A1026" s="107"/>
      <c r="B1026" s="1292" t="s">
        <v>117</v>
      </c>
      <c r="C1026" s="1292"/>
      <c r="D1026" s="1292"/>
      <c r="E1026" s="1292"/>
      <c r="F1026" s="1292"/>
      <c r="G1026" s="1292"/>
      <c r="H1026" s="128">
        <f>H1027</f>
        <v>403.4</v>
      </c>
      <c r="I1026" s="106">
        <f t="shared" ref="I1026:P1026" si="310">I1027</f>
        <v>360.2</v>
      </c>
      <c r="J1026" s="106">
        <f t="shared" si="310"/>
        <v>360.2</v>
      </c>
      <c r="K1026" s="119">
        <f t="shared" si="310"/>
        <v>17</v>
      </c>
      <c r="L1026" s="113">
        <f t="shared" si="310"/>
        <v>1134905</v>
      </c>
      <c r="M1026" s="113">
        <f t="shared" si="310"/>
        <v>0</v>
      </c>
      <c r="N1026" s="113">
        <f t="shared" si="310"/>
        <v>0</v>
      </c>
      <c r="O1026" s="113">
        <f t="shared" si="310"/>
        <v>1134905</v>
      </c>
      <c r="P1026" s="113">
        <f t="shared" si="310"/>
        <v>0</v>
      </c>
      <c r="Q1026" s="106" t="s">
        <v>40</v>
      </c>
      <c r="R1026" s="106" t="s">
        <v>40</v>
      </c>
      <c r="S1026" s="326">
        <v>43465</v>
      </c>
    </row>
    <row r="1027" spans="1:19" s="1" customFormat="1" ht="31.5">
      <c r="A1027" s="318"/>
      <c r="B1027" s="364" t="s">
        <v>487</v>
      </c>
      <c r="C1027" s="340">
        <v>1969</v>
      </c>
      <c r="D1027" s="340"/>
      <c r="E1027" s="321" t="s">
        <v>218</v>
      </c>
      <c r="F1027" s="340">
        <v>2</v>
      </c>
      <c r="G1027" s="340">
        <v>2</v>
      </c>
      <c r="H1027" s="341">
        <v>403.4</v>
      </c>
      <c r="I1027" s="344">
        <v>360.2</v>
      </c>
      <c r="J1027" s="344">
        <v>360.2</v>
      </c>
      <c r="K1027" s="343">
        <v>17</v>
      </c>
      <c r="L1027" s="324">
        <v>1134905</v>
      </c>
      <c r="M1027" s="324">
        <v>0</v>
      </c>
      <c r="N1027" s="324">
        <v>0</v>
      </c>
      <c r="O1027" s="324">
        <f>L1027</f>
        <v>1134905</v>
      </c>
      <c r="P1027" s="324">
        <v>0</v>
      </c>
      <c r="Q1027" s="344">
        <f>L1027/I1027</f>
        <v>3150.7634647418104</v>
      </c>
      <c r="R1027" s="325">
        <v>7920</v>
      </c>
      <c r="S1027" s="326">
        <v>43465</v>
      </c>
    </row>
    <row r="1028" spans="1:19" s="1" customFormat="1" ht="15.75">
      <c r="A1028" s="318"/>
      <c r="B1028" s="1346" t="s">
        <v>63</v>
      </c>
      <c r="C1028" s="1346"/>
      <c r="D1028" s="1346"/>
      <c r="E1028" s="1346"/>
      <c r="F1028" s="1346"/>
      <c r="G1028" s="1346"/>
      <c r="H1028" s="341">
        <f>H1029</f>
        <v>1388.4</v>
      </c>
      <c r="I1028" s="344">
        <f t="shared" ref="I1028:P1028" si="311">I1029</f>
        <v>1266.0999999999999</v>
      </c>
      <c r="J1028" s="344">
        <f t="shared" si="311"/>
        <v>1266.0999999999999</v>
      </c>
      <c r="K1028" s="343">
        <f t="shared" si="311"/>
        <v>39</v>
      </c>
      <c r="L1028" s="324">
        <f t="shared" si="311"/>
        <v>2751167</v>
      </c>
      <c r="M1028" s="324">
        <f t="shared" si="311"/>
        <v>0</v>
      </c>
      <c r="N1028" s="324">
        <f t="shared" si="311"/>
        <v>0</v>
      </c>
      <c r="O1028" s="324">
        <f t="shared" si="311"/>
        <v>2751167</v>
      </c>
      <c r="P1028" s="324">
        <f t="shared" si="311"/>
        <v>0</v>
      </c>
      <c r="Q1028" s="344" t="s">
        <v>40</v>
      </c>
      <c r="R1028" s="344" t="s">
        <v>40</v>
      </c>
      <c r="S1028" s="326">
        <v>43465</v>
      </c>
    </row>
    <row r="1029" spans="1:19" s="1" customFormat="1" ht="15.75" customHeight="1">
      <c r="A1029" s="318"/>
      <c r="B1029" s="1349" t="s">
        <v>116</v>
      </c>
      <c r="C1029" s="1349"/>
      <c r="D1029" s="1349"/>
      <c r="E1029" s="1349"/>
      <c r="F1029" s="1349"/>
      <c r="G1029" s="1349"/>
      <c r="H1029" s="341">
        <f>H1030+H1031</f>
        <v>1388.4</v>
      </c>
      <c r="I1029" s="344">
        <f t="shared" ref="I1029:K1029" si="312">I1030+I1031</f>
        <v>1266.0999999999999</v>
      </c>
      <c r="J1029" s="344">
        <f t="shared" si="312"/>
        <v>1266.0999999999999</v>
      </c>
      <c r="K1029" s="343">
        <f t="shared" si="312"/>
        <v>39</v>
      </c>
      <c r="L1029" s="324">
        <f>L1030+L1031</f>
        <v>2751167</v>
      </c>
      <c r="M1029" s="324">
        <f t="shared" ref="M1029:P1029" si="313">M1030+M1031</f>
        <v>0</v>
      </c>
      <c r="N1029" s="324">
        <f t="shared" si="313"/>
        <v>0</v>
      </c>
      <c r="O1029" s="324">
        <f t="shared" si="313"/>
        <v>2751167</v>
      </c>
      <c r="P1029" s="324">
        <f t="shared" si="313"/>
        <v>0</v>
      </c>
      <c r="Q1029" s="344" t="s">
        <v>40</v>
      </c>
      <c r="R1029" s="344" t="s">
        <v>40</v>
      </c>
      <c r="S1029" s="326">
        <v>43465</v>
      </c>
    </row>
    <row r="1030" spans="1:19" s="1" customFormat="1" ht="31.5">
      <c r="A1030" s="318"/>
      <c r="B1030" s="719" t="s">
        <v>677</v>
      </c>
      <c r="C1030" s="720">
        <v>1977</v>
      </c>
      <c r="D1030" s="721"/>
      <c r="E1030" s="321" t="s">
        <v>218</v>
      </c>
      <c r="F1030" s="720">
        <v>2</v>
      </c>
      <c r="G1030" s="720">
        <v>2</v>
      </c>
      <c r="H1030" s="694">
        <v>829.3</v>
      </c>
      <c r="I1030" s="377">
        <v>753</v>
      </c>
      <c r="J1030" s="377">
        <v>753</v>
      </c>
      <c r="K1030" s="378">
        <v>27</v>
      </c>
      <c r="L1030" s="324">
        <v>2217768</v>
      </c>
      <c r="M1030" s="324">
        <v>0</v>
      </c>
      <c r="N1030" s="324">
        <v>0</v>
      </c>
      <c r="O1030" s="324">
        <v>2217768</v>
      </c>
      <c r="P1030" s="324">
        <v>0</v>
      </c>
      <c r="Q1030" s="379">
        <f>L1030/I1030</f>
        <v>2945.2430278884462</v>
      </c>
      <c r="R1030" s="325">
        <v>7920</v>
      </c>
      <c r="S1030" s="326">
        <v>43465</v>
      </c>
    </row>
    <row r="1031" spans="1:19" s="1" customFormat="1" ht="31.5">
      <c r="A1031" s="318"/>
      <c r="B1031" s="719" t="s">
        <v>504</v>
      </c>
      <c r="C1031" s="721">
        <v>1966</v>
      </c>
      <c r="D1031" s="722"/>
      <c r="E1031" s="321" t="s">
        <v>218</v>
      </c>
      <c r="F1031" s="720">
        <v>2</v>
      </c>
      <c r="G1031" s="720">
        <v>2</v>
      </c>
      <c r="H1031" s="694">
        <v>559.1</v>
      </c>
      <c r="I1031" s="377">
        <v>513.1</v>
      </c>
      <c r="J1031" s="377">
        <v>513.1</v>
      </c>
      <c r="K1031" s="378">
        <v>12</v>
      </c>
      <c r="L1031" s="324">
        <v>533399</v>
      </c>
      <c r="M1031" s="324">
        <v>0</v>
      </c>
      <c r="N1031" s="324">
        <v>0</v>
      </c>
      <c r="O1031" s="324">
        <v>533399</v>
      </c>
      <c r="P1031" s="324">
        <v>0</v>
      </c>
      <c r="Q1031" s="379">
        <f>L1031/I1031</f>
        <v>1039.5614889885012</v>
      </c>
      <c r="R1031" s="325">
        <v>7920</v>
      </c>
      <c r="S1031" s="326">
        <v>43465</v>
      </c>
    </row>
    <row r="1032" spans="1:19" s="1" customFormat="1" ht="15.75">
      <c r="A1032" s="107"/>
      <c r="B1032" s="1292" t="s">
        <v>64</v>
      </c>
      <c r="C1032" s="1292"/>
      <c r="D1032" s="1292"/>
      <c r="E1032" s="1292"/>
      <c r="F1032" s="1292"/>
      <c r="G1032" s="1292"/>
      <c r="H1032" s="128">
        <f>H1033</f>
        <v>1981.8</v>
      </c>
      <c r="I1032" s="106">
        <f t="shared" ref="I1032:P1032" si="314">I1033</f>
        <v>1762.1000000000001</v>
      </c>
      <c r="J1032" s="106">
        <f t="shared" si="314"/>
        <v>1762.1000000000001</v>
      </c>
      <c r="K1032" s="119">
        <f t="shared" si="314"/>
        <v>66</v>
      </c>
      <c r="L1032" s="113">
        <f t="shared" si="314"/>
        <v>5819333</v>
      </c>
      <c r="M1032" s="113">
        <f t="shared" si="314"/>
        <v>0</v>
      </c>
      <c r="N1032" s="113">
        <f t="shared" si="314"/>
        <v>0</v>
      </c>
      <c r="O1032" s="113">
        <f t="shared" si="314"/>
        <v>5819333</v>
      </c>
      <c r="P1032" s="113">
        <f t="shared" si="314"/>
        <v>0</v>
      </c>
      <c r="Q1032" s="106" t="s">
        <v>40</v>
      </c>
      <c r="R1032" s="106" t="s">
        <v>40</v>
      </c>
      <c r="S1032" s="326">
        <v>43465</v>
      </c>
    </row>
    <row r="1033" spans="1:19" s="1" customFormat="1" ht="15.75">
      <c r="A1033" s="107"/>
      <c r="B1033" s="1292" t="s">
        <v>115</v>
      </c>
      <c r="C1033" s="1292"/>
      <c r="D1033" s="1292"/>
      <c r="E1033" s="1292"/>
      <c r="F1033" s="1292"/>
      <c r="G1033" s="1292"/>
      <c r="H1033" s="128">
        <f>SUM(H1034:H1037)</f>
        <v>1981.8</v>
      </c>
      <c r="I1033" s="106">
        <f t="shared" ref="I1033:O1033" si="315">SUM(I1034:I1037)</f>
        <v>1762.1000000000001</v>
      </c>
      <c r="J1033" s="106">
        <f t="shared" si="315"/>
        <v>1762.1000000000001</v>
      </c>
      <c r="K1033" s="119">
        <f t="shared" si="315"/>
        <v>66</v>
      </c>
      <c r="L1033" s="113">
        <f t="shared" si="315"/>
        <v>5819333</v>
      </c>
      <c r="M1033" s="113">
        <f t="shared" si="315"/>
        <v>0</v>
      </c>
      <c r="N1033" s="113">
        <f t="shared" si="315"/>
        <v>0</v>
      </c>
      <c r="O1033" s="113">
        <f t="shared" si="315"/>
        <v>5819333</v>
      </c>
      <c r="P1033" s="113">
        <f t="shared" ref="P1033" si="316">SUM(P1034:P1036)</f>
        <v>0</v>
      </c>
      <c r="Q1033" s="106" t="s">
        <v>40</v>
      </c>
      <c r="R1033" s="106" t="s">
        <v>40</v>
      </c>
      <c r="S1033" s="326">
        <v>43465</v>
      </c>
    </row>
    <row r="1034" spans="1:19" s="1" customFormat="1" ht="31.5">
      <c r="A1034" s="318"/>
      <c r="B1034" s="364" t="s">
        <v>612</v>
      </c>
      <c r="C1034" s="340">
        <v>1963</v>
      </c>
      <c r="D1034" s="340"/>
      <c r="E1034" s="321" t="s">
        <v>218</v>
      </c>
      <c r="F1034" s="340">
        <v>2</v>
      </c>
      <c r="G1034" s="340">
        <v>3</v>
      </c>
      <c r="H1034" s="341">
        <v>540.5</v>
      </c>
      <c r="I1034" s="344">
        <v>475.6</v>
      </c>
      <c r="J1034" s="344">
        <v>475.6</v>
      </c>
      <c r="K1034" s="343">
        <v>19</v>
      </c>
      <c r="L1034" s="324">
        <v>1575182</v>
      </c>
      <c r="M1034" s="324">
        <v>0</v>
      </c>
      <c r="N1034" s="324">
        <v>0</v>
      </c>
      <c r="O1034" s="324">
        <f>L1034</f>
        <v>1575182</v>
      </c>
      <c r="P1034" s="324">
        <v>0</v>
      </c>
      <c r="Q1034" s="344">
        <f>L1034/I1034</f>
        <v>3311.9890664423883</v>
      </c>
      <c r="R1034" s="325">
        <v>7920</v>
      </c>
      <c r="S1034" s="326">
        <v>43465</v>
      </c>
    </row>
    <row r="1035" spans="1:19" s="1" customFormat="1" ht="31.5">
      <c r="A1035" s="318"/>
      <c r="B1035" s="364" t="s">
        <v>613</v>
      </c>
      <c r="C1035" s="340">
        <v>1965</v>
      </c>
      <c r="D1035" s="340"/>
      <c r="E1035" s="321" t="s">
        <v>218</v>
      </c>
      <c r="F1035" s="340">
        <v>2</v>
      </c>
      <c r="G1035" s="340">
        <v>2</v>
      </c>
      <c r="H1035" s="341">
        <v>507.5</v>
      </c>
      <c r="I1035" s="344">
        <v>449.9</v>
      </c>
      <c r="J1035" s="344">
        <v>449.9</v>
      </c>
      <c r="K1035" s="343">
        <v>14</v>
      </c>
      <c r="L1035" s="324">
        <v>1455693</v>
      </c>
      <c r="M1035" s="324">
        <v>0</v>
      </c>
      <c r="N1035" s="324">
        <v>0</v>
      </c>
      <c r="O1035" s="324">
        <f>L1035</f>
        <v>1455693</v>
      </c>
      <c r="P1035" s="324">
        <v>0</v>
      </c>
      <c r="Q1035" s="344">
        <f>L1035/I1035</f>
        <v>3235.5923538564125</v>
      </c>
      <c r="R1035" s="325">
        <v>7920</v>
      </c>
      <c r="S1035" s="326">
        <v>43465</v>
      </c>
    </row>
    <row r="1036" spans="1:19" s="1" customFormat="1" ht="31.5">
      <c r="A1036" s="318"/>
      <c r="B1036" s="364" t="s">
        <v>614</v>
      </c>
      <c r="C1036" s="340">
        <v>1958</v>
      </c>
      <c r="D1036" s="340"/>
      <c r="E1036" s="321" t="s">
        <v>218</v>
      </c>
      <c r="F1036" s="340">
        <v>2</v>
      </c>
      <c r="G1036" s="340">
        <v>1</v>
      </c>
      <c r="H1036" s="341">
        <v>483</v>
      </c>
      <c r="I1036" s="344">
        <v>430.4</v>
      </c>
      <c r="J1036" s="344">
        <v>430.4</v>
      </c>
      <c r="K1036" s="343">
        <v>16</v>
      </c>
      <c r="L1036" s="324">
        <v>1394327</v>
      </c>
      <c r="M1036" s="324">
        <v>0</v>
      </c>
      <c r="N1036" s="324">
        <v>0</v>
      </c>
      <c r="O1036" s="324">
        <f>L1036</f>
        <v>1394327</v>
      </c>
      <c r="P1036" s="324">
        <v>0</v>
      </c>
      <c r="Q1036" s="344">
        <f>L1036/I1036</f>
        <v>3239.6073420074349</v>
      </c>
      <c r="R1036" s="325">
        <v>7920</v>
      </c>
      <c r="S1036" s="326">
        <v>43465</v>
      </c>
    </row>
    <row r="1037" spans="1:19" s="1" customFormat="1" ht="31.5">
      <c r="A1037" s="318"/>
      <c r="B1037" s="364" t="s">
        <v>615</v>
      </c>
      <c r="C1037" s="340">
        <v>1957</v>
      </c>
      <c r="D1037" s="340"/>
      <c r="E1037" s="321" t="s">
        <v>218</v>
      </c>
      <c r="F1037" s="340">
        <v>2</v>
      </c>
      <c r="G1037" s="340">
        <v>1</v>
      </c>
      <c r="H1037" s="341">
        <v>450.8</v>
      </c>
      <c r="I1037" s="344">
        <v>406.2</v>
      </c>
      <c r="J1037" s="344">
        <v>406.2</v>
      </c>
      <c r="K1037" s="343">
        <v>17</v>
      </c>
      <c r="L1037" s="324">
        <v>1394131</v>
      </c>
      <c r="M1037" s="324">
        <v>0</v>
      </c>
      <c r="N1037" s="324">
        <v>0</v>
      </c>
      <c r="O1037" s="324">
        <f>L1037</f>
        <v>1394131</v>
      </c>
      <c r="P1037" s="324">
        <v>0</v>
      </c>
      <c r="Q1037" s="344">
        <f>L1037/I1037</f>
        <v>3432.1294928606599</v>
      </c>
      <c r="R1037" s="325">
        <v>7920</v>
      </c>
      <c r="S1037" s="326">
        <v>43465</v>
      </c>
    </row>
    <row r="1038" spans="1:19" s="1" customFormat="1" ht="15.75">
      <c r="A1038" s="107"/>
      <c r="B1038" s="1292" t="s">
        <v>211</v>
      </c>
      <c r="C1038" s="1292"/>
      <c r="D1038" s="1292"/>
      <c r="E1038" s="1292"/>
      <c r="F1038" s="1292"/>
      <c r="G1038" s="1292"/>
      <c r="H1038" s="128">
        <f>H1039+H1041</f>
        <v>1161.3</v>
      </c>
      <c r="I1038" s="128">
        <f t="shared" ref="I1038:P1038" si="317">I1039+I1041</f>
        <v>1063.3000000000002</v>
      </c>
      <c r="J1038" s="128">
        <f t="shared" si="317"/>
        <v>1063.3000000000002</v>
      </c>
      <c r="K1038" s="119">
        <f t="shared" si="317"/>
        <v>32</v>
      </c>
      <c r="L1038" s="113">
        <f t="shared" si="317"/>
        <v>3125223</v>
      </c>
      <c r="M1038" s="113">
        <f t="shared" si="317"/>
        <v>0</v>
      </c>
      <c r="N1038" s="113">
        <f t="shared" si="317"/>
        <v>0</v>
      </c>
      <c r="O1038" s="113">
        <f t="shared" si="317"/>
        <v>3125223</v>
      </c>
      <c r="P1038" s="113">
        <f t="shared" si="317"/>
        <v>0</v>
      </c>
      <c r="Q1038" s="106" t="s">
        <v>40</v>
      </c>
      <c r="R1038" s="106" t="s">
        <v>40</v>
      </c>
      <c r="S1038" s="326">
        <v>43465</v>
      </c>
    </row>
    <row r="1039" spans="1:19" s="1" customFormat="1" ht="15.75">
      <c r="A1039" s="107"/>
      <c r="B1039" s="1292" t="s">
        <v>633</v>
      </c>
      <c r="C1039" s="1292"/>
      <c r="D1039" s="1292"/>
      <c r="E1039" s="1292"/>
      <c r="F1039" s="1292"/>
      <c r="G1039" s="1292"/>
      <c r="H1039" s="128">
        <f>H1040</f>
        <v>562.9</v>
      </c>
      <c r="I1039" s="128">
        <f t="shared" ref="I1039:P1039" si="318">I1040</f>
        <v>512.70000000000005</v>
      </c>
      <c r="J1039" s="128">
        <f t="shared" si="318"/>
        <v>512.70000000000005</v>
      </c>
      <c r="K1039" s="119">
        <f t="shared" si="318"/>
        <v>15</v>
      </c>
      <c r="L1039" s="113">
        <f t="shared" si="318"/>
        <v>1402855</v>
      </c>
      <c r="M1039" s="113">
        <f t="shared" si="318"/>
        <v>0</v>
      </c>
      <c r="N1039" s="113">
        <f t="shared" si="318"/>
        <v>0</v>
      </c>
      <c r="O1039" s="113">
        <f t="shared" si="318"/>
        <v>1402855</v>
      </c>
      <c r="P1039" s="113">
        <f t="shared" si="318"/>
        <v>0</v>
      </c>
      <c r="Q1039" s="106" t="s">
        <v>40</v>
      </c>
      <c r="R1039" s="114" t="s">
        <v>40</v>
      </c>
      <c r="S1039" s="326">
        <v>43465</v>
      </c>
    </row>
    <row r="1040" spans="1:19" s="1" customFormat="1" ht="31.5">
      <c r="A1040" s="107"/>
      <c r="B1040" s="564" t="s">
        <v>634</v>
      </c>
      <c r="C1040" s="118">
        <v>1968</v>
      </c>
      <c r="D1040" s="118"/>
      <c r="E1040" s="109" t="s">
        <v>218</v>
      </c>
      <c r="F1040" s="118">
        <v>2</v>
      </c>
      <c r="G1040" s="118">
        <v>2</v>
      </c>
      <c r="H1040" s="128">
        <v>562.9</v>
      </c>
      <c r="I1040" s="106">
        <v>512.70000000000005</v>
      </c>
      <c r="J1040" s="106">
        <v>512.70000000000005</v>
      </c>
      <c r="K1040" s="119">
        <v>15</v>
      </c>
      <c r="L1040" s="113">
        <v>1402855</v>
      </c>
      <c r="M1040" s="113">
        <v>0</v>
      </c>
      <c r="N1040" s="113">
        <v>0</v>
      </c>
      <c r="O1040" s="113">
        <v>1402855</v>
      </c>
      <c r="P1040" s="113">
        <v>0</v>
      </c>
      <c r="Q1040" s="106">
        <f>L1040/I1040</f>
        <v>2736.2102594109615</v>
      </c>
      <c r="R1040" s="114">
        <v>7920</v>
      </c>
      <c r="S1040" s="326">
        <v>43465</v>
      </c>
    </row>
    <row r="1041" spans="1:19" s="1" customFormat="1" ht="15.75">
      <c r="A1041" s="107"/>
      <c r="B1041" s="1292" t="s">
        <v>635</v>
      </c>
      <c r="C1041" s="1292"/>
      <c r="D1041" s="1292"/>
      <c r="E1041" s="1292"/>
      <c r="F1041" s="1292"/>
      <c r="G1041" s="1292"/>
      <c r="H1041" s="128">
        <f>H1042</f>
        <v>598.4</v>
      </c>
      <c r="I1041" s="128">
        <f t="shared" ref="I1041:P1041" si="319">I1042</f>
        <v>550.6</v>
      </c>
      <c r="J1041" s="128">
        <f t="shared" si="319"/>
        <v>550.6</v>
      </c>
      <c r="K1041" s="119">
        <f t="shared" si="319"/>
        <v>17</v>
      </c>
      <c r="L1041" s="113">
        <f t="shared" si="319"/>
        <v>1722368</v>
      </c>
      <c r="M1041" s="113">
        <f t="shared" si="319"/>
        <v>0</v>
      </c>
      <c r="N1041" s="113">
        <f t="shared" si="319"/>
        <v>0</v>
      </c>
      <c r="O1041" s="113">
        <f t="shared" si="319"/>
        <v>1722368</v>
      </c>
      <c r="P1041" s="113">
        <f t="shared" si="319"/>
        <v>0</v>
      </c>
      <c r="Q1041" s="106" t="s">
        <v>40</v>
      </c>
      <c r="R1041" s="114" t="s">
        <v>40</v>
      </c>
      <c r="S1041" s="326">
        <v>43465</v>
      </c>
    </row>
    <row r="1042" spans="1:19" s="1" customFormat="1" ht="31.5">
      <c r="A1042" s="107"/>
      <c r="B1042" s="564" t="s">
        <v>636</v>
      </c>
      <c r="C1042" s="118">
        <v>1979</v>
      </c>
      <c r="D1042" s="118"/>
      <c r="E1042" s="109" t="s">
        <v>218</v>
      </c>
      <c r="F1042" s="118">
        <v>2</v>
      </c>
      <c r="G1042" s="118">
        <v>2</v>
      </c>
      <c r="H1042" s="128">
        <v>598.4</v>
      </c>
      <c r="I1042" s="106">
        <v>550.6</v>
      </c>
      <c r="J1042" s="106">
        <v>550.6</v>
      </c>
      <c r="K1042" s="119">
        <v>17</v>
      </c>
      <c r="L1042" s="113">
        <v>1722368</v>
      </c>
      <c r="M1042" s="113">
        <v>0</v>
      </c>
      <c r="N1042" s="113">
        <v>0</v>
      </c>
      <c r="O1042" s="113">
        <v>1722368</v>
      </c>
      <c r="P1042" s="113">
        <v>0</v>
      </c>
      <c r="Q1042" s="106">
        <f>L1042/I1042</f>
        <v>3128.1656374863783</v>
      </c>
      <c r="R1042" s="114">
        <v>7920</v>
      </c>
      <c r="S1042" s="326">
        <v>43465</v>
      </c>
    </row>
    <row r="1043" spans="1:19" s="1" customFormat="1" ht="15.75">
      <c r="A1043" s="107"/>
      <c r="B1043" s="1292" t="s">
        <v>66</v>
      </c>
      <c r="C1043" s="1292"/>
      <c r="D1043" s="1292"/>
      <c r="E1043" s="1292"/>
      <c r="F1043" s="1292"/>
      <c r="G1043" s="1292"/>
      <c r="H1043" s="128">
        <f>H1044</f>
        <v>1156.8</v>
      </c>
      <c r="I1043" s="106">
        <f t="shared" ref="I1043:P1044" si="320">I1044</f>
        <v>1092.7</v>
      </c>
      <c r="J1043" s="106">
        <f t="shared" si="320"/>
        <v>1050.4000000000001</v>
      </c>
      <c r="K1043" s="119">
        <f t="shared" si="320"/>
        <v>44</v>
      </c>
      <c r="L1043" s="113">
        <f t="shared" si="320"/>
        <v>2792955</v>
      </c>
      <c r="M1043" s="113">
        <f t="shared" si="320"/>
        <v>0</v>
      </c>
      <c r="N1043" s="113">
        <f t="shared" si="320"/>
        <v>0</v>
      </c>
      <c r="O1043" s="113">
        <f t="shared" si="320"/>
        <v>2792955</v>
      </c>
      <c r="P1043" s="113">
        <f t="shared" si="320"/>
        <v>0</v>
      </c>
      <c r="Q1043" s="106" t="s">
        <v>40</v>
      </c>
      <c r="R1043" s="106" t="s">
        <v>40</v>
      </c>
      <c r="S1043" s="326">
        <v>43465</v>
      </c>
    </row>
    <row r="1044" spans="1:19" s="1" customFormat="1" ht="15.75">
      <c r="A1044" s="107"/>
      <c r="B1044" s="1292" t="s">
        <v>114</v>
      </c>
      <c r="C1044" s="1292"/>
      <c r="D1044" s="1292"/>
      <c r="E1044" s="1292"/>
      <c r="F1044" s="1292"/>
      <c r="G1044" s="1292"/>
      <c r="H1044" s="128">
        <f>H1045</f>
        <v>1156.8</v>
      </c>
      <c r="I1044" s="128">
        <f t="shared" si="320"/>
        <v>1092.7</v>
      </c>
      <c r="J1044" s="128">
        <f t="shared" si="320"/>
        <v>1050.4000000000001</v>
      </c>
      <c r="K1044" s="128">
        <f t="shared" si="320"/>
        <v>44</v>
      </c>
      <c r="L1044" s="366">
        <f t="shared" si="320"/>
        <v>2792955</v>
      </c>
      <c r="M1044" s="366">
        <f t="shared" si="320"/>
        <v>0</v>
      </c>
      <c r="N1044" s="366">
        <f t="shared" si="320"/>
        <v>0</v>
      </c>
      <c r="O1044" s="366">
        <f t="shared" si="320"/>
        <v>2792955</v>
      </c>
      <c r="P1044" s="366">
        <f t="shared" si="320"/>
        <v>0</v>
      </c>
      <c r="Q1044" s="106" t="s">
        <v>40</v>
      </c>
      <c r="R1044" s="114" t="s">
        <v>40</v>
      </c>
      <c r="S1044" s="326">
        <v>43465</v>
      </c>
    </row>
    <row r="1045" spans="1:19" s="1" customFormat="1" ht="31.5">
      <c r="A1045" s="318"/>
      <c r="B1045" s="364" t="s">
        <v>500</v>
      </c>
      <c r="C1045" s="340">
        <v>1963</v>
      </c>
      <c r="D1045" s="340"/>
      <c r="E1045" s="321" t="s">
        <v>218</v>
      </c>
      <c r="F1045" s="340">
        <v>2</v>
      </c>
      <c r="G1045" s="340">
        <v>4</v>
      </c>
      <c r="H1045" s="341">
        <v>1156.8</v>
      </c>
      <c r="I1045" s="344">
        <v>1092.7</v>
      </c>
      <c r="J1045" s="344">
        <v>1050.4000000000001</v>
      </c>
      <c r="K1045" s="343">
        <v>44</v>
      </c>
      <c r="L1045" s="324">
        <v>2792955</v>
      </c>
      <c r="M1045" s="324">
        <v>0</v>
      </c>
      <c r="N1045" s="324">
        <v>0</v>
      </c>
      <c r="O1045" s="324">
        <v>2792955</v>
      </c>
      <c r="P1045" s="324">
        <v>0</v>
      </c>
      <c r="Q1045" s="344">
        <f>L1045/I1045</f>
        <v>2556.0126292669534</v>
      </c>
      <c r="R1045" s="325">
        <v>7920</v>
      </c>
      <c r="S1045" s="326">
        <v>43465</v>
      </c>
    </row>
    <row r="1046" spans="1:19" s="1" customFormat="1" ht="15.75">
      <c r="A1046" s="107"/>
      <c r="B1046" s="304"/>
      <c r="C1046" s="118"/>
      <c r="D1046" s="118"/>
      <c r="E1046" s="109"/>
      <c r="F1046" s="118"/>
      <c r="G1046" s="118"/>
      <c r="H1046" s="128"/>
      <c r="I1046" s="106"/>
      <c r="J1046" s="106"/>
      <c r="K1046" s="119"/>
      <c r="L1046" s="113"/>
      <c r="M1046" s="113"/>
      <c r="N1046" s="113"/>
      <c r="O1046" s="113"/>
      <c r="P1046" s="113"/>
      <c r="Q1046" s="106"/>
      <c r="R1046" s="114"/>
      <c r="S1046" s="326"/>
    </row>
    <row r="1047" spans="1:19" s="1" customFormat="1" ht="15.75">
      <c r="A1047" s="107"/>
      <c r="B1047" s="304"/>
      <c r="C1047" s="118"/>
      <c r="D1047" s="118"/>
      <c r="E1047" s="109"/>
      <c r="F1047" s="118"/>
      <c r="G1047" s="118"/>
      <c r="H1047" s="128"/>
      <c r="I1047" s="106"/>
      <c r="J1047" s="106"/>
      <c r="K1047" s="119"/>
      <c r="L1047" s="113"/>
      <c r="M1047" s="113"/>
      <c r="N1047" s="113"/>
      <c r="O1047" s="113"/>
      <c r="P1047" s="113"/>
      <c r="Q1047" s="106"/>
      <c r="R1047" s="114"/>
      <c r="S1047" s="326"/>
    </row>
    <row r="1048" spans="1:19" s="1" customFormat="1" ht="15.75">
      <c r="A1048" s="107"/>
      <c r="B1048" s="1292" t="s">
        <v>207</v>
      </c>
      <c r="C1048" s="1292"/>
      <c r="D1048" s="1292"/>
      <c r="E1048" s="1292"/>
      <c r="F1048" s="1292"/>
      <c r="G1048" s="1292"/>
      <c r="H1048" s="128">
        <f>SUM(H1049:H1058)</f>
        <v>53993.469999999994</v>
      </c>
      <c r="I1048" s="128">
        <f t="shared" ref="I1048:P1048" si="321">SUM(I1049:I1058)</f>
        <v>47190.219999999994</v>
      </c>
      <c r="J1048" s="128">
        <f t="shared" si="321"/>
        <v>46251.12</v>
      </c>
      <c r="K1048" s="128">
        <f t="shared" si="321"/>
        <v>1897</v>
      </c>
      <c r="L1048" s="366">
        <f t="shared" si="321"/>
        <v>22164555</v>
      </c>
      <c r="M1048" s="366">
        <f t="shared" si="321"/>
        <v>0</v>
      </c>
      <c r="N1048" s="366">
        <f t="shared" si="321"/>
        <v>0</v>
      </c>
      <c r="O1048" s="366">
        <f t="shared" si="321"/>
        <v>22164555</v>
      </c>
      <c r="P1048" s="128">
        <f t="shared" si="321"/>
        <v>0</v>
      </c>
      <c r="Q1048" s="106" t="s">
        <v>40</v>
      </c>
      <c r="R1048" s="106" t="s">
        <v>40</v>
      </c>
      <c r="S1048" s="326">
        <v>43465</v>
      </c>
    </row>
    <row r="1049" spans="1:19" s="21" customFormat="1" ht="15.75">
      <c r="A1049" s="318">
        <f>A1047+1</f>
        <v>1</v>
      </c>
      <c r="B1049" s="373" t="s">
        <v>512</v>
      </c>
      <c r="C1049" s="374">
        <v>1983</v>
      </c>
      <c r="D1049" s="375"/>
      <c r="E1049" s="321" t="s">
        <v>219</v>
      </c>
      <c r="F1049" s="374">
        <v>9</v>
      </c>
      <c r="G1049" s="374">
        <v>4</v>
      </c>
      <c r="H1049" s="376">
        <v>8411.2999999999993</v>
      </c>
      <c r="I1049" s="376">
        <v>7342.2</v>
      </c>
      <c r="J1049" s="377">
        <v>7289.8</v>
      </c>
      <c r="K1049" s="378">
        <v>264</v>
      </c>
      <c r="L1049" s="324">
        <v>3034841</v>
      </c>
      <c r="M1049" s="324">
        <v>0</v>
      </c>
      <c r="N1049" s="324">
        <v>0</v>
      </c>
      <c r="O1049" s="324">
        <f t="shared" ref="O1049:O1058" si="322">L1049</f>
        <v>3034841</v>
      </c>
      <c r="P1049" s="324">
        <v>0</v>
      </c>
      <c r="Q1049" s="379">
        <f t="shared" ref="Q1049:Q1058" si="323">L1049/I1049</f>
        <v>413.34218626569697</v>
      </c>
      <c r="R1049" s="325">
        <v>7920</v>
      </c>
      <c r="S1049" s="326">
        <v>43465</v>
      </c>
    </row>
    <row r="1050" spans="1:19" s="21" customFormat="1" ht="15.75">
      <c r="A1050" s="318">
        <f t="shared" ref="A1050:A1058" si="324">A1049+1</f>
        <v>2</v>
      </c>
      <c r="B1050" s="373" t="s">
        <v>513</v>
      </c>
      <c r="C1050" s="374">
        <v>1983</v>
      </c>
      <c r="D1050" s="375"/>
      <c r="E1050" s="321" t="s">
        <v>219</v>
      </c>
      <c r="F1050" s="374">
        <v>9</v>
      </c>
      <c r="G1050" s="374">
        <v>1</v>
      </c>
      <c r="H1050" s="376">
        <v>2521.3000000000002</v>
      </c>
      <c r="I1050" s="376">
        <v>2202.1999999999998</v>
      </c>
      <c r="J1050" s="377">
        <v>2202.1999999999998</v>
      </c>
      <c r="K1050" s="378">
        <v>99</v>
      </c>
      <c r="L1050" s="324">
        <v>925522</v>
      </c>
      <c r="M1050" s="324">
        <v>0</v>
      </c>
      <c r="N1050" s="324">
        <v>0</v>
      </c>
      <c r="O1050" s="324">
        <f t="shared" si="322"/>
        <v>925522</v>
      </c>
      <c r="P1050" s="324">
        <v>0</v>
      </c>
      <c r="Q1050" s="379">
        <f t="shared" si="323"/>
        <v>420.27154663518303</v>
      </c>
      <c r="R1050" s="325">
        <v>7920</v>
      </c>
      <c r="S1050" s="326">
        <v>43465</v>
      </c>
    </row>
    <row r="1051" spans="1:19" s="21" customFormat="1" ht="15.75">
      <c r="A1051" s="318">
        <f t="shared" si="324"/>
        <v>3</v>
      </c>
      <c r="B1051" s="373" t="s">
        <v>514</v>
      </c>
      <c r="C1051" s="374">
        <v>1985</v>
      </c>
      <c r="D1051" s="375"/>
      <c r="E1051" s="321" t="s">
        <v>219</v>
      </c>
      <c r="F1051" s="374">
        <v>9</v>
      </c>
      <c r="G1051" s="374">
        <v>2</v>
      </c>
      <c r="H1051" s="376">
        <v>5102.45</v>
      </c>
      <c r="I1051" s="376">
        <v>4428.75</v>
      </c>
      <c r="J1051" s="377">
        <v>4249.75</v>
      </c>
      <c r="K1051" s="378">
        <v>216</v>
      </c>
      <c r="L1051" s="324">
        <v>1823451</v>
      </c>
      <c r="M1051" s="324">
        <v>0</v>
      </c>
      <c r="N1051" s="324">
        <v>0</v>
      </c>
      <c r="O1051" s="324">
        <f t="shared" si="322"/>
        <v>1823451</v>
      </c>
      <c r="P1051" s="324">
        <v>0</v>
      </c>
      <c r="Q1051" s="379">
        <f t="shared" si="323"/>
        <v>411.73039796782388</v>
      </c>
      <c r="R1051" s="325">
        <v>7920</v>
      </c>
      <c r="S1051" s="326">
        <v>43465</v>
      </c>
    </row>
    <row r="1052" spans="1:19" s="21" customFormat="1" ht="15.75">
      <c r="A1052" s="318">
        <f t="shared" si="324"/>
        <v>4</v>
      </c>
      <c r="B1052" s="373" t="s">
        <v>515</v>
      </c>
      <c r="C1052" s="374">
        <v>1986</v>
      </c>
      <c r="D1052" s="375"/>
      <c r="E1052" s="321" t="s">
        <v>219</v>
      </c>
      <c r="F1052" s="374">
        <v>9</v>
      </c>
      <c r="G1052" s="374">
        <v>5</v>
      </c>
      <c r="H1052" s="376">
        <v>11880.19</v>
      </c>
      <c r="I1052" s="376">
        <v>10118.07</v>
      </c>
      <c r="J1052" s="377">
        <v>9963.8700000000008</v>
      </c>
      <c r="K1052" s="378">
        <v>404</v>
      </c>
      <c r="L1052" s="324">
        <v>3802042</v>
      </c>
      <c r="M1052" s="324">
        <v>0</v>
      </c>
      <c r="N1052" s="324">
        <v>0</v>
      </c>
      <c r="O1052" s="324">
        <f t="shared" si="322"/>
        <v>3802042</v>
      </c>
      <c r="P1052" s="324">
        <v>0</v>
      </c>
      <c r="Q1052" s="379">
        <f t="shared" si="323"/>
        <v>375.7675129743123</v>
      </c>
      <c r="R1052" s="325">
        <v>7920</v>
      </c>
      <c r="S1052" s="326">
        <v>43465</v>
      </c>
    </row>
    <row r="1053" spans="1:19" s="21" customFormat="1" ht="15.75">
      <c r="A1053" s="318">
        <f t="shared" si="324"/>
        <v>5</v>
      </c>
      <c r="B1053" s="373" t="s">
        <v>516</v>
      </c>
      <c r="C1053" s="374">
        <v>1987</v>
      </c>
      <c r="D1053" s="375"/>
      <c r="E1053" s="321" t="s">
        <v>219</v>
      </c>
      <c r="F1053" s="374">
        <v>9</v>
      </c>
      <c r="G1053" s="374">
        <v>3</v>
      </c>
      <c r="H1053" s="376">
        <v>7641.43</v>
      </c>
      <c r="I1053" s="376">
        <v>6637.2</v>
      </c>
      <c r="J1053" s="377">
        <v>6453.6</v>
      </c>
      <c r="K1053" s="378">
        <v>175</v>
      </c>
      <c r="L1053" s="324">
        <v>2887804</v>
      </c>
      <c r="M1053" s="324">
        <v>0</v>
      </c>
      <c r="N1053" s="324">
        <v>0</v>
      </c>
      <c r="O1053" s="324">
        <f t="shared" si="322"/>
        <v>2887804</v>
      </c>
      <c r="P1053" s="324">
        <v>0</v>
      </c>
      <c r="Q1053" s="379">
        <f t="shared" si="323"/>
        <v>435.09371421683846</v>
      </c>
      <c r="R1053" s="325">
        <v>7920</v>
      </c>
      <c r="S1053" s="326">
        <v>43465</v>
      </c>
    </row>
    <row r="1054" spans="1:19" s="21" customFormat="1" ht="15.75">
      <c r="A1054" s="318">
        <f t="shared" si="324"/>
        <v>6</v>
      </c>
      <c r="B1054" s="373" t="s">
        <v>517</v>
      </c>
      <c r="C1054" s="374">
        <v>1983</v>
      </c>
      <c r="D1054" s="375"/>
      <c r="E1054" s="321" t="s">
        <v>219</v>
      </c>
      <c r="F1054" s="374">
        <v>9</v>
      </c>
      <c r="G1054" s="374">
        <v>1</v>
      </c>
      <c r="H1054" s="376">
        <v>2504.8000000000002</v>
      </c>
      <c r="I1054" s="376">
        <v>2193.3000000000002</v>
      </c>
      <c r="J1054" s="377">
        <v>2193.3000000000002</v>
      </c>
      <c r="K1054" s="378">
        <v>105</v>
      </c>
      <c r="L1054" s="324">
        <v>928016</v>
      </c>
      <c r="M1054" s="324">
        <v>0</v>
      </c>
      <c r="N1054" s="324">
        <v>0</v>
      </c>
      <c r="O1054" s="324">
        <f t="shared" si="322"/>
        <v>928016</v>
      </c>
      <c r="P1054" s="324">
        <v>0</v>
      </c>
      <c r="Q1054" s="379">
        <f t="shared" si="323"/>
        <v>423.11402908858793</v>
      </c>
      <c r="R1054" s="325">
        <v>7920</v>
      </c>
      <c r="S1054" s="326">
        <v>43465</v>
      </c>
    </row>
    <row r="1055" spans="1:19" s="21" customFormat="1" ht="15.75">
      <c r="A1055" s="318">
        <f t="shared" si="324"/>
        <v>7</v>
      </c>
      <c r="B1055" s="373" t="s">
        <v>518</v>
      </c>
      <c r="C1055" s="374">
        <v>1980</v>
      </c>
      <c r="D1055" s="375"/>
      <c r="E1055" s="321" t="s">
        <v>219</v>
      </c>
      <c r="F1055" s="374">
        <v>9</v>
      </c>
      <c r="G1055" s="374">
        <v>1</v>
      </c>
      <c r="H1055" s="376">
        <v>2555.1999999999998</v>
      </c>
      <c r="I1055" s="376">
        <v>2220.1999999999998</v>
      </c>
      <c r="J1055" s="377">
        <v>2185.1999999999998</v>
      </c>
      <c r="K1055" s="378">
        <v>89</v>
      </c>
      <c r="L1055" s="324">
        <v>935370</v>
      </c>
      <c r="M1055" s="324">
        <v>0</v>
      </c>
      <c r="N1055" s="324">
        <v>0</v>
      </c>
      <c r="O1055" s="324">
        <f t="shared" si="322"/>
        <v>935370</v>
      </c>
      <c r="P1055" s="324">
        <v>0</v>
      </c>
      <c r="Q1055" s="379">
        <f t="shared" si="323"/>
        <v>421.29988289343305</v>
      </c>
      <c r="R1055" s="325">
        <v>7920</v>
      </c>
      <c r="S1055" s="326">
        <v>43465</v>
      </c>
    </row>
    <row r="1056" spans="1:19" s="21" customFormat="1" ht="15.75">
      <c r="A1056" s="318">
        <f t="shared" si="324"/>
        <v>8</v>
      </c>
      <c r="B1056" s="373" t="s">
        <v>519</v>
      </c>
      <c r="C1056" s="374">
        <v>1976</v>
      </c>
      <c r="D1056" s="375"/>
      <c r="E1056" s="321" t="s">
        <v>219</v>
      </c>
      <c r="F1056" s="374">
        <v>5</v>
      </c>
      <c r="G1056" s="374">
        <v>10</v>
      </c>
      <c r="H1056" s="376">
        <v>5642.5</v>
      </c>
      <c r="I1056" s="376">
        <v>5105</v>
      </c>
      <c r="J1056" s="377">
        <v>4957.8999999999996</v>
      </c>
      <c r="K1056" s="378">
        <v>237</v>
      </c>
      <c r="L1056" s="324">
        <v>3352678</v>
      </c>
      <c r="M1056" s="324">
        <v>0</v>
      </c>
      <c r="N1056" s="324">
        <v>0</v>
      </c>
      <c r="O1056" s="324">
        <f t="shared" si="322"/>
        <v>3352678</v>
      </c>
      <c r="P1056" s="324">
        <v>0</v>
      </c>
      <c r="Q1056" s="379">
        <f t="shared" si="323"/>
        <v>656.74397649363368</v>
      </c>
      <c r="R1056" s="325">
        <v>7920</v>
      </c>
      <c r="S1056" s="326">
        <v>43465</v>
      </c>
    </row>
    <row r="1057" spans="1:19" s="21" customFormat="1" ht="15.75">
      <c r="A1057" s="318">
        <f t="shared" si="324"/>
        <v>9</v>
      </c>
      <c r="B1057" s="373" t="s">
        <v>520</v>
      </c>
      <c r="C1057" s="374">
        <v>1975</v>
      </c>
      <c r="D1057" s="375"/>
      <c r="E1057" s="321" t="s">
        <v>219</v>
      </c>
      <c r="F1057" s="374">
        <v>5</v>
      </c>
      <c r="G1057" s="374">
        <v>8</v>
      </c>
      <c r="H1057" s="376">
        <v>4425.7</v>
      </c>
      <c r="I1057" s="376">
        <v>3958.7</v>
      </c>
      <c r="J1057" s="377">
        <v>3839.1</v>
      </c>
      <c r="K1057" s="378">
        <v>181</v>
      </c>
      <c r="L1057" s="324">
        <v>2535669</v>
      </c>
      <c r="M1057" s="324">
        <v>0</v>
      </c>
      <c r="N1057" s="324">
        <v>0</v>
      </c>
      <c r="O1057" s="324">
        <f t="shared" si="322"/>
        <v>2535669</v>
      </c>
      <c r="P1057" s="324">
        <v>0</v>
      </c>
      <c r="Q1057" s="379">
        <f t="shared" si="323"/>
        <v>640.53072978503042</v>
      </c>
      <c r="R1057" s="325">
        <v>7920</v>
      </c>
      <c r="S1057" s="326">
        <v>43465</v>
      </c>
    </row>
    <row r="1058" spans="1:19" s="21" customFormat="1" ht="15.75">
      <c r="A1058" s="318">
        <f t="shared" si="324"/>
        <v>10</v>
      </c>
      <c r="B1058" s="373" t="s">
        <v>521</v>
      </c>
      <c r="C1058" s="374">
        <v>1976</v>
      </c>
      <c r="D1058" s="340"/>
      <c r="E1058" s="321" t="s">
        <v>219</v>
      </c>
      <c r="F1058" s="374">
        <v>5</v>
      </c>
      <c r="G1058" s="374">
        <v>6</v>
      </c>
      <c r="H1058" s="376">
        <v>3308.6</v>
      </c>
      <c r="I1058" s="376">
        <v>2984.6</v>
      </c>
      <c r="J1058" s="380">
        <v>2916.4</v>
      </c>
      <c r="K1058" s="343">
        <v>127</v>
      </c>
      <c r="L1058" s="324">
        <v>1939162</v>
      </c>
      <c r="M1058" s="324">
        <v>0</v>
      </c>
      <c r="N1058" s="324">
        <v>0</v>
      </c>
      <c r="O1058" s="324">
        <f t="shared" si="322"/>
        <v>1939162</v>
      </c>
      <c r="P1058" s="324">
        <v>0</v>
      </c>
      <c r="Q1058" s="379">
        <f t="shared" si="323"/>
        <v>649.72257588956643</v>
      </c>
      <c r="R1058" s="325">
        <v>7920</v>
      </c>
      <c r="S1058" s="326">
        <v>43465</v>
      </c>
    </row>
    <row r="1059" spans="1:19" s="21" customFormat="1" ht="15.75">
      <c r="A1059" s="381"/>
      <c r="B1059" s="382"/>
      <c r="C1059" s="383"/>
      <c r="D1059" s="383"/>
      <c r="E1059" s="384"/>
      <c r="F1059" s="383"/>
      <c r="G1059" s="383"/>
      <c r="H1059" s="385"/>
      <c r="I1059" s="386"/>
      <c r="J1059" s="386"/>
      <c r="K1059" s="378"/>
      <c r="L1059" s="324"/>
      <c r="M1059" s="324"/>
      <c r="N1059" s="324"/>
      <c r="O1059" s="324"/>
      <c r="P1059" s="324"/>
      <c r="Q1059" s="379"/>
      <c r="R1059" s="325"/>
      <c r="S1059" s="326"/>
    </row>
    <row r="1060" spans="1:19" s="36" customFormat="1" ht="15.75">
      <c r="A1060" s="107"/>
      <c r="B1060" s="1292" t="s">
        <v>67</v>
      </c>
      <c r="C1060" s="1292"/>
      <c r="D1060" s="1292"/>
      <c r="E1060" s="1292"/>
      <c r="F1060" s="1292"/>
      <c r="G1060" s="1292"/>
      <c r="H1060" s="128">
        <f>H1061+H1063</f>
        <v>1507.8</v>
      </c>
      <c r="I1060" s="162">
        <f t="shared" ref="I1060" si="325">I1061+I1063</f>
        <v>1398.1</v>
      </c>
      <c r="J1060" s="106">
        <f>J1061+J1063</f>
        <v>1200.7</v>
      </c>
      <c r="K1060" s="119">
        <f>K1061+K1063</f>
        <v>62</v>
      </c>
      <c r="L1060" s="113">
        <f>L1061+L1063</f>
        <v>728197.07</v>
      </c>
      <c r="M1060" s="113">
        <f t="shared" ref="M1060:N1060" si="326">M1061+M1063</f>
        <v>0</v>
      </c>
      <c r="N1060" s="113">
        <f t="shared" si="326"/>
        <v>260236.27</v>
      </c>
      <c r="O1060" s="113">
        <f>O1061+O1063</f>
        <v>467960.8</v>
      </c>
      <c r="P1060" s="113">
        <f t="shared" ref="P1060" si="327">P1061+P1063</f>
        <v>0</v>
      </c>
      <c r="Q1060" s="114" t="s">
        <v>40</v>
      </c>
      <c r="R1060" s="108" t="s">
        <v>40</v>
      </c>
      <c r="S1060" s="326">
        <v>43465</v>
      </c>
    </row>
    <row r="1061" spans="1:19" s="1" customFormat="1" ht="15.75">
      <c r="A1061" s="107"/>
      <c r="B1061" s="1292" t="s">
        <v>90</v>
      </c>
      <c r="C1061" s="1292"/>
      <c r="D1061" s="1292"/>
      <c r="E1061" s="1292"/>
      <c r="F1061" s="1292"/>
      <c r="G1061" s="1292"/>
      <c r="H1061" s="128">
        <f>H1062</f>
        <v>1507.8</v>
      </c>
      <c r="I1061" s="106">
        <f t="shared" ref="I1061:P1061" si="328">I1062</f>
        <v>1398.1</v>
      </c>
      <c r="J1061" s="106">
        <f t="shared" si="328"/>
        <v>1200.7</v>
      </c>
      <c r="K1061" s="119">
        <f t="shared" si="328"/>
        <v>62</v>
      </c>
      <c r="L1061" s="113">
        <f>L1062</f>
        <v>728197.07</v>
      </c>
      <c r="M1061" s="113">
        <f t="shared" si="328"/>
        <v>0</v>
      </c>
      <c r="N1061" s="113">
        <f t="shared" si="328"/>
        <v>260236.27</v>
      </c>
      <c r="O1061" s="113">
        <f t="shared" si="328"/>
        <v>467960.8</v>
      </c>
      <c r="P1061" s="113">
        <f t="shared" si="328"/>
        <v>0</v>
      </c>
      <c r="Q1061" s="114" t="s">
        <v>40</v>
      </c>
      <c r="R1061" s="108" t="s">
        <v>40</v>
      </c>
      <c r="S1061" s="326">
        <v>43465</v>
      </c>
    </row>
    <row r="1062" spans="1:19" s="23" customFormat="1" ht="15.75">
      <c r="A1062" s="107">
        <f>A1059+1</f>
        <v>1</v>
      </c>
      <c r="B1062" s="307" t="s">
        <v>429</v>
      </c>
      <c r="C1062" s="118">
        <v>1983</v>
      </c>
      <c r="D1062" s="182"/>
      <c r="E1062" s="109" t="s">
        <v>219</v>
      </c>
      <c r="F1062" s="118">
        <v>3</v>
      </c>
      <c r="G1062" s="118">
        <v>3</v>
      </c>
      <c r="H1062" s="128">
        <v>1507.8</v>
      </c>
      <c r="I1062" s="106">
        <v>1398.1</v>
      </c>
      <c r="J1062" s="106">
        <v>1200.7</v>
      </c>
      <c r="K1062" s="119">
        <v>62</v>
      </c>
      <c r="L1062" s="113">
        <v>728197.07</v>
      </c>
      <c r="M1062" s="113">
        <v>0</v>
      </c>
      <c r="N1062" s="113">
        <v>260236.27</v>
      </c>
      <c r="O1062" s="113">
        <v>467960.8</v>
      </c>
      <c r="P1062" s="113">
        <v>0</v>
      </c>
      <c r="Q1062" s="106">
        <f>L1062/I1062</f>
        <v>520.84762892496963</v>
      </c>
      <c r="R1062" s="114">
        <v>6774</v>
      </c>
      <c r="S1062" s="326">
        <v>43465</v>
      </c>
    </row>
    <row r="1063" spans="1:19" s="23" customFormat="1" ht="27" customHeight="1">
      <c r="A1063" s="318"/>
      <c r="B1063" s="1360" t="s">
        <v>127</v>
      </c>
      <c r="C1063" s="1360"/>
      <c r="D1063" s="1360"/>
      <c r="E1063" s="1360"/>
      <c r="F1063" s="1360"/>
      <c r="G1063" s="1360"/>
      <c r="H1063" s="341">
        <v>0</v>
      </c>
      <c r="I1063" s="344">
        <v>0</v>
      </c>
      <c r="J1063" s="344">
        <v>0</v>
      </c>
      <c r="K1063" s="343">
        <v>0</v>
      </c>
      <c r="L1063" s="324">
        <v>0</v>
      </c>
      <c r="M1063" s="324">
        <v>0</v>
      </c>
      <c r="N1063" s="324">
        <v>0</v>
      </c>
      <c r="O1063" s="324">
        <v>0</v>
      </c>
      <c r="P1063" s="324">
        <v>0</v>
      </c>
      <c r="Q1063" s="344" t="s">
        <v>40</v>
      </c>
      <c r="R1063" s="320" t="s">
        <v>40</v>
      </c>
      <c r="S1063" s="326">
        <v>43465</v>
      </c>
    </row>
    <row r="1064" spans="1:19" s="23" customFormat="1" ht="21.75" customHeight="1">
      <c r="A1064" s="1306" t="s">
        <v>206</v>
      </c>
      <c r="B1064" s="1306"/>
      <c r="C1064" s="1306"/>
      <c r="D1064" s="1306"/>
      <c r="E1064" s="1306"/>
      <c r="F1064" s="1306"/>
      <c r="G1064" s="1306"/>
      <c r="H1064" s="1306"/>
      <c r="I1064" s="1306"/>
      <c r="J1064" s="1306"/>
      <c r="K1064" s="1306"/>
      <c r="L1064" s="1306"/>
      <c r="M1064" s="1306"/>
      <c r="N1064" s="1306"/>
      <c r="O1064" s="1306"/>
      <c r="P1064" s="1306"/>
      <c r="Q1064" s="1306"/>
      <c r="R1064" s="1306"/>
      <c r="S1064" s="1306"/>
    </row>
    <row r="1065" spans="1:19" s="23" customFormat="1" ht="19.5" customHeight="1">
      <c r="A1065" s="107"/>
      <c r="B1065" s="1305" t="s">
        <v>205</v>
      </c>
      <c r="C1065" s="1305"/>
      <c r="D1065" s="1305"/>
      <c r="E1065" s="1305"/>
      <c r="F1065" s="1305"/>
      <c r="G1065" s="1305"/>
      <c r="H1065" s="181">
        <f>H1067+H1076</f>
        <v>25922.6</v>
      </c>
      <c r="I1065" s="181">
        <f t="shared" ref="I1065:P1065" si="329">I1067+I1076</f>
        <v>21873.7</v>
      </c>
      <c r="J1065" s="181">
        <f t="shared" si="329"/>
        <v>21404.3</v>
      </c>
      <c r="K1065" s="154">
        <f t="shared" si="329"/>
        <v>750</v>
      </c>
      <c r="L1065" s="113">
        <f t="shared" si="329"/>
        <v>2663060.64</v>
      </c>
      <c r="M1065" s="113">
        <f t="shared" si="329"/>
        <v>0</v>
      </c>
      <c r="N1065" s="113">
        <f t="shared" si="329"/>
        <v>0</v>
      </c>
      <c r="O1065" s="113">
        <f t="shared" si="329"/>
        <v>2663060.64</v>
      </c>
      <c r="P1065" s="113">
        <f t="shared" si="329"/>
        <v>0</v>
      </c>
      <c r="Q1065" s="114" t="s">
        <v>40</v>
      </c>
      <c r="R1065" s="108" t="s">
        <v>40</v>
      </c>
      <c r="S1065" s="108" t="s">
        <v>40</v>
      </c>
    </row>
    <row r="1066" spans="1:19" s="1" customFormat="1" ht="21.75" customHeight="1">
      <c r="A1066" s="1306" t="s">
        <v>35</v>
      </c>
      <c r="B1066" s="1306"/>
      <c r="C1066" s="1306"/>
      <c r="D1066" s="1306"/>
      <c r="E1066" s="1306"/>
      <c r="F1066" s="1306"/>
      <c r="G1066" s="1306"/>
      <c r="H1066" s="1306"/>
      <c r="I1066" s="1306"/>
      <c r="J1066" s="1306"/>
      <c r="K1066" s="1306"/>
      <c r="L1066" s="1306"/>
      <c r="M1066" s="1306"/>
      <c r="N1066" s="1306"/>
      <c r="O1066" s="1306"/>
      <c r="P1066" s="1306"/>
      <c r="Q1066" s="1306"/>
      <c r="R1066" s="1306"/>
      <c r="S1066" s="1306"/>
    </row>
    <row r="1067" spans="1:19" s="1" customFormat="1" ht="21.75" customHeight="1">
      <c r="A1067" s="302"/>
      <c r="B1067" s="1305" t="s">
        <v>20</v>
      </c>
      <c r="C1067" s="1305"/>
      <c r="D1067" s="1305"/>
      <c r="E1067" s="1305"/>
      <c r="F1067" s="1305"/>
      <c r="G1067" s="1305"/>
      <c r="H1067" s="111">
        <f>H1068</f>
        <v>23801.1</v>
      </c>
      <c r="I1067" s="111">
        <f t="shared" ref="I1067:P1068" si="330">I1068</f>
        <v>20069.3</v>
      </c>
      <c r="J1067" s="111">
        <f t="shared" si="330"/>
        <v>20069.3</v>
      </c>
      <c r="K1067" s="112">
        <f>K1068</f>
        <v>702</v>
      </c>
      <c r="L1067" s="113">
        <f>L1068</f>
        <v>2447351.64</v>
      </c>
      <c r="M1067" s="113">
        <f t="shared" ref="M1067:P1067" si="331">M1068</f>
        <v>0</v>
      </c>
      <c r="N1067" s="113">
        <f t="shared" si="331"/>
        <v>0</v>
      </c>
      <c r="O1067" s="113">
        <f t="shared" si="331"/>
        <v>2447351.64</v>
      </c>
      <c r="P1067" s="113">
        <f t="shared" si="331"/>
        <v>0</v>
      </c>
      <c r="Q1067" s="114" t="s">
        <v>40</v>
      </c>
      <c r="R1067" s="108" t="s">
        <v>40</v>
      </c>
      <c r="S1067" s="326">
        <v>43465</v>
      </c>
    </row>
    <row r="1068" spans="1:19" s="37" customFormat="1" ht="15.75" customHeight="1">
      <c r="A1068" s="99"/>
      <c r="B1068" s="1305" t="s">
        <v>53</v>
      </c>
      <c r="C1068" s="1305"/>
      <c r="D1068" s="1305"/>
      <c r="E1068" s="1305"/>
      <c r="F1068" s="1305"/>
      <c r="G1068" s="1305"/>
      <c r="H1068" s="111">
        <f>H1069</f>
        <v>23801.1</v>
      </c>
      <c r="I1068" s="114">
        <f t="shared" si="330"/>
        <v>20069.3</v>
      </c>
      <c r="J1068" s="114">
        <f t="shared" si="330"/>
        <v>20069.3</v>
      </c>
      <c r="K1068" s="112">
        <f t="shared" si="330"/>
        <v>702</v>
      </c>
      <c r="L1068" s="113">
        <f t="shared" si="330"/>
        <v>2447351.64</v>
      </c>
      <c r="M1068" s="113">
        <f t="shared" si="330"/>
        <v>0</v>
      </c>
      <c r="N1068" s="113">
        <f t="shared" si="330"/>
        <v>0</v>
      </c>
      <c r="O1068" s="113">
        <f t="shared" si="330"/>
        <v>2447351.64</v>
      </c>
      <c r="P1068" s="113">
        <f t="shared" si="330"/>
        <v>0</v>
      </c>
      <c r="Q1068" s="114" t="s">
        <v>40</v>
      </c>
      <c r="R1068" s="108" t="s">
        <v>40</v>
      </c>
      <c r="S1068" s="326">
        <v>43465</v>
      </c>
    </row>
    <row r="1069" spans="1:19" s="37" customFormat="1" ht="15.75" customHeight="1">
      <c r="A1069" s="99"/>
      <c r="B1069" s="1305" t="s">
        <v>88</v>
      </c>
      <c r="C1069" s="1305"/>
      <c r="D1069" s="1305"/>
      <c r="E1069" s="1305"/>
      <c r="F1069" s="1305"/>
      <c r="G1069" s="1305"/>
      <c r="H1069" s="111">
        <f t="shared" ref="H1069:P1069" si="332">SUM(H1070:H1074)</f>
        <v>23801.1</v>
      </c>
      <c r="I1069" s="114">
        <f t="shared" si="332"/>
        <v>20069.3</v>
      </c>
      <c r="J1069" s="114">
        <f t="shared" si="332"/>
        <v>20069.3</v>
      </c>
      <c r="K1069" s="112">
        <f t="shared" si="332"/>
        <v>702</v>
      </c>
      <c r="L1069" s="113">
        <f t="shared" si="332"/>
        <v>2447351.64</v>
      </c>
      <c r="M1069" s="113">
        <f t="shared" si="332"/>
        <v>0</v>
      </c>
      <c r="N1069" s="113">
        <f t="shared" si="332"/>
        <v>0</v>
      </c>
      <c r="O1069" s="113">
        <f t="shared" si="332"/>
        <v>2447351.64</v>
      </c>
      <c r="P1069" s="113">
        <f t="shared" si="332"/>
        <v>0</v>
      </c>
      <c r="Q1069" s="114" t="s">
        <v>40</v>
      </c>
      <c r="R1069" s="108" t="s">
        <v>40</v>
      </c>
      <c r="S1069" s="326">
        <v>43465</v>
      </c>
    </row>
    <row r="1070" spans="1:19" s="33" customFormat="1" ht="15.75">
      <c r="A1070" s="302" t="e">
        <f>#REF!+1</f>
        <v>#REF!</v>
      </c>
      <c r="B1070" s="183" t="s">
        <v>359</v>
      </c>
      <c r="C1070" s="184">
        <v>1975</v>
      </c>
      <c r="D1070" s="129"/>
      <c r="E1070" s="109" t="s">
        <v>219</v>
      </c>
      <c r="F1070" s="99">
        <v>5</v>
      </c>
      <c r="G1070" s="99">
        <v>4</v>
      </c>
      <c r="H1070" s="180">
        <f>2075.9+150</f>
        <v>2225.9</v>
      </c>
      <c r="I1070" s="100">
        <v>2075.9</v>
      </c>
      <c r="J1070" s="100">
        <v>2075.9</v>
      </c>
      <c r="K1070" s="101">
        <v>112</v>
      </c>
      <c r="L1070" s="113">
        <v>203849</v>
      </c>
      <c r="M1070" s="113">
        <v>0</v>
      </c>
      <c r="N1070" s="113">
        <v>0</v>
      </c>
      <c r="O1070" s="113">
        <f>L1070</f>
        <v>203849</v>
      </c>
      <c r="P1070" s="113">
        <v>0</v>
      </c>
      <c r="Q1070" s="114">
        <f>L1070/I1070</f>
        <v>98.197890071776087</v>
      </c>
      <c r="R1070" s="114">
        <v>6774</v>
      </c>
      <c r="S1070" s="326">
        <v>43465</v>
      </c>
    </row>
    <row r="1071" spans="1:19" s="33" customFormat="1" ht="15.75">
      <c r="A1071" s="302" t="e">
        <f>A1070+1</f>
        <v>#REF!</v>
      </c>
      <c r="B1071" s="183" t="s">
        <v>360</v>
      </c>
      <c r="C1071" s="184">
        <v>1991</v>
      </c>
      <c r="D1071" s="129"/>
      <c r="E1071" s="109" t="s">
        <v>219</v>
      </c>
      <c r="F1071" s="99">
        <v>9</v>
      </c>
      <c r="G1071" s="99">
        <v>2</v>
      </c>
      <c r="H1071" s="180">
        <f>4259.3+1200.8</f>
        <v>5460.1</v>
      </c>
      <c r="I1071" s="100">
        <v>4259.3</v>
      </c>
      <c r="J1071" s="100">
        <v>4259.3</v>
      </c>
      <c r="K1071" s="101">
        <v>132</v>
      </c>
      <c r="L1071" s="113">
        <v>489343.64</v>
      </c>
      <c r="M1071" s="113">
        <v>0</v>
      </c>
      <c r="N1071" s="113">
        <v>0</v>
      </c>
      <c r="O1071" s="113">
        <f>L1071</f>
        <v>489343.64</v>
      </c>
      <c r="P1071" s="113">
        <v>0</v>
      </c>
      <c r="Q1071" s="114">
        <f>L1071/I1071</f>
        <v>114.88827741647688</v>
      </c>
      <c r="R1071" s="114">
        <v>6774</v>
      </c>
      <c r="S1071" s="326">
        <v>43465</v>
      </c>
    </row>
    <row r="1072" spans="1:19" s="33" customFormat="1" ht="15.75">
      <c r="A1072" s="302" t="e">
        <f t="shared" ref="A1072:A1074" si="333">A1071+1</f>
        <v>#REF!</v>
      </c>
      <c r="B1072" s="183" t="s">
        <v>432</v>
      </c>
      <c r="C1072" s="184">
        <v>1978</v>
      </c>
      <c r="D1072" s="129"/>
      <c r="E1072" s="109" t="s">
        <v>219</v>
      </c>
      <c r="F1072" s="99">
        <v>5</v>
      </c>
      <c r="G1072" s="99">
        <v>6</v>
      </c>
      <c r="H1072" s="180">
        <v>6071.5</v>
      </c>
      <c r="I1072" s="100">
        <v>4592.3</v>
      </c>
      <c r="J1072" s="100">
        <v>4592.3</v>
      </c>
      <c r="K1072" s="101">
        <v>181</v>
      </c>
      <c r="L1072" s="113">
        <v>395010</v>
      </c>
      <c r="M1072" s="113">
        <v>0</v>
      </c>
      <c r="N1072" s="113">
        <v>0</v>
      </c>
      <c r="O1072" s="113">
        <f>L1072</f>
        <v>395010</v>
      </c>
      <c r="P1072" s="113">
        <v>0</v>
      </c>
      <c r="Q1072" s="114">
        <f>L1072/I1072</f>
        <v>86.015721969383534</v>
      </c>
      <c r="R1072" s="114">
        <v>6774</v>
      </c>
      <c r="S1072" s="326">
        <v>43465</v>
      </c>
    </row>
    <row r="1073" spans="1:48" s="33" customFormat="1" ht="15.75">
      <c r="A1073" s="302" t="e">
        <f t="shared" si="333"/>
        <v>#REF!</v>
      </c>
      <c r="B1073" s="183" t="s">
        <v>431</v>
      </c>
      <c r="C1073" s="184">
        <v>1980</v>
      </c>
      <c r="D1073" s="129"/>
      <c r="E1073" s="109" t="s">
        <v>219</v>
      </c>
      <c r="F1073" s="99">
        <v>5</v>
      </c>
      <c r="G1073" s="99">
        <v>6</v>
      </c>
      <c r="H1073" s="180">
        <f>493.2+4644.3</f>
        <v>5137.5</v>
      </c>
      <c r="I1073" s="100">
        <v>4644.3</v>
      </c>
      <c r="J1073" s="100">
        <v>4644.3</v>
      </c>
      <c r="K1073" s="101">
        <v>177</v>
      </c>
      <c r="L1073" s="113">
        <v>285326</v>
      </c>
      <c r="M1073" s="113">
        <v>0</v>
      </c>
      <c r="N1073" s="113">
        <v>0</v>
      </c>
      <c r="O1073" s="113">
        <f>L1073</f>
        <v>285326</v>
      </c>
      <c r="P1073" s="113">
        <v>0</v>
      </c>
      <c r="Q1073" s="114">
        <f>L1073/I1073</f>
        <v>61.435738432056496</v>
      </c>
      <c r="R1073" s="114">
        <v>6774</v>
      </c>
      <c r="S1073" s="326">
        <v>43465</v>
      </c>
    </row>
    <row r="1074" spans="1:48" s="33" customFormat="1" ht="31.5">
      <c r="A1074" s="302" t="e">
        <f t="shared" si="333"/>
        <v>#REF!</v>
      </c>
      <c r="B1074" s="183" t="s">
        <v>358</v>
      </c>
      <c r="C1074" s="184">
        <v>1973</v>
      </c>
      <c r="D1074" s="129"/>
      <c r="E1074" s="109" t="s">
        <v>218</v>
      </c>
      <c r="F1074" s="99">
        <v>5</v>
      </c>
      <c r="G1074" s="99">
        <v>6</v>
      </c>
      <c r="H1074" s="180">
        <v>4906.1000000000004</v>
      </c>
      <c r="I1074" s="100">
        <v>4497.5</v>
      </c>
      <c r="J1074" s="100">
        <v>4497.5</v>
      </c>
      <c r="K1074" s="101">
        <v>100</v>
      </c>
      <c r="L1074" s="113">
        <v>1073823</v>
      </c>
      <c r="M1074" s="113">
        <v>0</v>
      </c>
      <c r="N1074" s="113">
        <v>0</v>
      </c>
      <c r="O1074" s="113">
        <f>L1074</f>
        <v>1073823</v>
      </c>
      <c r="P1074" s="113">
        <v>0</v>
      </c>
      <c r="Q1074" s="114">
        <f>L1074/I1074</f>
        <v>238.75997776542525</v>
      </c>
      <c r="R1074" s="114">
        <v>6774</v>
      </c>
      <c r="S1074" s="326">
        <v>43465</v>
      </c>
    </row>
    <row r="1075" spans="1:48" s="1" customFormat="1" ht="34.5" customHeight="1">
      <c r="A1075" s="1306" t="s">
        <v>37</v>
      </c>
      <c r="B1075" s="1306"/>
      <c r="C1075" s="1306"/>
      <c r="D1075" s="1306"/>
      <c r="E1075" s="1306"/>
      <c r="F1075" s="1306"/>
      <c r="G1075" s="1306"/>
      <c r="H1075" s="1306"/>
      <c r="I1075" s="1306"/>
      <c r="J1075" s="1306"/>
      <c r="K1075" s="1306"/>
      <c r="L1075" s="1306"/>
      <c r="M1075" s="1306"/>
      <c r="N1075" s="1306"/>
      <c r="O1075" s="1306"/>
      <c r="P1075" s="1306"/>
      <c r="Q1075" s="1306"/>
      <c r="R1075" s="1306"/>
      <c r="S1075" s="1306"/>
    </row>
    <row r="1076" spans="1:48" s="1" customFormat="1" ht="15.75">
      <c r="A1076" s="302"/>
      <c r="B1076" s="1305" t="s">
        <v>20</v>
      </c>
      <c r="C1076" s="1305"/>
      <c r="D1076" s="1305"/>
      <c r="E1076" s="1305"/>
      <c r="F1076" s="1305"/>
      <c r="G1076" s="1305"/>
      <c r="H1076" s="111">
        <f>H1077+H1080</f>
        <v>2121.5</v>
      </c>
      <c r="I1076" s="111">
        <f t="shared" ref="I1076:J1076" si="334">I1077+I1080</f>
        <v>1804.4</v>
      </c>
      <c r="J1076" s="111">
        <f t="shared" si="334"/>
        <v>1335</v>
      </c>
      <c r="K1076" s="112">
        <f>K1077+K1080</f>
        <v>48</v>
      </c>
      <c r="L1076" s="113">
        <f t="shared" ref="L1076:P1076" si="335">L1077+L1080</f>
        <v>215709</v>
      </c>
      <c r="M1076" s="113">
        <f t="shared" si="335"/>
        <v>0</v>
      </c>
      <c r="N1076" s="113">
        <f t="shared" si="335"/>
        <v>0</v>
      </c>
      <c r="O1076" s="113">
        <f t="shared" si="335"/>
        <v>215709</v>
      </c>
      <c r="P1076" s="113">
        <f t="shared" si="335"/>
        <v>0</v>
      </c>
      <c r="Q1076" s="114" t="s">
        <v>40</v>
      </c>
      <c r="R1076" s="108" t="s">
        <v>40</v>
      </c>
      <c r="S1076" s="326">
        <v>43465</v>
      </c>
    </row>
    <row r="1077" spans="1:48" s="1" customFormat="1" ht="15.75" customHeight="1">
      <c r="A1077" s="302"/>
      <c r="B1077" s="1328" t="s">
        <v>58</v>
      </c>
      <c r="C1077" s="1328"/>
      <c r="D1077" s="1328"/>
      <c r="E1077" s="1328"/>
      <c r="F1077" s="1328"/>
      <c r="G1077" s="1328"/>
      <c r="H1077" s="127">
        <f>H1078</f>
        <v>2121.5</v>
      </c>
      <c r="I1077" s="104">
        <f t="shared" ref="I1077:P1078" si="336">I1078</f>
        <v>1804.4</v>
      </c>
      <c r="J1077" s="104">
        <f t="shared" si="336"/>
        <v>1335</v>
      </c>
      <c r="K1077" s="105">
        <f t="shared" si="336"/>
        <v>48</v>
      </c>
      <c r="L1077" s="113">
        <f t="shared" si="336"/>
        <v>215709</v>
      </c>
      <c r="M1077" s="113">
        <f t="shared" si="336"/>
        <v>0</v>
      </c>
      <c r="N1077" s="113">
        <f t="shared" si="336"/>
        <v>0</v>
      </c>
      <c r="O1077" s="113">
        <f t="shared" si="336"/>
        <v>215709</v>
      </c>
      <c r="P1077" s="113">
        <f t="shared" si="336"/>
        <v>0</v>
      </c>
      <c r="Q1077" s="104" t="str">
        <f>Q1078</f>
        <v>Х</v>
      </c>
      <c r="R1077" s="104" t="str">
        <f t="shared" ref="R1077" si="337">R1078</f>
        <v>Х</v>
      </c>
      <c r="S1077" s="326">
        <v>43465</v>
      </c>
    </row>
    <row r="1078" spans="1:48" s="1" customFormat="1" ht="15.75" customHeight="1">
      <c r="A1078" s="302"/>
      <c r="B1078" s="1328" t="s">
        <v>87</v>
      </c>
      <c r="C1078" s="1328"/>
      <c r="D1078" s="1328"/>
      <c r="E1078" s="1328"/>
      <c r="F1078" s="1328"/>
      <c r="G1078" s="1328"/>
      <c r="H1078" s="127">
        <f>H1079</f>
        <v>2121.5</v>
      </c>
      <c r="I1078" s="104">
        <f t="shared" si="336"/>
        <v>1804.4</v>
      </c>
      <c r="J1078" s="104">
        <f t="shared" si="336"/>
        <v>1335</v>
      </c>
      <c r="K1078" s="105">
        <f t="shared" si="336"/>
        <v>48</v>
      </c>
      <c r="L1078" s="113">
        <f>L1079</f>
        <v>215709</v>
      </c>
      <c r="M1078" s="113">
        <f t="shared" si="336"/>
        <v>0</v>
      </c>
      <c r="N1078" s="113">
        <f t="shared" si="336"/>
        <v>0</v>
      </c>
      <c r="O1078" s="113">
        <f>L1078</f>
        <v>215709</v>
      </c>
      <c r="P1078" s="113">
        <v>0</v>
      </c>
      <c r="Q1078" s="104" t="s">
        <v>40</v>
      </c>
      <c r="R1078" s="302" t="s">
        <v>40</v>
      </c>
      <c r="S1078" s="326">
        <v>43465</v>
      </c>
    </row>
    <row r="1079" spans="1:48" s="1" customFormat="1" ht="31.5">
      <c r="A1079" s="302" t="e">
        <f>A1074+1</f>
        <v>#REF!</v>
      </c>
      <c r="B1079" s="300" t="s">
        <v>433</v>
      </c>
      <c r="C1079" s="99">
        <v>1959</v>
      </c>
      <c r="D1079" s="109"/>
      <c r="E1079" s="109" t="s">
        <v>218</v>
      </c>
      <c r="F1079" s="185" t="s">
        <v>73</v>
      </c>
      <c r="G1079" s="185" t="s">
        <v>74</v>
      </c>
      <c r="H1079" s="180">
        <v>2121.5</v>
      </c>
      <c r="I1079" s="100">
        <v>1804.4</v>
      </c>
      <c r="J1079" s="100">
        <f>1379-44</f>
        <v>1335</v>
      </c>
      <c r="K1079" s="101">
        <v>48</v>
      </c>
      <c r="L1079" s="113">
        <v>215709</v>
      </c>
      <c r="M1079" s="113">
        <v>0</v>
      </c>
      <c r="N1079" s="113">
        <v>0</v>
      </c>
      <c r="O1079" s="113">
        <f>L1079</f>
        <v>215709</v>
      </c>
      <c r="P1079" s="113">
        <v>0</v>
      </c>
      <c r="Q1079" s="100">
        <f>L1079/I1079</f>
        <v>119.54610951008645</v>
      </c>
      <c r="R1079" s="114">
        <v>6774</v>
      </c>
      <c r="S1079" s="326">
        <v>43465</v>
      </c>
    </row>
    <row r="1080" spans="1:48" s="1" customFormat="1" ht="15.75" customHeight="1">
      <c r="A1080" s="375"/>
      <c r="B1080" s="1341" t="s">
        <v>59</v>
      </c>
      <c r="C1080" s="1341"/>
      <c r="D1080" s="1341"/>
      <c r="E1080" s="1341"/>
      <c r="F1080" s="1341"/>
      <c r="G1080" s="1341"/>
      <c r="H1080" s="694">
        <f t="shared" ref="H1080:P1080" si="338">H1081+H1082</f>
        <v>0</v>
      </c>
      <c r="I1080" s="379">
        <f t="shared" si="338"/>
        <v>0</v>
      </c>
      <c r="J1080" s="379">
        <f t="shared" si="338"/>
        <v>0</v>
      </c>
      <c r="K1080" s="378">
        <f t="shared" si="338"/>
        <v>0</v>
      </c>
      <c r="L1080" s="324">
        <f t="shared" si="338"/>
        <v>0</v>
      </c>
      <c r="M1080" s="324">
        <f t="shared" si="338"/>
        <v>0</v>
      </c>
      <c r="N1080" s="324">
        <f t="shared" si="338"/>
        <v>0</v>
      </c>
      <c r="O1080" s="324">
        <f t="shared" si="338"/>
        <v>0</v>
      </c>
      <c r="P1080" s="324">
        <f t="shared" si="338"/>
        <v>0</v>
      </c>
      <c r="Q1080" s="379" t="str">
        <f>Q1081</f>
        <v>Х</v>
      </c>
      <c r="R1080" s="379" t="str">
        <f t="shared" ref="R1080" si="339">R1081</f>
        <v>Х</v>
      </c>
      <c r="S1080" s="326">
        <v>43465</v>
      </c>
    </row>
    <row r="1081" spans="1:48" s="1" customFormat="1" ht="30.6" customHeight="1">
      <c r="A1081" s="318"/>
      <c r="B1081" s="1368" t="s">
        <v>86</v>
      </c>
      <c r="C1081" s="1368"/>
      <c r="D1081" s="1368"/>
      <c r="E1081" s="1368"/>
      <c r="F1081" s="1368"/>
      <c r="G1081" s="1368"/>
      <c r="H1081" s="379">
        <v>0</v>
      </c>
      <c r="I1081" s="379">
        <v>0</v>
      </c>
      <c r="J1081" s="379">
        <v>0</v>
      </c>
      <c r="K1081" s="379">
        <v>0</v>
      </c>
      <c r="L1081" s="696">
        <v>0</v>
      </c>
      <c r="M1081" s="696">
        <v>0</v>
      </c>
      <c r="N1081" s="696">
        <v>0</v>
      </c>
      <c r="O1081" s="696">
        <v>0</v>
      </c>
      <c r="P1081" s="696">
        <v>0</v>
      </c>
      <c r="Q1081" s="379" t="s">
        <v>40</v>
      </c>
      <c r="R1081" s="375" t="s">
        <v>40</v>
      </c>
      <c r="S1081" s="326">
        <v>43465</v>
      </c>
    </row>
    <row r="1082" spans="1:48" s="1" customFormat="1" ht="24.6" customHeight="1">
      <c r="A1082" s="375"/>
      <c r="B1082" s="1368" t="s">
        <v>85</v>
      </c>
      <c r="C1082" s="1368"/>
      <c r="D1082" s="1368"/>
      <c r="E1082" s="1368"/>
      <c r="F1082" s="1368"/>
      <c r="G1082" s="1368"/>
      <c r="H1082" s="322">
        <v>0</v>
      </c>
      <c r="I1082" s="322">
        <v>0</v>
      </c>
      <c r="J1082" s="322">
        <v>0</v>
      </c>
      <c r="K1082" s="322">
        <v>0</v>
      </c>
      <c r="L1082" s="925">
        <v>0</v>
      </c>
      <c r="M1082" s="925">
        <v>0</v>
      </c>
      <c r="N1082" s="925">
        <v>0</v>
      </c>
      <c r="O1082" s="925">
        <v>0</v>
      </c>
      <c r="P1082" s="925">
        <v>0</v>
      </c>
      <c r="Q1082" s="325" t="s">
        <v>40</v>
      </c>
      <c r="R1082" s="320" t="s">
        <v>40</v>
      </c>
      <c r="S1082" s="326">
        <v>43465</v>
      </c>
    </row>
    <row r="1083" spans="1:48" s="1" customFormat="1" ht="15.75">
      <c r="A1083" s="1361" t="s">
        <v>476</v>
      </c>
      <c r="B1083" s="1362"/>
      <c r="C1083" s="1362"/>
      <c r="D1083" s="1362"/>
      <c r="E1083" s="1362"/>
      <c r="F1083" s="1362"/>
      <c r="G1083" s="1362"/>
      <c r="H1083" s="1362"/>
      <c r="I1083" s="1362"/>
      <c r="J1083" s="1362"/>
      <c r="K1083" s="1362"/>
      <c r="L1083" s="1362"/>
      <c r="M1083" s="1362"/>
      <c r="N1083" s="1362"/>
      <c r="O1083" s="1362"/>
      <c r="P1083" s="1362"/>
      <c r="Q1083" s="1362"/>
      <c r="R1083" s="1362"/>
      <c r="S1083" s="1363"/>
    </row>
    <row r="1084" spans="1:48">
      <c r="A1084" s="1306" t="s">
        <v>34</v>
      </c>
      <c r="B1084" s="1306"/>
      <c r="C1084" s="1306"/>
      <c r="D1084" s="1306"/>
      <c r="E1084" s="1306"/>
      <c r="F1084" s="1306"/>
      <c r="G1084" s="1306"/>
      <c r="H1084" s="1306"/>
      <c r="I1084" s="1306"/>
      <c r="J1084" s="1306"/>
      <c r="K1084" s="1306"/>
      <c r="L1084" s="1306"/>
      <c r="M1084" s="1306"/>
      <c r="N1084" s="1306"/>
      <c r="O1084" s="1306"/>
      <c r="P1084" s="1306"/>
      <c r="Q1084" s="1306"/>
      <c r="R1084" s="1306"/>
      <c r="S1084" s="1306"/>
    </row>
    <row r="1085" spans="1:48" ht="18.75" customHeight="1">
      <c r="A1085" s="302"/>
      <c r="B1085" s="1328" t="s">
        <v>205</v>
      </c>
      <c r="C1085" s="1328"/>
      <c r="D1085" s="1328"/>
      <c r="E1085" s="1328"/>
      <c r="F1085" s="1328"/>
      <c r="G1085" s="1328"/>
      <c r="H1085" s="104">
        <f t="shared" ref="H1085:O1085" si="340">H1086+H1255+H1267+H1269+H1295+H1308+H1322+H1331+H1338+H1341+H1360+H1364+H1379+H1383+H1386+H1391+H1403+H1414+H1426+H1434+H1466+H1471+H1476+H1487+H1490+H1507+H1501+H1510+H1519+H1522+H1527+H1533+H1538+H1545+H1557</f>
        <v>315906.74</v>
      </c>
      <c r="I1085" s="104">
        <f t="shared" si="340"/>
        <v>259539.99000000002</v>
      </c>
      <c r="J1085" s="104">
        <f t="shared" si="340"/>
        <v>233989.83999999997</v>
      </c>
      <c r="K1085" s="105">
        <f t="shared" si="340"/>
        <v>10894</v>
      </c>
      <c r="L1085" s="113">
        <f t="shared" si="340"/>
        <v>604339375.76000011</v>
      </c>
      <c r="M1085" s="113">
        <f t="shared" si="340"/>
        <v>0</v>
      </c>
      <c r="N1085" s="113">
        <f t="shared" si="340"/>
        <v>2372919.13</v>
      </c>
      <c r="O1085" s="113">
        <f t="shared" si="340"/>
        <v>601966416.62999988</v>
      </c>
      <c r="P1085" s="113">
        <f>P1086+P1255+P1267+P1269+P1295+P1308+P1322+P1331+P1338+P1341+P1360+P1364+P1379+P1383+P1386+P1391+P1403+P1414+P1426+P1434+P1466+P1471+P1476+P1487+P1490+P1507+P1501+P1510+P1519+P1522+P1527+P1538+P1545+P1557</f>
        <v>0</v>
      </c>
      <c r="Q1085" s="106" t="s">
        <v>40</v>
      </c>
      <c r="R1085" s="106" t="s">
        <v>40</v>
      </c>
      <c r="S1085" s="106" t="s">
        <v>40</v>
      </c>
    </row>
    <row r="1086" spans="1:48" s="1" customFormat="1" ht="15.75" customHeight="1">
      <c r="A1086" s="302"/>
      <c r="B1086" s="1328" t="s">
        <v>89</v>
      </c>
      <c r="C1086" s="1328"/>
      <c r="D1086" s="1328"/>
      <c r="E1086" s="1328"/>
      <c r="F1086" s="1328"/>
      <c r="G1086" s="1328"/>
      <c r="H1086" s="104">
        <f>SUM(H1087:H1254)</f>
        <v>0</v>
      </c>
      <c r="I1086" s="104">
        <f t="shared" ref="I1086" si="341">SUM(I1087:I1254)</f>
        <v>0</v>
      </c>
      <c r="J1086" s="104">
        <f>SUM(J1087:J1254)</f>
        <v>0</v>
      </c>
      <c r="K1086" s="105">
        <f>SUM(K1087:K1254)</f>
        <v>0</v>
      </c>
      <c r="L1086" s="113">
        <v>336230870.63</v>
      </c>
      <c r="M1086" s="113">
        <f t="shared" ref="M1086:N1086" si="342">SUM(M1087:M1254)</f>
        <v>0</v>
      </c>
      <c r="N1086" s="113">
        <f t="shared" si="342"/>
        <v>0</v>
      </c>
      <c r="O1086" s="113">
        <f>SUM(O1087:O1254)</f>
        <v>336230870.63</v>
      </c>
      <c r="P1086" s="113">
        <f t="shared" ref="P1086" si="343">SUM(P1087:P1254)</f>
        <v>0</v>
      </c>
      <c r="Q1086" s="106" t="s">
        <v>40</v>
      </c>
      <c r="R1086" s="106" t="s">
        <v>40</v>
      </c>
      <c r="S1086" s="106" t="s">
        <v>40</v>
      </c>
    </row>
    <row r="1087" spans="1:48" s="3" customFormat="1" ht="15.75">
      <c r="A1087" s="107">
        <v>1</v>
      </c>
      <c r="B1087" s="301" t="s">
        <v>324</v>
      </c>
      <c r="C1087" s="108">
        <v>1975</v>
      </c>
      <c r="D1087" s="108"/>
      <c r="E1087" s="109" t="s">
        <v>219</v>
      </c>
      <c r="F1087" s="110">
        <v>5</v>
      </c>
      <c r="G1087" s="110">
        <v>10</v>
      </c>
      <c r="H1087" s="111"/>
      <c r="I1087" s="111"/>
      <c r="J1087" s="111"/>
      <c r="K1087" s="112"/>
      <c r="L1087" s="113">
        <v>5982216</v>
      </c>
      <c r="M1087" s="113">
        <v>0</v>
      </c>
      <c r="N1087" s="113">
        <v>0</v>
      </c>
      <c r="O1087" s="113">
        <f t="shared" ref="O1087:O1150" si="344">L1087</f>
        <v>5982216</v>
      </c>
      <c r="P1087" s="113">
        <v>0</v>
      </c>
      <c r="Q1087" s="114" t="e">
        <f t="shared" ref="Q1087:Q1150" si="345">L1087/I1087</f>
        <v>#DIV/0!</v>
      </c>
      <c r="R1087" s="115"/>
      <c r="S1087" s="335">
        <v>43830</v>
      </c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1:48" customFormat="1" ht="15.75">
      <c r="A1088" s="107">
        <f>A1087+1</f>
        <v>2</v>
      </c>
      <c r="B1088" s="301" t="s">
        <v>325</v>
      </c>
      <c r="C1088" s="108">
        <v>1978</v>
      </c>
      <c r="D1088" s="108"/>
      <c r="E1088" s="109" t="s">
        <v>219</v>
      </c>
      <c r="F1088" s="110">
        <v>9</v>
      </c>
      <c r="G1088" s="110">
        <v>5</v>
      </c>
      <c r="H1088" s="111"/>
      <c r="I1088" s="111"/>
      <c r="J1088" s="111"/>
      <c r="K1088" s="112"/>
      <c r="L1088" s="113">
        <v>9379653</v>
      </c>
      <c r="M1088" s="113">
        <v>0</v>
      </c>
      <c r="N1088" s="113">
        <v>0</v>
      </c>
      <c r="O1088" s="113">
        <f t="shared" si="344"/>
        <v>9379653</v>
      </c>
      <c r="P1088" s="113">
        <v>0</v>
      </c>
      <c r="Q1088" s="114" t="e">
        <f t="shared" si="345"/>
        <v>#DIV/0!</v>
      </c>
      <c r="R1088" s="115"/>
      <c r="S1088" s="335">
        <v>43830</v>
      </c>
    </row>
    <row r="1089" spans="1:30" customFormat="1" ht="15.75">
      <c r="A1089" s="107">
        <f t="shared" ref="A1089:A1152" si="346">A1088+1</f>
        <v>3</v>
      </c>
      <c r="B1089" s="305" t="s">
        <v>321</v>
      </c>
      <c r="C1089" s="108">
        <v>1982</v>
      </c>
      <c r="D1089" s="108"/>
      <c r="E1089" s="109" t="s">
        <v>219</v>
      </c>
      <c r="F1089" s="110">
        <v>9</v>
      </c>
      <c r="G1089" s="110">
        <v>2</v>
      </c>
      <c r="H1089" s="111"/>
      <c r="I1089" s="111"/>
      <c r="J1089" s="111"/>
      <c r="K1089" s="112"/>
      <c r="L1089" s="113">
        <v>3763756</v>
      </c>
      <c r="M1089" s="113">
        <v>0</v>
      </c>
      <c r="N1089" s="113">
        <v>0</v>
      </c>
      <c r="O1089" s="113">
        <f t="shared" si="344"/>
        <v>3763756</v>
      </c>
      <c r="P1089" s="113">
        <v>0</v>
      </c>
      <c r="Q1089" s="114" t="e">
        <f t="shared" si="345"/>
        <v>#DIV/0!</v>
      </c>
      <c r="R1089" s="115"/>
      <c r="S1089" s="335">
        <v>43830</v>
      </c>
    </row>
    <row r="1090" spans="1:30" customFormat="1" ht="15.75">
      <c r="A1090" s="107">
        <f t="shared" si="346"/>
        <v>4</v>
      </c>
      <c r="B1090" s="305" t="s">
        <v>346</v>
      </c>
      <c r="C1090" s="108">
        <v>1982</v>
      </c>
      <c r="D1090" s="108"/>
      <c r="E1090" s="109" t="s">
        <v>219</v>
      </c>
      <c r="F1090" s="110">
        <v>9</v>
      </c>
      <c r="G1090" s="110">
        <v>1</v>
      </c>
      <c r="H1090" s="111"/>
      <c r="I1090" s="111"/>
      <c r="J1090" s="111"/>
      <c r="K1090" s="112"/>
      <c r="L1090" s="113">
        <v>1095812</v>
      </c>
      <c r="M1090" s="113">
        <v>0</v>
      </c>
      <c r="N1090" s="113">
        <v>0</v>
      </c>
      <c r="O1090" s="113">
        <f t="shared" si="344"/>
        <v>1095812</v>
      </c>
      <c r="P1090" s="113">
        <v>0</v>
      </c>
      <c r="Q1090" s="114" t="e">
        <f t="shared" si="345"/>
        <v>#DIV/0!</v>
      </c>
      <c r="R1090" s="115"/>
      <c r="S1090" s="335">
        <v>43830</v>
      </c>
    </row>
    <row r="1091" spans="1:30" customFormat="1" ht="15.75">
      <c r="A1091" s="107">
        <f t="shared" si="346"/>
        <v>5</v>
      </c>
      <c r="B1091" s="305" t="s">
        <v>322</v>
      </c>
      <c r="C1091" s="108">
        <v>1976</v>
      </c>
      <c r="D1091" s="108"/>
      <c r="E1091" s="109" t="s">
        <v>219</v>
      </c>
      <c r="F1091" s="110">
        <v>9</v>
      </c>
      <c r="G1091" s="110">
        <v>3</v>
      </c>
      <c r="H1091" s="111"/>
      <c r="I1091" s="111"/>
      <c r="J1091" s="111"/>
      <c r="K1091" s="112"/>
      <c r="L1091" s="113">
        <v>5619141</v>
      </c>
      <c r="M1091" s="113">
        <v>0</v>
      </c>
      <c r="N1091" s="113">
        <v>0</v>
      </c>
      <c r="O1091" s="113">
        <f t="shared" si="344"/>
        <v>5619141</v>
      </c>
      <c r="P1091" s="113">
        <v>0</v>
      </c>
      <c r="Q1091" s="114" t="e">
        <f t="shared" si="345"/>
        <v>#DIV/0!</v>
      </c>
      <c r="R1091" s="115"/>
      <c r="S1091" s="335">
        <v>43830</v>
      </c>
    </row>
    <row r="1092" spans="1:30" customFormat="1" ht="15.75">
      <c r="A1092" s="107">
        <f t="shared" si="346"/>
        <v>6</v>
      </c>
      <c r="B1092" s="305" t="s">
        <v>320</v>
      </c>
      <c r="C1092" s="107">
        <v>1982</v>
      </c>
      <c r="D1092" s="108"/>
      <c r="E1092" s="109" t="s">
        <v>219</v>
      </c>
      <c r="F1092" s="108">
        <v>9</v>
      </c>
      <c r="G1092" s="108">
        <v>2</v>
      </c>
      <c r="H1092" s="117"/>
      <c r="I1092" s="117"/>
      <c r="J1092" s="117"/>
      <c r="K1092" s="101"/>
      <c r="L1092" s="113">
        <v>3748388</v>
      </c>
      <c r="M1092" s="113">
        <v>0</v>
      </c>
      <c r="N1092" s="113">
        <v>0</v>
      </c>
      <c r="O1092" s="113">
        <f t="shared" si="344"/>
        <v>3748388</v>
      </c>
      <c r="P1092" s="113">
        <v>0</v>
      </c>
      <c r="Q1092" s="114" t="e">
        <f t="shared" si="345"/>
        <v>#DIV/0!</v>
      </c>
      <c r="R1092" s="115"/>
      <c r="S1092" s="335">
        <v>43830</v>
      </c>
    </row>
    <row r="1093" spans="1:30" customFormat="1" ht="15.75">
      <c r="A1093" s="107">
        <f t="shared" si="346"/>
        <v>7</v>
      </c>
      <c r="B1093" s="301" t="s">
        <v>327</v>
      </c>
      <c r="C1093" s="108">
        <v>1981</v>
      </c>
      <c r="D1093" s="108"/>
      <c r="E1093" s="109" t="s">
        <v>219</v>
      </c>
      <c r="F1093" s="110">
        <v>9</v>
      </c>
      <c r="G1093" s="110">
        <v>8</v>
      </c>
      <c r="H1093" s="111"/>
      <c r="I1093" s="111"/>
      <c r="J1093" s="111"/>
      <c r="K1093" s="112"/>
      <c r="L1093" s="113">
        <v>15157748</v>
      </c>
      <c r="M1093" s="113">
        <v>0</v>
      </c>
      <c r="N1093" s="113">
        <v>0</v>
      </c>
      <c r="O1093" s="113">
        <f t="shared" si="344"/>
        <v>15157748</v>
      </c>
      <c r="P1093" s="113">
        <v>0</v>
      </c>
      <c r="Q1093" s="114" t="e">
        <f t="shared" si="345"/>
        <v>#DIV/0!</v>
      </c>
      <c r="R1093" s="115"/>
      <c r="S1093" s="335">
        <v>43830</v>
      </c>
    </row>
    <row r="1094" spans="1:30" customFormat="1" ht="31.5">
      <c r="A1094" s="107">
        <f t="shared" si="346"/>
        <v>8</v>
      </c>
      <c r="B1094" s="301" t="s">
        <v>323</v>
      </c>
      <c r="C1094" s="108">
        <v>1954</v>
      </c>
      <c r="D1094" s="108"/>
      <c r="E1094" s="109" t="s">
        <v>218</v>
      </c>
      <c r="F1094" s="110">
        <v>2</v>
      </c>
      <c r="G1094" s="110">
        <v>2</v>
      </c>
      <c r="H1094" s="111"/>
      <c r="I1094" s="111"/>
      <c r="J1094" s="111"/>
      <c r="K1094" s="112"/>
      <c r="L1094" s="113">
        <v>1030213</v>
      </c>
      <c r="M1094" s="113">
        <v>0</v>
      </c>
      <c r="N1094" s="113">
        <v>0</v>
      </c>
      <c r="O1094" s="113">
        <f t="shared" si="344"/>
        <v>1030213</v>
      </c>
      <c r="P1094" s="113">
        <v>0</v>
      </c>
      <c r="Q1094" s="114" t="e">
        <f t="shared" si="345"/>
        <v>#DIV/0!</v>
      </c>
      <c r="R1094" s="115"/>
      <c r="S1094" s="335">
        <v>43830</v>
      </c>
    </row>
    <row r="1095" spans="1:30" customFormat="1" ht="31.5">
      <c r="A1095" s="107">
        <f t="shared" si="346"/>
        <v>9</v>
      </c>
      <c r="B1095" s="305" t="s">
        <v>319</v>
      </c>
      <c r="C1095" s="118">
        <v>1860</v>
      </c>
      <c r="D1095" s="118"/>
      <c r="E1095" s="109" t="s">
        <v>218</v>
      </c>
      <c r="F1095" s="118">
        <v>3</v>
      </c>
      <c r="G1095" s="118">
        <v>1</v>
      </c>
      <c r="H1095" s="118"/>
      <c r="I1095" s="118"/>
      <c r="J1095" s="118"/>
      <c r="K1095" s="119"/>
      <c r="L1095" s="113">
        <v>530465</v>
      </c>
      <c r="M1095" s="113">
        <v>0</v>
      </c>
      <c r="N1095" s="113">
        <v>0</v>
      </c>
      <c r="O1095" s="113">
        <f t="shared" si="344"/>
        <v>530465</v>
      </c>
      <c r="P1095" s="113">
        <v>0</v>
      </c>
      <c r="Q1095" s="114" t="e">
        <f t="shared" si="345"/>
        <v>#DIV/0!</v>
      </c>
      <c r="R1095" s="115"/>
      <c r="S1095" s="335">
        <v>43830</v>
      </c>
    </row>
    <row r="1096" spans="1:30" customFormat="1" ht="31.5">
      <c r="A1096" s="107">
        <f t="shared" si="346"/>
        <v>10</v>
      </c>
      <c r="B1096" s="305" t="s">
        <v>326</v>
      </c>
      <c r="C1096" s="108">
        <v>1958</v>
      </c>
      <c r="D1096" s="108"/>
      <c r="E1096" s="109" t="s">
        <v>218</v>
      </c>
      <c r="F1096" s="110">
        <v>2</v>
      </c>
      <c r="G1096" s="110">
        <v>2</v>
      </c>
      <c r="H1096" s="111"/>
      <c r="I1096" s="111"/>
      <c r="J1096" s="111"/>
      <c r="K1096" s="112"/>
      <c r="L1096" s="113">
        <v>1983854</v>
      </c>
      <c r="M1096" s="113">
        <v>0</v>
      </c>
      <c r="N1096" s="113">
        <v>0</v>
      </c>
      <c r="O1096" s="113">
        <f t="shared" si="344"/>
        <v>1983854</v>
      </c>
      <c r="P1096" s="113">
        <v>0</v>
      </c>
      <c r="Q1096" s="114" t="e">
        <f t="shared" si="345"/>
        <v>#DIV/0!</v>
      </c>
      <c r="R1096" s="115"/>
      <c r="S1096" s="335">
        <v>43830</v>
      </c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</row>
    <row r="1097" spans="1:30" customFormat="1" ht="31.5">
      <c r="A1097" s="107">
        <f t="shared" si="346"/>
        <v>11</v>
      </c>
      <c r="B1097" s="305" t="s">
        <v>388</v>
      </c>
      <c r="C1097" s="108">
        <v>1961</v>
      </c>
      <c r="D1097" s="108"/>
      <c r="E1097" s="109" t="s">
        <v>218</v>
      </c>
      <c r="F1097" s="110">
        <v>5</v>
      </c>
      <c r="G1097" s="110">
        <v>2</v>
      </c>
      <c r="H1097" s="111"/>
      <c r="I1097" s="111"/>
      <c r="J1097" s="111"/>
      <c r="K1097" s="112"/>
      <c r="L1097" s="113">
        <v>1206304</v>
      </c>
      <c r="M1097" s="113">
        <v>0</v>
      </c>
      <c r="N1097" s="113">
        <v>0</v>
      </c>
      <c r="O1097" s="113">
        <f t="shared" si="344"/>
        <v>1206304</v>
      </c>
      <c r="P1097" s="113">
        <v>0</v>
      </c>
      <c r="Q1097" s="114" t="e">
        <f t="shared" si="345"/>
        <v>#DIV/0!</v>
      </c>
      <c r="R1097" s="115"/>
      <c r="S1097" s="335">
        <v>43830</v>
      </c>
    </row>
    <row r="1098" spans="1:30" customFormat="1" ht="31.5">
      <c r="A1098" s="107">
        <f t="shared" si="346"/>
        <v>12</v>
      </c>
      <c r="B1098" s="301" t="s">
        <v>419</v>
      </c>
      <c r="C1098" s="108">
        <v>1961</v>
      </c>
      <c r="D1098" s="116"/>
      <c r="E1098" s="109" t="s">
        <v>218</v>
      </c>
      <c r="F1098" s="110">
        <v>5</v>
      </c>
      <c r="G1098" s="110">
        <v>3</v>
      </c>
      <c r="H1098" s="111"/>
      <c r="I1098" s="111"/>
      <c r="J1098" s="111"/>
      <c r="K1098" s="112"/>
      <c r="L1098" s="113">
        <v>402530.2</v>
      </c>
      <c r="M1098" s="113">
        <v>0</v>
      </c>
      <c r="N1098" s="113">
        <v>0</v>
      </c>
      <c r="O1098" s="113">
        <f t="shared" si="344"/>
        <v>402530.2</v>
      </c>
      <c r="P1098" s="113">
        <v>0</v>
      </c>
      <c r="Q1098" s="114" t="e">
        <f t="shared" si="345"/>
        <v>#DIV/0!</v>
      </c>
      <c r="R1098" s="115"/>
      <c r="S1098" s="335">
        <v>43830</v>
      </c>
      <c r="T1098" s="62"/>
      <c r="U1098" s="62"/>
      <c r="V1098" s="62"/>
      <c r="W1098" s="62"/>
      <c r="X1098" s="62"/>
      <c r="Y1098" s="62"/>
      <c r="Z1098" s="62"/>
      <c r="AA1098" s="62"/>
      <c r="AB1098" s="62"/>
      <c r="AC1098" s="62"/>
      <c r="AD1098" s="62"/>
    </row>
    <row r="1099" spans="1:30" customFormat="1" ht="31.5">
      <c r="A1099" s="107">
        <f t="shared" si="346"/>
        <v>13</v>
      </c>
      <c r="B1099" s="301" t="s">
        <v>387</v>
      </c>
      <c r="C1099" s="118">
        <v>1967</v>
      </c>
      <c r="D1099" s="118"/>
      <c r="E1099" s="109" t="s">
        <v>218</v>
      </c>
      <c r="F1099" s="118">
        <v>5</v>
      </c>
      <c r="G1099" s="118">
        <v>8</v>
      </c>
      <c r="H1099" s="111"/>
      <c r="I1099" s="111"/>
      <c r="J1099" s="111"/>
      <c r="K1099" s="112"/>
      <c r="L1099" s="113">
        <v>2861497</v>
      </c>
      <c r="M1099" s="113">
        <v>0</v>
      </c>
      <c r="N1099" s="113">
        <v>0</v>
      </c>
      <c r="O1099" s="113">
        <f t="shared" si="344"/>
        <v>2861497</v>
      </c>
      <c r="P1099" s="113">
        <v>0</v>
      </c>
      <c r="Q1099" s="114" t="e">
        <f t="shared" si="345"/>
        <v>#DIV/0!</v>
      </c>
      <c r="R1099" s="115"/>
      <c r="S1099" s="335">
        <v>43830</v>
      </c>
    </row>
    <row r="1100" spans="1:30" customFormat="1" ht="15.75">
      <c r="A1100" s="107">
        <f t="shared" si="346"/>
        <v>14</v>
      </c>
      <c r="B1100" s="305" t="s">
        <v>334</v>
      </c>
      <c r="C1100" s="108">
        <v>1974</v>
      </c>
      <c r="D1100" s="108"/>
      <c r="E1100" s="109" t="s">
        <v>219</v>
      </c>
      <c r="F1100" s="110">
        <v>5</v>
      </c>
      <c r="G1100" s="110">
        <v>4</v>
      </c>
      <c r="H1100" s="111"/>
      <c r="I1100" s="111"/>
      <c r="J1100" s="111"/>
      <c r="K1100" s="112"/>
      <c r="L1100" s="113">
        <v>1535065.47</v>
      </c>
      <c r="M1100" s="113">
        <v>0</v>
      </c>
      <c r="N1100" s="113">
        <v>0</v>
      </c>
      <c r="O1100" s="113">
        <f t="shared" si="344"/>
        <v>1535065.47</v>
      </c>
      <c r="P1100" s="113">
        <v>0</v>
      </c>
      <c r="Q1100" s="114" t="e">
        <f t="shared" si="345"/>
        <v>#DIV/0!</v>
      </c>
      <c r="R1100" s="115"/>
      <c r="S1100" s="335">
        <v>43830</v>
      </c>
    </row>
    <row r="1101" spans="1:30" customFormat="1" ht="15.75">
      <c r="A1101" s="107">
        <f t="shared" si="346"/>
        <v>15</v>
      </c>
      <c r="B1101" s="305" t="s">
        <v>330</v>
      </c>
      <c r="C1101" s="118">
        <v>1966</v>
      </c>
      <c r="D1101" s="118"/>
      <c r="E1101" s="109" t="s">
        <v>219</v>
      </c>
      <c r="F1101" s="118">
        <v>5</v>
      </c>
      <c r="G1101" s="118">
        <v>4</v>
      </c>
      <c r="H1101" s="111"/>
      <c r="I1101" s="111"/>
      <c r="J1101" s="111"/>
      <c r="K1101" s="112"/>
      <c r="L1101" s="113">
        <v>930534</v>
      </c>
      <c r="M1101" s="113">
        <v>0</v>
      </c>
      <c r="N1101" s="113">
        <v>0</v>
      </c>
      <c r="O1101" s="113">
        <f t="shared" si="344"/>
        <v>930534</v>
      </c>
      <c r="P1101" s="113">
        <v>0</v>
      </c>
      <c r="Q1101" s="114" t="e">
        <f t="shared" si="345"/>
        <v>#DIV/0!</v>
      </c>
      <c r="R1101" s="115"/>
      <c r="S1101" s="335">
        <v>43830</v>
      </c>
    </row>
    <row r="1102" spans="1:30" customFormat="1" ht="15.75">
      <c r="A1102" s="107">
        <f t="shared" si="346"/>
        <v>16</v>
      </c>
      <c r="B1102" s="305" t="s">
        <v>328</v>
      </c>
      <c r="C1102" s="118">
        <v>1970</v>
      </c>
      <c r="D1102" s="118"/>
      <c r="E1102" s="109" t="s">
        <v>219</v>
      </c>
      <c r="F1102" s="118">
        <v>5</v>
      </c>
      <c r="G1102" s="118">
        <v>4</v>
      </c>
      <c r="H1102" s="111"/>
      <c r="I1102" s="111"/>
      <c r="J1102" s="111"/>
      <c r="K1102" s="112"/>
      <c r="L1102" s="113">
        <v>662518</v>
      </c>
      <c r="M1102" s="113">
        <v>0</v>
      </c>
      <c r="N1102" s="113">
        <v>0</v>
      </c>
      <c r="O1102" s="113">
        <f t="shared" si="344"/>
        <v>662518</v>
      </c>
      <c r="P1102" s="113">
        <v>0</v>
      </c>
      <c r="Q1102" s="114" t="e">
        <f t="shared" si="345"/>
        <v>#DIV/0!</v>
      </c>
      <c r="R1102" s="115"/>
      <c r="S1102" s="335">
        <v>43830</v>
      </c>
    </row>
    <row r="1103" spans="1:30" customFormat="1" ht="31.5">
      <c r="A1103" s="107">
        <f t="shared" si="346"/>
        <v>17</v>
      </c>
      <c r="B1103" s="305" t="s">
        <v>333</v>
      </c>
      <c r="C1103" s="108">
        <v>1979</v>
      </c>
      <c r="D1103" s="108"/>
      <c r="E1103" s="109" t="s">
        <v>218</v>
      </c>
      <c r="F1103" s="110">
        <v>5</v>
      </c>
      <c r="G1103" s="110">
        <v>4</v>
      </c>
      <c r="H1103" s="111"/>
      <c r="I1103" s="111"/>
      <c r="J1103" s="111"/>
      <c r="K1103" s="112"/>
      <c r="L1103" s="113">
        <v>2346663</v>
      </c>
      <c r="M1103" s="113">
        <v>0</v>
      </c>
      <c r="N1103" s="113">
        <v>0</v>
      </c>
      <c r="O1103" s="113">
        <f t="shared" si="344"/>
        <v>2346663</v>
      </c>
      <c r="P1103" s="113">
        <v>0</v>
      </c>
      <c r="Q1103" s="114" t="e">
        <f t="shared" si="345"/>
        <v>#DIV/0!</v>
      </c>
      <c r="R1103" s="115"/>
      <c r="S1103" s="335">
        <v>43830</v>
      </c>
    </row>
    <row r="1104" spans="1:30" customFormat="1" ht="15.75">
      <c r="A1104" s="107">
        <f t="shared" si="346"/>
        <v>18</v>
      </c>
      <c r="B1104" s="305" t="s">
        <v>331</v>
      </c>
      <c r="C1104" s="118">
        <v>1972</v>
      </c>
      <c r="D1104" s="118"/>
      <c r="E1104" s="109" t="s">
        <v>219</v>
      </c>
      <c r="F1104" s="118">
        <v>5</v>
      </c>
      <c r="G1104" s="118">
        <v>4</v>
      </c>
      <c r="H1104" s="111"/>
      <c r="I1104" s="111"/>
      <c r="J1104" s="111"/>
      <c r="K1104" s="112"/>
      <c r="L1104" s="113">
        <v>727019</v>
      </c>
      <c r="M1104" s="113">
        <v>0</v>
      </c>
      <c r="N1104" s="113">
        <v>0</v>
      </c>
      <c r="O1104" s="113">
        <f t="shared" si="344"/>
        <v>727019</v>
      </c>
      <c r="P1104" s="113">
        <v>0</v>
      </c>
      <c r="Q1104" s="114" t="e">
        <f t="shared" si="345"/>
        <v>#DIV/0!</v>
      </c>
      <c r="R1104" s="115"/>
      <c r="S1104" s="335">
        <v>43830</v>
      </c>
    </row>
    <row r="1105" spans="1:19" customFormat="1" ht="31.5">
      <c r="A1105" s="107">
        <f t="shared" si="346"/>
        <v>19</v>
      </c>
      <c r="B1105" s="305" t="s">
        <v>329</v>
      </c>
      <c r="C1105" s="118">
        <v>1963</v>
      </c>
      <c r="D1105" s="118"/>
      <c r="E1105" s="109" t="s">
        <v>218</v>
      </c>
      <c r="F1105" s="118">
        <v>4</v>
      </c>
      <c r="G1105" s="118">
        <v>3</v>
      </c>
      <c r="H1105" s="118"/>
      <c r="I1105" s="118"/>
      <c r="J1105" s="118"/>
      <c r="K1105" s="119"/>
      <c r="L1105" s="113">
        <v>538121</v>
      </c>
      <c r="M1105" s="113">
        <v>0</v>
      </c>
      <c r="N1105" s="113">
        <v>0</v>
      </c>
      <c r="O1105" s="113">
        <f t="shared" si="344"/>
        <v>538121</v>
      </c>
      <c r="P1105" s="113">
        <v>0</v>
      </c>
      <c r="Q1105" s="114" t="e">
        <f t="shared" si="345"/>
        <v>#DIV/0!</v>
      </c>
      <c r="R1105" s="115"/>
      <c r="S1105" s="335">
        <v>43830</v>
      </c>
    </row>
    <row r="1106" spans="1:19" customFormat="1" ht="31.5">
      <c r="A1106" s="107">
        <f t="shared" si="346"/>
        <v>20</v>
      </c>
      <c r="B1106" s="305" t="s">
        <v>332</v>
      </c>
      <c r="C1106" s="118">
        <v>1963</v>
      </c>
      <c r="D1106" s="118"/>
      <c r="E1106" s="109" t="s">
        <v>218</v>
      </c>
      <c r="F1106" s="118">
        <v>4</v>
      </c>
      <c r="G1106" s="118">
        <v>3</v>
      </c>
      <c r="H1106" s="118"/>
      <c r="I1106" s="118"/>
      <c r="J1106" s="118"/>
      <c r="K1106" s="119"/>
      <c r="L1106" s="113">
        <v>1756852</v>
      </c>
      <c r="M1106" s="113">
        <v>0</v>
      </c>
      <c r="N1106" s="113">
        <v>0</v>
      </c>
      <c r="O1106" s="113">
        <f t="shared" si="344"/>
        <v>1756852</v>
      </c>
      <c r="P1106" s="113">
        <v>0</v>
      </c>
      <c r="Q1106" s="114" t="e">
        <f t="shared" si="345"/>
        <v>#DIV/0!</v>
      </c>
      <c r="R1106" s="115"/>
      <c r="S1106" s="335">
        <v>43830</v>
      </c>
    </row>
    <row r="1107" spans="1:19" customFormat="1" ht="15.75">
      <c r="A1107" s="107">
        <f t="shared" si="346"/>
        <v>21</v>
      </c>
      <c r="B1107" s="305" t="s">
        <v>316</v>
      </c>
      <c r="C1107" s="108">
        <v>1974</v>
      </c>
      <c r="D1107" s="108"/>
      <c r="E1107" s="109" t="s">
        <v>219</v>
      </c>
      <c r="F1107" s="110">
        <v>5</v>
      </c>
      <c r="G1107" s="110">
        <v>4</v>
      </c>
      <c r="H1107" s="111"/>
      <c r="I1107" s="111"/>
      <c r="J1107" s="111"/>
      <c r="K1107" s="112"/>
      <c r="L1107" s="113">
        <v>676398.28</v>
      </c>
      <c r="M1107" s="113">
        <v>0</v>
      </c>
      <c r="N1107" s="113">
        <v>0</v>
      </c>
      <c r="O1107" s="113">
        <f t="shared" si="344"/>
        <v>676398.28</v>
      </c>
      <c r="P1107" s="113">
        <v>0</v>
      </c>
      <c r="Q1107" s="114" t="e">
        <f t="shared" si="345"/>
        <v>#DIV/0!</v>
      </c>
      <c r="R1107" s="115"/>
      <c r="S1107" s="335">
        <v>43830</v>
      </c>
    </row>
    <row r="1108" spans="1:19" customFormat="1" ht="31.5">
      <c r="A1108" s="107">
        <f t="shared" si="346"/>
        <v>22</v>
      </c>
      <c r="B1108" s="301" t="s">
        <v>313</v>
      </c>
      <c r="C1108" s="108">
        <v>1951</v>
      </c>
      <c r="D1108" s="108"/>
      <c r="E1108" s="109" t="s">
        <v>218</v>
      </c>
      <c r="F1108" s="110">
        <v>2</v>
      </c>
      <c r="G1108" s="110">
        <v>1</v>
      </c>
      <c r="H1108" s="111"/>
      <c r="I1108" s="111"/>
      <c r="J1108" s="111"/>
      <c r="K1108" s="112"/>
      <c r="L1108" s="113">
        <v>766539</v>
      </c>
      <c r="M1108" s="113">
        <v>0</v>
      </c>
      <c r="N1108" s="113">
        <v>0</v>
      </c>
      <c r="O1108" s="113">
        <f t="shared" si="344"/>
        <v>766539</v>
      </c>
      <c r="P1108" s="113">
        <v>0</v>
      </c>
      <c r="Q1108" s="114" t="e">
        <f t="shared" si="345"/>
        <v>#DIV/0!</v>
      </c>
      <c r="R1108" s="115"/>
      <c r="S1108" s="335">
        <v>43830</v>
      </c>
    </row>
    <row r="1109" spans="1:19" customFormat="1" ht="31.5">
      <c r="A1109" s="107">
        <f t="shared" si="346"/>
        <v>23</v>
      </c>
      <c r="B1109" s="305" t="s">
        <v>312</v>
      </c>
      <c r="C1109" s="118">
        <v>1983</v>
      </c>
      <c r="D1109" s="118"/>
      <c r="E1109" s="109" t="s">
        <v>218</v>
      </c>
      <c r="F1109" s="118">
        <v>9</v>
      </c>
      <c r="G1109" s="118">
        <v>2</v>
      </c>
      <c r="H1109" s="118"/>
      <c r="I1109" s="118"/>
      <c r="J1109" s="118"/>
      <c r="K1109" s="119"/>
      <c r="L1109" s="113">
        <v>1186114</v>
      </c>
      <c r="M1109" s="113">
        <v>0</v>
      </c>
      <c r="N1109" s="113">
        <v>0</v>
      </c>
      <c r="O1109" s="113">
        <f t="shared" si="344"/>
        <v>1186114</v>
      </c>
      <c r="P1109" s="113">
        <v>0</v>
      </c>
      <c r="Q1109" s="114" t="e">
        <f t="shared" si="345"/>
        <v>#DIV/0!</v>
      </c>
      <c r="R1109" s="115"/>
      <c r="S1109" s="335">
        <v>43830</v>
      </c>
    </row>
    <row r="1110" spans="1:19" customFormat="1" ht="31.5">
      <c r="A1110" s="107">
        <f t="shared" si="346"/>
        <v>24</v>
      </c>
      <c r="B1110" s="301" t="s">
        <v>311</v>
      </c>
      <c r="C1110" s="118">
        <v>1958</v>
      </c>
      <c r="D1110" s="118"/>
      <c r="E1110" s="109" t="s">
        <v>218</v>
      </c>
      <c r="F1110" s="118">
        <v>3</v>
      </c>
      <c r="G1110" s="118">
        <v>2</v>
      </c>
      <c r="H1110" s="118"/>
      <c r="I1110" s="118"/>
      <c r="J1110" s="118"/>
      <c r="K1110" s="119"/>
      <c r="L1110" s="113">
        <v>178272.59</v>
      </c>
      <c r="M1110" s="113">
        <v>0</v>
      </c>
      <c r="N1110" s="113">
        <v>0</v>
      </c>
      <c r="O1110" s="113">
        <f t="shared" si="344"/>
        <v>178272.59</v>
      </c>
      <c r="P1110" s="113">
        <v>0</v>
      </c>
      <c r="Q1110" s="114" t="e">
        <f t="shared" si="345"/>
        <v>#DIV/0!</v>
      </c>
      <c r="R1110" s="115"/>
      <c r="S1110" s="335">
        <v>43830</v>
      </c>
    </row>
    <row r="1111" spans="1:19" customFormat="1" ht="31.5">
      <c r="A1111" s="107">
        <f t="shared" si="346"/>
        <v>25</v>
      </c>
      <c r="B1111" s="305" t="s">
        <v>315</v>
      </c>
      <c r="C1111" s="108">
        <v>1963</v>
      </c>
      <c r="D1111" s="108"/>
      <c r="E1111" s="109" t="s">
        <v>218</v>
      </c>
      <c r="F1111" s="110">
        <v>4</v>
      </c>
      <c r="G1111" s="110">
        <v>2</v>
      </c>
      <c r="H1111" s="111"/>
      <c r="I1111" s="111"/>
      <c r="J1111" s="111"/>
      <c r="K1111" s="112"/>
      <c r="L1111" s="113">
        <v>1087116</v>
      </c>
      <c r="M1111" s="113">
        <v>0</v>
      </c>
      <c r="N1111" s="113">
        <v>0</v>
      </c>
      <c r="O1111" s="113">
        <f t="shared" si="344"/>
        <v>1087116</v>
      </c>
      <c r="P1111" s="113">
        <v>0</v>
      </c>
      <c r="Q1111" s="114" t="e">
        <f t="shared" si="345"/>
        <v>#DIV/0!</v>
      </c>
      <c r="R1111" s="115"/>
      <c r="S1111" s="335">
        <v>43830</v>
      </c>
    </row>
    <row r="1112" spans="1:19" customFormat="1" ht="31.5">
      <c r="A1112" s="107">
        <f t="shared" si="346"/>
        <v>26</v>
      </c>
      <c r="B1112" s="305" t="s">
        <v>351</v>
      </c>
      <c r="C1112" s="108">
        <v>1984</v>
      </c>
      <c r="D1112" s="108"/>
      <c r="E1112" s="109" t="s">
        <v>218</v>
      </c>
      <c r="F1112" s="110">
        <v>9</v>
      </c>
      <c r="G1112" s="110">
        <v>2</v>
      </c>
      <c r="H1112" s="111"/>
      <c r="I1112" s="111"/>
      <c r="J1112" s="111"/>
      <c r="K1112" s="112"/>
      <c r="L1112" s="113">
        <v>1411363</v>
      </c>
      <c r="M1112" s="113">
        <v>0</v>
      </c>
      <c r="N1112" s="113">
        <v>0</v>
      </c>
      <c r="O1112" s="113">
        <f t="shared" si="344"/>
        <v>1411363</v>
      </c>
      <c r="P1112" s="113">
        <v>0</v>
      </c>
      <c r="Q1112" s="114" t="e">
        <f t="shared" si="345"/>
        <v>#DIV/0!</v>
      </c>
      <c r="R1112" s="115"/>
      <c r="S1112" s="335">
        <v>43830</v>
      </c>
    </row>
    <row r="1113" spans="1:19" customFormat="1" ht="31.5">
      <c r="A1113" s="107">
        <f t="shared" si="346"/>
        <v>27</v>
      </c>
      <c r="B1113" s="305" t="s">
        <v>314</v>
      </c>
      <c r="C1113" s="108">
        <v>1964</v>
      </c>
      <c r="D1113" s="108"/>
      <c r="E1113" s="109" t="s">
        <v>218</v>
      </c>
      <c r="F1113" s="110">
        <v>4</v>
      </c>
      <c r="G1113" s="110">
        <v>2</v>
      </c>
      <c r="H1113" s="111"/>
      <c r="I1113" s="111"/>
      <c r="J1113" s="111"/>
      <c r="K1113" s="112"/>
      <c r="L1113" s="113">
        <v>1136666</v>
      </c>
      <c r="M1113" s="113">
        <v>0</v>
      </c>
      <c r="N1113" s="113">
        <v>0</v>
      </c>
      <c r="O1113" s="113">
        <f t="shared" si="344"/>
        <v>1136666</v>
      </c>
      <c r="P1113" s="113">
        <v>0</v>
      </c>
      <c r="Q1113" s="114" t="e">
        <f t="shared" si="345"/>
        <v>#DIV/0!</v>
      </c>
      <c r="R1113" s="115"/>
      <c r="S1113" s="335">
        <v>43830</v>
      </c>
    </row>
    <row r="1114" spans="1:19" customFormat="1" ht="31.5">
      <c r="A1114" s="107">
        <f t="shared" si="346"/>
        <v>28</v>
      </c>
      <c r="B1114" s="305" t="s">
        <v>369</v>
      </c>
      <c r="C1114" s="118">
        <v>1959</v>
      </c>
      <c r="D1114" s="118"/>
      <c r="E1114" s="109" t="s">
        <v>218</v>
      </c>
      <c r="F1114" s="118">
        <v>4</v>
      </c>
      <c r="G1114" s="118">
        <v>6</v>
      </c>
      <c r="H1114" s="118"/>
      <c r="I1114" s="118"/>
      <c r="J1114" s="118"/>
      <c r="K1114" s="119"/>
      <c r="L1114" s="113">
        <v>1385674</v>
      </c>
      <c r="M1114" s="113">
        <v>0</v>
      </c>
      <c r="N1114" s="113">
        <v>0</v>
      </c>
      <c r="O1114" s="113">
        <f t="shared" si="344"/>
        <v>1385674</v>
      </c>
      <c r="P1114" s="113">
        <v>0</v>
      </c>
      <c r="Q1114" s="114" t="e">
        <f t="shared" si="345"/>
        <v>#DIV/0!</v>
      </c>
      <c r="R1114" s="115"/>
      <c r="S1114" s="335">
        <v>43830</v>
      </c>
    </row>
    <row r="1115" spans="1:19" customFormat="1" ht="31.5">
      <c r="A1115" s="107">
        <f t="shared" si="346"/>
        <v>29</v>
      </c>
      <c r="B1115" s="305" t="s">
        <v>370</v>
      </c>
      <c r="C1115" s="118">
        <v>1937</v>
      </c>
      <c r="D1115" s="118"/>
      <c r="E1115" s="109" t="s">
        <v>218</v>
      </c>
      <c r="F1115" s="118">
        <v>4</v>
      </c>
      <c r="G1115" s="118">
        <v>9</v>
      </c>
      <c r="H1115" s="118"/>
      <c r="I1115" s="118"/>
      <c r="J1115" s="118"/>
      <c r="K1115" s="119"/>
      <c r="L1115" s="113">
        <v>4619990</v>
      </c>
      <c r="M1115" s="113">
        <v>0</v>
      </c>
      <c r="N1115" s="113">
        <v>0</v>
      </c>
      <c r="O1115" s="113">
        <f t="shared" si="344"/>
        <v>4619990</v>
      </c>
      <c r="P1115" s="113">
        <v>0</v>
      </c>
      <c r="Q1115" s="114" t="e">
        <f t="shared" si="345"/>
        <v>#DIV/0!</v>
      </c>
      <c r="R1115" s="115"/>
      <c r="S1115" s="335">
        <v>43830</v>
      </c>
    </row>
    <row r="1116" spans="1:19" customFormat="1" ht="31.5">
      <c r="A1116" s="107">
        <f t="shared" si="346"/>
        <v>30</v>
      </c>
      <c r="B1116" s="305" t="s">
        <v>373</v>
      </c>
      <c r="C1116" s="118">
        <v>1960</v>
      </c>
      <c r="D1116" s="118"/>
      <c r="E1116" s="109" t="s">
        <v>218</v>
      </c>
      <c r="F1116" s="118">
        <v>4</v>
      </c>
      <c r="G1116" s="118">
        <v>3</v>
      </c>
      <c r="H1116" s="118"/>
      <c r="I1116" s="118"/>
      <c r="J1116" s="118"/>
      <c r="K1116" s="119"/>
      <c r="L1116" s="113">
        <v>1865304</v>
      </c>
      <c r="M1116" s="113">
        <v>0</v>
      </c>
      <c r="N1116" s="113">
        <v>0</v>
      </c>
      <c r="O1116" s="113">
        <f t="shared" si="344"/>
        <v>1865304</v>
      </c>
      <c r="P1116" s="113">
        <v>0</v>
      </c>
      <c r="Q1116" s="114" t="e">
        <f t="shared" si="345"/>
        <v>#DIV/0!</v>
      </c>
      <c r="R1116" s="115"/>
      <c r="S1116" s="335">
        <v>43830</v>
      </c>
    </row>
    <row r="1117" spans="1:19" customFormat="1" ht="31.5">
      <c r="A1117" s="107">
        <f t="shared" si="346"/>
        <v>31</v>
      </c>
      <c r="B1117" s="305" t="s">
        <v>381</v>
      </c>
      <c r="C1117" s="108">
        <v>1961</v>
      </c>
      <c r="D1117" s="108"/>
      <c r="E1117" s="109" t="s">
        <v>218</v>
      </c>
      <c r="F1117" s="110">
        <v>5</v>
      </c>
      <c r="G1117" s="110">
        <v>4</v>
      </c>
      <c r="H1117" s="111"/>
      <c r="I1117" s="111"/>
      <c r="J1117" s="111"/>
      <c r="K1117" s="112"/>
      <c r="L1117" s="113">
        <v>1870910</v>
      </c>
      <c r="M1117" s="113">
        <v>0</v>
      </c>
      <c r="N1117" s="113">
        <v>0</v>
      </c>
      <c r="O1117" s="113">
        <f t="shared" si="344"/>
        <v>1870910</v>
      </c>
      <c r="P1117" s="113">
        <v>0</v>
      </c>
      <c r="Q1117" s="114" t="e">
        <f t="shared" si="345"/>
        <v>#DIV/0!</v>
      </c>
      <c r="R1117" s="115"/>
      <c r="S1117" s="335">
        <v>43830</v>
      </c>
    </row>
    <row r="1118" spans="1:19" customFormat="1" ht="31.5">
      <c r="A1118" s="107">
        <f t="shared" si="346"/>
        <v>32</v>
      </c>
      <c r="B1118" s="305" t="s">
        <v>382</v>
      </c>
      <c r="C1118" s="108">
        <v>1960</v>
      </c>
      <c r="D1118" s="108"/>
      <c r="E1118" s="109" t="s">
        <v>218</v>
      </c>
      <c r="F1118" s="110">
        <v>5</v>
      </c>
      <c r="G1118" s="110">
        <v>4</v>
      </c>
      <c r="H1118" s="111"/>
      <c r="I1118" s="111"/>
      <c r="J1118" s="111"/>
      <c r="K1118" s="112"/>
      <c r="L1118" s="113">
        <v>1533757</v>
      </c>
      <c r="M1118" s="113">
        <v>0</v>
      </c>
      <c r="N1118" s="113">
        <v>0</v>
      </c>
      <c r="O1118" s="113">
        <f t="shared" si="344"/>
        <v>1533757</v>
      </c>
      <c r="P1118" s="113">
        <v>0</v>
      </c>
      <c r="Q1118" s="114" t="e">
        <f t="shared" si="345"/>
        <v>#DIV/0!</v>
      </c>
      <c r="R1118" s="115"/>
      <c r="S1118" s="335">
        <v>43830</v>
      </c>
    </row>
    <row r="1119" spans="1:19" customFormat="1" ht="31.5">
      <c r="A1119" s="107">
        <f t="shared" si="346"/>
        <v>33</v>
      </c>
      <c r="B1119" s="305" t="s">
        <v>371</v>
      </c>
      <c r="C1119" s="118">
        <v>1960</v>
      </c>
      <c r="D1119" s="118"/>
      <c r="E1119" s="109" t="s">
        <v>218</v>
      </c>
      <c r="F1119" s="118">
        <v>5</v>
      </c>
      <c r="G1119" s="118">
        <v>4</v>
      </c>
      <c r="H1119" s="118"/>
      <c r="I1119" s="118"/>
      <c r="J1119" s="118"/>
      <c r="K1119" s="119"/>
      <c r="L1119" s="113">
        <v>939858</v>
      </c>
      <c r="M1119" s="113">
        <v>0</v>
      </c>
      <c r="N1119" s="113">
        <v>0</v>
      </c>
      <c r="O1119" s="113">
        <f t="shared" si="344"/>
        <v>939858</v>
      </c>
      <c r="P1119" s="113">
        <v>0</v>
      </c>
      <c r="Q1119" s="114" t="e">
        <f t="shared" si="345"/>
        <v>#DIV/0!</v>
      </c>
      <c r="R1119" s="115"/>
      <c r="S1119" s="335">
        <v>43830</v>
      </c>
    </row>
    <row r="1120" spans="1:19" customFormat="1" ht="15.75">
      <c r="A1120" s="107">
        <f t="shared" si="346"/>
        <v>34</v>
      </c>
      <c r="B1120" s="301" t="s">
        <v>377</v>
      </c>
      <c r="C1120" s="108">
        <v>1973</v>
      </c>
      <c r="D1120" s="108"/>
      <c r="E1120" s="109" t="s">
        <v>219</v>
      </c>
      <c r="F1120" s="110">
        <v>5</v>
      </c>
      <c r="G1120" s="110">
        <v>6</v>
      </c>
      <c r="H1120" s="111"/>
      <c r="I1120" s="111"/>
      <c r="J1120" s="111"/>
      <c r="K1120" s="112"/>
      <c r="L1120" s="113">
        <v>2368392</v>
      </c>
      <c r="M1120" s="113">
        <v>0</v>
      </c>
      <c r="N1120" s="113">
        <v>0</v>
      </c>
      <c r="O1120" s="113">
        <f t="shared" si="344"/>
        <v>2368392</v>
      </c>
      <c r="P1120" s="113">
        <v>0</v>
      </c>
      <c r="Q1120" s="114" t="e">
        <f t="shared" si="345"/>
        <v>#DIV/0!</v>
      </c>
      <c r="R1120" s="115"/>
      <c r="S1120" s="335">
        <v>43830</v>
      </c>
    </row>
    <row r="1121" spans="1:48" customFormat="1" ht="31.5">
      <c r="A1121" s="107">
        <f t="shared" si="346"/>
        <v>35</v>
      </c>
      <c r="B1121" s="301" t="s">
        <v>378</v>
      </c>
      <c r="C1121" s="108">
        <v>1961</v>
      </c>
      <c r="D1121" s="108"/>
      <c r="E1121" s="109" t="s">
        <v>218</v>
      </c>
      <c r="F1121" s="110">
        <v>5</v>
      </c>
      <c r="G1121" s="110">
        <v>2</v>
      </c>
      <c r="H1121" s="111"/>
      <c r="I1121" s="111"/>
      <c r="J1121" s="111"/>
      <c r="K1121" s="112"/>
      <c r="L1121" s="113">
        <v>2433930.91</v>
      </c>
      <c r="M1121" s="113">
        <v>0</v>
      </c>
      <c r="N1121" s="113">
        <v>0</v>
      </c>
      <c r="O1121" s="113">
        <f t="shared" si="344"/>
        <v>2433930.91</v>
      </c>
      <c r="P1121" s="113">
        <v>0</v>
      </c>
      <c r="Q1121" s="114" t="e">
        <f t="shared" si="345"/>
        <v>#DIV/0!</v>
      </c>
      <c r="R1121" s="115"/>
      <c r="S1121" s="335">
        <v>43830</v>
      </c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</row>
    <row r="1122" spans="1:48" customFormat="1" ht="31.5">
      <c r="A1122" s="107">
        <f t="shared" si="346"/>
        <v>36</v>
      </c>
      <c r="B1122" s="305" t="s">
        <v>383</v>
      </c>
      <c r="C1122" s="108">
        <v>1964</v>
      </c>
      <c r="D1122" s="108"/>
      <c r="E1122" s="109" t="s">
        <v>218</v>
      </c>
      <c r="F1122" s="110">
        <v>5</v>
      </c>
      <c r="G1122" s="110">
        <v>4</v>
      </c>
      <c r="H1122" s="111"/>
      <c r="I1122" s="111"/>
      <c r="J1122" s="111"/>
      <c r="K1122" s="112"/>
      <c r="L1122" s="113">
        <v>1721850</v>
      </c>
      <c r="M1122" s="113">
        <v>0</v>
      </c>
      <c r="N1122" s="113">
        <v>0</v>
      </c>
      <c r="O1122" s="113">
        <f t="shared" si="344"/>
        <v>1721850</v>
      </c>
      <c r="P1122" s="113">
        <v>0</v>
      </c>
      <c r="Q1122" s="114" t="e">
        <f t="shared" si="345"/>
        <v>#DIV/0!</v>
      </c>
      <c r="R1122" s="115"/>
      <c r="S1122" s="335">
        <v>43830</v>
      </c>
    </row>
    <row r="1123" spans="1:48" s="3" customFormat="1" ht="31.5">
      <c r="A1123" s="107">
        <f t="shared" si="346"/>
        <v>37</v>
      </c>
      <c r="B1123" s="305" t="s">
        <v>368</v>
      </c>
      <c r="C1123" s="118">
        <v>1957</v>
      </c>
      <c r="D1123" s="118"/>
      <c r="E1123" s="109" t="s">
        <v>218</v>
      </c>
      <c r="F1123" s="118">
        <v>4</v>
      </c>
      <c r="G1123" s="118">
        <v>4</v>
      </c>
      <c r="H1123" s="118"/>
      <c r="I1123" s="118"/>
      <c r="J1123" s="118"/>
      <c r="K1123" s="119"/>
      <c r="L1123" s="113">
        <v>814117</v>
      </c>
      <c r="M1123" s="113">
        <v>0</v>
      </c>
      <c r="N1123" s="113">
        <v>0</v>
      </c>
      <c r="O1123" s="113">
        <f t="shared" si="344"/>
        <v>814117</v>
      </c>
      <c r="P1123" s="113">
        <v>0</v>
      </c>
      <c r="Q1123" s="114" t="e">
        <f t="shared" si="345"/>
        <v>#DIV/0!</v>
      </c>
      <c r="R1123" s="115"/>
      <c r="S1123" s="335">
        <v>43830</v>
      </c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1:48" customFormat="1" ht="31.5">
      <c r="A1124" s="107">
        <f t="shared" si="346"/>
        <v>38</v>
      </c>
      <c r="B1124" s="305" t="s">
        <v>375</v>
      </c>
      <c r="C1124" s="108">
        <v>1957</v>
      </c>
      <c r="D1124" s="108"/>
      <c r="E1124" s="109" t="s">
        <v>218</v>
      </c>
      <c r="F1124" s="110">
        <v>4</v>
      </c>
      <c r="G1124" s="110">
        <v>4</v>
      </c>
      <c r="H1124" s="111"/>
      <c r="I1124" s="111"/>
      <c r="J1124" s="111"/>
      <c r="K1124" s="112"/>
      <c r="L1124" s="113">
        <v>3045081</v>
      </c>
      <c r="M1124" s="113">
        <v>0</v>
      </c>
      <c r="N1124" s="113">
        <v>0</v>
      </c>
      <c r="O1124" s="113">
        <f t="shared" si="344"/>
        <v>3045081</v>
      </c>
      <c r="P1124" s="113">
        <v>0</v>
      </c>
      <c r="Q1124" s="114" t="e">
        <f t="shared" si="345"/>
        <v>#DIV/0!</v>
      </c>
      <c r="R1124" s="115"/>
      <c r="S1124" s="335">
        <v>43830</v>
      </c>
    </row>
    <row r="1125" spans="1:48" customFormat="1" ht="31.5">
      <c r="A1125" s="107">
        <f t="shared" si="346"/>
        <v>39</v>
      </c>
      <c r="B1125" s="305" t="s">
        <v>380</v>
      </c>
      <c r="C1125" s="108">
        <v>1954</v>
      </c>
      <c r="D1125" s="108"/>
      <c r="E1125" s="109" t="s">
        <v>218</v>
      </c>
      <c r="F1125" s="110">
        <v>3</v>
      </c>
      <c r="G1125" s="110">
        <v>3</v>
      </c>
      <c r="H1125" s="111"/>
      <c r="I1125" s="111"/>
      <c r="J1125" s="111"/>
      <c r="K1125" s="112"/>
      <c r="L1125" s="113">
        <v>2244806</v>
      </c>
      <c r="M1125" s="113">
        <v>0</v>
      </c>
      <c r="N1125" s="113">
        <v>0</v>
      </c>
      <c r="O1125" s="113">
        <f t="shared" si="344"/>
        <v>2244806</v>
      </c>
      <c r="P1125" s="113">
        <v>0</v>
      </c>
      <c r="Q1125" s="114" t="e">
        <f t="shared" si="345"/>
        <v>#DIV/0!</v>
      </c>
      <c r="R1125" s="115"/>
      <c r="S1125" s="335">
        <v>43830</v>
      </c>
    </row>
    <row r="1126" spans="1:48" customFormat="1" ht="31.5">
      <c r="A1126" s="107">
        <f t="shared" si="346"/>
        <v>40</v>
      </c>
      <c r="B1126" s="305" t="s">
        <v>374</v>
      </c>
      <c r="C1126" s="108">
        <v>1963</v>
      </c>
      <c r="D1126" s="108"/>
      <c r="E1126" s="109" t="s">
        <v>218</v>
      </c>
      <c r="F1126" s="110">
        <v>4</v>
      </c>
      <c r="G1126" s="110">
        <v>2</v>
      </c>
      <c r="H1126" s="111"/>
      <c r="I1126" s="111"/>
      <c r="J1126" s="111"/>
      <c r="K1126" s="112"/>
      <c r="L1126" s="113">
        <v>1361273</v>
      </c>
      <c r="M1126" s="113">
        <v>0</v>
      </c>
      <c r="N1126" s="113">
        <v>0</v>
      </c>
      <c r="O1126" s="113">
        <f t="shared" si="344"/>
        <v>1361273</v>
      </c>
      <c r="P1126" s="113">
        <v>0</v>
      </c>
      <c r="Q1126" s="114" t="e">
        <f t="shared" si="345"/>
        <v>#DIV/0!</v>
      </c>
      <c r="R1126" s="115"/>
      <c r="S1126" s="335">
        <v>43830</v>
      </c>
    </row>
    <row r="1127" spans="1:48" customFormat="1" ht="31.5">
      <c r="A1127" s="107">
        <f t="shared" si="346"/>
        <v>41</v>
      </c>
      <c r="B1127" s="305" t="s">
        <v>469</v>
      </c>
      <c r="C1127" s="108">
        <v>1959</v>
      </c>
      <c r="D1127" s="108"/>
      <c r="E1127" s="109" t="s">
        <v>218</v>
      </c>
      <c r="F1127" s="110">
        <v>4</v>
      </c>
      <c r="G1127" s="110">
        <v>4</v>
      </c>
      <c r="H1127" s="111"/>
      <c r="I1127" s="111"/>
      <c r="J1127" s="111"/>
      <c r="K1127" s="112"/>
      <c r="L1127" s="113">
        <v>2421596</v>
      </c>
      <c r="M1127" s="113">
        <v>0</v>
      </c>
      <c r="N1127" s="113">
        <v>0</v>
      </c>
      <c r="O1127" s="113">
        <f t="shared" si="344"/>
        <v>2421596</v>
      </c>
      <c r="P1127" s="113">
        <v>0</v>
      </c>
      <c r="Q1127" s="114" t="e">
        <f t="shared" si="345"/>
        <v>#DIV/0!</v>
      </c>
      <c r="R1127" s="115"/>
      <c r="S1127" s="335">
        <v>43830</v>
      </c>
    </row>
    <row r="1128" spans="1:48" customFormat="1" ht="31.5">
      <c r="A1128" s="107">
        <f t="shared" si="346"/>
        <v>42</v>
      </c>
      <c r="B1128" s="305" t="s">
        <v>379</v>
      </c>
      <c r="C1128" s="108">
        <v>1967</v>
      </c>
      <c r="D1128" s="108"/>
      <c r="E1128" s="109" t="s">
        <v>218</v>
      </c>
      <c r="F1128" s="110">
        <v>6</v>
      </c>
      <c r="G1128" s="110">
        <v>5</v>
      </c>
      <c r="H1128" s="111"/>
      <c r="I1128" s="111"/>
      <c r="J1128" s="111"/>
      <c r="K1128" s="112"/>
      <c r="L1128" s="113">
        <v>2056315</v>
      </c>
      <c r="M1128" s="113">
        <v>0</v>
      </c>
      <c r="N1128" s="113">
        <v>0</v>
      </c>
      <c r="O1128" s="113">
        <f t="shared" si="344"/>
        <v>2056315</v>
      </c>
      <c r="P1128" s="113">
        <v>0</v>
      </c>
      <c r="Q1128" s="114" t="e">
        <f t="shared" si="345"/>
        <v>#DIV/0!</v>
      </c>
      <c r="R1128" s="115"/>
      <c r="S1128" s="335">
        <v>43830</v>
      </c>
    </row>
    <row r="1129" spans="1:48" customFormat="1" ht="31.5">
      <c r="A1129" s="107">
        <f t="shared" si="346"/>
        <v>43</v>
      </c>
      <c r="B1129" s="305" t="s">
        <v>372</v>
      </c>
      <c r="C1129" s="118">
        <v>1975</v>
      </c>
      <c r="D1129" s="118"/>
      <c r="E1129" s="109" t="s">
        <v>218</v>
      </c>
      <c r="F1129" s="118">
        <v>9</v>
      </c>
      <c r="G1129" s="118">
        <v>5</v>
      </c>
      <c r="H1129" s="118"/>
      <c r="I1129" s="118"/>
      <c r="J1129" s="118"/>
      <c r="K1129" s="119"/>
      <c r="L1129" s="113">
        <v>9473593</v>
      </c>
      <c r="M1129" s="113">
        <v>0</v>
      </c>
      <c r="N1129" s="113">
        <v>0</v>
      </c>
      <c r="O1129" s="113">
        <f t="shared" si="344"/>
        <v>9473593</v>
      </c>
      <c r="P1129" s="113">
        <v>0</v>
      </c>
      <c r="Q1129" s="114" t="e">
        <f t="shared" si="345"/>
        <v>#DIV/0!</v>
      </c>
      <c r="R1129" s="115"/>
      <c r="S1129" s="335">
        <v>43830</v>
      </c>
    </row>
    <row r="1130" spans="1:48" customFormat="1" ht="31.5">
      <c r="A1130" s="107">
        <f t="shared" si="346"/>
        <v>44</v>
      </c>
      <c r="B1130" s="301" t="s">
        <v>344</v>
      </c>
      <c r="C1130" s="107">
        <v>1968</v>
      </c>
      <c r="D1130" s="108"/>
      <c r="E1130" s="109" t="s">
        <v>218</v>
      </c>
      <c r="F1130" s="108">
        <v>5</v>
      </c>
      <c r="G1130" s="108">
        <v>6</v>
      </c>
      <c r="H1130" s="117"/>
      <c r="I1130" s="117"/>
      <c r="J1130" s="102"/>
      <c r="K1130" s="101"/>
      <c r="L1130" s="113">
        <v>4441828</v>
      </c>
      <c r="M1130" s="113">
        <v>0</v>
      </c>
      <c r="N1130" s="113">
        <v>0</v>
      </c>
      <c r="O1130" s="113">
        <f t="shared" si="344"/>
        <v>4441828</v>
      </c>
      <c r="P1130" s="113">
        <v>0</v>
      </c>
      <c r="Q1130" s="114" t="e">
        <f t="shared" si="345"/>
        <v>#DIV/0!</v>
      </c>
      <c r="R1130" s="115"/>
      <c r="S1130" s="335">
        <v>43830</v>
      </c>
    </row>
    <row r="1131" spans="1:48" customFormat="1" ht="15.75">
      <c r="A1131" s="107">
        <f t="shared" si="346"/>
        <v>45</v>
      </c>
      <c r="B1131" s="305" t="s">
        <v>348</v>
      </c>
      <c r="C1131" s="108">
        <v>1977</v>
      </c>
      <c r="D1131" s="108"/>
      <c r="E1131" s="109" t="s">
        <v>219</v>
      </c>
      <c r="F1131" s="110">
        <v>5</v>
      </c>
      <c r="G1131" s="110">
        <v>8</v>
      </c>
      <c r="H1131" s="111"/>
      <c r="I1131" s="111"/>
      <c r="J1131" s="111"/>
      <c r="K1131" s="112"/>
      <c r="L1131" s="113">
        <v>3051089</v>
      </c>
      <c r="M1131" s="113">
        <v>0</v>
      </c>
      <c r="N1131" s="113">
        <v>0</v>
      </c>
      <c r="O1131" s="113">
        <f t="shared" si="344"/>
        <v>3051089</v>
      </c>
      <c r="P1131" s="113">
        <v>0</v>
      </c>
      <c r="Q1131" s="114" t="e">
        <f t="shared" si="345"/>
        <v>#DIV/0!</v>
      </c>
      <c r="R1131" s="115"/>
      <c r="S1131" s="335">
        <v>43830</v>
      </c>
    </row>
    <row r="1132" spans="1:48" customFormat="1" ht="31.5">
      <c r="A1132" s="107">
        <f t="shared" si="346"/>
        <v>46</v>
      </c>
      <c r="B1132" s="301" t="s">
        <v>386</v>
      </c>
      <c r="C1132" s="118">
        <v>1956</v>
      </c>
      <c r="D1132" s="118"/>
      <c r="E1132" s="109" t="s">
        <v>218</v>
      </c>
      <c r="F1132" s="118">
        <v>2</v>
      </c>
      <c r="G1132" s="118">
        <v>2</v>
      </c>
      <c r="H1132" s="118"/>
      <c r="I1132" s="118"/>
      <c r="J1132" s="118"/>
      <c r="K1132" s="119"/>
      <c r="L1132" s="113">
        <v>869749</v>
      </c>
      <c r="M1132" s="113">
        <v>0</v>
      </c>
      <c r="N1132" s="113">
        <v>0</v>
      </c>
      <c r="O1132" s="113">
        <f t="shared" si="344"/>
        <v>869749</v>
      </c>
      <c r="P1132" s="113">
        <v>0</v>
      </c>
      <c r="Q1132" s="114" t="e">
        <f t="shared" si="345"/>
        <v>#DIV/0!</v>
      </c>
      <c r="R1132" s="115"/>
      <c r="S1132" s="335">
        <v>43830</v>
      </c>
    </row>
    <row r="1133" spans="1:48" customFormat="1" ht="31.5">
      <c r="A1133" s="107">
        <f t="shared" si="346"/>
        <v>47</v>
      </c>
      <c r="B1133" s="301" t="s">
        <v>461</v>
      </c>
      <c r="C1133" s="108">
        <v>1956</v>
      </c>
      <c r="D1133" s="108"/>
      <c r="E1133" s="109" t="s">
        <v>218</v>
      </c>
      <c r="F1133" s="110">
        <v>2</v>
      </c>
      <c r="G1133" s="110">
        <v>2</v>
      </c>
      <c r="H1133" s="111"/>
      <c r="I1133" s="111"/>
      <c r="J1133" s="111"/>
      <c r="K1133" s="112"/>
      <c r="L1133" s="113">
        <v>869880</v>
      </c>
      <c r="M1133" s="113">
        <v>0</v>
      </c>
      <c r="N1133" s="113">
        <v>0</v>
      </c>
      <c r="O1133" s="113">
        <f t="shared" si="344"/>
        <v>869880</v>
      </c>
      <c r="P1133" s="113">
        <v>0</v>
      </c>
      <c r="Q1133" s="114" t="e">
        <f t="shared" si="345"/>
        <v>#DIV/0!</v>
      </c>
      <c r="R1133" s="115"/>
      <c r="S1133" s="335">
        <v>43830</v>
      </c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</row>
    <row r="1134" spans="1:48" customFormat="1" ht="31.5">
      <c r="A1134" s="107">
        <f t="shared" si="346"/>
        <v>48</v>
      </c>
      <c r="B1134" s="305" t="s">
        <v>462</v>
      </c>
      <c r="C1134" s="108">
        <v>1959</v>
      </c>
      <c r="D1134" s="116"/>
      <c r="E1134" s="109" t="s">
        <v>218</v>
      </c>
      <c r="F1134" s="110">
        <v>2</v>
      </c>
      <c r="G1134" s="110">
        <v>2</v>
      </c>
      <c r="H1134" s="111"/>
      <c r="I1134" s="111"/>
      <c r="J1134" s="111"/>
      <c r="K1134" s="112"/>
      <c r="L1134" s="113">
        <v>172302</v>
      </c>
      <c r="M1134" s="113">
        <v>0</v>
      </c>
      <c r="N1134" s="113">
        <v>0</v>
      </c>
      <c r="O1134" s="113">
        <f t="shared" si="344"/>
        <v>172302</v>
      </c>
      <c r="P1134" s="113">
        <v>0</v>
      </c>
      <c r="Q1134" s="114" t="e">
        <f t="shared" si="345"/>
        <v>#DIV/0!</v>
      </c>
      <c r="R1134" s="115"/>
      <c r="S1134" s="335">
        <v>43830</v>
      </c>
    </row>
    <row r="1135" spans="1:48" customFormat="1" ht="31.5">
      <c r="A1135" s="107">
        <f t="shared" si="346"/>
        <v>49</v>
      </c>
      <c r="B1135" s="305" t="s">
        <v>389</v>
      </c>
      <c r="C1135" s="108">
        <v>1910</v>
      </c>
      <c r="D1135" s="108"/>
      <c r="E1135" s="109" t="s">
        <v>218</v>
      </c>
      <c r="F1135" s="110">
        <v>4</v>
      </c>
      <c r="G1135" s="110">
        <v>1</v>
      </c>
      <c r="H1135" s="111"/>
      <c r="I1135" s="111"/>
      <c r="J1135" s="111"/>
      <c r="K1135" s="112"/>
      <c r="L1135" s="113">
        <v>3706393</v>
      </c>
      <c r="M1135" s="113">
        <v>0</v>
      </c>
      <c r="N1135" s="113">
        <v>0</v>
      </c>
      <c r="O1135" s="113">
        <f t="shared" si="344"/>
        <v>3706393</v>
      </c>
      <c r="P1135" s="113">
        <v>0</v>
      </c>
      <c r="Q1135" s="114" t="e">
        <f t="shared" si="345"/>
        <v>#DIV/0!</v>
      </c>
      <c r="R1135" s="115"/>
      <c r="S1135" s="335">
        <v>43830</v>
      </c>
    </row>
    <row r="1136" spans="1:48" customFormat="1" ht="31.5">
      <c r="A1136" s="107">
        <f t="shared" si="346"/>
        <v>50</v>
      </c>
      <c r="B1136" s="305" t="s">
        <v>317</v>
      </c>
      <c r="C1136" s="118">
        <v>1914</v>
      </c>
      <c r="D1136" s="118"/>
      <c r="E1136" s="109" t="s">
        <v>218</v>
      </c>
      <c r="F1136" s="118">
        <v>4</v>
      </c>
      <c r="G1136" s="118">
        <v>5</v>
      </c>
      <c r="H1136" s="118"/>
      <c r="I1136" s="118"/>
      <c r="J1136" s="118"/>
      <c r="K1136" s="119"/>
      <c r="L1136" s="113">
        <v>698585</v>
      </c>
      <c r="M1136" s="113">
        <v>0</v>
      </c>
      <c r="N1136" s="113">
        <v>0</v>
      </c>
      <c r="O1136" s="113">
        <f t="shared" si="344"/>
        <v>698585</v>
      </c>
      <c r="P1136" s="113">
        <v>0</v>
      </c>
      <c r="Q1136" s="114" t="e">
        <f t="shared" si="345"/>
        <v>#DIV/0!</v>
      </c>
      <c r="R1136" s="115"/>
      <c r="S1136" s="335">
        <v>43830</v>
      </c>
    </row>
    <row r="1137" spans="1:19" customFormat="1" ht="31.5">
      <c r="A1137" s="107">
        <f t="shared" si="346"/>
        <v>51</v>
      </c>
      <c r="B1137" s="305" t="s">
        <v>384</v>
      </c>
      <c r="C1137" s="118" t="s">
        <v>190</v>
      </c>
      <c r="D1137" s="118"/>
      <c r="E1137" s="109" t="s">
        <v>218</v>
      </c>
      <c r="F1137" s="118">
        <v>2</v>
      </c>
      <c r="G1137" s="118">
        <v>3</v>
      </c>
      <c r="H1137" s="118"/>
      <c r="I1137" s="118"/>
      <c r="J1137" s="118"/>
      <c r="K1137" s="119"/>
      <c r="L1137" s="113">
        <v>951740</v>
      </c>
      <c r="M1137" s="113">
        <v>0</v>
      </c>
      <c r="N1137" s="113">
        <v>0</v>
      </c>
      <c r="O1137" s="113">
        <f t="shared" si="344"/>
        <v>951740</v>
      </c>
      <c r="P1137" s="113">
        <v>0</v>
      </c>
      <c r="Q1137" s="114" t="e">
        <f t="shared" si="345"/>
        <v>#DIV/0!</v>
      </c>
      <c r="R1137" s="115"/>
      <c r="S1137" s="335">
        <v>43830</v>
      </c>
    </row>
    <row r="1138" spans="1:19" customFormat="1" ht="31.5">
      <c r="A1138" s="107">
        <f t="shared" si="346"/>
        <v>52</v>
      </c>
      <c r="B1138" s="301" t="s">
        <v>247</v>
      </c>
      <c r="C1138" s="118">
        <v>1953</v>
      </c>
      <c r="D1138" s="118"/>
      <c r="E1138" s="109" t="s">
        <v>218</v>
      </c>
      <c r="F1138" s="118">
        <v>3</v>
      </c>
      <c r="G1138" s="118">
        <v>3</v>
      </c>
      <c r="H1138" s="118"/>
      <c r="I1138" s="118"/>
      <c r="J1138" s="118"/>
      <c r="K1138" s="119"/>
      <c r="L1138" s="113">
        <v>2056139</v>
      </c>
      <c r="M1138" s="113">
        <v>0</v>
      </c>
      <c r="N1138" s="113">
        <v>0</v>
      </c>
      <c r="O1138" s="113">
        <f t="shared" si="344"/>
        <v>2056139</v>
      </c>
      <c r="P1138" s="113">
        <v>0</v>
      </c>
      <c r="Q1138" s="114" t="e">
        <f t="shared" si="345"/>
        <v>#DIV/0!</v>
      </c>
      <c r="R1138" s="115"/>
      <c r="S1138" s="335">
        <v>43830</v>
      </c>
    </row>
    <row r="1139" spans="1:19" customFormat="1" ht="31.5">
      <c r="A1139" s="107">
        <f t="shared" si="346"/>
        <v>53</v>
      </c>
      <c r="B1139" s="305" t="s">
        <v>274</v>
      </c>
      <c r="C1139" s="107">
        <v>1958</v>
      </c>
      <c r="D1139" s="108"/>
      <c r="E1139" s="109" t="s">
        <v>218</v>
      </c>
      <c r="F1139" s="108">
        <v>2</v>
      </c>
      <c r="G1139" s="108">
        <v>2</v>
      </c>
      <c r="H1139" s="117"/>
      <c r="I1139" s="117"/>
      <c r="J1139" s="117"/>
      <c r="K1139" s="101"/>
      <c r="L1139" s="113">
        <v>1321356</v>
      </c>
      <c r="M1139" s="113">
        <v>0</v>
      </c>
      <c r="N1139" s="113">
        <v>0</v>
      </c>
      <c r="O1139" s="113">
        <f t="shared" si="344"/>
        <v>1321356</v>
      </c>
      <c r="P1139" s="113">
        <v>0</v>
      </c>
      <c r="Q1139" s="114" t="e">
        <f t="shared" si="345"/>
        <v>#DIV/0!</v>
      </c>
      <c r="R1139" s="115"/>
      <c r="S1139" s="335">
        <v>43830</v>
      </c>
    </row>
    <row r="1140" spans="1:19" customFormat="1" ht="31.5">
      <c r="A1140" s="107">
        <f t="shared" si="346"/>
        <v>54</v>
      </c>
      <c r="B1140" s="305" t="s">
        <v>338</v>
      </c>
      <c r="C1140" s="118">
        <v>1959</v>
      </c>
      <c r="D1140" s="118"/>
      <c r="E1140" s="109" t="s">
        <v>218</v>
      </c>
      <c r="F1140" s="118">
        <v>2</v>
      </c>
      <c r="G1140" s="118">
        <v>2</v>
      </c>
      <c r="H1140" s="118"/>
      <c r="I1140" s="118"/>
      <c r="J1140" s="118"/>
      <c r="K1140" s="119"/>
      <c r="L1140" s="113">
        <v>1679278</v>
      </c>
      <c r="M1140" s="113">
        <v>0</v>
      </c>
      <c r="N1140" s="113">
        <v>0</v>
      </c>
      <c r="O1140" s="113">
        <f t="shared" si="344"/>
        <v>1679278</v>
      </c>
      <c r="P1140" s="113">
        <v>0</v>
      </c>
      <c r="Q1140" s="114" t="e">
        <f t="shared" si="345"/>
        <v>#DIV/0!</v>
      </c>
      <c r="R1140" s="115"/>
      <c r="S1140" s="335">
        <v>43830</v>
      </c>
    </row>
    <row r="1141" spans="1:19" customFormat="1" ht="31.5">
      <c r="A1141" s="107">
        <f t="shared" si="346"/>
        <v>55</v>
      </c>
      <c r="B1141" s="305" t="s">
        <v>272</v>
      </c>
      <c r="C1141" s="118">
        <v>1959</v>
      </c>
      <c r="D1141" s="118"/>
      <c r="E1141" s="109" t="s">
        <v>218</v>
      </c>
      <c r="F1141" s="118">
        <v>2</v>
      </c>
      <c r="G1141" s="118">
        <v>2</v>
      </c>
      <c r="H1141" s="118"/>
      <c r="I1141" s="118"/>
      <c r="J1141" s="118"/>
      <c r="K1141" s="119"/>
      <c r="L1141" s="113">
        <v>1100896</v>
      </c>
      <c r="M1141" s="113">
        <v>0</v>
      </c>
      <c r="N1141" s="113">
        <v>0</v>
      </c>
      <c r="O1141" s="113">
        <f t="shared" si="344"/>
        <v>1100896</v>
      </c>
      <c r="P1141" s="113">
        <v>0</v>
      </c>
      <c r="Q1141" s="114" t="e">
        <f t="shared" si="345"/>
        <v>#DIV/0!</v>
      </c>
      <c r="R1141" s="115"/>
      <c r="S1141" s="335">
        <v>43830</v>
      </c>
    </row>
    <row r="1142" spans="1:19" customFormat="1" ht="31.5">
      <c r="A1142" s="107">
        <f t="shared" si="346"/>
        <v>56</v>
      </c>
      <c r="B1142" s="305" t="s">
        <v>337</v>
      </c>
      <c r="C1142" s="118">
        <v>1959</v>
      </c>
      <c r="D1142" s="118"/>
      <c r="E1142" s="109" t="s">
        <v>218</v>
      </c>
      <c r="F1142" s="118">
        <v>2</v>
      </c>
      <c r="G1142" s="118">
        <v>2</v>
      </c>
      <c r="H1142" s="118"/>
      <c r="I1142" s="118"/>
      <c r="J1142" s="118"/>
      <c r="K1142" s="119"/>
      <c r="L1142" s="113">
        <v>1729707</v>
      </c>
      <c r="M1142" s="113">
        <v>0</v>
      </c>
      <c r="N1142" s="113">
        <v>0</v>
      </c>
      <c r="O1142" s="113">
        <f t="shared" si="344"/>
        <v>1729707</v>
      </c>
      <c r="P1142" s="113">
        <v>0</v>
      </c>
      <c r="Q1142" s="114" t="e">
        <f t="shared" si="345"/>
        <v>#DIV/0!</v>
      </c>
      <c r="R1142" s="115"/>
      <c r="S1142" s="335">
        <v>43830</v>
      </c>
    </row>
    <row r="1143" spans="1:19" customFormat="1" ht="31.5">
      <c r="A1143" s="107">
        <f t="shared" si="346"/>
        <v>57</v>
      </c>
      <c r="B1143" s="301" t="s">
        <v>257</v>
      </c>
      <c r="C1143" s="118">
        <v>1959</v>
      </c>
      <c r="D1143" s="118"/>
      <c r="E1143" s="109" t="s">
        <v>218</v>
      </c>
      <c r="F1143" s="118">
        <v>2</v>
      </c>
      <c r="G1143" s="118">
        <v>2</v>
      </c>
      <c r="H1143" s="118"/>
      <c r="I1143" s="118"/>
      <c r="J1143" s="118"/>
      <c r="K1143" s="119"/>
      <c r="L1143" s="113">
        <v>451222.57</v>
      </c>
      <c r="M1143" s="113">
        <v>0</v>
      </c>
      <c r="N1143" s="113">
        <v>0</v>
      </c>
      <c r="O1143" s="113">
        <f t="shared" si="344"/>
        <v>451222.57</v>
      </c>
      <c r="P1143" s="113">
        <v>0</v>
      </c>
      <c r="Q1143" s="114" t="e">
        <f t="shared" si="345"/>
        <v>#DIV/0!</v>
      </c>
      <c r="R1143" s="115"/>
      <c r="S1143" s="335">
        <v>43830</v>
      </c>
    </row>
    <row r="1144" spans="1:19" customFormat="1" ht="31.5">
      <c r="A1144" s="107">
        <f t="shared" si="346"/>
        <v>58</v>
      </c>
      <c r="B1144" s="305" t="s">
        <v>307</v>
      </c>
      <c r="C1144" s="108">
        <v>1959</v>
      </c>
      <c r="D1144" s="108"/>
      <c r="E1144" s="109" t="s">
        <v>218</v>
      </c>
      <c r="F1144" s="110">
        <v>2</v>
      </c>
      <c r="G1144" s="110">
        <v>1</v>
      </c>
      <c r="H1144" s="111"/>
      <c r="I1144" s="111"/>
      <c r="J1144" s="111"/>
      <c r="K1144" s="112"/>
      <c r="L1144" s="113">
        <v>703675.57</v>
      </c>
      <c r="M1144" s="113">
        <v>0</v>
      </c>
      <c r="N1144" s="113">
        <v>0</v>
      </c>
      <c r="O1144" s="113">
        <f t="shared" si="344"/>
        <v>703675.57</v>
      </c>
      <c r="P1144" s="113">
        <v>0</v>
      </c>
      <c r="Q1144" s="114" t="e">
        <f t="shared" si="345"/>
        <v>#DIV/0!</v>
      </c>
      <c r="R1144" s="115"/>
      <c r="S1144" s="335">
        <v>43830</v>
      </c>
    </row>
    <row r="1145" spans="1:19" customFormat="1" ht="31.5">
      <c r="A1145" s="107">
        <f t="shared" si="346"/>
        <v>59</v>
      </c>
      <c r="B1145" s="305" t="s">
        <v>268</v>
      </c>
      <c r="C1145" s="118">
        <v>1959</v>
      </c>
      <c r="D1145" s="118"/>
      <c r="E1145" s="109" t="s">
        <v>218</v>
      </c>
      <c r="F1145" s="118">
        <v>4</v>
      </c>
      <c r="G1145" s="118">
        <v>3</v>
      </c>
      <c r="H1145" s="118"/>
      <c r="I1145" s="118"/>
      <c r="J1145" s="118"/>
      <c r="K1145" s="119"/>
      <c r="L1145" s="113">
        <v>1053533.22</v>
      </c>
      <c r="M1145" s="113">
        <v>0</v>
      </c>
      <c r="N1145" s="113">
        <v>0</v>
      </c>
      <c r="O1145" s="113">
        <f t="shared" si="344"/>
        <v>1053533.22</v>
      </c>
      <c r="P1145" s="113">
        <v>0</v>
      </c>
      <c r="Q1145" s="114" t="e">
        <f t="shared" si="345"/>
        <v>#DIV/0!</v>
      </c>
      <c r="R1145" s="115"/>
      <c r="S1145" s="335">
        <v>43830</v>
      </c>
    </row>
    <row r="1146" spans="1:19" customFormat="1" ht="31.5">
      <c r="A1146" s="107">
        <f t="shared" si="346"/>
        <v>60</v>
      </c>
      <c r="B1146" s="301" t="s">
        <v>246</v>
      </c>
      <c r="C1146" s="118">
        <v>1979</v>
      </c>
      <c r="D1146" s="118"/>
      <c r="E1146" s="109" t="s">
        <v>218</v>
      </c>
      <c r="F1146" s="118">
        <v>9</v>
      </c>
      <c r="G1146" s="118">
        <v>1</v>
      </c>
      <c r="H1146" s="118"/>
      <c r="I1146" s="118"/>
      <c r="J1146" s="118"/>
      <c r="K1146" s="119"/>
      <c r="L1146" s="113">
        <v>1253738</v>
      </c>
      <c r="M1146" s="113">
        <v>0</v>
      </c>
      <c r="N1146" s="113">
        <v>0</v>
      </c>
      <c r="O1146" s="113">
        <f t="shared" si="344"/>
        <v>1253738</v>
      </c>
      <c r="P1146" s="113">
        <v>0</v>
      </c>
      <c r="Q1146" s="114" t="e">
        <f t="shared" si="345"/>
        <v>#DIV/0!</v>
      </c>
      <c r="R1146" s="115"/>
      <c r="S1146" s="335">
        <v>43830</v>
      </c>
    </row>
    <row r="1147" spans="1:19" customFormat="1" ht="15.75">
      <c r="A1147" s="107">
        <f t="shared" si="346"/>
        <v>61</v>
      </c>
      <c r="B1147" s="305" t="s">
        <v>470</v>
      </c>
      <c r="C1147" s="108">
        <v>1984</v>
      </c>
      <c r="D1147" s="108"/>
      <c r="E1147" s="109" t="s">
        <v>219</v>
      </c>
      <c r="F1147" s="110">
        <v>9</v>
      </c>
      <c r="G1147" s="110">
        <v>1</v>
      </c>
      <c r="H1147" s="111"/>
      <c r="I1147" s="111"/>
      <c r="J1147" s="111"/>
      <c r="K1147" s="112"/>
      <c r="L1147" s="113">
        <v>1870046</v>
      </c>
      <c r="M1147" s="113">
        <v>0</v>
      </c>
      <c r="N1147" s="113">
        <v>0</v>
      </c>
      <c r="O1147" s="113">
        <f t="shared" si="344"/>
        <v>1870046</v>
      </c>
      <c r="P1147" s="113">
        <v>0</v>
      </c>
      <c r="Q1147" s="114" t="e">
        <f t="shared" si="345"/>
        <v>#DIV/0!</v>
      </c>
      <c r="R1147" s="115"/>
      <c r="S1147" s="335">
        <v>43830</v>
      </c>
    </row>
    <row r="1148" spans="1:19" customFormat="1" ht="15.75">
      <c r="A1148" s="107">
        <f t="shared" si="346"/>
        <v>62</v>
      </c>
      <c r="B1148" s="305" t="s">
        <v>350</v>
      </c>
      <c r="C1148" s="108">
        <v>1984</v>
      </c>
      <c r="D1148" s="108"/>
      <c r="E1148" s="109" t="s">
        <v>219</v>
      </c>
      <c r="F1148" s="110">
        <v>9</v>
      </c>
      <c r="G1148" s="110">
        <v>2</v>
      </c>
      <c r="H1148" s="111"/>
      <c r="I1148" s="111"/>
      <c r="J1148" s="111"/>
      <c r="K1148" s="112"/>
      <c r="L1148" s="113">
        <v>3720676</v>
      </c>
      <c r="M1148" s="113">
        <v>0</v>
      </c>
      <c r="N1148" s="113">
        <v>0</v>
      </c>
      <c r="O1148" s="113">
        <f t="shared" si="344"/>
        <v>3720676</v>
      </c>
      <c r="P1148" s="113">
        <v>0</v>
      </c>
      <c r="Q1148" s="114" t="e">
        <f t="shared" si="345"/>
        <v>#DIV/0!</v>
      </c>
      <c r="R1148" s="115"/>
      <c r="S1148" s="335">
        <v>43830</v>
      </c>
    </row>
    <row r="1149" spans="1:19" customFormat="1" ht="31.5">
      <c r="A1149" s="107">
        <f t="shared" si="346"/>
        <v>63</v>
      </c>
      <c r="B1149" s="305" t="s">
        <v>251</v>
      </c>
      <c r="C1149" s="118">
        <v>1977</v>
      </c>
      <c r="D1149" s="118"/>
      <c r="E1149" s="109" t="s">
        <v>218</v>
      </c>
      <c r="F1149" s="118">
        <v>5</v>
      </c>
      <c r="G1149" s="118">
        <v>6</v>
      </c>
      <c r="H1149" s="118"/>
      <c r="I1149" s="118"/>
      <c r="J1149" s="118"/>
      <c r="K1149" s="119"/>
      <c r="L1149" s="113">
        <v>3687908</v>
      </c>
      <c r="M1149" s="113">
        <v>0</v>
      </c>
      <c r="N1149" s="113">
        <v>0</v>
      </c>
      <c r="O1149" s="113">
        <f t="shared" si="344"/>
        <v>3687908</v>
      </c>
      <c r="P1149" s="113">
        <v>0</v>
      </c>
      <c r="Q1149" s="114" t="e">
        <f t="shared" si="345"/>
        <v>#DIV/0!</v>
      </c>
      <c r="R1149" s="115"/>
      <c r="S1149" s="335">
        <v>43830</v>
      </c>
    </row>
    <row r="1150" spans="1:19" customFormat="1" ht="31.5">
      <c r="A1150" s="107">
        <f t="shared" si="346"/>
        <v>64</v>
      </c>
      <c r="B1150" s="305" t="s">
        <v>226</v>
      </c>
      <c r="C1150" s="118">
        <v>1933</v>
      </c>
      <c r="D1150" s="118"/>
      <c r="E1150" s="109" t="s">
        <v>218</v>
      </c>
      <c r="F1150" s="118">
        <v>4</v>
      </c>
      <c r="G1150" s="118">
        <v>5</v>
      </c>
      <c r="H1150" s="118"/>
      <c r="I1150" s="118"/>
      <c r="J1150" s="118"/>
      <c r="K1150" s="119"/>
      <c r="L1150" s="113">
        <v>1760967.35</v>
      </c>
      <c r="M1150" s="113">
        <v>0</v>
      </c>
      <c r="N1150" s="113">
        <v>0</v>
      </c>
      <c r="O1150" s="113">
        <f t="shared" si="344"/>
        <v>1760967.35</v>
      </c>
      <c r="P1150" s="113">
        <v>0</v>
      </c>
      <c r="Q1150" s="114" t="e">
        <f t="shared" si="345"/>
        <v>#DIV/0!</v>
      </c>
      <c r="R1150" s="115"/>
      <c r="S1150" s="335">
        <v>43830</v>
      </c>
    </row>
    <row r="1151" spans="1:19" customFormat="1" ht="31.5">
      <c r="A1151" s="107">
        <f t="shared" si="346"/>
        <v>65</v>
      </c>
      <c r="B1151" s="305" t="s">
        <v>271</v>
      </c>
      <c r="C1151" s="118">
        <v>1961</v>
      </c>
      <c r="D1151" s="118"/>
      <c r="E1151" s="109" t="s">
        <v>218</v>
      </c>
      <c r="F1151" s="118">
        <v>5</v>
      </c>
      <c r="G1151" s="118">
        <v>4</v>
      </c>
      <c r="H1151" s="118"/>
      <c r="I1151" s="118"/>
      <c r="J1151" s="118"/>
      <c r="K1151" s="119"/>
      <c r="L1151" s="113">
        <v>881947</v>
      </c>
      <c r="M1151" s="113">
        <v>0</v>
      </c>
      <c r="N1151" s="113">
        <v>0</v>
      </c>
      <c r="O1151" s="113">
        <f t="shared" ref="O1151:O1214" si="347">L1151</f>
        <v>881947</v>
      </c>
      <c r="P1151" s="113">
        <v>0</v>
      </c>
      <c r="Q1151" s="114" t="e">
        <f t="shared" ref="Q1151:Q1214" si="348">L1151/I1151</f>
        <v>#DIV/0!</v>
      </c>
      <c r="R1151" s="115"/>
      <c r="S1151" s="335">
        <v>43830</v>
      </c>
    </row>
    <row r="1152" spans="1:19" customFormat="1" ht="31.5">
      <c r="A1152" s="107">
        <f t="shared" si="346"/>
        <v>66</v>
      </c>
      <c r="B1152" s="305" t="s">
        <v>287</v>
      </c>
      <c r="C1152" s="108">
        <v>1960</v>
      </c>
      <c r="D1152" s="108"/>
      <c r="E1152" s="109" t="s">
        <v>218</v>
      </c>
      <c r="F1152" s="110">
        <v>2</v>
      </c>
      <c r="G1152" s="110">
        <v>2</v>
      </c>
      <c r="H1152" s="111"/>
      <c r="I1152" s="111"/>
      <c r="J1152" s="111"/>
      <c r="K1152" s="112"/>
      <c r="L1152" s="113">
        <v>517739</v>
      </c>
      <c r="M1152" s="113">
        <v>0</v>
      </c>
      <c r="N1152" s="113">
        <v>0</v>
      </c>
      <c r="O1152" s="113">
        <f t="shared" si="347"/>
        <v>517739</v>
      </c>
      <c r="P1152" s="113">
        <v>0</v>
      </c>
      <c r="Q1152" s="114" t="e">
        <f t="shared" si="348"/>
        <v>#DIV/0!</v>
      </c>
      <c r="R1152" s="115"/>
      <c r="S1152" s="335">
        <v>43830</v>
      </c>
    </row>
    <row r="1153" spans="1:19" customFormat="1" ht="31.5">
      <c r="A1153" s="107">
        <f t="shared" ref="A1153:A1216" si="349">A1152+1</f>
        <v>67</v>
      </c>
      <c r="B1153" s="301" t="s">
        <v>289</v>
      </c>
      <c r="C1153" s="108">
        <v>1966</v>
      </c>
      <c r="D1153" s="108"/>
      <c r="E1153" s="109" t="s">
        <v>218</v>
      </c>
      <c r="F1153" s="110">
        <v>5</v>
      </c>
      <c r="G1153" s="110">
        <v>4</v>
      </c>
      <c r="H1153" s="111"/>
      <c r="I1153" s="111"/>
      <c r="J1153" s="111"/>
      <c r="K1153" s="112"/>
      <c r="L1153" s="113">
        <v>1728895</v>
      </c>
      <c r="M1153" s="113">
        <v>0</v>
      </c>
      <c r="N1153" s="113">
        <v>0</v>
      </c>
      <c r="O1153" s="113">
        <f t="shared" si="347"/>
        <v>1728895</v>
      </c>
      <c r="P1153" s="113">
        <v>0</v>
      </c>
      <c r="Q1153" s="114" t="e">
        <f t="shared" si="348"/>
        <v>#DIV/0!</v>
      </c>
      <c r="R1153" s="115"/>
      <c r="S1153" s="335">
        <v>43830</v>
      </c>
    </row>
    <row r="1154" spans="1:19" customFormat="1" ht="15.75">
      <c r="A1154" s="107">
        <f t="shared" si="349"/>
        <v>68</v>
      </c>
      <c r="B1154" s="305" t="s">
        <v>259</v>
      </c>
      <c r="C1154" s="118">
        <v>1925</v>
      </c>
      <c r="D1154" s="118"/>
      <c r="E1154" s="109" t="s">
        <v>221</v>
      </c>
      <c r="F1154" s="118">
        <v>2</v>
      </c>
      <c r="G1154" s="118">
        <v>2</v>
      </c>
      <c r="H1154" s="118"/>
      <c r="I1154" s="118"/>
      <c r="J1154" s="118"/>
      <c r="K1154" s="119"/>
      <c r="L1154" s="113">
        <v>682529</v>
      </c>
      <c r="M1154" s="113">
        <v>0</v>
      </c>
      <c r="N1154" s="113">
        <v>0</v>
      </c>
      <c r="O1154" s="113">
        <f t="shared" si="347"/>
        <v>682529</v>
      </c>
      <c r="P1154" s="113">
        <v>0</v>
      </c>
      <c r="Q1154" s="114" t="e">
        <f t="shared" si="348"/>
        <v>#DIV/0!</v>
      </c>
      <c r="R1154" s="115"/>
      <c r="S1154" s="335">
        <v>43830</v>
      </c>
    </row>
    <row r="1155" spans="1:19" customFormat="1" ht="15.75">
      <c r="A1155" s="107">
        <f t="shared" si="349"/>
        <v>69</v>
      </c>
      <c r="B1155" s="305" t="s">
        <v>291</v>
      </c>
      <c r="C1155" s="108">
        <v>1900</v>
      </c>
      <c r="D1155" s="108"/>
      <c r="E1155" s="109" t="s">
        <v>221</v>
      </c>
      <c r="F1155" s="110">
        <v>2</v>
      </c>
      <c r="G1155" s="110">
        <v>2</v>
      </c>
      <c r="H1155" s="111"/>
      <c r="I1155" s="111"/>
      <c r="J1155" s="111"/>
      <c r="K1155" s="112"/>
      <c r="L1155" s="113">
        <v>582157</v>
      </c>
      <c r="M1155" s="113">
        <v>0</v>
      </c>
      <c r="N1155" s="113">
        <v>0</v>
      </c>
      <c r="O1155" s="113">
        <f t="shared" si="347"/>
        <v>582157</v>
      </c>
      <c r="P1155" s="113">
        <v>0</v>
      </c>
      <c r="Q1155" s="114" t="e">
        <f t="shared" si="348"/>
        <v>#DIV/0!</v>
      </c>
      <c r="R1155" s="115"/>
      <c r="S1155" s="335">
        <v>43830</v>
      </c>
    </row>
    <row r="1156" spans="1:19" customFormat="1" ht="31.5">
      <c r="A1156" s="107">
        <f t="shared" si="349"/>
        <v>70</v>
      </c>
      <c r="B1156" s="305" t="s">
        <v>224</v>
      </c>
      <c r="C1156" s="118">
        <v>1934</v>
      </c>
      <c r="D1156" s="118"/>
      <c r="E1156" s="109" t="s">
        <v>218</v>
      </c>
      <c r="F1156" s="118">
        <v>3</v>
      </c>
      <c r="G1156" s="118">
        <v>5</v>
      </c>
      <c r="H1156" s="118"/>
      <c r="I1156" s="118"/>
      <c r="J1156" s="118"/>
      <c r="K1156" s="119"/>
      <c r="L1156" s="113">
        <v>701704</v>
      </c>
      <c r="M1156" s="113">
        <v>0</v>
      </c>
      <c r="N1156" s="113">
        <v>0</v>
      </c>
      <c r="O1156" s="113">
        <f t="shared" si="347"/>
        <v>701704</v>
      </c>
      <c r="P1156" s="113">
        <v>0</v>
      </c>
      <c r="Q1156" s="114" t="e">
        <f t="shared" si="348"/>
        <v>#DIV/0!</v>
      </c>
      <c r="R1156" s="115"/>
      <c r="S1156" s="335">
        <v>43830</v>
      </c>
    </row>
    <row r="1157" spans="1:19" customFormat="1" ht="15.75">
      <c r="A1157" s="107">
        <f t="shared" si="349"/>
        <v>71</v>
      </c>
      <c r="B1157" s="305" t="s">
        <v>261</v>
      </c>
      <c r="C1157" s="118">
        <v>1970</v>
      </c>
      <c r="D1157" s="118"/>
      <c r="E1157" s="109" t="s">
        <v>219</v>
      </c>
      <c r="F1157" s="118">
        <v>5</v>
      </c>
      <c r="G1157" s="118">
        <v>6</v>
      </c>
      <c r="H1157" s="118"/>
      <c r="I1157" s="118"/>
      <c r="J1157" s="118"/>
      <c r="K1157" s="119"/>
      <c r="L1157" s="113">
        <v>1969149</v>
      </c>
      <c r="M1157" s="113">
        <v>0</v>
      </c>
      <c r="N1157" s="113">
        <v>0</v>
      </c>
      <c r="O1157" s="113">
        <f t="shared" si="347"/>
        <v>1969149</v>
      </c>
      <c r="P1157" s="113">
        <v>0</v>
      </c>
      <c r="Q1157" s="114" t="e">
        <f t="shared" si="348"/>
        <v>#DIV/0!</v>
      </c>
      <c r="R1157" s="115"/>
      <c r="S1157" s="335">
        <v>43830</v>
      </c>
    </row>
    <row r="1158" spans="1:19" customFormat="1" ht="31.5">
      <c r="A1158" s="107">
        <f t="shared" si="349"/>
        <v>72</v>
      </c>
      <c r="B1158" s="305" t="s">
        <v>239</v>
      </c>
      <c r="C1158" s="118">
        <v>1956</v>
      </c>
      <c r="D1158" s="118"/>
      <c r="E1158" s="109" t="s">
        <v>218</v>
      </c>
      <c r="F1158" s="118">
        <v>3</v>
      </c>
      <c r="G1158" s="118">
        <v>3</v>
      </c>
      <c r="H1158" s="118"/>
      <c r="I1158" s="118"/>
      <c r="J1158" s="118"/>
      <c r="K1158" s="119"/>
      <c r="L1158" s="113">
        <v>1023088</v>
      </c>
      <c r="M1158" s="113">
        <v>0</v>
      </c>
      <c r="N1158" s="113">
        <v>0</v>
      </c>
      <c r="O1158" s="113">
        <f t="shared" si="347"/>
        <v>1023088</v>
      </c>
      <c r="P1158" s="113">
        <v>0</v>
      </c>
      <c r="Q1158" s="114" t="e">
        <f t="shared" si="348"/>
        <v>#DIV/0!</v>
      </c>
      <c r="R1158" s="115"/>
      <c r="S1158" s="335">
        <v>43830</v>
      </c>
    </row>
    <row r="1159" spans="1:19" customFormat="1" ht="31.5">
      <c r="A1159" s="107">
        <f t="shared" si="349"/>
        <v>73</v>
      </c>
      <c r="B1159" s="305" t="s">
        <v>336</v>
      </c>
      <c r="C1159" s="118">
        <v>1957</v>
      </c>
      <c r="D1159" s="118"/>
      <c r="E1159" s="109" t="s">
        <v>218</v>
      </c>
      <c r="F1159" s="118">
        <v>3</v>
      </c>
      <c r="G1159" s="118">
        <v>3</v>
      </c>
      <c r="H1159" s="118"/>
      <c r="I1159" s="118"/>
      <c r="J1159" s="118"/>
      <c r="K1159" s="119"/>
      <c r="L1159" s="113">
        <v>3334570</v>
      </c>
      <c r="M1159" s="113">
        <v>0</v>
      </c>
      <c r="N1159" s="113">
        <v>0</v>
      </c>
      <c r="O1159" s="113">
        <f t="shared" si="347"/>
        <v>3334570</v>
      </c>
      <c r="P1159" s="113">
        <v>0</v>
      </c>
      <c r="Q1159" s="114" t="e">
        <f t="shared" si="348"/>
        <v>#DIV/0!</v>
      </c>
      <c r="R1159" s="115"/>
      <c r="S1159" s="335">
        <v>43830</v>
      </c>
    </row>
    <row r="1160" spans="1:19" customFormat="1" ht="31.5">
      <c r="A1160" s="107">
        <f t="shared" si="349"/>
        <v>74</v>
      </c>
      <c r="B1160" s="305" t="s">
        <v>306</v>
      </c>
      <c r="C1160" s="108">
        <v>1970</v>
      </c>
      <c r="D1160" s="108"/>
      <c r="E1160" s="109" t="s">
        <v>218</v>
      </c>
      <c r="F1160" s="110">
        <v>5</v>
      </c>
      <c r="G1160" s="110">
        <v>2</v>
      </c>
      <c r="H1160" s="111"/>
      <c r="I1160" s="111"/>
      <c r="J1160" s="111"/>
      <c r="K1160" s="112"/>
      <c r="L1160" s="113">
        <v>1127374.33</v>
      </c>
      <c r="M1160" s="113">
        <v>0</v>
      </c>
      <c r="N1160" s="113">
        <v>0</v>
      </c>
      <c r="O1160" s="113">
        <f t="shared" si="347"/>
        <v>1127374.33</v>
      </c>
      <c r="P1160" s="113">
        <v>0</v>
      </c>
      <c r="Q1160" s="114" t="e">
        <f t="shared" si="348"/>
        <v>#DIV/0!</v>
      </c>
      <c r="R1160" s="115"/>
      <c r="S1160" s="335">
        <v>43830</v>
      </c>
    </row>
    <row r="1161" spans="1:19" customFormat="1" ht="15.75">
      <c r="A1161" s="107">
        <f t="shared" si="349"/>
        <v>75</v>
      </c>
      <c r="B1161" s="301" t="s">
        <v>234</v>
      </c>
      <c r="C1161" s="118">
        <v>1968</v>
      </c>
      <c r="D1161" s="118"/>
      <c r="E1161" s="109" t="s">
        <v>219</v>
      </c>
      <c r="F1161" s="118">
        <v>5</v>
      </c>
      <c r="G1161" s="118">
        <v>6</v>
      </c>
      <c r="H1161" s="111"/>
      <c r="I1161" s="118"/>
      <c r="J1161" s="118"/>
      <c r="K1161" s="119"/>
      <c r="L1161" s="113">
        <v>1161456</v>
      </c>
      <c r="M1161" s="113">
        <v>0</v>
      </c>
      <c r="N1161" s="113">
        <v>0</v>
      </c>
      <c r="O1161" s="113">
        <f t="shared" si="347"/>
        <v>1161456</v>
      </c>
      <c r="P1161" s="113">
        <v>0</v>
      </c>
      <c r="Q1161" s="114" t="e">
        <f t="shared" si="348"/>
        <v>#DIV/0!</v>
      </c>
      <c r="R1161" s="115"/>
      <c r="S1161" s="335">
        <v>43830</v>
      </c>
    </row>
    <row r="1162" spans="1:19" customFormat="1" ht="31.5">
      <c r="A1162" s="107">
        <f t="shared" si="349"/>
        <v>76</v>
      </c>
      <c r="B1162" s="301" t="s">
        <v>277</v>
      </c>
      <c r="C1162" s="107">
        <v>1971</v>
      </c>
      <c r="D1162" s="108"/>
      <c r="E1162" s="109" t="s">
        <v>218</v>
      </c>
      <c r="F1162" s="108">
        <v>5</v>
      </c>
      <c r="G1162" s="108">
        <v>4</v>
      </c>
      <c r="H1162" s="117"/>
      <c r="I1162" s="117"/>
      <c r="J1162" s="117"/>
      <c r="K1162" s="101"/>
      <c r="L1162" s="113">
        <v>1197250.23</v>
      </c>
      <c r="M1162" s="113">
        <v>0</v>
      </c>
      <c r="N1162" s="113">
        <v>0</v>
      </c>
      <c r="O1162" s="113">
        <f t="shared" si="347"/>
        <v>1197250.23</v>
      </c>
      <c r="P1162" s="113">
        <v>0</v>
      </c>
      <c r="Q1162" s="114" t="e">
        <f t="shared" si="348"/>
        <v>#DIV/0!</v>
      </c>
      <c r="R1162" s="115"/>
      <c r="S1162" s="335">
        <v>43830</v>
      </c>
    </row>
    <row r="1163" spans="1:19" customFormat="1" ht="31.5">
      <c r="A1163" s="107">
        <f t="shared" si="349"/>
        <v>77</v>
      </c>
      <c r="B1163" s="305" t="s">
        <v>303</v>
      </c>
      <c r="C1163" s="108">
        <v>1954</v>
      </c>
      <c r="D1163" s="108"/>
      <c r="E1163" s="109" t="s">
        <v>218</v>
      </c>
      <c r="F1163" s="110">
        <v>4</v>
      </c>
      <c r="G1163" s="110">
        <v>3</v>
      </c>
      <c r="H1163" s="111"/>
      <c r="I1163" s="111"/>
      <c r="J1163" s="111"/>
      <c r="K1163" s="112"/>
      <c r="L1163" s="113">
        <v>2784233</v>
      </c>
      <c r="M1163" s="113">
        <v>0</v>
      </c>
      <c r="N1163" s="113">
        <v>0</v>
      </c>
      <c r="O1163" s="113">
        <f t="shared" si="347"/>
        <v>2784233</v>
      </c>
      <c r="P1163" s="113">
        <v>0</v>
      </c>
      <c r="Q1163" s="114" t="e">
        <f t="shared" si="348"/>
        <v>#DIV/0!</v>
      </c>
      <c r="R1163" s="115"/>
      <c r="S1163" s="335">
        <v>43830</v>
      </c>
    </row>
    <row r="1164" spans="1:19" customFormat="1" ht="31.5">
      <c r="A1164" s="107">
        <f t="shared" si="349"/>
        <v>78</v>
      </c>
      <c r="B1164" s="305" t="s">
        <v>293</v>
      </c>
      <c r="C1164" s="108">
        <v>1968</v>
      </c>
      <c r="D1164" s="108"/>
      <c r="E1164" s="109" t="s">
        <v>218</v>
      </c>
      <c r="F1164" s="110">
        <v>5</v>
      </c>
      <c r="G1164" s="110">
        <v>4</v>
      </c>
      <c r="H1164" s="111"/>
      <c r="I1164" s="111"/>
      <c r="J1164" s="111"/>
      <c r="K1164" s="112"/>
      <c r="L1164" s="113">
        <v>2369961</v>
      </c>
      <c r="M1164" s="113">
        <v>0</v>
      </c>
      <c r="N1164" s="113">
        <v>0</v>
      </c>
      <c r="O1164" s="113">
        <f t="shared" si="347"/>
        <v>2369961</v>
      </c>
      <c r="P1164" s="113">
        <v>0</v>
      </c>
      <c r="Q1164" s="114" t="e">
        <f t="shared" si="348"/>
        <v>#DIV/0!</v>
      </c>
      <c r="R1164" s="115"/>
      <c r="S1164" s="335">
        <v>43830</v>
      </c>
    </row>
    <row r="1165" spans="1:19" customFormat="1" ht="31.5">
      <c r="A1165" s="107">
        <f t="shared" si="349"/>
        <v>79</v>
      </c>
      <c r="B1165" s="301" t="s">
        <v>463</v>
      </c>
      <c r="C1165" s="107">
        <v>1959</v>
      </c>
      <c r="D1165" s="108"/>
      <c r="E1165" s="109" t="s">
        <v>218</v>
      </c>
      <c r="F1165" s="108">
        <v>2</v>
      </c>
      <c r="G1165" s="108">
        <v>1</v>
      </c>
      <c r="H1165" s="117"/>
      <c r="I1165" s="117"/>
      <c r="J1165" s="117"/>
      <c r="K1165" s="101"/>
      <c r="L1165" s="113">
        <v>672819</v>
      </c>
      <c r="M1165" s="113">
        <v>0</v>
      </c>
      <c r="N1165" s="113">
        <v>0</v>
      </c>
      <c r="O1165" s="113">
        <f t="shared" si="347"/>
        <v>672819</v>
      </c>
      <c r="P1165" s="113">
        <v>0</v>
      </c>
      <c r="Q1165" s="114" t="e">
        <f t="shared" si="348"/>
        <v>#DIV/0!</v>
      </c>
      <c r="R1165" s="115"/>
      <c r="S1165" s="335">
        <v>43830</v>
      </c>
    </row>
    <row r="1166" spans="1:19" customFormat="1" ht="15.75">
      <c r="A1166" s="107">
        <f t="shared" si="349"/>
        <v>80</v>
      </c>
      <c r="B1166" s="305" t="s">
        <v>340</v>
      </c>
      <c r="C1166" s="107">
        <v>1968</v>
      </c>
      <c r="D1166" s="108"/>
      <c r="E1166" s="109" t="s">
        <v>219</v>
      </c>
      <c r="F1166" s="108">
        <v>5</v>
      </c>
      <c r="G1166" s="108">
        <v>5</v>
      </c>
      <c r="H1166" s="117"/>
      <c r="I1166" s="117"/>
      <c r="J1166" s="117"/>
      <c r="K1166" s="101"/>
      <c r="L1166" s="113">
        <v>1651491</v>
      </c>
      <c r="M1166" s="113">
        <v>0</v>
      </c>
      <c r="N1166" s="113">
        <v>0</v>
      </c>
      <c r="O1166" s="113">
        <f t="shared" si="347"/>
        <v>1651491</v>
      </c>
      <c r="P1166" s="113">
        <v>0</v>
      </c>
      <c r="Q1166" s="114" t="e">
        <f t="shared" si="348"/>
        <v>#DIV/0!</v>
      </c>
      <c r="R1166" s="115"/>
      <c r="S1166" s="335">
        <v>43830</v>
      </c>
    </row>
    <row r="1167" spans="1:19" customFormat="1" ht="31.5">
      <c r="A1167" s="107">
        <f t="shared" si="349"/>
        <v>81</v>
      </c>
      <c r="B1167" s="301" t="s">
        <v>254</v>
      </c>
      <c r="C1167" s="118">
        <v>1962</v>
      </c>
      <c r="D1167" s="118"/>
      <c r="E1167" s="109" t="s">
        <v>218</v>
      </c>
      <c r="F1167" s="118">
        <v>3</v>
      </c>
      <c r="G1167" s="118">
        <v>3</v>
      </c>
      <c r="H1167" s="118"/>
      <c r="I1167" s="118"/>
      <c r="J1167" s="118"/>
      <c r="K1167" s="119"/>
      <c r="L1167" s="113">
        <v>1432926</v>
      </c>
      <c r="M1167" s="113">
        <v>0</v>
      </c>
      <c r="N1167" s="113">
        <v>0</v>
      </c>
      <c r="O1167" s="113">
        <f t="shared" si="347"/>
        <v>1432926</v>
      </c>
      <c r="P1167" s="113">
        <v>0</v>
      </c>
      <c r="Q1167" s="114" t="e">
        <f t="shared" si="348"/>
        <v>#DIV/0!</v>
      </c>
      <c r="R1167" s="115"/>
      <c r="S1167" s="335">
        <v>43830</v>
      </c>
    </row>
    <row r="1168" spans="1:19" customFormat="1" ht="31.5">
      <c r="A1168" s="107">
        <f t="shared" si="349"/>
        <v>82</v>
      </c>
      <c r="B1168" s="301" t="s">
        <v>343</v>
      </c>
      <c r="C1168" s="107">
        <v>1955</v>
      </c>
      <c r="D1168" s="108"/>
      <c r="E1168" s="109" t="s">
        <v>218</v>
      </c>
      <c r="F1168" s="108">
        <v>2</v>
      </c>
      <c r="G1168" s="108">
        <v>2</v>
      </c>
      <c r="H1168" s="117"/>
      <c r="I1168" s="117"/>
      <c r="J1168" s="117"/>
      <c r="K1168" s="101"/>
      <c r="L1168" s="113">
        <v>1137886</v>
      </c>
      <c r="M1168" s="113">
        <v>0</v>
      </c>
      <c r="N1168" s="113">
        <v>0</v>
      </c>
      <c r="O1168" s="113">
        <f t="shared" si="347"/>
        <v>1137886</v>
      </c>
      <c r="P1168" s="113">
        <v>0</v>
      </c>
      <c r="Q1168" s="114" t="e">
        <f t="shared" si="348"/>
        <v>#DIV/0!</v>
      </c>
      <c r="R1168" s="115"/>
      <c r="S1168" s="335">
        <v>43830</v>
      </c>
    </row>
    <row r="1169" spans="1:30" customFormat="1" ht="31.5">
      <c r="A1169" s="107">
        <f t="shared" si="349"/>
        <v>83</v>
      </c>
      <c r="B1169" s="305" t="s">
        <v>305</v>
      </c>
      <c r="C1169" s="108">
        <v>1971</v>
      </c>
      <c r="D1169" s="108"/>
      <c r="E1169" s="109" t="s">
        <v>218</v>
      </c>
      <c r="F1169" s="110">
        <v>5</v>
      </c>
      <c r="G1169" s="110">
        <v>4</v>
      </c>
      <c r="H1169" s="111"/>
      <c r="I1169" s="111"/>
      <c r="J1169" s="111"/>
      <c r="K1169" s="112"/>
      <c r="L1169" s="113">
        <v>1814838</v>
      </c>
      <c r="M1169" s="113">
        <v>0</v>
      </c>
      <c r="N1169" s="113">
        <v>0</v>
      </c>
      <c r="O1169" s="113">
        <f t="shared" si="347"/>
        <v>1814838</v>
      </c>
      <c r="P1169" s="113">
        <v>0</v>
      </c>
      <c r="Q1169" s="114" t="e">
        <f t="shared" si="348"/>
        <v>#DIV/0!</v>
      </c>
      <c r="R1169" s="115"/>
      <c r="S1169" s="335">
        <v>43830</v>
      </c>
    </row>
    <row r="1170" spans="1:30" customFormat="1" ht="31.5">
      <c r="A1170" s="107">
        <f t="shared" si="349"/>
        <v>84</v>
      </c>
      <c r="B1170" s="305" t="s">
        <v>345</v>
      </c>
      <c r="C1170" s="108">
        <v>1970</v>
      </c>
      <c r="D1170" s="108"/>
      <c r="E1170" s="109" t="s">
        <v>218</v>
      </c>
      <c r="F1170" s="110">
        <v>5</v>
      </c>
      <c r="G1170" s="110">
        <v>4</v>
      </c>
      <c r="H1170" s="111"/>
      <c r="I1170" s="111"/>
      <c r="J1170" s="111"/>
      <c r="K1170" s="112"/>
      <c r="L1170" s="113">
        <v>1544359.54</v>
      </c>
      <c r="M1170" s="113">
        <v>0</v>
      </c>
      <c r="N1170" s="113">
        <v>0</v>
      </c>
      <c r="O1170" s="113">
        <f t="shared" si="347"/>
        <v>1544359.54</v>
      </c>
      <c r="P1170" s="113">
        <v>0</v>
      </c>
      <c r="Q1170" s="114" t="e">
        <f t="shared" si="348"/>
        <v>#DIV/0!</v>
      </c>
      <c r="R1170" s="115"/>
      <c r="S1170" s="335">
        <v>43830</v>
      </c>
    </row>
    <row r="1171" spans="1:30" customFormat="1" ht="31.5">
      <c r="A1171" s="107">
        <f t="shared" si="349"/>
        <v>85</v>
      </c>
      <c r="B1171" s="301" t="s">
        <v>447</v>
      </c>
      <c r="C1171" s="108">
        <v>1987</v>
      </c>
      <c r="D1171" s="108"/>
      <c r="E1171" s="109" t="s">
        <v>219</v>
      </c>
      <c r="F1171" s="110">
        <v>9</v>
      </c>
      <c r="G1171" s="110">
        <v>1</v>
      </c>
      <c r="H1171" s="111"/>
      <c r="I1171" s="111"/>
      <c r="J1171" s="111"/>
      <c r="K1171" s="112"/>
      <c r="L1171" s="113">
        <v>1787034</v>
      </c>
      <c r="M1171" s="113">
        <v>0</v>
      </c>
      <c r="N1171" s="113">
        <v>0</v>
      </c>
      <c r="O1171" s="113">
        <f t="shared" si="347"/>
        <v>1787034</v>
      </c>
      <c r="P1171" s="113">
        <v>0</v>
      </c>
      <c r="Q1171" s="114" t="e">
        <f t="shared" si="348"/>
        <v>#DIV/0!</v>
      </c>
      <c r="R1171" s="115"/>
      <c r="S1171" s="335">
        <v>43830</v>
      </c>
    </row>
    <row r="1172" spans="1:30" customFormat="1" ht="31.5">
      <c r="A1172" s="107">
        <f t="shared" si="349"/>
        <v>86</v>
      </c>
      <c r="B1172" s="301" t="s">
        <v>223</v>
      </c>
      <c r="C1172" s="118">
        <v>1983</v>
      </c>
      <c r="D1172" s="118"/>
      <c r="E1172" s="109" t="s">
        <v>219</v>
      </c>
      <c r="F1172" s="118">
        <v>9</v>
      </c>
      <c r="G1172" s="118">
        <v>4</v>
      </c>
      <c r="H1172" s="118"/>
      <c r="I1172" s="118"/>
      <c r="J1172" s="118"/>
      <c r="K1172" s="119"/>
      <c r="L1172" s="113">
        <v>437998.57</v>
      </c>
      <c r="M1172" s="113">
        <v>0</v>
      </c>
      <c r="N1172" s="113">
        <v>0</v>
      </c>
      <c r="O1172" s="113">
        <f t="shared" si="347"/>
        <v>437998.57</v>
      </c>
      <c r="P1172" s="113">
        <v>0</v>
      </c>
      <c r="Q1172" s="114" t="e">
        <f t="shared" si="348"/>
        <v>#DIV/0!</v>
      </c>
      <c r="R1172" s="115"/>
      <c r="S1172" s="335">
        <v>43830</v>
      </c>
      <c r="T1172" s="3"/>
      <c r="U1172" s="3"/>
      <c r="V1172" s="3"/>
      <c r="W1172" s="3"/>
      <c r="X1172" s="3"/>
      <c r="Y1172" s="3"/>
    </row>
    <row r="1173" spans="1:30" customFormat="1" ht="31.5">
      <c r="A1173" s="107">
        <f t="shared" si="349"/>
        <v>87</v>
      </c>
      <c r="B1173" s="301" t="s">
        <v>446</v>
      </c>
      <c r="C1173" s="108">
        <v>1976</v>
      </c>
      <c r="D1173" s="108"/>
      <c r="E1173" s="109" t="s">
        <v>219</v>
      </c>
      <c r="F1173" s="110">
        <v>5</v>
      </c>
      <c r="G1173" s="110">
        <v>4</v>
      </c>
      <c r="H1173" s="111"/>
      <c r="I1173" s="111"/>
      <c r="J1173" s="111"/>
      <c r="K1173" s="112"/>
      <c r="L1173" s="113">
        <v>1116228</v>
      </c>
      <c r="M1173" s="113">
        <v>0</v>
      </c>
      <c r="N1173" s="113">
        <v>0</v>
      </c>
      <c r="O1173" s="113">
        <f t="shared" si="347"/>
        <v>1116228</v>
      </c>
      <c r="P1173" s="113">
        <v>0</v>
      </c>
      <c r="Q1173" s="114" t="e">
        <f t="shared" si="348"/>
        <v>#DIV/0!</v>
      </c>
      <c r="R1173" s="115"/>
      <c r="S1173" s="335">
        <v>43830</v>
      </c>
      <c r="Z1173" s="3"/>
      <c r="AA1173" s="3"/>
      <c r="AB1173" s="3"/>
      <c r="AC1173" s="3"/>
      <c r="AD1173" s="3"/>
    </row>
    <row r="1174" spans="1:30" customFormat="1" ht="31.5">
      <c r="A1174" s="107">
        <f t="shared" si="349"/>
        <v>88</v>
      </c>
      <c r="B1174" s="301" t="s">
        <v>448</v>
      </c>
      <c r="C1174" s="108">
        <v>1983</v>
      </c>
      <c r="D1174" s="108"/>
      <c r="E1174" s="109" t="s">
        <v>219</v>
      </c>
      <c r="F1174" s="110">
        <v>5</v>
      </c>
      <c r="G1174" s="110">
        <v>3</v>
      </c>
      <c r="H1174" s="111"/>
      <c r="I1174" s="111"/>
      <c r="J1174" s="111"/>
      <c r="K1174" s="112"/>
      <c r="L1174" s="113">
        <v>1313728</v>
      </c>
      <c r="M1174" s="113">
        <v>0</v>
      </c>
      <c r="N1174" s="113">
        <v>0</v>
      </c>
      <c r="O1174" s="113">
        <f t="shared" si="347"/>
        <v>1313728</v>
      </c>
      <c r="P1174" s="113">
        <v>0</v>
      </c>
      <c r="Q1174" s="114" t="e">
        <f t="shared" si="348"/>
        <v>#DIV/0!</v>
      </c>
      <c r="R1174" s="115"/>
      <c r="S1174" s="335">
        <v>43830</v>
      </c>
      <c r="T1174" s="62"/>
      <c r="U1174" s="62"/>
      <c r="V1174" s="62"/>
      <c r="W1174" s="62"/>
      <c r="X1174" s="62"/>
      <c r="Y1174" s="62"/>
    </row>
    <row r="1175" spans="1:30" customFormat="1" ht="31.5">
      <c r="A1175" s="107">
        <f t="shared" si="349"/>
        <v>89</v>
      </c>
      <c r="B1175" s="305" t="s">
        <v>241</v>
      </c>
      <c r="C1175" s="118">
        <v>1958</v>
      </c>
      <c r="D1175" s="118"/>
      <c r="E1175" s="109" t="s">
        <v>218</v>
      </c>
      <c r="F1175" s="118">
        <v>2</v>
      </c>
      <c r="G1175" s="118">
        <v>1</v>
      </c>
      <c r="H1175" s="118"/>
      <c r="I1175" s="118"/>
      <c r="J1175" s="118"/>
      <c r="K1175" s="119"/>
      <c r="L1175" s="113">
        <v>359651</v>
      </c>
      <c r="M1175" s="113">
        <v>0</v>
      </c>
      <c r="N1175" s="113">
        <v>0</v>
      </c>
      <c r="O1175" s="113">
        <f t="shared" si="347"/>
        <v>359651</v>
      </c>
      <c r="P1175" s="113">
        <v>0</v>
      </c>
      <c r="Q1175" s="114" t="e">
        <f t="shared" si="348"/>
        <v>#DIV/0!</v>
      </c>
      <c r="R1175" s="115"/>
      <c r="S1175" s="335">
        <v>43830</v>
      </c>
      <c r="Z1175" s="62"/>
      <c r="AA1175" s="62"/>
      <c r="AB1175" s="62"/>
      <c r="AC1175" s="62"/>
      <c r="AD1175" s="62"/>
    </row>
    <row r="1176" spans="1:30" customFormat="1" ht="15.75">
      <c r="A1176" s="107">
        <f t="shared" si="349"/>
        <v>90</v>
      </c>
      <c r="B1176" s="305" t="s">
        <v>233</v>
      </c>
      <c r="C1176" s="118">
        <v>1965</v>
      </c>
      <c r="D1176" s="118"/>
      <c r="E1176" s="109" t="s">
        <v>219</v>
      </c>
      <c r="F1176" s="118">
        <v>5</v>
      </c>
      <c r="G1176" s="118">
        <v>5</v>
      </c>
      <c r="H1176" s="118"/>
      <c r="I1176" s="118"/>
      <c r="J1176" s="118"/>
      <c r="K1176" s="119"/>
      <c r="L1176" s="113">
        <v>906779</v>
      </c>
      <c r="M1176" s="113">
        <v>0</v>
      </c>
      <c r="N1176" s="113">
        <v>0</v>
      </c>
      <c r="O1176" s="113">
        <f t="shared" si="347"/>
        <v>906779</v>
      </c>
      <c r="P1176" s="113">
        <v>0</v>
      </c>
      <c r="Q1176" s="114" t="e">
        <f t="shared" si="348"/>
        <v>#DIV/0!</v>
      </c>
      <c r="R1176" s="115"/>
      <c r="S1176" s="335">
        <v>43830</v>
      </c>
    </row>
    <row r="1177" spans="1:30" customFormat="1" ht="31.5">
      <c r="A1177" s="107">
        <f t="shared" si="349"/>
        <v>91</v>
      </c>
      <c r="B1177" s="305" t="s">
        <v>278</v>
      </c>
      <c r="C1177" s="107">
        <v>1958</v>
      </c>
      <c r="D1177" s="108"/>
      <c r="E1177" s="109" t="s">
        <v>218</v>
      </c>
      <c r="F1177" s="108">
        <v>2</v>
      </c>
      <c r="G1177" s="108">
        <v>1</v>
      </c>
      <c r="H1177" s="117"/>
      <c r="I1177" s="117"/>
      <c r="J1177" s="117"/>
      <c r="K1177" s="101"/>
      <c r="L1177" s="113">
        <v>886559</v>
      </c>
      <c r="M1177" s="113">
        <v>0</v>
      </c>
      <c r="N1177" s="113">
        <v>0</v>
      </c>
      <c r="O1177" s="113">
        <f t="shared" si="347"/>
        <v>886559</v>
      </c>
      <c r="P1177" s="113">
        <v>0</v>
      </c>
      <c r="Q1177" s="114" t="e">
        <f t="shared" si="348"/>
        <v>#DIV/0!</v>
      </c>
      <c r="R1177" s="115"/>
      <c r="S1177" s="335">
        <v>43830</v>
      </c>
    </row>
    <row r="1178" spans="1:30" customFormat="1" ht="31.5">
      <c r="A1178" s="107">
        <f t="shared" si="349"/>
        <v>92</v>
      </c>
      <c r="B1178" s="305" t="s">
        <v>347</v>
      </c>
      <c r="C1178" s="108">
        <v>1959</v>
      </c>
      <c r="D1178" s="108"/>
      <c r="E1178" s="109" t="s">
        <v>218</v>
      </c>
      <c r="F1178" s="110">
        <v>2</v>
      </c>
      <c r="G1178" s="110">
        <v>1</v>
      </c>
      <c r="H1178" s="111"/>
      <c r="I1178" s="111"/>
      <c r="J1178" s="111"/>
      <c r="K1178" s="112"/>
      <c r="L1178" s="113">
        <v>642210</v>
      </c>
      <c r="M1178" s="113">
        <v>0</v>
      </c>
      <c r="N1178" s="113">
        <v>0</v>
      </c>
      <c r="O1178" s="113">
        <f t="shared" si="347"/>
        <v>642210</v>
      </c>
      <c r="P1178" s="113">
        <v>0</v>
      </c>
      <c r="Q1178" s="114" t="e">
        <f t="shared" si="348"/>
        <v>#DIV/0!</v>
      </c>
      <c r="R1178" s="115"/>
      <c r="S1178" s="335">
        <v>43830</v>
      </c>
    </row>
    <row r="1179" spans="1:30" customFormat="1" ht="31.5">
      <c r="A1179" s="107">
        <f t="shared" si="349"/>
        <v>93</v>
      </c>
      <c r="B1179" s="301" t="s">
        <v>266</v>
      </c>
      <c r="C1179" s="118">
        <v>1957</v>
      </c>
      <c r="D1179" s="118"/>
      <c r="E1179" s="109" t="s">
        <v>218</v>
      </c>
      <c r="F1179" s="118">
        <v>4</v>
      </c>
      <c r="G1179" s="118">
        <v>3</v>
      </c>
      <c r="H1179" s="118"/>
      <c r="I1179" s="118"/>
      <c r="J1179" s="118"/>
      <c r="K1179" s="119"/>
      <c r="L1179" s="113">
        <v>1952489</v>
      </c>
      <c r="M1179" s="113">
        <v>0</v>
      </c>
      <c r="N1179" s="113">
        <v>0</v>
      </c>
      <c r="O1179" s="113">
        <f t="shared" si="347"/>
        <v>1952489</v>
      </c>
      <c r="P1179" s="113">
        <v>0</v>
      </c>
      <c r="Q1179" s="114" t="e">
        <f t="shared" si="348"/>
        <v>#DIV/0!</v>
      </c>
      <c r="R1179" s="115"/>
      <c r="S1179" s="335">
        <v>43830</v>
      </c>
    </row>
    <row r="1180" spans="1:30" customFormat="1" ht="15.75">
      <c r="A1180" s="107">
        <f t="shared" si="349"/>
        <v>94</v>
      </c>
      <c r="B1180" s="301" t="s">
        <v>310</v>
      </c>
      <c r="C1180" s="108">
        <v>1983</v>
      </c>
      <c r="D1180" s="108"/>
      <c r="E1180" s="109" t="s">
        <v>219</v>
      </c>
      <c r="F1180" s="110">
        <v>9</v>
      </c>
      <c r="G1180" s="110">
        <v>8</v>
      </c>
      <c r="H1180" s="111"/>
      <c r="I1180" s="111"/>
      <c r="J1180" s="111"/>
      <c r="K1180" s="112"/>
      <c r="L1180" s="113">
        <v>15157748</v>
      </c>
      <c r="M1180" s="113">
        <v>0</v>
      </c>
      <c r="N1180" s="113">
        <v>0</v>
      </c>
      <c r="O1180" s="113">
        <f t="shared" si="347"/>
        <v>15157748</v>
      </c>
      <c r="P1180" s="113">
        <v>0</v>
      </c>
      <c r="Q1180" s="114" t="e">
        <f t="shared" si="348"/>
        <v>#DIV/0!</v>
      </c>
      <c r="R1180" s="115"/>
      <c r="S1180" s="335">
        <v>43830</v>
      </c>
    </row>
    <row r="1181" spans="1:30" customFormat="1" ht="31.5">
      <c r="A1181" s="107">
        <f t="shared" si="349"/>
        <v>95</v>
      </c>
      <c r="B1181" s="305" t="s">
        <v>281</v>
      </c>
      <c r="C1181" s="107">
        <v>1959</v>
      </c>
      <c r="D1181" s="108"/>
      <c r="E1181" s="109" t="s">
        <v>218</v>
      </c>
      <c r="F1181" s="108">
        <v>4</v>
      </c>
      <c r="G1181" s="108">
        <v>5</v>
      </c>
      <c r="H1181" s="117"/>
      <c r="I1181" s="117"/>
      <c r="J1181" s="117"/>
      <c r="K1181" s="101"/>
      <c r="L1181" s="113">
        <v>2542298.37</v>
      </c>
      <c r="M1181" s="113">
        <v>0</v>
      </c>
      <c r="N1181" s="113">
        <v>0</v>
      </c>
      <c r="O1181" s="113">
        <f t="shared" si="347"/>
        <v>2542298.37</v>
      </c>
      <c r="P1181" s="113">
        <v>0</v>
      </c>
      <c r="Q1181" s="114" t="e">
        <f t="shared" si="348"/>
        <v>#DIV/0!</v>
      </c>
      <c r="R1181" s="115"/>
      <c r="S1181" s="335">
        <v>43830</v>
      </c>
    </row>
    <row r="1182" spans="1:30" customFormat="1" ht="15.75">
      <c r="A1182" s="107">
        <f t="shared" si="349"/>
        <v>96</v>
      </c>
      <c r="B1182" s="301" t="s">
        <v>248</v>
      </c>
      <c r="C1182" s="118">
        <v>1983</v>
      </c>
      <c r="D1182" s="118"/>
      <c r="E1182" s="109" t="s">
        <v>219</v>
      </c>
      <c r="F1182" s="118">
        <v>9</v>
      </c>
      <c r="G1182" s="118">
        <v>1</v>
      </c>
      <c r="H1182" s="118"/>
      <c r="I1182" s="118"/>
      <c r="J1182" s="118"/>
      <c r="K1182" s="119"/>
      <c r="L1182" s="113">
        <v>1114586</v>
      </c>
      <c r="M1182" s="113">
        <v>0</v>
      </c>
      <c r="N1182" s="113">
        <v>0</v>
      </c>
      <c r="O1182" s="113">
        <f t="shared" si="347"/>
        <v>1114586</v>
      </c>
      <c r="P1182" s="113">
        <v>0</v>
      </c>
      <c r="Q1182" s="114" t="e">
        <f t="shared" si="348"/>
        <v>#DIV/0!</v>
      </c>
      <c r="R1182" s="115"/>
      <c r="S1182" s="335">
        <v>43830</v>
      </c>
      <c r="T1182" s="3"/>
      <c r="U1182" s="3"/>
      <c r="V1182" s="3"/>
      <c r="W1182" s="3"/>
      <c r="X1182" s="3"/>
      <c r="Y1182" s="3"/>
    </row>
    <row r="1183" spans="1:30" customFormat="1" ht="15.75">
      <c r="A1183" s="107">
        <f t="shared" si="349"/>
        <v>97</v>
      </c>
      <c r="B1183" s="301" t="s">
        <v>301</v>
      </c>
      <c r="C1183" s="108">
        <v>1975</v>
      </c>
      <c r="D1183" s="108"/>
      <c r="E1183" s="109" t="s">
        <v>219</v>
      </c>
      <c r="F1183" s="110">
        <v>9</v>
      </c>
      <c r="G1183" s="110">
        <v>3</v>
      </c>
      <c r="H1183" s="111"/>
      <c r="I1183" s="111"/>
      <c r="J1183" s="111"/>
      <c r="K1183" s="112"/>
      <c r="L1183" s="113">
        <v>5623853</v>
      </c>
      <c r="M1183" s="113">
        <v>0</v>
      </c>
      <c r="N1183" s="113">
        <v>0</v>
      </c>
      <c r="O1183" s="113">
        <f t="shared" si="347"/>
        <v>5623853</v>
      </c>
      <c r="P1183" s="113">
        <v>0</v>
      </c>
      <c r="Q1183" s="114" t="e">
        <f t="shared" si="348"/>
        <v>#DIV/0!</v>
      </c>
      <c r="R1183" s="115"/>
      <c r="S1183" s="335">
        <v>43830</v>
      </c>
      <c r="Z1183" s="3"/>
      <c r="AA1183" s="3"/>
      <c r="AB1183" s="3"/>
      <c r="AC1183" s="3"/>
      <c r="AD1183" s="3"/>
    </row>
    <row r="1184" spans="1:30" customFormat="1" ht="15.75">
      <c r="A1184" s="107">
        <f t="shared" si="349"/>
        <v>98</v>
      </c>
      <c r="B1184" s="301" t="s">
        <v>244</v>
      </c>
      <c r="C1184" s="118">
        <v>1976</v>
      </c>
      <c r="D1184" s="118"/>
      <c r="E1184" s="109" t="s">
        <v>219</v>
      </c>
      <c r="F1184" s="118">
        <v>9</v>
      </c>
      <c r="G1184" s="118">
        <v>4</v>
      </c>
      <c r="H1184" s="118"/>
      <c r="I1184" s="118"/>
      <c r="J1184" s="118"/>
      <c r="K1184" s="119"/>
      <c r="L1184" s="113">
        <v>2721106</v>
      </c>
      <c r="M1184" s="113">
        <v>0</v>
      </c>
      <c r="N1184" s="113">
        <v>0</v>
      </c>
      <c r="O1184" s="113">
        <f t="shared" si="347"/>
        <v>2721106</v>
      </c>
      <c r="P1184" s="113">
        <v>0</v>
      </c>
      <c r="Q1184" s="114" t="e">
        <f t="shared" si="348"/>
        <v>#DIV/0!</v>
      </c>
      <c r="R1184" s="115"/>
      <c r="S1184" s="335">
        <v>43830</v>
      </c>
    </row>
    <row r="1185" spans="1:30" customFormat="1" ht="15.75">
      <c r="A1185" s="107">
        <f t="shared" si="349"/>
        <v>99</v>
      </c>
      <c r="B1185" s="305" t="s">
        <v>288</v>
      </c>
      <c r="C1185" s="107">
        <v>1973</v>
      </c>
      <c r="D1185" s="108"/>
      <c r="E1185" s="109" t="s">
        <v>219</v>
      </c>
      <c r="F1185" s="108">
        <v>9</v>
      </c>
      <c r="G1185" s="108">
        <v>6</v>
      </c>
      <c r="H1185" s="117"/>
      <c r="I1185" s="117"/>
      <c r="J1185" s="117"/>
      <c r="K1185" s="101"/>
      <c r="L1185" s="113">
        <v>9789326.5500000007</v>
      </c>
      <c r="M1185" s="113">
        <v>0</v>
      </c>
      <c r="N1185" s="113">
        <v>0</v>
      </c>
      <c r="O1185" s="113">
        <f t="shared" si="347"/>
        <v>9789326.5500000007</v>
      </c>
      <c r="P1185" s="113">
        <v>0</v>
      </c>
      <c r="Q1185" s="114" t="e">
        <f t="shared" si="348"/>
        <v>#DIV/0!</v>
      </c>
      <c r="R1185" s="115"/>
      <c r="S1185" s="335">
        <v>43830</v>
      </c>
    </row>
    <row r="1186" spans="1:30" customFormat="1" ht="31.5">
      <c r="A1186" s="107">
        <f t="shared" si="349"/>
        <v>100</v>
      </c>
      <c r="B1186" s="305" t="s">
        <v>249</v>
      </c>
      <c r="C1186" s="118" t="s">
        <v>190</v>
      </c>
      <c r="D1186" s="118"/>
      <c r="E1186" s="109" t="s">
        <v>218</v>
      </c>
      <c r="F1186" s="118">
        <v>3</v>
      </c>
      <c r="G1186" s="118">
        <v>3</v>
      </c>
      <c r="H1186" s="118"/>
      <c r="I1186" s="118"/>
      <c r="J1186" s="118"/>
      <c r="K1186" s="119"/>
      <c r="L1186" s="113">
        <v>1615074</v>
      </c>
      <c r="M1186" s="113">
        <v>0</v>
      </c>
      <c r="N1186" s="113">
        <v>0</v>
      </c>
      <c r="O1186" s="113">
        <f t="shared" si="347"/>
        <v>1615074</v>
      </c>
      <c r="P1186" s="113">
        <v>0</v>
      </c>
      <c r="Q1186" s="114" t="e">
        <f t="shared" si="348"/>
        <v>#DIV/0!</v>
      </c>
      <c r="R1186" s="115"/>
      <c r="S1186" s="335">
        <v>43830</v>
      </c>
    </row>
    <row r="1187" spans="1:30" customFormat="1" ht="31.5">
      <c r="A1187" s="107">
        <f t="shared" si="349"/>
        <v>101</v>
      </c>
      <c r="B1187" s="301" t="s">
        <v>265</v>
      </c>
      <c r="C1187" s="118">
        <v>1953</v>
      </c>
      <c r="D1187" s="118"/>
      <c r="E1187" s="109" t="s">
        <v>218</v>
      </c>
      <c r="F1187" s="118">
        <v>2</v>
      </c>
      <c r="G1187" s="118">
        <v>2</v>
      </c>
      <c r="H1187" s="118"/>
      <c r="I1187" s="118"/>
      <c r="J1187" s="118"/>
      <c r="K1187" s="119"/>
      <c r="L1187" s="113">
        <v>824390</v>
      </c>
      <c r="M1187" s="113">
        <v>0</v>
      </c>
      <c r="N1187" s="113">
        <v>0</v>
      </c>
      <c r="O1187" s="113">
        <f t="shared" si="347"/>
        <v>824390</v>
      </c>
      <c r="P1187" s="113">
        <v>0</v>
      </c>
      <c r="Q1187" s="114" t="e">
        <f t="shared" si="348"/>
        <v>#DIV/0!</v>
      </c>
      <c r="R1187" s="115"/>
      <c r="S1187" s="335">
        <v>43830</v>
      </c>
    </row>
    <row r="1188" spans="1:30" customFormat="1" ht="15.75">
      <c r="A1188" s="107">
        <f t="shared" si="349"/>
        <v>102</v>
      </c>
      <c r="B1188" s="305" t="s">
        <v>292</v>
      </c>
      <c r="C1188" s="108">
        <v>1951</v>
      </c>
      <c r="D1188" s="108"/>
      <c r="E1188" s="109" t="s">
        <v>220</v>
      </c>
      <c r="F1188" s="110">
        <v>2</v>
      </c>
      <c r="G1188" s="110">
        <v>3</v>
      </c>
      <c r="H1188" s="111"/>
      <c r="I1188" s="111"/>
      <c r="J1188" s="111"/>
      <c r="K1188" s="112"/>
      <c r="L1188" s="113">
        <v>2661189</v>
      </c>
      <c r="M1188" s="113">
        <v>0</v>
      </c>
      <c r="N1188" s="113">
        <v>0</v>
      </c>
      <c r="O1188" s="113">
        <f t="shared" si="347"/>
        <v>2661189</v>
      </c>
      <c r="P1188" s="113">
        <v>0</v>
      </c>
      <c r="Q1188" s="114" t="e">
        <f t="shared" si="348"/>
        <v>#DIV/0!</v>
      </c>
      <c r="R1188" s="115"/>
      <c r="S1188" s="335">
        <v>43830</v>
      </c>
    </row>
    <row r="1189" spans="1:30" s="62" customFormat="1" ht="31.5">
      <c r="A1189" s="107">
        <f t="shared" si="349"/>
        <v>103</v>
      </c>
      <c r="B1189" s="305" t="s">
        <v>276</v>
      </c>
      <c r="C1189" s="107">
        <v>1959</v>
      </c>
      <c r="D1189" s="108"/>
      <c r="E1189" s="109" t="s">
        <v>218</v>
      </c>
      <c r="F1189" s="108">
        <v>2</v>
      </c>
      <c r="G1189" s="108">
        <v>1</v>
      </c>
      <c r="H1189" s="117"/>
      <c r="I1189" s="117"/>
      <c r="J1189" s="117"/>
      <c r="K1189" s="101"/>
      <c r="L1189" s="113">
        <v>278220</v>
      </c>
      <c r="M1189" s="113">
        <v>0</v>
      </c>
      <c r="N1189" s="113">
        <v>0</v>
      </c>
      <c r="O1189" s="113">
        <f t="shared" si="347"/>
        <v>278220</v>
      </c>
      <c r="P1189" s="113">
        <v>0</v>
      </c>
      <c r="Q1189" s="114" t="e">
        <f t="shared" si="348"/>
        <v>#DIV/0!</v>
      </c>
      <c r="R1189" s="115"/>
      <c r="S1189" s="335">
        <v>43830</v>
      </c>
      <c r="T1189"/>
      <c r="U1189"/>
      <c r="V1189"/>
      <c r="W1189"/>
      <c r="X1189"/>
      <c r="Y1189"/>
      <c r="Z1189"/>
      <c r="AA1189"/>
      <c r="AB1189"/>
      <c r="AC1189"/>
      <c r="AD1189"/>
    </row>
    <row r="1190" spans="1:30" customFormat="1" ht="31.5">
      <c r="A1190" s="107">
        <f t="shared" si="349"/>
        <v>104</v>
      </c>
      <c r="B1190" s="301" t="s">
        <v>229</v>
      </c>
      <c r="C1190" s="118">
        <v>1928</v>
      </c>
      <c r="D1190" s="118"/>
      <c r="E1190" s="109" t="s">
        <v>218</v>
      </c>
      <c r="F1190" s="118">
        <v>3</v>
      </c>
      <c r="G1190" s="118">
        <v>6</v>
      </c>
      <c r="H1190" s="118"/>
      <c r="I1190" s="118"/>
      <c r="J1190" s="118"/>
      <c r="K1190" s="119"/>
      <c r="L1190" s="113">
        <v>2511472</v>
      </c>
      <c r="M1190" s="113">
        <v>0</v>
      </c>
      <c r="N1190" s="113">
        <v>0</v>
      </c>
      <c r="O1190" s="113">
        <f t="shared" si="347"/>
        <v>2511472</v>
      </c>
      <c r="P1190" s="113">
        <v>0</v>
      </c>
      <c r="Q1190" s="114" t="e">
        <f t="shared" si="348"/>
        <v>#DIV/0!</v>
      </c>
      <c r="R1190" s="115"/>
      <c r="S1190" s="335">
        <v>43830</v>
      </c>
    </row>
    <row r="1191" spans="1:30" customFormat="1" ht="31.5">
      <c r="A1191" s="107">
        <f t="shared" si="349"/>
        <v>105</v>
      </c>
      <c r="B1191" s="301" t="s">
        <v>309</v>
      </c>
      <c r="C1191" s="108">
        <v>1964</v>
      </c>
      <c r="D1191" s="108"/>
      <c r="E1191" s="109" t="s">
        <v>218</v>
      </c>
      <c r="F1191" s="110">
        <v>4</v>
      </c>
      <c r="G1191" s="110">
        <v>2</v>
      </c>
      <c r="H1191" s="111"/>
      <c r="I1191" s="111"/>
      <c r="J1191" s="111"/>
      <c r="K1191" s="112"/>
      <c r="L1191" s="113">
        <v>871988</v>
      </c>
      <c r="M1191" s="113">
        <v>0</v>
      </c>
      <c r="N1191" s="113">
        <v>0</v>
      </c>
      <c r="O1191" s="113">
        <f t="shared" si="347"/>
        <v>871988</v>
      </c>
      <c r="P1191" s="113">
        <v>0</v>
      </c>
      <c r="Q1191" s="114" t="e">
        <f t="shared" si="348"/>
        <v>#DIV/0!</v>
      </c>
      <c r="R1191" s="115"/>
      <c r="S1191" s="335">
        <v>43830</v>
      </c>
    </row>
    <row r="1192" spans="1:30" customFormat="1" ht="31.5">
      <c r="A1192" s="107">
        <f t="shared" si="349"/>
        <v>106</v>
      </c>
      <c r="B1192" s="301" t="s">
        <v>308</v>
      </c>
      <c r="C1192" s="108">
        <v>1966</v>
      </c>
      <c r="D1192" s="108"/>
      <c r="E1192" s="109" t="s">
        <v>218</v>
      </c>
      <c r="F1192" s="110">
        <v>4</v>
      </c>
      <c r="G1192" s="110">
        <v>4</v>
      </c>
      <c r="H1192" s="111"/>
      <c r="I1192" s="111"/>
      <c r="J1192" s="111"/>
      <c r="K1192" s="112"/>
      <c r="L1192" s="113">
        <v>2113335</v>
      </c>
      <c r="M1192" s="113">
        <v>0</v>
      </c>
      <c r="N1192" s="113">
        <v>0</v>
      </c>
      <c r="O1192" s="113">
        <f t="shared" si="347"/>
        <v>2113335</v>
      </c>
      <c r="P1192" s="113">
        <v>0</v>
      </c>
      <c r="Q1192" s="114" t="e">
        <f t="shared" si="348"/>
        <v>#DIV/0!</v>
      </c>
      <c r="R1192" s="115"/>
      <c r="S1192" s="335">
        <v>43830</v>
      </c>
    </row>
    <row r="1193" spans="1:30" customFormat="1" ht="31.5">
      <c r="A1193" s="107">
        <f t="shared" si="349"/>
        <v>107</v>
      </c>
      <c r="B1193" s="305" t="s">
        <v>296</v>
      </c>
      <c r="C1193" s="108">
        <v>1960</v>
      </c>
      <c r="D1193" s="108"/>
      <c r="E1193" s="109" t="s">
        <v>218</v>
      </c>
      <c r="F1193" s="110">
        <v>2</v>
      </c>
      <c r="G1193" s="110">
        <v>2</v>
      </c>
      <c r="H1193" s="111"/>
      <c r="I1193" s="111"/>
      <c r="J1193" s="111"/>
      <c r="K1193" s="112"/>
      <c r="L1193" s="113">
        <v>996585</v>
      </c>
      <c r="M1193" s="113">
        <v>0</v>
      </c>
      <c r="N1193" s="113">
        <v>0</v>
      </c>
      <c r="O1193" s="113">
        <f t="shared" si="347"/>
        <v>996585</v>
      </c>
      <c r="P1193" s="113">
        <v>0</v>
      </c>
      <c r="Q1193" s="114" t="e">
        <f t="shared" si="348"/>
        <v>#DIV/0!</v>
      </c>
      <c r="R1193" s="115"/>
      <c r="S1193" s="335">
        <v>43830</v>
      </c>
    </row>
    <row r="1194" spans="1:30" customFormat="1" ht="31.5">
      <c r="A1194" s="107">
        <f t="shared" si="349"/>
        <v>108</v>
      </c>
      <c r="B1194" s="305" t="s">
        <v>240</v>
      </c>
      <c r="C1194" s="118">
        <v>1955</v>
      </c>
      <c r="D1194" s="118"/>
      <c r="E1194" s="109" t="s">
        <v>218</v>
      </c>
      <c r="F1194" s="118">
        <v>2</v>
      </c>
      <c r="G1194" s="118">
        <v>2</v>
      </c>
      <c r="H1194" s="118"/>
      <c r="I1194" s="118"/>
      <c r="J1194" s="118"/>
      <c r="K1194" s="119"/>
      <c r="L1194" s="113">
        <v>637739</v>
      </c>
      <c r="M1194" s="113">
        <v>0</v>
      </c>
      <c r="N1194" s="113">
        <v>0</v>
      </c>
      <c r="O1194" s="113">
        <f t="shared" si="347"/>
        <v>637739</v>
      </c>
      <c r="P1194" s="113">
        <v>0</v>
      </c>
      <c r="Q1194" s="114" t="e">
        <f t="shared" si="348"/>
        <v>#DIV/0!</v>
      </c>
      <c r="R1194" s="115"/>
      <c r="S1194" s="335">
        <v>43830</v>
      </c>
    </row>
    <row r="1195" spans="1:30" customFormat="1" ht="15.75">
      <c r="A1195" s="107">
        <f t="shared" si="349"/>
        <v>109</v>
      </c>
      <c r="B1195" s="301" t="s">
        <v>243</v>
      </c>
      <c r="C1195" s="118">
        <v>1976</v>
      </c>
      <c r="D1195" s="118"/>
      <c r="E1195" s="109" t="s">
        <v>219</v>
      </c>
      <c r="F1195" s="118">
        <v>9</v>
      </c>
      <c r="G1195" s="118">
        <v>2</v>
      </c>
      <c r="H1195" s="118"/>
      <c r="I1195" s="118"/>
      <c r="J1195" s="118"/>
      <c r="K1195" s="119"/>
      <c r="L1195" s="113">
        <v>1357217</v>
      </c>
      <c r="M1195" s="113">
        <v>0</v>
      </c>
      <c r="N1195" s="113">
        <v>0</v>
      </c>
      <c r="O1195" s="113">
        <f t="shared" si="347"/>
        <v>1357217</v>
      </c>
      <c r="P1195" s="113">
        <v>0</v>
      </c>
      <c r="Q1195" s="114" t="e">
        <f t="shared" si="348"/>
        <v>#DIV/0!</v>
      </c>
      <c r="R1195" s="115"/>
      <c r="S1195" s="335">
        <v>43830</v>
      </c>
    </row>
    <row r="1196" spans="1:30" customFormat="1" ht="31.5">
      <c r="A1196" s="107">
        <f t="shared" si="349"/>
        <v>110</v>
      </c>
      <c r="B1196" s="305" t="s">
        <v>269</v>
      </c>
      <c r="C1196" s="118">
        <v>1952</v>
      </c>
      <c r="D1196" s="118"/>
      <c r="E1196" s="109" t="s">
        <v>218</v>
      </c>
      <c r="F1196" s="118">
        <v>2</v>
      </c>
      <c r="G1196" s="118">
        <v>2</v>
      </c>
      <c r="H1196" s="118"/>
      <c r="I1196" s="118"/>
      <c r="J1196" s="118"/>
      <c r="K1196" s="119"/>
      <c r="L1196" s="113">
        <v>836226</v>
      </c>
      <c r="M1196" s="113">
        <v>0</v>
      </c>
      <c r="N1196" s="113">
        <v>0</v>
      </c>
      <c r="O1196" s="113">
        <f t="shared" si="347"/>
        <v>836226</v>
      </c>
      <c r="P1196" s="113">
        <v>0</v>
      </c>
      <c r="Q1196" s="114" t="e">
        <f t="shared" si="348"/>
        <v>#DIV/0!</v>
      </c>
      <c r="R1196" s="115"/>
      <c r="S1196" s="335">
        <v>43830</v>
      </c>
    </row>
    <row r="1197" spans="1:30" customFormat="1" ht="31.5">
      <c r="A1197" s="107">
        <f t="shared" si="349"/>
        <v>111</v>
      </c>
      <c r="B1197" s="305" t="s">
        <v>299</v>
      </c>
      <c r="C1197" s="108">
        <v>1952</v>
      </c>
      <c r="D1197" s="108"/>
      <c r="E1197" s="109" t="s">
        <v>218</v>
      </c>
      <c r="F1197" s="110">
        <v>2</v>
      </c>
      <c r="G1197" s="110">
        <v>2</v>
      </c>
      <c r="H1197" s="111"/>
      <c r="I1197" s="111"/>
      <c r="J1197" s="111"/>
      <c r="K1197" s="112"/>
      <c r="L1197" s="113">
        <v>640078</v>
      </c>
      <c r="M1197" s="113">
        <v>0</v>
      </c>
      <c r="N1197" s="113">
        <v>0</v>
      </c>
      <c r="O1197" s="113">
        <f t="shared" si="347"/>
        <v>640078</v>
      </c>
      <c r="P1197" s="113">
        <v>0</v>
      </c>
      <c r="Q1197" s="114" t="e">
        <f t="shared" si="348"/>
        <v>#DIV/0!</v>
      </c>
      <c r="R1197" s="115"/>
      <c r="S1197" s="335">
        <v>43830</v>
      </c>
    </row>
    <row r="1198" spans="1:30" customFormat="1" ht="31.5">
      <c r="A1198" s="107">
        <f t="shared" si="349"/>
        <v>112</v>
      </c>
      <c r="B1198" s="301" t="s">
        <v>236</v>
      </c>
      <c r="C1198" s="118">
        <v>1959</v>
      </c>
      <c r="D1198" s="118"/>
      <c r="E1198" s="109" t="s">
        <v>218</v>
      </c>
      <c r="F1198" s="118">
        <v>2</v>
      </c>
      <c r="G1198" s="118">
        <v>2</v>
      </c>
      <c r="H1198" s="118"/>
      <c r="I1198" s="118"/>
      <c r="J1198" s="118"/>
      <c r="K1198" s="119"/>
      <c r="L1198" s="113">
        <v>202649</v>
      </c>
      <c r="M1198" s="113">
        <v>0</v>
      </c>
      <c r="N1198" s="113">
        <v>0</v>
      </c>
      <c r="O1198" s="113">
        <f t="shared" si="347"/>
        <v>202649</v>
      </c>
      <c r="P1198" s="113">
        <v>0</v>
      </c>
      <c r="Q1198" s="114" t="e">
        <f t="shared" si="348"/>
        <v>#DIV/0!</v>
      </c>
      <c r="R1198" s="115"/>
      <c r="S1198" s="335">
        <v>43830</v>
      </c>
    </row>
    <row r="1199" spans="1:30" customFormat="1" ht="31.5">
      <c r="A1199" s="107">
        <f t="shared" si="349"/>
        <v>113</v>
      </c>
      <c r="B1199" s="305" t="s">
        <v>285</v>
      </c>
      <c r="C1199" s="108">
        <v>1954</v>
      </c>
      <c r="D1199" s="108"/>
      <c r="E1199" s="109" t="s">
        <v>218</v>
      </c>
      <c r="F1199" s="121" t="s">
        <v>191</v>
      </c>
      <c r="G1199" s="110">
        <v>10</v>
      </c>
      <c r="H1199" s="111"/>
      <c r="I1199" s="111"/>
      <c r="J1199" s="111"/>
      <c r="K1199" s="112"/>
      <c r="L1199" s="113">
        <v>7892437</v>
      </c>
      <c r="M1199" s="113">
        <v>0</v>
      </c>
      <c r="N1199" s="113">
        <v>0</v>
      </c>
      <c r="O1199" s="113">
        <f t="shared" si="347"/>
        <v>7892437</v>
      </c>
      <c r="P1199" s="113">
        <v>0</v>
      </c>
      <c r="Q1199" s="114" t="e">
        <f t="shared" si="348"/>
        <v>#DIV/0!</v>
      </c>
      <c r="R1199" s="115"/>
      <c r="S1199" s="335">
        <v>43830</v>
      </c>
    </row>
    <row r="1200" spans="1:30" customFormat="1" ht="31.5">
      <c r="A1200" s="107">
        <f t="shared" si="349"/>
        <v>114</v>
      </c>
      <c r="B1200" s="305" t="s">
        <v>237</v>
      </c>
      <c r="C1200" s="118">
        <v>1950</v>
      </c>
      <c r="D1200" s="118"/>
      <c r="E1200" s="109" t="s">
        <v>218</v>
      </c>
      <c r="F1200" s="118">
        <v>2</v>
      </c>
      <c r="G1200" s="118">
        <v>1</v>
      </c>
      <c r="H1200" s="118"/>
      <c r="I1200" s="118"/>
      <c r="J1200" s="118"/>
      <c r="K1200" s="119"/>
      <c r="L1200" s="113">
        <v>523389</v>
      </c>
      <c r="M1200" s="113">
        <v>0</v>
      </c>
      <c r="N1200" s="113">
        <v>0</v>
      </c>
      <c r="O1200" s="113">
        <f t="shared" si="347"/>
        <v>523389</v>
      </c>
      <c r="P1200" s="113">
        <v>0</v>
      </c>
      <c r="Q1200" s="114" t="e">
        <f t="shared" si="348"/>
        <v>#DIV/0!</v>
      </c>
      <c r="R1200" s="115"/>
      <c r="S1200" s="335">
        <v>43830</v>
      </c>
    </row>
    <row r="1201" spans="1:30" customFormat="1" ht="15.75">
      <c r="A1201" s="107">
        <f t="shared" si="349"/>
        <v>115</v>
      </c>
      <c r="B1201" s="305" t="s">
        <v>264</v>
      </c>
      <c r="C1201" s="118">
        <v>1950</v>
      </c>
      <c r="D1201" s="118"/>
      <c r="E1201" s="109" t="s">
        <v>220</v>
      </c>
      <c r="F1201" s="118">
        <v>2</v>
      </c>
      <c r="G1201" s="118">
        <v>3</v>
      </c>
      <c r="H1201" s="118"/>
      <c r="I1201" s="118"/>
      <c r="J1201" s="118"/>
      <c r="K1201" s="119"/>
      <c r="L1201" s="113">
        <v>1038920</v>
      </c>
      <c r="M1201" s="113">
        <v>0</v>
      </c>
      <c r="N1201" s="113">
        <v>0</v>
      </c>
      <c r="O1201" s="113">
        <f t="shared" si="347"/>
        <v>1038920</v>
      </c>
      <c r="P1201" s="113">
        <v>0</v>
      </c>
      <c r="Q1201" s="114" t="e">
        <f t="shared" si="348"/>
        <v>#DIV/0!</v>
      </c>
      <c r="R1201" s="115"/>
      <c r="S1201" s="335">
        <v>43830</v>
      </c>
    </row>
    <row r="1202" spans="1:30" s="3" customFormat="1" ht="15.75">
      <c r="A1202" s="107">
        <f t="shared" si="349"/>
        <v>116</v>
      </c>
      <c r="B1202" s="305" t="s">
        <v>258</v>
      </c>
      <c r="C1202" s="118">
        <v>1950</v>
      </c>
      <c r="D1202" s="118"/>
      <c r="E1202" s="109" t="s">
        <v>220</v>
      </c>
      <c r="F1202" s="118">
        <v>2</v>
      </c>
      <c r="G1202" s="118">
        <v>2</v>
      </c>
      <c r="H1202" s="118"/>
      <c r="I1202" s="118"/>
      <c r="J1202" s="118"/>
      <c r="K1202" s="119"/>
      <c r="L1202" s="113">
        <v>1742553</v>
      </c>
      <c r="M1202" s="113">
        <v>0</v>
      </c>
      <c r="N1202" s="113">
        <v>0</v>
      </c>
      <c r="O1202" s="113">
        <f t="shared" si="347"/>
        <v>1742553</v>
      </c>
      <c r="P1202" s="113">
        <v>0</v>
      </c>
      <c r="Q1202" s="114" t="e">
        <f t="shared" si="348"/>
        <v>#DIV/0!</v>
      </c>
      <c r="R1202" s="115"/>
      <c r="S1202" s="335">
        <v>43830</v>
      </c>
      <c r="T1202"/>
      <c r="U1202"/>
      <c r="V1202"/>
      <c r="W1202"/>
      <c r="X1202"/>
      <c r="Y1202"/>
      <c r="Z1202"/>
      <c r="AA1202"/>
      <c r="AB1202"/>
      <c r="AC1202"/>
      <c r="AD1202"/>
    </row>
    <row r="1203" spans="1:30" customFormat="1" ht="31.5">
      <c r="A1203" s="107">
        <f t="shared" si="349"/>
        <v>117</v>
      </c>
      <c r="B1203" s="305" t="s">
        <v>250</v>
      </c>
      <c r="C1203" s="118">
        <v>1948</v>
      </c>
      <c r="D1203" s="118"/>
      <c r="E1203" s="109" t="s">
        <v>218</v>
      </c>
      <c r="F1203" s="118">
        <v>2</v>
      </c>
      <c r="G1203" s="118">
        <v>3</v>
      </c>
      <c r="H1203" s="118"/>
      <c r="I1203" s="118"/>
      <c r="J1203" s="118"/>
      <c r="K1203" s="119"/>
      <c r="L1203" s="113">
        <v>2124581</v>
      </c>
      <c r="M1203" s="113">
        <v>0</v>
      </c>
      <c r="N1203" s="113">
        <v>0</v>
      </c>
      <c r="O1203" s="113">
        <f t="shared" si="347"/>
        <v>2124581</v>
      </c>
      <c r="P1203" s="113">
        <v>0</v>
      </c>
      <c r="Q1203" s="114" t="e">
        <f t="shared" si="348"/>
        <v>#DIV/0!</v>
      </c>
      <c r="R1203" s="115"/>
      <c r="S1203" s="335">
        <v>43830</v>
      </c>
    </row>
    <row r="1204" spans="1:30" customFormat="1" ht="15.75">
      <c r="A1204" s="107">
        <f t="shared" si="349"/>
        <v>118</v>
      </c>
      <c r="B1204" s="305" t="s">
        <v>282</v>
      </c>
      <c r="C1204" s="107">
        <v>1948</v>
      </c>
      <c r="D1204" s="108"/>
      <c r="E1204" s="109" t="s">
        <v>220</v>
      </c>
      <c r="F1204" s="108">
        <v>2</v>
      </c>
      <c r="G1204" s="108">
        <v>3</v>
      </c>
      <c r="H1204" s="117"/>
      <c r="I1204" s="117"/>
      <c r="J1204" s="117"/>
      <c r="K1204" s="101"/>
      <c r="L1204" s="113">
        <v>2347478</v>
      </c>
      <c r="M1204" s="113">
        <v>0</v>
      </c>
      <c r="N1204" s="113">
        <v>0</v>
      </c>
      <c r="O1204" s="113">
        <f t="shared" si="347"/>
        <v>2347478</v>
      </c>
      <c r="P1204" s="113">
        <v>0</v>
      </c>
      <c r="Q1204" s="114" t="e">
        <f t="shared" si="348"/>
        <v>#DIV/0!</v>
      </c>
      <c r="R1204" s="115"/>
      <c r="S1204" s="335">
        <v>43830</v>
      </c>
    </row>
    <row r="1205" spans="1:30" customFormat="1" ht="31.5">
      <c r="A1205" s="107">
        <f t="shared" si="349"/>
        <v>119</v>
      </c>
      <c r="B1205" s="301" t="s">
        <v>267</v>
      </c>
      <c r="C1205" s="118">
        <v>1948</v>
      </c>
      <c r="D1205" s="118"/>
      <c r="E1205" s="109" t="s">
        <v>218</v>
      </c>
      <c r="F1205" s="118">
        <v>2</v>
      </c>
      <c r="G1205" s="118">
        <v>3</v>
      </c>
      <c r="H1205" s="118"/>
      <c r="I1205" s="118"/>
      <c r="J1205" s="118"/>
      <c r="K1205" s="119"/>
      <c r="L1205" s="113">
        <v>2468472</v>
      </c>
      <c r="M1205" s="113">
        <v>0</v>
      </c>
      <c r="N1205" s="113">
        <v>0</v>
      </c>
      <c r="O1205" s="113">
        <f t="shared" si="347"/>
        <v>2468472</v>
      </c>
      <c r="P1205" s="113">
        <v>0</v>
      </c>
      <c r="Q1205" s="114" t="e">
        <f t="shared" si="348"/>
        <v>#DIV/0!</v>
      </c>
      <c r="R1205" s="115"/>
      <c r="S1205" s="335">
        <v>43830</v>
      </c>
    </row>
    <row r="1206" spans="1:30" customFormat="1" ht="31.5">
      <c r="A1206" s="107">
        <f t="shared" si="349"/>
        <v>120</v>
      </c>
      <c r="B1206" s="305" t="s">
        <v>284</v>
      </c>
      <c r="C1206" s="108">
        <v>1950</v>
      </c>
      <c r="D1206" s="116"/>
      <c r="E1206" s="109" t="s">
        <v>218</v>
      </c>
      <c r="F1206" s="110">
        <v>2</v>
      </c>
      <c r="G1206" s="110">
        <v>2</v>
      </c>
      <c r="H1206" s="111"/>
      <c r="I1206" s="111"/>
      <c r="J1206" s="111"/>
      <c r="K1206" s="112"/>
      <c r="L1206" s="113">
        <v>1612780</v>
      </c>
      <c r="M1206" s="113">
        <v>0</v>
      </c>
      <c r="N1206" s="113">
        <v>0</v>
      </c>
      <c r="O1206" s="113">
        <f t="shared" si="347"/>
        <v>1612780</v>
      </c>
      <c r="P1206" s="113">
        <v>0</v>
      </c>
      <c r="Q1206" s="114" t="e">
        <f t="shared" si="348"/>
        <v>#DIV/0!</v>
      </c>
      <c r="R1206" s="115"/>
      <c r="S1206" s="335">
        <v>43830</v>
      </c>
    </row>
    <row r="1207" spans="1:30" customFormat="1" ht="31.5">
      <c r="A1207" s="107">
        <f t="shared" si="349"/>
        <v>121</v>
      </c>
      <c r="B1207" s="305" t="s">
        <v>256</v>
      </c>
      <c r="C1207" s="118">
        <v>1947</v>
      </c>
      <c r="D1207" s="118"/>
      <c r="E1207" s="109" t="s">
        <v>218</v>
      </c>
      <c r="F1207" s="118">
        <v>2</v>
      </c>
      <c r="G1207" s="118">
        <v>2</v>
      </c>
      <c r="H1207" s="118"/>
      <c r="I1207" s="118"/>
      <c r="J1207" s="118"/>
      <c r="K1207" s="119"/>
      <c r="L1207" s="113">
        <v>2580419</v>
      </c>
      <c r="M1207" s="113">
        <v>0</v>
      </c>
      <c r="N1207" s="113">
        <v>0</v>
      </c>
      <c r="O1207" s="113">
        <f t="shared" si="347"/>
        <v>2580419</v>
      </c>
      <c r="P1207" s="113">
        <v>0</v>
      </c>
      <c r="Q1207" s="114" t="e">
        <f t="shared" si="348"/>
        <v>#DIV/0!</v>
      </c>
      <c r="R1207" s="115"/>
      <c r="S1207" s="335">
        <v>43830</v>
      </c>
    </row>
    <row r="1208" spans="1:30" customFormat="1" ht="15.75">
      <c r="A1208" s="107">
        <f t="shared" si="349"/>
        <v>122</v>
      </c>
      <c r="B1208" s="301" t="s">
        <v>335</v>
      </c>
      <c r="C1208" s="118">
        <v>1963</v>
      </c>
      <c r="D1208" s="118"/>
      <c r="E1208" s="109" t="s">
        <v>219</v>
      </c>
      <c r="F1208" s="118">
        <v>5</v>
      </c>
      <c r="G1208" s="118">
        <v>4</v>
      </c>
      <c r="H1208" s="118"/>
      <c r="I1208" s="118"/>
      <c r="J1208" s="118"/>
      <c r="K1208" s="119"/>
      <c r="L1208" s="113">
        <v>1681645</v>
      </c>
      <c r="M1208" s="113">
        <v>0</v>
      </c>
      <c r="N1208" s="113">
        <v>0</v>
      </c>
      <c r="O1208" s="113">
        <f t="shared" si="347"/>
        <v>1681645</v>
      </c>
      <c r="P1208" s="113">
        <v>0</v>
      </c>
      <c r="Q1208" s="114" t="e">
        <f t="shared" si="348"/>
        <v>#DIV/0!</v>
      </c>
      <c r="R1208" s="115"/>
      <c r="S1208" s="335">
        <v>43830</v>
      </c>
    </row>
    <row r="1209" spans="1:30" customFormat="1" ht="31.5">
      <c r="A1209" s="107">
        <f t="shared" si="349"/>
        <v>123</v>
      </c>
      <c r="B1209" s="305" t="s">
        <v>255</v>
      </c>
      <c r="C1209" s="118">
        <v>1950</v>
      </c>
      <c r="D1209" s="118"/>
      <c r="E1209" s="109" t="s">
        <v>218</v>
      </c>
      <c r="F1209" s="118">
        <v>2</v>
      </c>
      <c r="G1209" s="118">
        <v>2</v>
      </c>
      <c r="H1209" s="118"/>
      <c r="I1209" s="118"/>
      <c r="J1209" s="118"/>
      <c r="K1209" s="119"/>
      <c r="L1209" s="113">
        <v>1318880</v>
      </c>
      <c r="M1209" s="113">
        <v>0</v>
      </c>
      <c r="N1209" s="113">
        <v>0</v>
      </c>
      <c r="O1209" s="113">
        <f t="shared" si="347"/>
        <v>1318880</v>
      </c>
      <c r="P1209" s="113">
        <v>0</v>
      </c>
      <c r="Q1209" s="114" t="e">
        <f t="shared" si="348"/>
        <v>#DIV/0!</v>
      </c>
      <c r="R1209" s="115"/>
      <c r="S1209" s="335">
        <v>43830</v>
      </c>
    </row>
    <row r="1210" spans="1:30" customFormat="1" ht="15.75">
      <c r="A1210" s="107">
        <f t="shared" si="349"/>
        <v>124</v>
      </c>
      <c r="B1210" s="305" t="s">
        <v>245</v>
      </c>
      <c r="C1210" s="118">
        <v>1949</v>
      </c>
      <c r="D1210" s="118"/>
      <c r="E1210" s="109" t="s">
        <v>220</v>
      </c>
      <c r="F1210" s="118">
        <v>2</v>
      </c>
      <c r="G1210" s="118">
        <v>1</v>
      </c>
      <c r="H1210" s="118"/>
      <c r="I1210" s="118"/>
      <c r="J1210" s="118"/>
      <c r="K1210" s="119"/>
      <c r="L1210" s="113">
        <v>1566345</v>
      </c>
      <c r="M1210" s="113">
        <v>0</v>
      </c>
      <c r="N1210" s="113">
        <v>0</v>
      </c>
      <c r="O1210" s="113">
        <f t="shared" si="347"/>
        <v>1566345</v>
      </c>
      <c r="P1210" s="113">
        <v>0</v>
      </c>
      <c r="Q1210" s="114" t="e">
        <f t="shared" si="348"/>
        <v>#DIV/0!</v>
      </c>
      <c r="R1210" s="115"/>
      <c r="S1210" s="335">
        <v>43830</v>
      </c>
    </row>
    <row r="1211" spans="1:30" customFormat="1" ht="31.5">
      <c r="A1211" s="107">
        <f t="shared" si="349"/>
        <v>125</v>
      </c>
      <c r="B1211" s="301" t="s">
        <v>449</v>
      </c>
      <c r="C1211" s="108">
        <v>1984</v>
      </c>
      <c r="D1211" s="108"/>
      <c r="E1211" s="109" t="s">
        <v>219</v>
      </c>
      <c r="F1211" s="110">
        <v>9</v>
      </c>
      <c r="G1211" s="110">
        <v>1</v>
      </c>
      <c r="H1211" s="111"/>
      <c r="I1211" s="111"/>
      <c r="J1211" s="111"/>
      <c r="K1211" s="112"/>
      <c r="L1211" s="113">
        <v>1910088</v>
      </c>
      <c r="M1211" s="113">
        <v>0</v>
      </c>
      <c r="N1211" s="113">
        <v>0</v>
      </c>
      <c r="O1211" s="113">
        <f t="shared" si="347"/>
        <v>1910088</v>
      </c>
      <c r="P1211" s="113">
        <v>0</v>
      </c>
      <c r="Q1211" s="114" t="e">
        <f t="shared" si="348"/>
        <v>#DIV/0!</v>
      </c>
      <c r="R1211" s="115"/>
      <c r="S1211" s="335">
        <v>43830</v>
      </c>
    </row>
    <row r="1212" spans="1:30" customFormat="1" ht="31.5">
      <c r="A1212" s="107">
        <f t="shared" si="349"/>
        <v>126</v>
      </c>
      <c r="B1212" s="305" t="s">
        <v>280</v>
      </c>
      <c r="C1212" s="107">
        <v>1966</v>
      </c>
      <c r="D1212" s="108"/>
      <c r="E1212" s="109" t="s">
        <v>218</v>
      </c>
      <c r="F1212" s="108">
        <v>5</v>
      </c>
      <c r="G1212" s="108">
        <v>3</v>
      </c>
      <c r="H1212" s="117"/>
      <c r="I1212" s="117"/>
      <c r="J1212" s="117"/>
      <c r="K1212" s="101"/>
      <c r="L1212" s="113">
        <v>2694957</v>
      </c>
      <c r="M1212" s="113">
        <v>0</v>
      </c>
      <c r="N1212" s="113">
        <v>0</v>
      </c>
      <c r="O1212" s="113">
        <f t="shared" si="347"/>
        <v>2694957</v>
      </c>
      <c r="P1212" s="113">
        <v>0</v>
      </c>
      <c r="Q1212" s="114" t="e">
        <f t="shared" si="348"/>
        <v>#DIV/0!</v>
      </c>
      <c r="R1212" s="115"/>
      <c r="S1212" s="335">
        <v>43830</v>
      </c>
    </row>
    <row r="1213" spans="1:30" customFormat="1" ht="31.5">
      <c r="A1213" s="107">
        <f t="shared" si="349"/>
        <v>127</v>
      </c>
      <c r="B1213" s="305" t="s">
        <v>367</v>
      </c>
      <c r="C1213" s="118">
        <v>1958</v>
      </c>
      <c r="D1213" s="118"/>
      <c r="E1213" s="109" t="s">
        <v>218</v>
      </c>
      <c r="F1213" s="118">
        <v>2</v>
      </c>
      <c r="G1213" s="118">
        <v>1</v>
      </c>
      <c r="H1213" s="118"/>
      <c r="I1213" s="118"/>
      <c r="J1213" s="118"/>
      <c r="K1213" s="119"/>
      <c r="L1213" s="113">
        <v>580578</v>
      </c>
      <c r="M1213" s="113">
        <v>0</v>
      </c>
      <c r="N1213" s="113">
        <v>0</v>
      </c>
      <c r="O1213" s="113">
        <f t="shared" si="347"/>
        <v>580578</v>
      </c>
      <c r="P1213" s="113">
        <v>0</v>
      </c>
      <c r="Q1213" s="114" t="e">
        <f t="shared" si="348"/>
        <v>#DIV/0!</v>
      </c>
      <c r="R1213" s="115"/>
      <c r="S1213" s="335">
        <v>43830</v>
      </c>
    </row>
    <row r="1214" spans="1:30" customFormat="1" ht="31.5">
      <c r="A1214" s="107">
        <f t="shared" si="349"/>
        <v>128</v>
      </c>
      <c r="B1214" s="305" t="s">
        <v>464</v>
      </c>
      <c r="C1214" s="118">
        <v>1971</v>
      </c>
      <c r="D1214" s="118"/>
      <c r="E1214" s="109" t="s">
        <v>218</v>
      </c>
      <c r="F1214" s="118">
        <v>2</v>
      </c>
      <c r="G1214" s="118">
        <v>1</v>
      </c>
      <c r="H1214" s="118"/>
      <c r="I1214" s="118"/>
      <c r="J1214" s="118"/>
      <c r="K1214" s="119"/>
      <c r="L1214" s="113">
        <v>615357</v>
      </c>
      <c r="M1214" s="113">
        <v>0</v>
      </c>
      <c r="N1214" s="113">
        <v>0</v>
      </c>
      <c r="O1214" s="113">
        <f t="shared" si="347"/>
        <v>615357</v>
      </c>
      <c r="P1214" s="113">
        <v>0</v>
      </c>
      <c r="Q1214" s="114" t="e">
        <f t="shared" si="348"/>
        <v>#DIV/0!</v>
      </c>
      <c r="R1214" s="115"/>
      <c r="S1214" s="335">
        <v>43830</v>
      </c>
    </row>
    <row r="1215" spans="1:30" customFormat="1" ht="31.5">
      <c r="A1215" s="107">
        <f t="shared" si="349"/>
        <v>129</v>
      </c>
      <c r="B1215" s="305" t="s">
        <v>385</v>
      </c>
      <c r="C1215" s="118">
        <v>1957</v>
      </c>
      <c r="D1215" s="118"/>
      <c r="E1215" s="109" t="s">
        <v>218</v>
      </c>
      <c r="F1215" s="118">
        <v>2</v>
      </c>
      <c r="G1215" s="118">
        <v>1</v>
      </c>
      <c r="H1215" s="118"/>
      <c r="I1215" s="118"/>
      <c r="J1215" s="118"/>
      <c r="K1215" s="119"/>
      <c r="L1215" s="113">
        <v>269948.13</v>
      </c>
      <c r="M1215" s="113">
        <v>0</v>
      </c>
      <c r="N1215" s="113">
        <v>0</v>
      </c>
      <c r="O1215" s="113">
        <f t="shared" ref="O1215:O1254" si="350">L1215</f>
        <v>269948.13</v>
      </c>
      <c r="P1215" s="113">
        <v>0</v>
      </c>
      <c r="Q1215" s="114" t="e">
        <f t="shared" ref="Q1215:Q1254" si="351">L1215/I1215</f>
        <v>#DIV/0!</v>
      </c>
      <c r="R1215" s="115"/>
      <c r="S1215" s="335">
        <v>43830</v>
      </c>
    </row>
    <row r="1216" spans="1:30" customFormat="1" ht="15.75">
      <c r="A1216" s="107">
        <f t="shared" si="349"/>
        <v>130</v>
      </c>
      <c r="B1216" s="305" t="s">
        <v>238</v>
      </c>
      <c r="C1216" s="118">
        <v>1924</v>
      </c>
      <c r="D1216" s="118"/>
      <c r="E1216" s="109" t="s">
        <v>221</v>
      </c>
      <c r="F1216" s="118">
        <v>2</v>
      </c>
      <c r="G1216" s="118">
        <v>2</v>
      </c>
      <c r="H1216" s="118"/>
      <c r="I1216" s="118"/>
      <c r="J1216" s="118"/>
      <c r="K1216" s="119"/>
      <c r="L1216" s="113">
        <v>807980</v>
      </c>
      <c r="M1216" s="113">
        <v>0</v>
      </c>
      <c r="N1216" s="113">
        <v>0</v>
      </c>
      <c r="O1216" s="113">
        <f t="shared" si="350"/>
        <v>807980</v>
      </c>
      <c r="P1216" s="113">
        <v>0</v>
      </c>
      <c r="Q1216" s="114" t="e">
        <f t="shared" si="351"/>
        <v>#DIV/0!</v>
      </c>
      <c r="R1216" s="115"/>
      <c r="S1216" s="335">
        <v>43830</v>
      </c>
    </row>
    <row r="1217" spans="1:19" customFormat="1" ht="31.5">
      <c r="A1217" s="107">
        <f t="shared" ref="A1217:A1273" si="352">A1216+1</f>
        <v>131</v>
      </c>
      <c r="B1217" s="305" t="s">
        <v>273</v>
      </c>
      <c r="C1217" s="107">
        <v>1949</v>
      </c>
      <c r="D1217" s="108"/>
      <c r="E1217" s="109" t="s">
        <v>218</v>
      </c>
      <c r="F1217" s="108">
        <v>2</v>
      </c>
      <c r="G1217" s="108">
        <v>1</v>
      </c>
      <c r="H1217" s="117"/>
      <c r="I1217" s="117"/>
      <c r="J1217" s="117"/>
      <c r="K1217" s="101"/>
      <c r="L1217" s="113">
        <v>661525</v>
      </c>
      <c r="M1217" s="113">
        <v>0</v>
      </c>
      <c r="N1217" s="113">
        <v>0</v>
      </c>
      <c r="O1217" s="113">
        <f t="shared" si="350"/>
        <v>661525</v>
      </c>
      <c r="P1217" s="113">
        <v>0</v>
      </c>
      <c r="Q1217" s="114" t="e">
        <f t="shared" si="351"/>
        <v>#DIV/0!</v>
      </c>
      <c r="R1217" s="115"/>
      <c r="S1217" s="335">
        <v>43830</v>
      </c>
    </row>
    <row r="1218" spans="1:19" customFormat="1" ht="15.75">
      <c r="A1218" s="107">
        <f t="shared" si="352"/>
        <v>132</v>
      </c>
      <c r="B1218" s="305" t="s">
        <v>297</v>
      </c>
      <c r="C1218" s="108">
        <v>1981</v>
      </c>
      <c r="D1218" s="108"/>
      <c r="E1218" s="109" t="s">
        <v>219</v>
      </c>
      <c r="F1218" s="110">
        <v>9</v>
      </c>
      <c r="G1218" s="110">
        <v>2</v>
      </c>
      <c r="H1218" s="111"/>
      <c r="I1218" s="111"/>
      <c r="J1218" s="111"/>
      <c r="K1218" s="112"/>
      <c r="L1218" s="113">
        <v>3719885</v>
      </c>
      <c r="M1218" s="113">
        <v>0</v>
      </c>
      <c r="N1218" s="113">
        <v>0</v>
      </c>
      <c r="O1218" s="113">
        <f t="shared" si="350"/>
        <v>3719885</v>
      </c>
      <c r="P1218" s="113">
        <v>0</v>
      </c>
      <c r="Q1218" s="114" t="e">
        <f t="shared" si="351"/>
        <v>#DIV/0!</v>
      </c>
      <c r="R1218" s="115"/>
      <c r="S1218" s="335">
        <v>43830</v>
      </c>
    </row>
    <row r="1219" spans="1:19" customFormat="1" ht="31.5">
      <c r="A1219" s="107">
        <f t="shared" si="352"/>
        <v>133</v>
      </c>
      <c r="B1219" s="305" t="s">
        <v>263</v>
      </c>
      <c r="C1219" s="118">
        <v>1949</v>
      </c>
      <c r="D1219" s="118"/>
      <c r="E1219" s="109" t="s">
        <v>218</v>
      </c>
      <c r="F1219" s="118">
        <v>2</v>
      </c>
      <c r="G1219" s="118">
        <v>2</v>
      </c>
      <c r="H1219" s="118"/>
      <c r="I1219" s="118"/>
      <c r="J1219" s="118"/>
      <c r="K1219" s="119"/>
      <c r="L1219" s="113">
        <v>1726391</v>
      </c>
      <c r="M1219" s="113">
        <v>0</v>
      </c>
      <c r="N1219" s="113">
        <v>0</v>
      </c>
      <c r="O1219" s="113">
        <f t="shared" si="350"/>
        <v>1726391</v>
      </c>
      <c r="P1219" s="113">
        <v>0</v>
      </c>
      <c r="Q1219" s="114" t="e">
        <f t="shared" si="351"/>
        <v>#DIV/0!</v>
      </c>
      <c r="R1219" s="115"/>
      <c r="S1219" s="335">
        <v>43830</v>
      </c>
    </row>
    <row r="1220" spans="1:19" customFormat="1" ht="15.75">
      <c r="A1220" s="107">
        <f t="shared" si="352"/>
        <v>134</v>
      </c>
      <c r="B1220" s="305" t="s">
        <v>235</v>
      </c>
      <c r="C1220" s="118">
        <v>1950</v>
      </c>
      <c r="D1220" s="118"/>
      <c r="E1220" s="109" t="s">
        <v>220</v>
      </c>
      <c r="F1220" s="118">
        <v>2</v>
      </c>
      <c r="G1220" s="118">
        <v>1</v>
      </c>
      <c r="H1220" s="118"/>
      <c r="I1220" s="118"/>
      <c r="J1220" s="118"/>
      <c r="K1220" s="119"/>
      <c r="L1220" s="113">
        <v>1521754</v>
      </c>
      <c r="M1220" s="113">
        <v>0</v>
      </c>
      <c r="N1220" s="113">
        <v>0</v>
      </c>
      <c r="O1220" s="113">
        <f t="shared" si="350"/>
        <v>1521754</v>
      </c>
      <c r="P1220" s="113">
        <v>0</v>
      </c>
      <c r="Q1220" s="114" t="e">
        <f t="shared" si="351"/>
        <v>#DIV/0!</v>
      </c>
      <c r="R1220" s="115"/>
      <c r="S1220" s="335">
        <v>43830</v>
      </c>
    </row>
    <row r="1221" spans="1:19" customFormat="1" ht="31.5">
      <c r="A1221" s="107">
        <f t="shared" si="352"/>
        <v>135</v>
      </c>
      <c r="B1221" s="301" t="s">
        <v>227</v>
      </c>
      <c r="C1221" s="118">
        <v>1937</v>
      </c>
      <c r="D1221" s="118"/>
      <c r="E1221" s="109" t="s">
        <v>218</v>
      </c>
      <c r="F1221" s="118">
        <v>2</v>
      </c>
      <c r="G1221" s="118">
        <v>1</v>
      </c>
      <c r="H1221" s="118"/>
      <c r="I1221" s="118"/>
      <c r="J1221" s="118"/>
      <c r="K1221" s="119"/>
      <c r="L1221" s="113">
        <v>671505</v>
      </c>
      <c r="M1221" s="113">
        <v>0</v>
      </c>
      <c r="N1221" s="113">
        <v>0</v>
      </c>
      <c r="O1221" s="113">
        <f t="shared" si="350"/>
        <v>671505</v>
      </c>
      <c r="P1221" s="113">
        <v>0</v>
      </c>
      <c r="Q1221" s="114" t="e">
        <f t="shared" si="351"/>
        <v>#DIV/0!</v>
      </c>
      <c r="R1221" s="115"/>
      <c r="S1221" s="335">
        <v>43830</v>
      </c>
    </row>
    <row r="1222" spans="1:19" customFormat="1" ht="31.5">
      <c r="A1222" s="107">
        <f t="shared" si="352"/>
        <v>136</v>
      </c>
      <c r="B1222" s="305" t="s">
        <v>339</v>
      </c>
      <c r="C1222" s="118">
        <v>1961</v>
      </c>
      <c r="D1222" s="118"/>
      <c r="E1222" s="109" t="s">
        <v>218</v>
      </c>
      <c r="F1222" s="118">
        <v>3</v>
      </c>
      <c r="G1222" s="118">
        <v>2</v>
      </c>
      <c r="H1222" s="118"/>
      <c r="I1222" s="118"/>
      <c r="J1222" s="118"/>
      <c r="K1222" s="119"/>
      <c r="L1222" s="113">
        <v>1081718</v>
      </c>
      <c r="M1222" s="113">
        <v>0</v>
      </c>
      <c r="N1222" s="113">
        <v>0</v>
      </c>
      <c r="O1222" s="113">
        <f t="shared" si="350"/>
        <v>1081718</v>
      </c>
      <c r="P1222" s="113">
        <v>0</v>
      </c>
      <c r="Q1222" s="114" t="e">
        <f t="shared" si="351"/>
        <v>#DIV/0!</v>
      </c>
      <c r="R1222" s="115"/>
      <c r="S1222" s="335">
        <v>43830</v>
      </c>
    </row>
    <row r="1223" spans="1:19" customFormat="1" ht="15.75">
      <c r="A1223" s="107">
        <f t="shared" si="352"/>
        <v>137</v>
      </c>
      <c r="B1223" s="305" t="s">
        <v>231</v>
      </c>
      <c r="C1223" s="118">
        <v>1960</v>
      </c>
      <c r="D1223" s="118"/>
      <c r="E1223" s="109" t="s">
        <v>220</v>
      </c>
      <c r="F1223" s="118">
        <v>3</v>
      </c>
      <c r="G1223" s="118">
        <v>2</v>
      </c>
      <c r="H1223" s="118"/>
      <c r="I1223" s="118"/>
      <c r="J1223" s="118"/>
      <c r="K1223" s="119"/>
      <c r="L1223" s="113">
        <v>206635</v>
      </c>
      <c r="M1223" s="113">
        <v>0</v>
      </c>
      <c r="N1223" s="113">
        <v>0</v>
      </c>
      <c r="O1223" s="113">
        <f t="shared" si="350"/>
        <v>206635</v>
      </c>
      <c r="P1223" s="113">
        <v>0</v>
      </c>
      <c r="Q1223" s="114" t="e">
        <f t="shared" si="351"/>
        <v>#DIV/0!</v>
      </c>
      <c r="R1223" s="115"/>
      <c r="S1223" s="335">
        <v>43830</v>
      </c>
    </row>
    <row r="1224" spans="1:19" customFormat="1" ht="15.75">
      <c r="A1224" s="107">
        <f t="shared" si="352"/>
        <v>138</v>
      </c>
      <c r="B1224" s="301" t="s">
        <v>300</v>
      </c>
      <c r="C1224" s="108">
        <v>1961</v>
      </c>
      <c r="D1224" s="108"/>
      <c r="E1224" s="109" t="s">
        <v>220</v>
      </c>
      <c r="F1224" s="110">
        <v>3</v>
      </c>
      <c r="G1224" s="110">
        <v>2</v>
      </c>
      <c r="H1224" s="111"/>
      <c r="I1224" s="111"/>
      <c r="J1224" s="111"/>
      <c r="K1224" s="112"/>
      <c r="L1224" s="113">
        <v>1044081.04</v>
      </c>
      <c r="M1224" s="113">
        <v>0</v>
      </c>
      <c r="N1224" s="113">
        <v>0</v>
      </c>
      <c r="O1224" s="113">
        <f t="shared" si="350"/>
        <v>1044081.04</v>
      </c>
      <c r="P1224" s="113">
        <v>0</v>
      </c>
      <c r="Q1224" s="114" t="e">
        <f t="shared" si="351"/>
        <v>#DIV/0!</v>
      </c>
      <c r="R1224" s="115"/>
      <c r="S1224" s="335">
        <v>43830</v>
      </c>
    </row>
    <row r="1225" spans="1:19" customFormat="1" ht="31.5">
      <c r="A1225" s="107">
        <f t="shared" si="352"/>
        <v>139</v>
      </c>
      <c r="B1225" s="301" t="s">
        <v>283</v>
      </c>
      <c r="C1225" s="107">
        <v>1959</v>
      </c>
      <c r="D1225" s="108"/>
      <c r="E1225" s="109" t="s">
        <v>218</v>
      </c>
      <c r="F1225" s="108">
        <v>2</v>
      </c>
      <c r="G1225" s="108">
        <v>2</v>
      </c>
      <c r="H1225" s="117"/>
      <c r="I1225" s="117"/>
      <c r="J1225" s="117"/>
      <c r="K1225" s="101"/>
      <c r="L1225" s="113">
        <v>1340000</v>
      </c>
      <c r="M1225" s="113">
        <v>0</v>
      </c>
      <c r="N1225" s="113">
        <v>0</v>
      </c>
      <c r="O1225" s="113">
        <f t="shared" si="350"/>
        <v>1340000</v>
      </c>
      <c r="P1225" s="113">
        <v>0</v>
      </c>
      <c r="Q1225" s="114" t="e">
        <f t="shared" si="351"/>
        <v>#DIV/0!</v>
      </c>
      <c r="R1225" s="115"/>
      <c r="S1225" s="335">
        <v>43830</v>
      </c>
    </row>
    <row r="1226" spans="1:19" customFormat="1" ht="15.75">
      <c r="A1226" s="107">
        <f t="shared" si="352"/>
        <v>140</v>
      </c>
      <c r="B1226" s="305" t="s">
        <v>450</v>
      </c>
      <c r="C1226" s="107">
        <v>1975</v>
      </c>
      <c r="D1226" s="108"/>
      <c r="E1226" s="109" t="s">
        <v>219</v>
      </c>
      <c r="F1226" s="108">
        <v>5</v>
      </c>
      <c r="G1226" s="108">
        <v>6</v>
      </c>
      <c r="H1226" s="117"/>
      <c r="I1226" s="117"/>
      <c r="J1226" s="117"/>
      <c r="K1226" s="101"/>
      <c r="L1226" s="113">
        <v>2294529</v>
      </c>
      <c r="M1226" s="113">
        <v>0</v>
      </c>
      <c r="N1226" s="113">
        <v>0</v>
      </c>
      <c r="O1226" s="113">
        <f t="shared" si="350"/>
        <v>2294529</v>
      </c>
      <c r="P1226" s="113">
        <v>0</v>
      </c>
      <c r="Q1226" s="114" t="e">
        <f t="shared" si="351"/>
        <v>#DIV/0!</v>
      </c>
      <c r="R1226" s="115"/>
      <c r="S1226" s="335">
        <v>43830</v>
      </c>
    </row>
    <row r="1227" spans="1:19" customFormat="1" ht="15.75">
      <c r="A1227" s="107">
        <f t="shared" si="352"/>
        <v>141</v>
      </c>
      <c r="B1227" s="305" t="s">
        <v>230</v>
      </c>
      <c r="C1227" s="118">
        <v>1981</v>
      </c>
      <c r="D1227" s="118"/>
      <c r="E1227" s="109" t="s">
        <v>219</v>
      </c>
      <c r="F1227" s="118">
        <v>9</v>
      </c>
      <c r="G1227" s="118">
        <v>2</v>
      </c>
      <c r="H1227" s="118"/>
      <c r="I1227" s="118"/>
      <c r="J1227" s="118"/>
      <c r="K1227" s="119"/>
      <c r="L1227" s="113">
        <v>2615616.2000000002</v>
      </c>
      <c r="M1227" s="113">
        <v>0</v>
      </c>
      <c r="N1227" s="113">
        <v>0</v>
      </c>
      <c r="O1227" s="113">
        <f t="shared" si="350"/>
        <v>2615616.2000000002</v>
      </c>
      <c r="P1227" s="113">
        <v>0</v>
      </c>
      <c r="Q1227" s="114" t="e">
        <f t="shared" si="351"/>
        <v>#DIV/0!</v>
      </c>
      <c r="R1227" s="115"/>
      <c r="S1227" s="335">
        <v>43830</v>
      </c>
    </row>
    <row r="1228" spans="1:19" customFormat="1" ht="31.5">
      <c r="A1228" s="107">
        <f t="shared" si="352"/>
        <v>142</v>
      </c>
      <c r="B1228" s="301" t="s">
        <v>295</v>
      </c>
      <c r="C1228" s="108">
        <v>1964</v>
      </c>
      <c r="D1228" s="108"/>
      <c r="E1228" s="109" t="s">
        <v>218</v>
      </c>
      <c r="F1228" s="110">
        <v>5</v>
      </c>
      <c r="G1228" s="110">
        <v>3</v>
      </c>
      <c r="H1228" s="111"/>
      <c r="I1228" s="111"/>
      <c r="J1228" s="111"/>
      <c r="K1228" s="112"/>
      <c r="L1228" s="113">
        <v>1561539</v>
      </c>
      <c r="M1228" s="113">
        <v>0</v>
      </c>
      <c r="N1228" s="113">
        <v>0</v>
      </c>
      <c r="O1228" s="113">
        <f t="shared" si="350"/>
        <v>1561539</v>
      </c>
      <c r="P1228" s="113">
        <v>0</v>
      </c>
      <c r="Q1228" s="114" t="e">
        <f t="shared" si="351"/>
        <v>#DIV/0!</v>
      </c>
      <c r="R1228" s="115"/>
      <c r="S1228" s="335">
        <v>43830</v>
      </c>
    </row>
    <row r="1229" spans="1:19" customFormat="1" ht="31.5">
      <c r="A1229" s="107">
        <f t="shared" si="352"/>
        <v>143</v>
      </c>
      <c r="B1229" s="305" t="s">
        <v>294</v>
      </c>
      <c r="C1229" s="108">
        <v>1960</v>
      </c>
      <c r="D1229" s="108"/>
      <c r="E1229" s="109" t="s">
        <v>218</v>
      </c>
      <c r="F1229" s="110">
        <v>5</v>
      </c>
      <c r="G1229" s="110">
        <v>2</v>
      </c>
      <c r="H1229" s="111"/>
      <c r="I1229" s="111"/>
      <c r="J1229" s="111"/>
      <c r="K1229" s="112"/>
      <c r="L1229" s="113">
        <v>1421187</v>
      </c>
      <c r="M1229" s="113">
        <v>0</v>
      </c>
      <c r="N1229" s="113">
        <v>0</v>
      </c>
      <c r="O1229" s="113">
        <f t="shared" si="350"/>
        <v>1421187</v>
      </c>
      <c r="P1229" s="113">
        <v>0</v>
      </c>
      <c r="Q1229" s="114" t="e">
        <f t="shared" si="351"/>
        <v>#DIV/0!</v>
      </c>
      <c r="R1229" s="115"/>
      <c r="S1229" s="335">
        <v>43830</v>
      </c>
    </row>
    <row r="1230" spans="1:19" customFormat="1" ht="15.75">
      <c r="A1230" s="107">
        <f t="shared" si="352"/>
        <v>144</v>
      </c>
      <c r="B1230" s="305" t="s">
        <v>270</v>
      </c>
      <c r="C1230" s="118">
        <v>1962</v>
      </c>
      <c r="D1230" s="118"/>
      <c r="E1230" s="109" t="s">
        <v>219</v>
      </c>
      <c r="F1230" s="118">
        <v>4</v>
      </c>
      <c r="G1230" s="118">
        <v>4</v>
      </c>
      <c r="H1230" s="118"/>
      <c r="I1230" s="118"/>
      <c r="J1230" s="118"/>
      <c r="K1230" s="119"/>
      <c r="L1230" s="113">
        <v>2469740</v>
      </c>
      <c r="M1230" s="113">
        <v>0</v>
      </c>
      <c r="N1230" s="113">
        <v>0</v>
      </c>
      <c r="O1230" s="113">
        <f t="shared" si="350"/>
        <v>2469740</v>
      </c>
      <c r="P1230" s="113">
        <v>0</v>
      </c>
      <c r="Q1230" s="114" t="e">
        <f t="shared" si="351"/>
        <v>#DIV/0!</v>
      </c>
      <c r="R1230" s="115"/>
      <c r="S1230" s="335">
        <v>43830</v>
      </c>
    </row>
    <row r="1231" spans="1:19" customFormat="1" ht="31.5">
      <c r="A1231" s="107">
        <f t="shared" si="352"/>
        <v>145</v>
      </c>
      <c r="B1231" s="305" t="s">
        <v>252</v>
      </c>
      <c r="C1231" s="118">
        <v>1986</v>
      </c>
      <c r="D1231" s="118"/>
      <c r="E1231" s="109" t="s">
        <v>218</v>
      </c>
      <c r="F1231" s="118">
        <v>9</v>
      </c>
      <c r="G1231" s="118">
        <v>1</v>
      </c>
      <c r="H1231" s="118"/>
      <c r="I1231" s="118"/>
      <c r="J1231" s="118"/>
      <c r="K1231" s="119"/>
      <c r="L1231" s="113">
        <v>1104857</v>
      </c>
      <c r="M1231" s="113">
        <v>0</v>
      </c>
      <c r="N1231" s="113">
        <v>0</v>
      </c>
      <c r="O1231" s="113">
        <f t="shared" si="350"/>
        <v>1104857</v>
      </c>
      <c r="P1231" s="113">
        <v>0</v>
      </c>
      <c r="Q1231" s="114" t="e">
        <f t="shared" si="351"/>
        <v>#DIV/0!</v>
      </c>
      <c r="R1231" s="115"/>
      <c r="S1231" s="335">
        <v>43830</v>
      </c>
    </row>
    <row r="1232" spans="1:19" customFormat="1" ht="31.5">
      <c r="A1232" s="107">
        <f t="shared" si="352"/>
        <v>146</v>
      </c>
      <c r="B1232" s="305" t="s">
        <v>304</v>
      </c>
      <c r="C1232" s="108">
        <v>1989</v>
      </c>
      <c r="D1232" s="108"/>
      <c r="E1232" s="109" t="s">
        <v>218</v>
      </c>
      <c r="F1232" s="110">
        <v>9</v>
      </c>
      <c r="G1232" s="110">
        <v>1</v>
      </c>
      <c r="H1232" s="111"/>
      <c r="I1232" s="111"/>
      <c r="J1232" s="111"/>
      <c r="K1232" s="112"/>
      <c r="L1232" s="113">
        <v>1877378</v>
      </c>
      <c r="M1232" s="113">
        <v>0</v>
      </c>
      <c r="N1232" s="113">
        <v>0</v>
      </c>
      <c r="O1232" s="113">
        <f t="shared" si="350"/>
        <v>1877378</v>
      </c>
      <c r="P1232" s="113">
        <v>0</v>
      </c>
      <c r="Q1232" s="114" t="e">
        <f t="shared" si="351"/>
        <v>#DIV/0!</v>
      </c>
      <c r="R1232" s="115"/>
      <c r="S1232" s="335">
        <v>43830</v>
      </c>
    </row>
    <row r="1233" spans="1:30" customFormat="1" ht="31.5">
      <c r="A1233" s="107">
        <f t="shared" si="352"/>
        <v>147</v>
      </c>
      <c r="B1233" s="305" t="s">
        <v>228</v>
      </c>
      <c r="C1233" s="118" t="s">
        <v>190</v>
      </c>
      <c r="D1233" s="118"/>
      <c r="E1233" s="109" t="s">
        <v>218</v>
      </c>
      <c r="F1233" s="118">
        <v>4</v>
      </c>
      <c r="G1233" s="118">
        <v>2</v>
      </c>
      <c r="H1233" s="118"/>
      <c r="I1233" s="118"/>
      <c r="J1233" s="118"/>
      <c r="K1233" s="119"/>
      <c r="L1233" s="113">
        <v>2945836</v>
      </c>
      <c r="M1233" s="113">
        <v>0</v>
      </c>
      <c r="N1233" s="113">
        <v>0</v>
      </c>
      <c r="O1233" s="113">
        <f t="shared" si="350"/>
        <v>2945836</v>
      </c>
      <c r="P1233" s="113">
        <v>0</v>
      </c>
      <c r="Q1233" s="114" t="e">
        <f t="shared" si="351"/>
        <v>#DIV/0!</v>
      </c>
      <c r="R1233" s="115"/>
      <c r="S1233" s="335">
        <v>43830</v>
      </c>
    </row>
    <row r="1234" spans="1:30" customFormat="1" ht="31.5">
      <c r="A1234" s="107">
        <f t="shared" si="352"/>
        <v>148</v>
      </c>
      <c r="B1234" s="305" t="s">
        <v>225</v>
      </c>
      <c r="C1234" s="118">
        <v>1932</v>
      </c>
      <c r="D1234" s="118"/>
      <c r="E1234" s="109" t="s">
        <v>218</v>
      </c>
      <c r="F1234" s="118">
        <v>5</v>
      </c>
      <c r="G1234" s="118">
        <v>5</v>
      </c>
      <c r="H1234" s="118"/>
      <c r="I1234" s="118"/>
      <c r="J1234" s="118"/>
      <c r="K1234" s="119"/>
      <c r="L1234" s="113">
        <v>1118494</v>
      </c>
      <c r="M1234" s="113">
        <v>0</v>
      </c>
      <c r="N1234" s="113">
        <v>0</v>
      </c>
      <c r="O1234" s="113">
        <f t="shared" si="350"/>
        <v>1118494</v>
      </c>
      <c r="P1234" s="113">
        <v>0</v>
      </c>
      <c r="Q1234" s="114" t="e">
        <f t="shared" si="351"/>
        <v>#DIV/0!</v>
      </c>
      <c r="R1234" s="115"/>
      <c r="S1234" s="335">
        <v>43830</v>
      </c>
    </row>
    <row r="1235" spans="1:30" customFormat="1" ht="31.5">
      <c r="A1235" s="107">
        <f t="shared" si="352"/>
        <v>149</v>
      </c>
      <c r="B1235" s="305" t="s">
        <v>232</v>
      </c>
      <c r="C1235" s="118" t="s">
        <v>190</v>
      </c>
      <c r="D1235" s="118"/>
      <c r="E1235" s="109" t="s">
        <v>218</v>
      </c>
      <c r="F1235" s="118">
        <v>3</v>
      </c>
      <c r="G1235" s="118">
        <v>2</v>
      </c>
      <c r="H1235" s="118"/>
      <c r="I1235" s="118"/>
      <c r="J1235" s="118"/>
      <c r="K1235" s="119"/>
      <c r="L1235" s="113">
        <v>2540427</v>
      </c>
      <c r="M1235" s="113">
        <v>0</v>
      </c>
      <c r="N1235" s="113">
        <v>0</v>
      </c>
      <c r="O1235" s="113">
        <f t="shared" si="350"/>
        <v>2540427</v>
      </c>
      <c r="P1235" s="113">
        <v>0</v>
      </c>
      <c r="Q1235" s="114" t="e">
        <f t="shared" si="351"/>
        <v>#DIV/0!</v>
      </c>
      <c r="R1235" s="115"/>
      <c r="S1235" s="335">
        <v>43830</v>
      </c>
    </row>
    <row r="1236" spans="1:30" customFormat="1" ht="31.5">
      <c r="A1236" s="107">
        <f t="shared" si="352"/>
        <v>150</v>
      </c>
      <c r="B1236" s="305" t="s">
        <v>275</v>
      </c>
      <c r="C1236" s="107">
        <v>1951</v>
      </c>
      <c r="D1236" s="108"/>
      <c r="E1236" s="109" t="s">
        <v>218</v>
      </c>
      <c r="F1236" s="108">
        <v>3</v>
      </c>
      <c r="G1236" s="108">
        <v>3</v>
      </c>
      <c r="H1236" s="117"/>
      <c r="I1236" s="117"/>
      <c r="J1236" s="117"/>
      <c r="K1236" s="101"/>
      <c r="L1236" s="113">
        <v>2253297</v>
      </c>
      <c r="M1236" s="113">
        <v>0</v>
      </c>
      <c r="N1236" s="113">
        <v>0</v>
      </c>
      <c r="O1236" s="113">
        <f t="shared" si="350"/>
        <v>2253297</v>
      </c>
      <c r="P1236" s="113">
        <v>0</v>
      </c>
      <c r="Q1236" s="114" t="e">
        <f t="shared" si="351"/>
        <v>#DIV/0!</v>
      </c>
      <c r="R1236" s="115"/>
      <c r="S1236" s="335">
        <v>43830</v>
      </c>
    </row>
    <row r="1237" spans="1:30" customFormat="1" ht="21.75" customHeight="1">
      <c r="A1237" s="107">
        <f t="shared" si="352"/>
        <v>151</v>
      </c>
      <c r="B1237" s="305" t="s">
        <v>286</v>
      </c>
      <c r="C1237" s="108">
        <v>1971</v>
      </c>
      <c r="D1237" s="108"/>
      <c r="E1237" s="109" t="s">
        <v>219</v>
      </c>
      <c r="F1237" s="110">
        <v>5</v>
      </c>
      <c r="G1237" s="110">
        <v>4</v>
      </c>
      <c r="H1237" s="111"/>
      <c r="I1237" s="111"/>
      <c r="J1237" s="111"/>
      <c r="K1237" s="112"/>
      <c r="L1237" s="113">
        <v>1390061</v>
      </c>
      <c r="M1237" s="113">
        <v>0</v>
      </c>
      <c r="N1237" s="113">
        <v>0</v>
      </c>
      <c r="O1237" s="113">
        <f t="shared" si="350"/>
        <v>1390061</v>
      </c>
      <c r="P1237" s="113">
        <v>0</v>
      </c>
      <c r="Q1237" s="114" t="e">
        <f t="shared" si="351"/>
        <v>#DIV/0!</v>
      </c>
      <c r="R1237" s="115"/>
      <c r="S1237" s="335">
        <v>43830</v>
      </c>
    </row>
    <row r="1238" spans="1:30" customFormat="1" ht="31.5">
      <c r="A1238" s="107">
        <f t="shared" si="352"/>
        <v>152</v>
      </c>
      <c r="B1238" s="301" t="s">
        <v>342</v>
      </c>
      <c r="C1238" s="107">
        <v>1961</v>
      </c>
      <c r="D1238" s="108"/>
      <c r="E1238" s="109" t="s">
        <v>218</v>
      </c>
      <c r="F1238" s="108">
        <v>5</v>
      </c>
      <c r="G1238" s="108">
        <v>4</v>
      </c>
      <c r="H1238" s="117"/>
      <c r="I1238" s="117"/>
      <c r="J1238" s="117"/>
      <c r="K1238" s="101"/>
      <c r="L1238" s="113">
        <v>3213804</v>
      </c>
      <c r="M1238" s="113">
        <v>0</v>
      </c>
      <c r="N1238" s="113">
        <v>0</v>
      </c>
      <c r="O1238" s="113">
        <f t="shared" si="350"/>
        <v>3213804</v>
      </c>
      <c r="P1238" s="113">
        <v>0</v>
      </c>
      <c r="Q1238" s="114" t="e">
        <f t="shared" si="351"/>
        <v>#DIV/0!</v>
      </c>
      <c r="R1238" s="115"/>
      <c r="S1238" s="335">
        <v>43830</v>
      </c>
    </row>
    <row r="1239" spans="1:30" customFormat="1" ht="31.5">
      <c r="A1239" s="107">
        <f t="shared" si="352"/>
        <v>153</v>
      </c>
      <c r="B1239" s="305" t="s">
        <v>298</v>
      </c>
      <c r="C1239" s="108">
        <v>1958</v>
      </c>
      <c r="D1239" s="108"/>
      <c r="E1239" s="109" t="s">
        <v>218</v>
      </c>
      <c r="F1239" s="110">
        <v>4</v>
      </c>
      <c r="G1239" s="110">
        <v>3</v>
      </c>
      <c r="H1239" s="111"/>
      <c r="I1239" s="111"/>
      <c r="J1239" s="111"/>
      <c r="K1239" s="112"/>
      <c r="L1239" s="113">
        <v>3202371</v>
      </c>
      <c r="M1239" s="113">
        <v>0</v>
      </c>
      <c r="N1239" s="113">
        <v>0</v>
      </c>
      <c r="O1239" s="113">
        <f t="shared" si="350"/>
        <v>3202371</v>
      </c>
      <c r="P1239" s="113">
        <v>0</v>
      </c>
      <c r="Q1239" s="114" t="e">
        <f t="shared" si="351"/>
        <v>#DIV/0!</v>
      </c>
      <c r="R1239" s="115"/>
      <c r="S1239" s="335">
        <v>43830</v>
      </c>
    </row>
    <row r="1240" spans="1:30" s="3" customFormat="1" ht="31.5">
      <c r="A1240" s="107">
        <f t="shared" si="352"/>
        <v>154</v>
      </c>
      <c r="B1240" s="305" t="s">
        <v>253</v>
      </c>
      <c r="C1240" s="118">
        <v>1959</v>
      </c>
      <c r="D1240" s="118"/>
      <c r="E1240" s="109" t="s">
        <v>218</v>
      </c>
      <c r="F1240" s="118">
        <v>2</v>
      </c>
      <c r="G1240" s="118">
        <v>1</v>
      </c>
      <c r="H1240" s="118"/>
      <c r="I1240" s="118"/>
      <c r="J1240" s="118"/>
      <c r="K1240" s="119"/>
      <c r="L1240" s="113">
        <v>709022</v>
      </c>
      <c r="M1240" s="113">
        <v>0</v>
      </c>
      <c r="N1240" s="113">
        <v>0</v>
      </c>
      <c r="O1240" s="113">
        <f t="shared" si="350"/>
        <v>709022</v>
      </c>
      <c r="P1240" s="113">
        <v>0</v>
      </c>
      <c r="Q1240" s="114" t="e">
        <f t="shared" si="351"/>
        <v>#DIV/0!</v>
      </c>
      <c r="R1240" s="115"/>
      <c r="S1240" s="335">
        <v>43830</v>
      </c>
      <c r="T1240"/>
      <c r="U1240"/>
      <c r="V1240"/>
      <c r="W1240"/>
      <c r="X1240"/>
      <c r="Y1240"/>
      <c r="Z1240"/>
      <c r="AA1240"/>
      <c r="AB1240"/>
      <c r="AC1240"/>
      <c r="AD1240"/>
    </row>
    <row r="1241" spans="1:30" customFormat="1" ht="31.5">
      <c r="A1241" s="107">
        <f t="shared" si="352"/>
        <v>155</v>
      </c>
      <c r="B1241" s="305" t="s">
        <v>260</v>
      </c>
      <c r="C1241" s="118">
        <v>1958</v>
      </c>
      <c r="D1241" s="118"/>
      <c r="E1241" s="109" t="s">
        <v>218</v>
      </c>
      <c r="F1241" s="118">
        <v>2</v>
      </c>
      <c r="G1241" s="118">
        <v>1</v>
      </c>
      <c r="H1241" s="118"/>
      <c r="I1241" s="118"/>
      <c r="J1241" s="118"/>
      <c r="K1241" s="119"/>
      <c r="L1241" s="113">
        <v>1136930</v>
      </c>
      <c r="M1241" s="113">
        <v>0</v>
      </c>
      <c r="N1241" s="113">
        <v>0</v>
      </c>
      <c r="O1241" s="113">
        <f t="shared" si="350"/>
        <v>1136930</v>
      </c>
      <c r="P1241" s="113">
        <v>0</v>
      </c>
      <c r="Q1241" s="114" t="e">
        <f t="shared" si="351"/>
        <v>#DIV/0!</v>
      </c>
      <c r="R1241" s="115"/>
      <c r="S1241" s="335">
        <v>43830</v>
      </c>
    </row>
    <row r="1242" spans="1:30" customFormat="1" ht="31.5">
      <c r="A1242" s="107">
        <f t="shared" si="352"/>
        <v>156</v>
      </c>
      <c r="B1242" s="305" t="s">
        <v>349</v>
      </c>
      <c r="C1242" s="108">
        <v>1958</v>
      </c>
      <c r="D1242" s="108"/>
      <c r="E1242" s="109" t="s">
        <v>218</v>
      </c>
      <c r="F1242" s="110">
        <v>2</v>
      </c>
      <c r="G1242" s="110">
        <v>2</v>
      </c>
      <c r="H1242" s="111"/>
      <c r="I1242" s="111"/>
      <c r="J1242" s="111"/>
      <c r="K1242" s="112"/>
      <c r="L1242" s="113">
        <v>1320636</v>
      </c>
      <c r="M1242" s="113">
        <v>0</v>
      </c>
      <c r="N1242" s="113">
        <v>0</v>
      </c>
      <c r="O1242" s="113">
        <f t="shared" si="350"/>
        <v>1320636</v>
      </c>
      <c r="P1242" s="113">
        <v>0</v>
      </c>
      <c r="Q1242" s="114" t="e">
        <f t="shared" si="351"/>
        <v>#DIV/0!</v>
      </c>
      <c r="R1242" s="115"/>
      <c r="S1242" s="335">
        <v>43830</v>
      </c>
    </row>
    <row r="1243" spans="1:30" customFormat="1" ht="15.75">
      <c r="A1243" s="107">
        <f t="shared" si="352"/>
        <v>157</v>
      </c>
      <c r="B1243" s="305" t="s">
        <v>302</v>
      </c>
      <c r="C1243" s="108">
        <v>1986</v>
      </c>
      <c r="D1243" s="108"/>
      <c r="E1243" s="109" t="s">
        <v>219</v>
      </c>
      <c r="F1243" s="110">
        <v>9</v>
      </c>
      <c r="G1243" s="110">
        <v>3</v>
      </c>
      <c r="H1243" s="111"/>
      <c r="I1243" s="111"/>
      <c r="J1243" s="111"/>
      <c r="K1243" s="112"/>
      <c r="L1243" s="113">
        <v>4265098</v>
      </c>
      <c r="M1243" s="113">
        <v>0</v>
      </c>
      <c r="N1243" s="113">
        <v>0</v>
      </c>
      <c r="O1243" s="113">
        <f t="shared" si="350"/>
        <v>4265098</v>
      </c>
      <c r="P1243" s="113">
        <v>0</v>
      </c>
      <c r="Q1243" s="114" t="e">
        <f t="shared" si="351"/>
        <v>#DIV/0!</v>
      </c>
      <c r="R1243" s="115"/>
      <c r="S1243" s="335">
        <v>43830</v>
      </c>
    </row>
    <row r="1244" spans="1:30" customFormat="1" ht="31.5">
      <c r="A1244" s="107">
        <f t="shared" si="352"/>
        <v>158</v>
      </c>
      <c r="B1244" s="305" t="s">
        <v>341</v>
      </c>
      <c r="C1244" s="107">
        <v>1963</v>
      </c>
      <c r="D1244" s="108"/>
      <c r="E1244" s="109" t="s">
        <v>218</v>
      </c>
      <c r="F1244" s="108">
        <v>4</v>
      </c>
      <c r="G1244" s="108">
        <v>4</v>
      </c>
      <c r="H1244" s="117"/>
      <c r="I1244" s="117"/>
      <c r="J1244" s="117"/>
      <c r="K1244" s="101"/>
      <c r="L1244" s="113">
        <v>2115890</v>
      </c>
      <c r="M1244" s="113">
        <v>0</v>
      </c>
      <c r="N1244" s="113">
        <v>0</v>
      </c>
      <c r="O1244" s="113">
        <f t="shared" si="350"/>
        <v>2115890</v>
      </c>
      <c r="P1244" s="113">
        <v>0</v>
      </c>
      <c r="Q1244" s="114" t="e">
        <f t="shared" si="351"/>
        <v>#DIV/0!</v>
      </c>
      <c r="R1244" s="115"/>
      <c r="S1244" s="335">
        <v>43830</v>
      </c>
    </row>
    <row r="1245" spans="1:30" customFormat="1" ht="31.5">
      <c r="A1245" s="107">
        <f t="shared" si="352"/>
        <v>159</v>
      </c>
      <c r="B1245" s="301" t="s">
        <v>242</v>
      </c>
      <c r="C1245" s="118">
        <v>1961</v>
      </c>
      <c r="D1245" s="118"/>
      <c r="E1245" s="109" t="s">
        <v>218</v>
      </c>
      <c r="F1245" s="118">
        <v>3</v>
      </c>
      <c r="G1245" s="118">
        <v>2</v>
      </c>
      <c r="H1245" s="118"/>
      <c r="I1245" s="118"/>
      <c r="J1245" s="118"/>
      <c r="K1245" s="119"/>
      <c r="L1245" s="113">
        <v>482251.51</v>
      </c>
      <c r="M1245" s="113">
        <v>0</v>
      </c>
      <c r="N1245" s="113">
        <v>0</v>
      </c>
      <c r="O1245" s="113">
        <f t="shared" si="350"/>
        <v>482251.51</v>
      </c>
      <c r="P1245" s="113">
        <v>0</v>
      </c>
      <c r="Q1245" s="114" t="e">
        <f t="shared" si="351"/>
        <v>#DIV/0!</v>
      </c>
      <c r="R1245" s="115"/>
      <c r="S1245" s="335">
        <v>43830</v>
      </c>
    </row>
    <row r="1246" spans="1:30" customFormat="1" ht="31.5">
      <c r="A1246" s="107">
        <f t="shared" si="352"/>
        <v>160</v>
      </c>
      <c r="B1246" s="305" t="s">
        <v>279</v>
      </c>
      <c r="C1246" s="107">
        <v>1959</v>
      </c>
      <c r="D1246" s="108"/>
      <c r="E1246" s="109" t="s">
        <v>218</v>
      </c>
      <c r="F1246" s="108">
        <v>3</v>
      </c>
      <c r="G1246" s="108">
        <v>2</v>
      </c>
      <c r="H1246" s="117"/>
      <c r="I1246" s="117"/>
      <c r="J1246" s="117"/>
      <c r="K1246" s="101"/>
      <c r="L1246" s="113">
        <v>1018040.92</v>
      </c>
      <c r="M1246" s="113">
        <v>0</v>
      </c>
      <c r="N1246" s="113">
        <v>0</v>
      </c>
      <c r="O1246" s="113">
        <f t="shared" si="350"/>
        <v>1018040.92</v>
      </c>
      <c r="P1246" s="113">
        <v>0</v>
      </c>
      <c r="Q1246" s="114" t="e">
        <f t="shared" si="351"/>
        <v>#DIV/0!</v>
      </c>
      <c r="R1246" s="115"/>
      <c r="S1246" s="335">
        <v>43830</v>
      </c>
    </row>
    <row r="1247" spans="1:30" customFormat="1" ht="31.5">
      <c r="A1247" s="107">
        <f t="shared" si="352"/>
        <v>161</v>
      </c>
      <c r="B1247" s="305" t="s">
        <v>262</v>
      </c>
      <c r="C1247" s="118">
        <v>1977</v>
      </c>
      <c r="D1247" s="118"/>
      <c r="E1247" s="109" t="s">
        <v>218</v>
      </c>
      <c r="F1247" s="118">
        <v>9</v>
      </c>
      <c r="G1247" s="118">
        <v>1</v>
      </c>
      <c r="H1247" s="118"/>
      <c r="I1247" s="118"/>
      <c r="J1247" s="118"/>
      <c r="K1247" s="119"/>
      <c r="L1247" s="113">
        <v>1871554</v>
      </c>
      <c r="M1247" s="113">
        <v>0</v>
      </c>
      <c r="N1247" s="113">
        <v>0</v>
      </c>
      <c r="O1247" s="113">
        <f t="shared" si="350"/>
        <v>1871554</v>
      </c>
      <c r="P1247" s="113">
        <v>0</v>
      </c>
      <c r="Q1247" s="114" t="e">
        <f t="shared" si="351"/>
        <v>#DIV/0!</v>
      </c>
      <c r="R1247" s="115"/>
      <c r="S1247" s="335">
        <v>43830</v>
      </c>
    </row>
    <row r="1248" spans="1:30" customFormat="1" ht="31.5">
      <c r="A1248" s="107">
        <f t="shared" si="352"/>
        <v>162</v>
      </c>
      <c r="B1248" s="301" t="s">
        <v>290</v>
      </c>
      <c r="C1248" s="108">
        <v>1974</v>
      </c>
      <c r="D1248" s="108"/>
      <c r="E1248" s="109" t="s">
        <v>218</v>
      </c>
      <c r="F1248" s="110">
        <v>5</v>
      </c>
      <c r="G1248" s="110">
        <v>4</v>
      </c>
      <c r="H1248" s="111"/>
      <c r="I1248" s="111"/>
      <c r="J1248" s="111"/>
      <c r="K1248" s="112"/>
      <c r="L1248" s="113">
        <v>2652530</v>
      </c>
      <c r="M1248" s="113">
        <v>0</v>
      </c>
      <c r="N1248" s="113">
        <v>0</v>
      </c>
      <c r="O1248" s="113">
        <f t="shared" si="350"/>
        <v>2652530</v>
      </c>
      <c r="P1248" s="113">
        <v>0</v>
      </c>
      <c r="Q1248" s="114" t="e">
        <f t="shared" si="351"/>
        <v>#DIV/0!</v>
      </c>
      <c r="R1248" s="115"/>
      <c r="S1248" s="335">
        <v>43830</v>
      </c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</row>
    <row r="1249" spans="1:30" customFormat="1" ht="15.75">
      <c r="A1249" s="107">
        <f t="shared" si="352"/>
        <v>163</v>
      </c>
      <c r="B1249" s="305" t="s">
        <v>356</v>
      </c>
      <c r="C1249" s="108">
        <v>1974</v>
      </c>
      <c r="D1249" s="108"/>
      <c r="E1249" s="109" t="s">
        <v>219</v>
      </c>
      <c r="F1249" s="110">
        <v>5</v>
      </c>
      <c r="G1249" s="110">
        <v>6</v>
      </c>
      <c r="H1249" s="111"/>
      <c r="I1249" s="111"/>
      <c r="J1249" s="111"/>
      <c r="K1249" s="112"/>
      <c r="L1249" s="113">
        <v>3645969</v>
      </c>
      <c r="M1249" s="113">
        <v>0</v>
      </c>
      <c r="N1249" s="113">
        <v>0</v>
      </c>
      <c r="O1249" s="113">
        <f t="shared" si="350"/>
        <v>3645969</v>
      </c>
      <c r="P1249" s="113">
        <v>0</v>
      </c>
      <c r="Q1249" s="114" t="e">
        <f t="shared" si="351"/>
        <v>#DIV/0!</v>
      </c>
      <c r="R1249" s="115"/>
      <c r="S1249" s="335">
        <v>43830</v>
      </c>
    </row>
    <row r="1250" spans="1:30" s="62" customFormat="1" ht="15.75">
      <c r="A1250" s="107">
        <f t="shared" si="352"/>
        <v>164</v>
      </c>
      <c r="B1250" s="305" t="s">
        <v>354</v>
      </c>
      <c r="C1250" s="107">
        <v>1986</v>
      </c>
      <c r="D1250" s="108"/>
      <c r="E1250" s="109" t="s">
        <v>219</v>
      </c>
      <c r="F1250" s="108">
        <v>9</v>
      </c>
      <c r="G1250" s="108">
        <v>1</v>
      </c>
      <c r="H1250" s="117"/>
      <c r="I1250" s="117"/>
      <c r="J1250" s="117"/>
      <c r="K1250" s="101"/>
      <c r="L1250" s="113">
        <v>771330</v>
      </c>
      <c r="M1250" s="113">
        <v>0</v>
      </c>
      <c r="N1250" s="113">
        <v>0</v>
      </c>
      <c r="O1250" s="113">
        <f t="shared" si="350"/>
        <v>771330</v>
      </c>
      <c r="P1250" s="113">
        <v>0</v>
      </c>
      <c r="Q1250" s="114" t="e">
        <f t="shared" si="351"/>
        <v>#DIV/0!</v>
      </c>
      <c r="R1250" s="115"/>
      <c r="S1250" s="335">
        <v>43830</v>
      </c>
      <c r="T1250"/>
      <c r="U1250"/>
      <c r="V1250"/>
      <c r="W1250"/>
      <c r="X1250"/>
      <c r="Y1250"/>
      <c r="Z1250"/>
      <c r="AA1250"/>
      <c r="AB1250"/>
      <c r="AC1250"/>
      <c r="AD1250"/>
    </row>
    <row r="1251" spans="1:30" customFormat="1" ht="15.75">
      <c r="A1251" s="107">
        <f t="shared" si="352"/>
        <v>165</v>
      </c>
      <c r="B1251" s="301" t="s">
        <v>352</v>
      </c>
      <c r="C1251" s="118">
        <v>1972</v>
      </c>
      <c r="D1251" s="118"/>
      <c r="E1251" s="109" t="s">
        <v>219</v>
      </c>
      <c r="F1251" s="118">
        <v>9</v>
      </c>
      <c r="G1251" s="118">
        <v>1</v>
      </c>
      <c r="H1251" s="118"/>
      <c r="I1251" s="118"/>
      <c r="J1251" s="118"/>
      <c r="K1251" s="119"/>
      <c r="L1251" s="113">
        <v>1894719</v>
      </c>
      <c r="M1251" s="113">
        <v>0</v>
      </c>
      <c r="N1251" s="113">
        <v>0</v>
      </c>
      <c r="O1251" s="113">
        <f t="shared" si="350"/>
        <v>1894719</v>
      </c>
      <c r="P1251" s="113">
        <v>0</v>
      </c>
      <c r="Q1251" s="114" t="e">
        <f t="shared" si="351"/>
        <v>#DIV/0!</v>
      </c>
      <c r="R1251" s="115"/>
      <c r="S1251" s="335">
        <v>43830</v>
      </c>
    </row>
    <row r="1252" spans="1:30" customFormat="1" ht="31.5">
      <c r="A1252" s="107">
        <f t="shared" si="352"/>
        <v>166</v>
      </c>
      <c r="B1252" s="305" t="s">
        <v>355</v>
      </c>
      <c r="C1252" s="107">
        <v>1964</v>
      </c>
      <c r="D1252" s="108"/>
      <c r="E1252" s="109" t="s">
        <v>218</v>
      </c>
      <c r="F1252" s="108">
        <v>5</v>
      </c>
      <c r="G1252" s="108">
        <v>3</v>
      </c>
      <c r="H1252" s="117"/>
      <c r="I1252" s="117"/>
      <c r="J1252" s="117"/>
      <c r="K1252" s="101"/>
      <c r="L1252" s="113">
        <v>1492412</v>
      </c>
      <c r="M1252" s="113">
        <v>0</v>
      </c>
      <c r="N1252" s="113">
        <v>0</v>
      </c>
      <c r="O1252" s="113">
        <f t="shared" si="350"/>
        <v>1492412</v>
      </c>
      <c r="P1252" s="113">
        <v>0</v>
      </c>
      <c r="Q1252" s="114" t="e">
        <f t="shared" si="351"/>
        <v>#DIV/0!</v>
      </c>
      <c r="R1252" s="115"/>
      <c r="S1252" s="335">
        <v>43830</v>
      </c>
    </row>
    <row r="1253" spans="1:30" customFormat="1" ht="31.5">
      <c r="A1253" s="107">
        <f t="shared" si="352"/>
        <v>167</v>
      </c>
      <c r="B1253" s="301" t="s">
        <v>318</v>
      </c>
      <c r="C1253" s="118">
        <v>1884</v>
      </c>
      <c r="D1253" s="118"/>
      <c r="E1253" s="109" t="s">
        <v>218</v>
      </c>
      <c r="F1253" s="118">
        <v>2</v>
      </c>
      <c r="G1253" s="118">
        <v>2</v>
      </c>
      <c r="H1253" s="118"/>
      <c r="I1253" s="118"/>
      <c r="J1253" s="118"/>
      <c r="K1253" s="119"/>
      <c r="L1253" s="113">
        <v>651523.25</v>
      </c>
      <c r="M1253" s="113">
        <v>0</v>
      </c>
      <c r="N1253" s="113">
        <v>0</v>
      </c>
      <c r="O1253" s="113">
        <f t="shared" si="350"/>
        <v>651523.25</v>
      </c>
      <c r="P1253" s="113">
        <v>0</v>
      </c>
      <c r="Q1253" s="114" t="e">
        <f t="shared" si="351"/>
        <v>#DIV/0!</v>
      </c>
      <c r="R1253" s="115"/>
      <c r="S1253" s="335">
        <v>43830</v>
      </c>
    </row>
    <row r="1254" spans="1:30" customFormat="1" ht="15.75">
      <c r="A1254" s="107">
        <f t="shared" si="352"/>
        <v>168</v>
      </c>
      <c r="B1254" s="305" t="s">
        <v>353</v>
      </c>
      <c r="C1254" s="118">
        <v>1948</v>
      </c>
      <c r="D1254" s="118"/>
      <c r="E1254" s="109" t="s">
        <v>220</v>
      </c>
      <c r="F1254" s="118">
        <v>2</v>
      </c>
      <c r="G1254" s="118">
        <v>2</v>
      </c>
      <c r="H1254" s="118"/>
      <c r="I1254" s="118"/>
      <c r="J1254" s="118"/>
      <c r="K1254" s="119"/>
      <c r="L1254" s="113">
        <v>1221424.83</v>
      </c>
      <c r="M1254" s="113">
        <v>0</v>
      </c>
      <c r="N1254" s="113">
        <v>0</v>
      </c>
      <c r="O1254" s="113">
        <f t="shared" si="350"/>
        <v>1221424.83</v>
      </c>
      <c r="P1254" s="113">
        <v>0</v>
      </c>
      <c r="Q1254" s="114" t="e">
        <f t="shared" si="351"/>
        <v>#DIV/0!</v>
      </c>
      <c r="R1254" s="115"/>
      <c r="S1254" s="335">
        <v>43830</v>
      </c>
    </row>
    <row r="1255" spans="1:30" s="1" customFormat="1" ht="30.6" customHeight="1">
      <c r="A1255" s="107"/>
      <c r="B1255" s="1364" t="s">
        <v>91</v>
      </c>
      <c r="C1255" s="1364"/>
      <c r="D1255" s="1364"/>
      <c r="E1255" s="1364"/>
      <c r="F1255" s="1365"/>
      <c r="G1255" s="1365"/>
      <c r="H1255" s="891">
        <f t="shared" ref="H1255:P1255" si="353">SUM(H1256:H1266)</f>
        <v>14224.600000000002</v>
      </c>
      <c r="I1255" s="891">
        <f t="shared" si="353"/>
        <v>11656.000000000002</v>
      </c>
      <c r="J1255" s="891">
        <f t="shared" si="353"/>
        <v>9609.0999999999985</v>
      </c>
      <c r="K1255" s="892">
        <f t="shared" si="353"/>
        <v>391</v>
      </c>
      <c r="L1255" s="113">
        <f t="shared" si="353"/>
        <v>20085822.140000001</v>
      </c>
      <c r="M1255" s="113">
        <f t="shared" si="353"/>
        <v>0</v>
      </c>
      <c r="N1255" s="113">
        <f t="shared" si="353"/>
        <v>0</v>
      </c>
      <c r="O1255" s="113">
        <f t="shared" si="353"/>
        <v>20085822.140000001</v>
      </c>
      <c r="P1255" s="113">
        <f t="shared" si="353"/>
        <v>0</v>
      </c>
      <c r="Q1255" s="106" t="s">
        <v>40</v>
      </c>
      <c r="R1255" s="106" t="s">
        <v>40</v>
      </c>
      <c r="S1255" s="335">
        <v>43830</v>
      </c>
    </row>
    <row r="1256" spans="1:30" s="30" customFormat="1" ht="21.6" customHeight="1">
      <c r="A1256" s="107">
        <v>1</v>
      </c>
      <c r="B1256" s="889" t="s">
        <v>963</v>
      </c>
      <c r="C1256" s="108">
        <v>1938</v>
      </c>
      <c r="D1256" s="108"/>
      <c r="E1256" s="611" t="s">
        <v>962</v>
      </c>
      <c r="F1256" s="764">
        <v>1</v>
      </c>
      <c r="G1256" s="764">
        <v>1</v>
      </c>
      <c r="H1256" s="764">
        <v>178.4</v>
      </c>
      <c r="I1256" s="764">
        <v>167.5</v>
      </c>
      <c r="J1256" s="764">
        <v>178.4</v>
      </c>
      <c r="K1256" s="764">
        <v>8</v>
      </c>
      <c r="L1256" s="655">
        <f>O1256</f>
        <v>568539.85</v>
      </c>
      <c r="M1256" s="113">
        <v>0</v>
      </c>
      <c r="N1256" s="113">
        <v>0</v>
      </c>
      <c r="O1256" s="113">
        <v>568539.85</v>
      </c>
      <c r="P1256" s="113">
        <v>0</v>
      </c>
      <c r="Q1256" s="114">
        <f t="shared" ref="Q1256:Q1266" si="354">L1256/I1256</f>
        <v>3394.2677611940298</v>
      </c>
      <c r="R1256" s="114">
        <v>7920</v>
      </c>
      <c r="S1256" s="335">
        <v>43830</v>
      </c>
    </row>
    <row r="1257" spans="1:30" s="30" customFormat="1" ht="29.45" customHeight="1">
      <c r="A1257" s="107">
        <v>2</v>
      </c>
      <c r="B1257" s="889" t="s">
        <v>964</v>
      </c>
      <c r="C1257" s="108">
        <v>1917</v>
      </c>
      <c r="D1257" s="108"/>
      <c r="E1257" s="611" t="s">
        <v>962</v>
      </c>
      <c r="F1257" s="764">
        <v>2</v>
      </c>
      <c r="G1257" s="764">
        <v>1</v>
      </c>
      <c r="H1257" s="764">
        <v>153.19999999999999</v>
      </c>
      <c r="I1257" s="764">
        <v>140.69999999999999</v>
      </c>
      <c r="J1257" s="764">
        <v>117.3</v>
      </c>
      <c r="K1257" s="764">
        <v>7</v>
      </c>
      <c r="L1257" s="655">
        <f t="shared" ref="L1257:L1266" si="355">O1257</f>
        <v>690413</v>
      </c>
      <c r="M1257" s="113">
        <v>0</v>
      </c>
      <c r="N1257" s="113">
        <v>0</v>
      </c>
      <c r="O1257" s="113">
        <v>690413</v>
      </c>
      <c r="P1257" s="113">
        <v>0</v>
      </c>
      <c r="Q1257" s="114">
        <f t="shared" si="354"/>
        <v>4906.9864960909745</v>
      </c>
      <c r="R1257" s="114">
        <v>7920</v>
      </c>
      <c r="S1257" s="335">
        <v>43830</v>
      </c>
    </row>
    <row r="1258" spans="1:30" s="30" customFormat="1" ht="31.5">
      <c r="A1258" s="107">
        <v>3</v>
      </c>
      <c r="B1258" s="889" t="s">
        <v>965</v>
      </c>
      <c r="C1258" s="108">
        <v>1959</v>
      </c>
      <c r="D1258" s="108"/>
      <c r="E1258" s="611" t="s">
        <v>974</v>
      </c>
      <c r="F1258" s="764">
        <v>2</v>
      </c>
      <c r="G1258" s="764">
        <v>2</v>
      </c>
      <c r="H1258" s="764">
        <v>671.6</v>
      </c>
      <c r="I1258" s="764">
        <v>671.1</v>
      </c>
      <c r="J1258" s="764">
        <v>659.2</v>
      </c>
      <c r="K1258" s="764">
        <v>21</v>
      </c>
      <c r="L1258" s="655">
        <f t="shared" si="355"/>
        <v>1677206</v>
      </c>
      <c r="M1258" s="113">
        <v>0</v>
      </c>
      <c r="N1258" s="113">
        <v>0</v>
      </c>
      <c r="O1258" s="113">
        <v>1677206</v>
      </c>
      <c r="P1258" s="113">
        <v>0</v>
      </c>
      <c r="Q1258" s="114">
        <f t="shared" si="354"/>
        <v>2499.1893905528236</v>
      </c>
      <c r="R1258" s="114">
        <v>7920</v>
      </c>
      <c r="S1258" s="335">
        <v>43830</v>
      </c>
    </row>
    <row r="1259" spans="1:30" s="30" customFormat="1" ht="31.5">
      <c r="A1259" s="107">
        <v>4</v>
      </c>
      <c r="B1259" s="889" t="s">
        <v>966</v>
      </c>
      <c r="C1259" s="108">
        <v>1960</v>
      </c>
      <c r="D1259" s="108"/>
      <c r="E1259" s="611" t="s">
        <v>218</v>
      </c>
      <c r="F1259" s="764">
        <v>2</v>
      </c>
      <c r="G1259" s="764">
        <v>2</v>
      </c>
      <c r="H1259" s="764">
        <v>620.70000000000005</v>
      </c>
      <c r="I1259" s="764">
        <v>620.70000000000005</v>
      </c>
      <c r="J1259" s="764">
        <v>591.5</v>
      </c>
      <c r="K1259" s="764">
        <v>23</v>
      </c>
      <c r="L1259" s="655">
        <f t="shared" si="355"/>
        <v>1912197</v>
      </c>
      <c r="M1259" s="113">
        <v>0</v>
      </c>
      <c r="N1259" s="113">
        <v>0</v>
      </c>
      <c r="O1259" s="113">
        <v>1912197</v>
      </c>
      <c r="P1259" s="113">
        <v>0</v>
      </c>
      <c r="Q1259" s="114">
        <f t="shared" si="354"/>
        <v>3080.7104881585306</v>
      </c>
      <c r="R1259" s="114">
        <v>7920</v>
      </c>
      <c r="S1259" s="335">
        <v>43830</v>
      </c>
    </row>
    <row r="1260" spans="1:30" s="30" customFormat="1" ht="31.5">
      <c r="A1260" s="107">
        <v>5</v>
      </c>
      <c r="B1260" s="889" t="s">
        <v>967</v>
      </c>
      <c r="C1260" s="108">
        <v>1960</v>
      </c>
      <c r="D1260" s="108"/>
      <c r="E1260" s="611" t="s">
        <v>218</v>
      </c>
      <c r="F1260" s="764">
        <v>3</v>
      </c>
      <c r="G1260" s="764">
        <v>3</v>
      </c>
      <c r="H1260" s="764">
        <v>1641.6</v>
      </c>
      <c r="I1260" s="764">
        <v>1533.4</v>
      </c>
      <c r="J1260" s="764">
        <v>1492.4</v>
      </c>
      <c r="K1260" s="764">
        <v>53</v>
      </c>
      <c r="L1260" s="655">
        <f t="shared" si="355"/>
        <v>2920191</v>
      </c>
      <c r="M1260" s="113">
        <v>0</v>
      </c>
      <c r="N1260" s="113">
        <v>0</v>
      </c>
      <c r="O1260" s="113">
        <v>2920191</v>
      </c>
      <c r="P1260" s="113">
        <v>0</v>
      </c>
      <c r="Q1260" s="114">
        <f t="shared" si="354"/>
        <v>1904.38959175688</v>
      </c>
      <c r="R1260" s="114">
        <v>7920</v>
      </c>
      <c r="S1260" s="335">
        <v>43830</v>
      </c>
    </row>
    <row r="1261" spans="1:30" s="30" customFormat="1" ht="21.6" customHeight="1">
      <c r="A1261" s="107">
        <v>6</v>
      </c>
      <c r="B1261" s="889" t="s">
        <v>968</v>
      </c>
      <c r="C1261" s="108">
        <v>1937</v>
      </c>
      <c r="D1261" s="108"/>
      <c r="E1261" s="611" t="s">
        <v>962</v>
      </c>
      <c r="F1261" s="764">
        <v>2</v>
      </c>
      <c r="G1261" s="764">
        <v>2</v>
      </c>
      <c r="H1261" s="764">
        <v>614.5</v>
      </c>
      <c r="I1261" s="764">
        <v>499.1</v>
      </c>
      <c r="J1261" s="764">
        <v>498.9</v>
      </c>
      <c r="K1261" s="764">
        <v>25</v>
      </c>
      <c r="L1261" s="655">
        <f t="shared" si="355"/>
        <v>1379030</v>
      </c>
      <c r="M1261" s="113">
        <v>0</v>
      </c>
      <c r="N1261" s="113">
        <v>0</v>
      </c>
      <c r="O1261" s="113">
        <v>1379030</v>
      </c>
      <c r="P1261" s="113">
        <v>0</v>
      </c>
      <c r="Q1261" s="114">
        <f t="shared" si="354"/>
        <v>2763.0334602284111</v>
      </c>
      <c r="R1261" s="114">
        <v>7920</v>
      </c>
      <c r="S1261" s="335">
        <v>43830</v>
      </c>
    </row>
    <row r="1262" spans="1:30" s="30" customFormat="1" ht="24.6" customHeight="1">
      <c r="A1262" s="107">
        <v>7</v>
      </c>
      <c r="B1262" s="889" t="s">
        <v>969</v>
      </c>
      <c r="C1262" s="108">
        <v>1958</v>
      </c>
      <c r="D1262" s="108"/>
      <c r="E1262" s="611" t="s">
        <v>962</v>
      </c>
      <c r="F1262" s="764">
        <v>2</v>
      </c>
      <c r="G1262" s="764">
        <v>1</v>
      </c>
      <c r="H1262" s="764">
        <v>414.3</v>
      </c>
      <c r="I1262" s="764">
        <v>296.8</v>
      </c>
      <c r="J1262" s="764">
        <v>206.2</v>
      </c>
      <c r="K1262" s="764">
        <v>12</v>
      </c>
      <c r="L1262" s="655">
        <f t="shared" si="355"/>
        <v>1053343</v>
      </c>
      <c r="M1262" s="113">
        <v>0</v>
      </c>
      <c r="N1262" s="113">
        <v>0</v>
      </c>
      <c r="O1262" s="113">
        <v>1053343</v>
      </c>
      <c r="P1262" s="113">
        <v>0</v>
      </c>
      <c r="Q1262" s="114">
        <f t="shared" si="354"/>
        <v>3548.9993261455525</v>
      </c>
      <c r="R1262" s="114">
        <v>7920</v>
      </c>
      <c r="S1262" s="335">
        <v>43830</v>
      </c>
    </row>
    <row r="1263" spans="1:30" s="30" customFormat="1" ht="24.6" customHeight="1">
      <c r="A1263" s="107">
        <v>8</v>
      </c>
      <c r="B1263" s="889" t="s">
        <v>970</v>
      </c>
      <c r="C1263" s="108">
        <v>1972</v>
      </c>
      <c r="D1263" s="108"/>
      <c r="E1263" s="611" t="s">
        <v>218</v>
      </c>
      <c r="F1263" s="764">
        <v>5</v>
      </c>
      <c r="G1263" s="764">
        <v>4</v>
      </c>
      <c r="H1263" s="764">
        <v>3992.9</v>
      </c>
      <c r="I1263" s="764">
        <v>2555.4</v>
      </c>
      <c r="J1263" s="764">
        <v>2298</v>
      </c>
      <c r="K1263" s="764">
        <v>101</v>
      </c>
      <c r="L1263" s="655">
        <f t="shared" si="355"/>
        <v>2217592</v>
      </c>
      <c r="M1263" s="113">
        <v>0</v>
      </c>
      <c r="N1263" s="113">
        <v>0</v>
      </c>
      <c r="O1263" s="113">
        <v>2217592</v>
      </c>
      <c r="P1263" s="113">
        <v>0</v>
      </c>
      <c r="Q1263" s="114">
        <f t="shared" si="354"/>
        <v>867.80621429130463</v>
      </c>
      <c r="R1263" s="114">
        <v>7920</v>
      </c>
      <c r="S1263" s="335">
        <v>43830</v>
      </c>
    </row>
    <row r="1264" spans="1:30" s="30" customFormat="1" ht="31.5">
      <c r="A1264" s="107">
        <v>9</v>
      </c>
      <c r="B1264" s="889" t="s">
        <v>971</v>
      </c>
      <c r="C1264" s="108">
        <v>1961</v>
      </c>
      <c r="D1264" s="108"/>
      <c r="E1264" s="611" t="s">
        <v>218</v>
      </c>
      <c r="F1264" s="764">
        <v>3</v>
      </c>
      <c r="G1264" s="764">
        <v>3</v>
      </c>
      <c r="H1264" s="764">
        <v>2465.9</v>
      </c>
      <c r="I1264" s="764">
        <v>2299.1</v>
      </c>
      <c r="J1264" s="764">
        <v>1233.4000000000001</v>
      </c>
      <c r="K1264" s="764">
        <v>48</v>
      </c>
      <c r="L1264" s="655">
        <f t="shared" si="355"/>
        <v>3519351</v>
      </c>
      <c r="M1264" s="113">
        <v>0</v>
      </c>
      <c r="N1264" s="113">
        <v>0</v>
      </c>
      <c r="O1264" s="113">
        <v>3519351</v>
      </c>
      <c r="P1264" s="113">
        <v>0</v>
      </c>
      <c r="Q1264" s="114">
        <f t="shared" si="354"/>
        <v>1530.751598451568</v>
      </c>
      <c r="R1264" s="114">
        <v>7920</v>
      </c>
      <c r="S1264" s="335">
        <v>43830</v>
      </c>
    </row>
    <row r="1265" spans="1:62" s="30" customFormat="1" ht="31.5">
      <c r="A1265" s="107">
        <v>10</v>
      </c>
      <c r="B1265" s="889" t="s">
        <v>972</v>
      </c>
      <c r="C1265" s="108">
        <v>1917</v>
      </c>
      <c r="D1265" s="108"/>
      <c r="E1265" s="611" t="s">
        <v>218</v>
      </c>
      <c r="F1265" s="764">
        <v>2</v>
      </c>
      <c r="G1265" s="764">
        <v>3</v>
      </c>
      <c r="H1265" s="764">
        <v>942.7</v>
      </c>
      <c r="I1265" s="764">
        <v>852.1</v>
      </c>
      <c r="J1265" s="764">
        <v>432</v>
      </c>
      <c r="K1265" s="764">
        <v>17</v>
      </c>
      <c r="L1265" s="655">
        <f t="shared" si="355"/>
        <v>1482982.29</v>
      </c>
      <c r="M1265" s="113">
        <v>0</v>
      </c>
      <c r="N1265" s="113">
        <v>0</v>
      </c>
      <c r="O1265" s="113">
        <v>1482982.29</v>
      </c>
      <c r="P1265" s="113">
        <v>0</v>
      </c>
      <c r="Q1265" s="114">
        <f t="shared" si="354"/>
        <v>1740.3852716817275</v>
      </c>
      <c r="R1265" s="114">
        <v>7920</v>
      </c>
      <c r="S1265" s="335">
        <v>43830</v>
      </c>
    </row>
    <row r="1266" spans="1:62" s="30" customFormat="1" ht="31.5">
      <c r="A1266" s="107">
        <v>11</v>
      </c>
      <c r="B1266" s="889" t="s">
        <v>973</v>
      </c>
      <c r="C1266" s="108">
        <v>1972</v>
      </c>
      <c r="D1266" s="108"/>
      <c r="E1266" s="611" t="s">
        <v>218</v>
      </c>
      <c r="F1266" s="764">
        <v>5</v>
      </c>
      <c r="G1266" s="764">
        <v>3</v>
      </c>
      <c r="H1266" s="764">
        <v>2528.8000000000002</v>
      </c>
      <c r="I1266" s="764">
        <v>2020.1</v>
      </c>
      <c r="J1266" s="764">
        <v>1901.8</v>
      </c>
      <c r="K1266" s="764">
        <v>76</v>
      </c>
      <c r="L1266" s="655">
        <f t="shared" si="355"/>
        <v>2664977</v>
      </c>
      <c r="M1266" s="113">
        <v>0</v>
      </c>
      <c r="N1266" s="113">
        <v>0</v>
      </c>
      <c r="O1266" s="113">
        <v>2664977</v>
      </c>
      <c r="P1266" s="113">
        <v>0</v>
      </c>
      <c r="Q1266" s="114">
        <f t="shared" si="354"/>
        <v>1319.2302361269244</v>
      </c>
      <c r="R1266" s="114">
        <v>7920</v>
      </c>
      <c r="S1266" s="335">
        <v>43830</v>
      </c>
    </row>
    <row r="1267" spans="1:62" s="30" customFormat="1" ht="15.75" customHeight="1">
      <c r="A1267" s="327"/>
      <c r="B1267" s="1366" t="s">
        <v>92</v>
      </c>
      <c r="C1267" s="1366"/>
      <c r="D1267" s="1366"/>
      <c r="E1267" s="1366"/>
      <c r="F1267" s="1367"/>
      <c r="G1267" s="1367"/>
      <c r="H1267" s="896">
        <f>H1268</f>
        <v>0</v>
      </c>
      <c r="I1267" s="896">
        <f t="shared" ref="I1267:P1267" si="356">I1268</f>
        <v>0</v>
      </c>
      <c r="J1267" s="896">
        <f t="shared" si="356"/>
        <v>0</v>
      </c>
      <c r="K1267" s="896">
        <f t="shared" si="356"/>
        <v>0</v>
      </c>
      <c r="L1267" s="897">
        <f t="shared" si="356"/>
        <v>0</v>
      </c>
      <c r="M1267" s="897">
        <f t="shared" si="356"/>
        <v>0</v>
      </c>
      <c r="N1267" s="897">
        <f t="shared" si="356"/>
        <v>0</v>
      </c>
      <c r="O1267" s="897">
        <f t="shared" si="356"/>
        <v>0</v>
      </c>
      <c r="P1267" s="897">
        <f t="shared" si="356"/>
        <v>0</v>
      </c>
      <c r="Q1267" s="334" t="s">
        <v>40</v>
      </c>
      <c r="R1267" s="664" t="s">
        <v>40</v>
      </c>
      <c r="S1267" s="335">
        <v>43830</v>
      </c>
    </row>
    <row r="1268" spans="1:62" s="1" customFormat="1" ht="15.75">
      <c r="A1268" s="327"/>
      <c r="B1268" s="396"/>
      <c r="C1268" s="367"/>
      <c r="D1268" s="367"/>
      <c r="E1268" s="330"/>
      <c r="F1268" s="367"/>
      <c r="G1268" s="367"/>
      <c r="H1268" s="368"/>
      <c r="I1268" s="367"/>
      <c r="J1268" s="367"/>
      <c r="K1268" s="370"/>
      <c r="L1268" s="333"/>
      <c r="M1268" s="333"/>
      <c r="N1268" s="333"/>
      <c r="O1268" s="333"/>
      <c r="P1268" s="333"/>
      <c r="Q1268" s="371"/>
      <c r="R1268" s="334"/>
      <c r="S1268" s="335"/>
    </row>
    <row r="1269" spans="1:62" s="1" customFormat="1" ht="15.75" customHeight="1">
      <c r="A1269" s="327"/>
      <c r="B1269" s="1364" t="s">
        <v>93</v>
      </c>
      <c r="C1269" s="1364"/>
      <c r="D1269" s="1364"/>
      <c r="E1269" s="1364"/>
      <c r="F1269" s="1364"/>
      <c r="G1269" s="1364"/>
      <c r="H1269" s="368">
        <f>SUM(H1270:H1273)</f>
        <v>16121.400000000001</v>
      </c>
      <c r="I1269" s="368">
        <f t="shared" ref="I1269:P1269" si="357">SUM(I1270:I1273)</f>
        <v>15093.3</v>
      </c>
      <c r="J1269" s="368">
        <f t="shared" si="357"/>
        <v>9440.59</v>
      </c>
      <c r="K1269" s="368">
        <f t="shared" si="357"/>
        <v>400</v>
      </c>
      <c r="L1269" s="697">
        <f t="shared" si="357"/>
        <v>12233600</v>
      </c>
      <c r="M1269" s="697">
        <f t="shared" si="357"/>
        <v>0</v>
      </c>
      <c r="N1269" s="697">
        <f t="shared" si="357"/>
        <v>0</v>
      </c>
      <c r="O1269" s="697">
        <f t="shared" si="357"/>
        <v>12233600</v>
      </c>
      <c r="P1269" s="697">
        <f t="shared" si="357"/>
        <v>0</v>
      </c>
      <c r="Q1269" s="356" t="s">
        <v>40</v>
      </c>
      <c r="R1269" s="356" t="s">
        <v>40</v>
      </c>
      <c r="S1269" s="335">
        <v>43830</v>
      </c>
    </row>
    <row r="1270" spans="1:62" s="1" customFormat="1" ht="15.75">
      <c r="A1270" s="327">
        <f>A1268+1</f>
        <v>1</v>
      </c>
      <c r="B1270" s="698" t="s">
        <v>790</v>
      </c>
      <c r="C1270" s="352">
        <v>1979</v>
      </c>
      <c r="D1270" s="352"/>
      <c r="E1270" s="330" t="s">
        <v>219</v>
      </c>
      <c r="F1270" s="355">
        <v>5</v>
      </c>
      <c r="G1270" s="355">
        <v>5</v>
      </c>
      <c r="H1270" s="574">
        <v>6227.3</v>
      </c>
      <c r="I1270" s="353">
        <v>6227.3</v>
      </c>
      <c r="J1270" s="353">
        <v>3788.52</v>
      </c>
      <c r="K1270" s="355">
        <v>174</v>
      </c>
      <c r="L1270" s="333">
        <v>3401438</v>
      </c>
      <c r="M1270" s="333">
        <v>0</v>
      </c>
      <c r="N1270" s="333">
        <v>0</v>
      </c>
      <c r="O1270" s="333">
        <f t="shared" ref="O1270:O1273" si="358">L1270</f>
        <v>3401438</v>
      </c>
      <c r="P1270" s="333">
        <v>0</v>
      </c>
      <c r="Q1270" s="356">
        <f>L1270/I1270</f>
        <v>546.21392899009197</v>
      </c>
      <c r="R1270" s="334">
        <v>7920</v>
      </c>
      <c r="S1270" s="335">
        <v>43830</v>
      </c>
    </row>
    <row r="1271" spans="1:62" s="1" customFormat="1" ht="15.75">
      <c r="A1271" s="327">
        <f t="shared" si="352"/>
        <v>2</v>
      </c>
      <c r="B1271" s="698" t="s">
        <v>791</v>
      </c>
      <c r="C1271" s="352">
        <v>1991</v>
      </c>
      <c r="D1271" s="352"/>
      <c r="E1271" s="330" t="s">
        <v>219</v>
      </c>
      <c r="F1271" s="355">
        <v>5</v>
      </c>
      <c r="G1271" s="355">
        <v>4</v>
      </c>
      <c r="H1271" s="574">
        <v>3557.4</v>
      </c>
      <c r="I1271" s="353">
        <v>3287.3</v>
      </c>
      <c r="J1271" s="353">
        <v>2188.1</v>
      </c>
      <c r="K1271" s="355">
        <v>79</v>
      </c>
      <c r="L1271" s="333">
        <v>2323942</v>
      </c>
      <c r="M1271" s="333">
        <v>0</v>
      </c>
      <c r="N1271" s="333">
        <v>0</v>
      </c>
      <c r="O1271" s="333">
        <f t="shared" si="358"/>
        <v>2323942</v>
      </c>
      <c r="P1271" s="333">
        <v>0</v>
      </c>
      <c r="Q1271" s="356">
        <f t="shared" ref="Q1271:Q1273" si="359">L1271/I1271</f>
        <v>706.94551759802869</v>
      </c>
      <c r="R1271" s="334">
        <v>7920</v>
      </c>
      <c r="S1271" s="335">
        <v>43830</v>
      </c>
    </row>
    <row r="1272" spans="1:62" s="1" customFormat="1" ht="31.5">
      <c r="A1272" s="327">
        <f t="shared" si="352"/>
        <v>3</v>
      </c>
      <c r="B1272" s="698" t="s">
        <v>792</v>
      </c>
      <c r="C1272" s="352">
        <v>1950</v>
      </c>
      <c r="D1272" s="352"/>
      <c r="E1272" s="330" t="s">
        <v>218</v>
      </c>
      <c r="F1272" s="355">
        <v>3</v>
      </c>
      <c r="G1272" s="355">
        <v>4</v>
      </c>
      <c r="H1272" s="574">
        <v>2375</v>
      </c>
      <c r="I1272" s="353">
        <v>2375</v>
      </c>
      <c r="J1272" s="353">
        <v>1480.89</v>
      </c>
      <c r="K1272" s="355">
        <v>54</v>
      </c>
      <c r="L1272" s="333">
        <v>4059506</v>
      </c>
      <c r="M1272" s="333">
        <v>0</v>
      </c>
      <c r="N1272" s="333">
        <v>0</v>
      </c>
      <c r="O1272" s="333">
        <f t="shared" si="358"/>
        <v>4059506</v>
      </c>
      <c r="P1272" s="333">
        <v>0</v>
      </c>
      <c r="Q1272" s="356">
        <f t="shared" si="359"/>
        <v>1709.2656842105264</v>
      </c>
      <c r="R1272" s="334">
        <v>7920</v>
      </c>
      <c r="S1272" s="335">
        <v>43830</v>
      </c>
    </row>
    <row r="1273" spans="1:62" s="1" customFormat="1" ht="15.75">
      <c r="A1273" s="327">
        <f t="shared" si="352"/>
        <v>4</v>
      </c>
      <c r="B1273" s="698" t="s">
        <v>793</v>
      </c>
      <c r="C1273" s="352">
        <v>1980</v>
      </c>
      <c r="D1273" s="352"/>
      <c r="E1273" s="330" t="s">
        <v>220</v>
      </c>
      <c r="F1273" s="355">
        <v>5</v>
      </c>
      <c r="G1273" s="355">
        <v>4</v>
      </c>
      <c r="H1273" s="574">
        <v>3961.7</v>
      </c>
      <c r="I1273" s="353">
        <v>3203.7</v>
      </c>
      <c r="J1273" s="353">
        <v>1983.08</v>
      </c>
      <c r="K1273" s="355">
        <v>93</v>
      </c>
      <c r="L1273" s="333">
        <v>2448714</v>
      </c>
      <c r="M1273" s="333">
        <v>0</v>
      </c>
      <c r="N1273" s="333">
        <v>0</v>
      </c>
      <c r="O1273" s="333">
        <f t="shared" si="358"/>
        <v>2448714</v>
      </c>
      <c r="P1273" s="333">
        <v>0</v>
      </c>
      <c r="Q1273" s="356">
        <f t="shared" si="359"/>
        <v>764.33935761775456</v>
      </c>
      <c r="R1273" s="334">
        <v>7920</v>
      </c>
      <c r="S1273" s="335">
        <v>43830</v>
      </c>
    </row>
    <row r="1274" spans="1:62" s="1" customFormat="1" ht="15.75">
      <c r="A1274" s="327"/>
      <c r="B1274" s="698"/>
      <c r="C1274" s="352"/>
      <c r="D1274" s="352"/>
      <c r="E1274" s="330"/>
      <c r="F1274" s="355"/>
      <c r="G1274" s="355"/>
      <c r="H1274" s="574"/>
      <c r="I1274" s="353"/>
      <c r="J1274" s="353"/>
      <c r="K1274" s="355"/>
      <c r="L1274" s="333"/>
      <c r="M1274" s="333"/>
      <c r="N1274" s="333"/>
      <c r="O1274" s="333"/>
      <c r="P1274" s="333"/>
      <c r="Q1274" s="356"/>
      <c r="R1274" s="334"/>
      <c r="S1274" s="335"/>
    </row>
    <row r="1275" spans="1:62" s="1" customFormat="1" ht="15.75">
      <c r="A1275" s="327"/>
      <c r="B1275" s="698"/>
      <c r="C1275" s="352"/>
      <c r="D1275" s="352"/>
      <c r="E1275" s="330"/>
      <c r="F1275" s="355"/>
      <c r="G1275" s="355"/>
      <c r="H1275" s="574"/>
      <c r="I1275" s="353"/>
      <c r="J1275" s="353"/>
      <c r="K1275" s="355"/>
      <c r="L1275" s="333"/>
      <c r="M1275" s="333"/>
      <c r="N1275" s="333"/>
      <c r="O1275" s="333"/>
      <c r="P1275" s="333"/>
      <c r="Q1275" s="356"/>
      <c r="R1275" s="334"/>
      <c r="S1275" s="335"/>
      <c r="T1275" s="10"/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10"/>
      <c r="BC1275" s="10"/>
      <c r="BD1275" s="10"/>
      <c r="BE1275" s="10"/>
      <c r="BF1275" s="10"/>
      <c r="BG1275" s="10"/>
      <c r="BH1275" s="10"/>
      <c r="BI1275" s="10"/>
      <c r="BJ1275" s="10"/>
    </row>
    <row r="1276" spans="1:62" s="1" customFormat="1" ht="15.75">
      <c r="A1276" s="327"/>
      <c r="B1276" s="698"/>
      <c r="C1276" s="352"/>
      <c r="D1276" s="352"/>
      <c r="E1276" s="330"/>
      <c r="F1276" s="355"/>
      <c r="G1276" s="355"/>
      <c r="H1276" s="574"/>
      <c r="I1276" s="353"/>
      <c r="J1276" s="353"/>
      <c r="K1276" s="355"/>
      <c r="L1276" s="333"/>
      <c r="M1276" s="333"/>
      <c r="N1276" s="333"/>
      <c r="O1276" s="333"/>
      <c r="P1276" s="333"/>
      <c r="Q1276" s="356"/>
      <c r="R1276" s="334"/>
      <c r="S1276" s="335"/>
      <c r="T1276" s="10"/>
      <c r="U1276" s="10"/>
      <c r="V1276" s="10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10"/>
      <c r="BC1276" s="10"/>
      <c r="BD1276" s="10"/>
      <c r="BE1276" s="10"/>
      <c r="BF1276" s="10"/>
      <c r="BG1276" s="10"/>
      <c r="BH1276" s="10"/>
      <c r="BI1276" s="10"/>
      <c r="BJ1276" s="10"/>
    </row>
    <row r="1277" spans="1:62" s="1" customFormat="1" ht="15.75">
      <c r="A1277" s="327"/>
      <c r="B1277" s="698"/>
      <c r="C1277" s="352"/>
      <c r="D1277" s="352"/>
      <c r="E1277" s="330"/>
      <c r="F1277" s="355"/>
      <c r="G1277" s="355"/>
      <c r="H1277" s="574"/>
      <c r="I1277" s="353"/>
      <c r="J1277" s="353"/>
      <c r="K1277" s="355"/>
      <c r="L1277" s="333"/>
      <c r="M1277" s="333"/>
      <c r="N1277" s="333"/>
      <c r="O1277" s="333"/>
      <c r="P1277" s="333"/>
      <c r="Q1277" s="356"/>
      <c r="R1277" s="334"/>
      <c r="S1277" s="335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  <c r="BE1277" s="10"/>
      <c r="BF1277" s="10"/>
      <c r="BG1277" s="10"/>
      <c r="BH1277" s="10"/>
      <c r="BI1277" s="10"/>
      <c r="BJ1277" s="10"/>
    </row>
    <row r="1278" spans="1:62" s="1" customFormat="1" ht="15.75">
      <c r="A1278" s="327"/>
      <c r="B1278" s="698"/>
      <c r="C1278" s="352"/>
      <c r="D1278" s="352"/>
      <c r="E1278" s="330"/>
      <c r="F1278" s="355"/>
      <c r="G1278" s="355"/>
      <c r="H1278" s="574"/>
      <c r="I1278" s="353"/>
      <c r="J1278" s="353"/>
      <c r="K1278" s="355"/>
      <c r="L1278" s="333"/>
      <c r="M1278" s="333"/>
      <c r="N1278" s="333"/>
      <c r="O1278" s="333"/>
      <c r="P1278" s="333"/>
      <c r="Q1278" s="356"/>
      <c r="R1278" s="334"/>
      <c r="S1278" s="335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  <c r="BE1278" s="10"/>
      <c r="BF1278" s="10"/>
      <c r="BG1278" s="10"/>
      <c r="BH1278" s="10"/>
      <c r="BI1278" s="10"/>
      <c r="BJ1278" s="10"/>
    </row>
    <row r="1279" spans="1:62" s="1" customFormat="1" ht="15.75">
      <c r="A1279" s="327"/>
      <c r="B1279" s="698"/>
      <c r="C1279" s="352"/>
      <c r="D1279" s="352"/>
      <c r="E1279" s="330"/>
      <c r="F1279" s="355"/>
      <c r="G1279" s="355"/>
      <c r="H1279" s="574"/>
      <c r="I1279" s="353"/>
      <c r="J1279" s="353"/>
      <c r="K1279" s="355"/>
      <c r="L1279" s="333"/>
      <c r="M1279" s="333"/>
      <c r="N1279" s="333"/>
      <c r="O1279" s="333"/>
      <c r="P1279" s="333"/>
      <c r="Q1279" s="356"/>
      <c r="R1279" s="334"/>
      <c r="S1279" s="335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  <c r="BE1279" s="10"/>
      <c r="BF1279" s="10"/>
      <c r="BG1279" s="10"/>
      <c r="BH1279" s="10"/>
      <c r="BI1279" s="10"/>
      <c r="BJ1279" s="10"/>
    </row>
    <row r="1280" spans="1:62" s="1" customFormat="1" ht="15.75">
      <c r="A1280" s="327"/>
      <c r="B1280" s="698"/>
      <c r="C1280" s="352"/>
      <c r="D1280" s="352"/>
      <c r="E1280" s="330"/>
      <c r="F1280" s="355"/>
      <c r="G1280" s="355"/>
      <c r="H1280" s="574"/>
      <c r="I1280" s="353"/>
      <c r="J1280" s="353"/>
      <c r="K1280" s="355"/>
      <c r="L1280" s="333"/>
      <c r="M1280" s="333"/>
      <c r="N1280" s="333"/>
      <c r="O1280" s="333"/>
      <c r="P1280" s="333"/>
      <c r="Q1280" s="356"/>
      <c r="R1280" s="334"/>
      <c r="S1280" s="335"/>
      <c r="T1280" s="10"/>
      <c r="U1280" s="10"/>
      <c r="V1280" s="10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10"/>
      <c r="BC1280" s="10"/>
      <c r="BD1280" s="10"/>
      <c r="BE1280" s="10"/>
      <c r="BF1280" s="10"/>
      <c r="BG1280" s="10"/>
      <c r="BH1280" s="10"/>
      <c r="BI1280" s="10"/>
      <c r="BJ1280" s="10"/>
    </row>
    <row r="1281" spans="1:62" s="1" customFormat="1" ht="15.75">
      <c r="A1281" s="327"/>
      <c r="B1281" s="698"/>
      <c r="C1281" s="352"/>
      <c r="D1281" s="352"/>
      <c r="E1281" s="330"/>
      <c r="F1281" s="355"/>
      <c r="G1281" s="355"/>
      <c r="H1281" s="574"/>
      <c r="I1281" s="353"/>
      <c r="J1281" s="353"/>
      <c r="K1281" s="355"/>
      <c r="L1281" s="333"/>
      <c r="M1281" s="333"/>
      <c r="N1281" s="333"/>
      <c r="O1281" s="333"/>
      <c r="P1281" s="333"/>
      <c r="Q1281" s="356"/>
      <c r="R1281" s="334"/>
      <c r="S1281" s="335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10"/>
      <c r="BC1281" s="10"/>
      <c r="BD1281" s="10"/>
      <c r="BE1281" s="10"/>
      <c r="BF1281" s="10"/>
      <c r="BG1281" s="10"/>
      <c r="BH1281" s="10"/>
      <c r="BI1281" s="10"/>
      <c r="BJ1281" s="10"/>
    </row>
    <row r="1282" spans="1:62" s="1" customFormat="1" ht="15.75">
      <c r="A1282" s="327"/>
      <c r="B1282" s="698"/>
      <c r="C1282" s="352"/>
      <c r="D1282" s="352"/>
      <c r="E1282" s="330"/>
      <c r="F1282" s="355"/>
      <c r="G1282" s="355"/>
      <c r="H1282" s="574"/>
      <c r="I1282" s="353"/>
      <c r="J1282" s="353"/>
      <c r="K1282" s="355"/>
      <c r="L1282" s="333"/>
      <c r="M1282" s="333"/>
      <c r="N1282" s="333"/>
      <c r="O1282" s="333"/>
      <c r="P1282" s="333"/>
      <c r="Q1282" s="356"/>
      <c r="R1282" s="334"/>
      <c r="S1282" s="335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  <c r="BE1282" s="10"/>
      <c r="BF1282" s="10"/>
      <c r="BG1282" s="10"/>
      <c r="BH1282" s="10"/>
      <c r="BI1282" s="10"/>
      <c r="BJ1282" s="10"/>
    </row>
    <row r="1283" spans="1:62" s="1" customFormat="1" ht="15.75">
      <c r="A1283" s="327"/>
      <c r="B1283" s="698"/>
      <c r="C1283" s="352"/>
      <c r="D1283" s="352"/>
      <c r="E1283" s="330"/>
      <c r="F1283" s="355"/>
      <c r="G1283" s="355"/>
      <c r="H1283" s="574"/>
      <c r="I1283" s="353"/>
      <c r="J1283" s="353"/>
      <c r="K1283" s="355"/>
      <c r="L1283" s="333"/>
      <c r="M1283" s="333"/>
      <c r="N1283" s="333"/>
      <c r="O1283" s="333"/>
      <c r="P1283" s="333"/>
      <c r="Q1283" s="356"/>
      <c r="R1283" s="334"/>
      <c r="S1283" s="335"/>
      <c r="T1283" s="10"/>
      <c r="U1283" s="10"/>
      <c r="V1283" s="10"/>
      <c r="W1283" s="10"/>
      <c r="X1283" s="10"/>
      <c r="Y1283" s="10"/>
      <c r="Z1283" s="10"/>
      <c r="AA1283" s="10"/>
      <c r="AB1283" s="10"/>
      <c r="AC1283" s="10"/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10"/>
      <c r="BC1283" s="10"/>
      <c r="BD1283" s="10"/>
      <c r="BE1283" s="10"/>
      <c r="BF1283" s="10"/>
      <c r="BG1283" s="10"/>
      <c r="BH1283" s="10"/>
      <c r="BI1283" s="10"/>
      <c r="BJ1283" s="10"/>
    </row>
    <row r="1284" spans="1:62" s="1" customFormat="1" ht="15.75">
      <c r="A1284" s="327"/>
      <c r="B1284" s="698"/>
      <c r="C1284" s="352"/>
      <c r="D1284" s="352"/>
      <c r="E1284" s="330"/>
      <c r="F1284" s="355"/>
      <c r="G1284" s="355"/>
      <c r="H1284" s="574"/>
      <c r="I1284" s="353"/>
      <c r="J1284" s="353"/>
      <c r="K1284" s="355"/>
      <c r="L1284" s="333"/>
      <c r="M1284" s="333"/>
      <c r="N1284" s="333"/>
      <c r="O1284" s="333"/>
      <c r="P1284" s="333"/>
      <c r="Q1284" s="356"/>
      <c r="R1284" s="334"/>
      <c r="S1284" s="335"/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10"/>
      <c r="BC1284" s="10"/>
      <c r="BD1284" s="10"/>
      <c r="BE1284" s="10"/>
      <c r="BF1284" s="10"/>
      <c r="BG1284" s="10"/>
      <c r="BH1284" s="10"/>
      <c r="BI1284" s="10"/>
      <c r="BJ1284" s="10"/>
    </row>
    <row r="1285" spans="1:62" s="1" customFormat="1" ht="15.75">
      <c r="A1285" s="327"/>
      <c r="B1285" s="698"/>
      <c r="C1285" s="352"/>
      <c r="D1285" s="352"/>
      <c r="E1285" s="330"/>
      <c r="F1285" s="355"/>
      <c r="G1285" s="355"/>
      <c r="H1285" s="574"/>
      <c r="I1285" s="353"/>
      <c r="J1285" s="353"/>
      <c r="K1285" s="355"/>
      <c r="L1285" s="333"/>
      <c r="M1285" s="333"/>
      <c r="N1285" s="333"/>
      <c r="O1285" s="333"/>
      <c r="P1285" s="333"/>
      <c r="Q1285" s="356"/>
      <c r="R1285" s="334"/>
      <c r="S1285" s="335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  <c r="BE1285" s="10"/>
      <c r="BF1285" s="10"/>
      <c r="BG1285" s="10"/>
      <c r="BH1285" s="10"/>
      <c r="BI1285" s="10"/>
      <c r="BJ1285" s="10"/>
    </row>
    <row r="1286" spans="1:62" s="1" customFormat="1" ht="15.75">
      <c r="A1286" s="327"/>
      <c r="B1286" s="698"/>
      <c r="C1286" s="352"/>
      <c r="D1286" s="352"/>
      <c r="E1286" s="330"/>
      <c r="F1286" s="355"/>
      <c r="G1286" s="355"/>
      <c r="H1286" s="574"/>
      <c r="I1286" s="353"/>
      <c r="J1286" s="353"/>
      <c r="K1286" s="355"/>
      <c r="L1286" s="333"/>
      <c r="M1286" s="333"/>
      <c r="N1286" s="333"/>
      <c r="O1286" s="333"/>
      <c r="P1286" s="333"/>
      <c r="Q1286" s="356"/>
      <c r="R1286" s="334"/>
      <c r="S1286" s="335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  <c r="BE1286" s="10"/>
      <c r="BF1286" s="10"/>
      <c r="BG1286" s="10"/>
      <c r="BH1286" s="10"/>
      <c r="BI1286" s="10"/>
      <c r="BJ1286" s="10"/>
    </row>
    <row r="1287" spans="1:62" s="1" customFormat="1" ht="15.75">
      <c r="A1287" s="327"/>
      <c r="B1287" s="698"/>
      <c r="C1287" s="352"/>
      <c r="D1287" s="352"/>
      <c r="E1287" s="330"/>
      <c r="F1287" s="355"/>
      <c r="G1287" s="355"/>
      <c r="H1287" s="574"/>
      <c r="I1287" s="353"/>
      <c r="J1287" s="353"/>
      <c r="K1287" s="355"/>
      <c r="L1287" s="333"/>
      <c r="M1287" s="333"/>
      <c r="N1287" s="333"/>
      <c r="O1287" s="333"/>
      <c r="P1287" s="333"/>
      <c r="Q1287" s="356"/>
      <c r="R1287" s="334"/>
      <c r="S1287" s="335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  <c r="BE1287" s="10"/>
      <c r="BF1287" s="10"/>
      <c r="BG1287" s="10"/>
      <c r="BH1287" s="10"/>
      <c r="BI1287" s="10"/>
      <c r="BJ1287" s="10"/>
    </row>
    <row r="1288" spans="1:62" s="1" customFormat="1" ht="15.75">
      <c r="A1288" s="327"/>
      <c r="B1288" s="698"/>
      <c r="C1288" s="352"/>
      <c r="D1288" s="352"/>
      <c r="E1288" s="330"/>
      <c r="F1288" s="355"/>
      <c r="G1288" s="355"/>
      <c r="H1288" s="574"/>
      <c r="I1288" s="353"/>
      <c r="J1288" s="353"/>
      <c r="K1288" s="355"/>
      <c r="L1288" s="333"/>
      <c r="M1288" s="333"/>
      <c r="N1288" s="333"/>
      <c r="O1288" s="333"/>
      <c r="P1288" s="333"/>
      <c r="Q1288" s="356"/>
      <c r="R1288" s="334"/>
      <c r="S1288" s="335"/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  <c r="BE1288" s="10"/>
      <c r="BF1288" s="10"/>
      <c r="BG1288" s="10"/>
      <c r="BH1288" s="10"/>
      <c r="BI1288" s="10"/>
      <c r="BJ1288" s="10"/>
    </row>
    <row r="1289" spans="1:62" s="1" customFormat="1" ht="15.75">
      <c r="A1289" s="327"/>
      <c r="B1289" s="698"/>
      <c r="C1289" s="352"/>
      <c r="D1289" s="352"/>
      <c r="E1289" s="330"/>
      <c r="F1289" s="355"/>
      <c r="G1289" s="355"/>
      <c r="H1289" s="574"/>
      <c r="I1289" s="353"/>
      <c r="J1289" s="353"/>
      <c r="K1289" s="355"/>
      <c r="L1289" s="333"/>
      <c r="M1289" s="333"/>
      <c r="N1289" s="333"/>
      <c r="O1289" s="333"/>
      <c r="P1289" s="333"/>
      <c r="Q1289" s="356"/>
      <c r="R1289" s="334"/>
      <c r="S1289" s="335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  <c r="BE1289" s="10"/>
      <c r="BF1289" s="10"/>
      <c r="BG1289" s="10"/>
      <c r="BH1289" s="10"/>
      <c r="BI1289" s="10"/>
      <c r="BJ1289" s="10"/>
    </row>
    <row r="1290" spans="1:62" s="1" customFormat="1" ht="15.75">
      <c r="A1290" s="327"/>
      <c r="B1290" s="698"/>
      <c r="C1290" s="352"/>
      <c r="D1290" s="352"/>
      <c r="E1290" s="330"/>
      <c r="F1290" s="355"/>
      <c r="G1290" s="355"/>
      <c r="H1290" s="574"/>
      <c r="I1290" s="353"/>
      <c r="J1290" s="353"/>
      <c r="K1290" s="355"/>
      <c r="L1290" s="333"/>
      <c r="M1290" s="333"/>
      <c r="N1290" s="333"/>
      <c r="O1290" s="333"/>
      <c r="P1290" s="333"/>
      <c r="Q1290" s="356"/>
      <c r="R1290" s="334"/>
      <c r="S1290" s="335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  <c r="BE1290" s="10"/>
      <c r="BF1290" s="10"/>
      <c r="BG1290" s="10"/>
      <c r="BH1290" s="10"/>
      <c r="BI1290" s="10"/>
      <c r="BJ1290" s="10"/>
    </row>
    <row r="1291" spans="1:62" s="1" customFormat="1" ht="15.75">
      <c r="A1291" s="327"/>
      <c r="B1291" s="698"/>
      <c r="C1291" s="352"/>
      <c r="D1291" s="352"/>
      <c r="E1291" s="330"/>
      <c r="F1291" s="355"/>
      <c r="G1291" s="355"/>
      <c r="H1291" s="574"/>
      <c r="I1291" s="353"/>
      <c r="J1291" s="353"/>
      <c r="K1291" s="355"/>
      <c r="L1291" s="333"/>
      <c r="M1291" s="333"/>
      <c r="N1291" s="333"/>
      <c r="O1291" s="333"/>
      <c r="P1291" s="333"/>
      <c r="Q1291" s="356"/>
      <c r="R1291" s="334"/>
      <c r="S1291" s="335"/>
      <c r="T1291" s="10"/>
      <c r="U1291" s="10"/>
      <c r="V1291" s="10"/>
      <c r="W1291" s="10"/>
      <c r="X1291" s="10"/>
      <c r="Y1291" s="10"/>
      <c r="Z1291" s="10"/>
      <c r="AA1291" s="10"/>
      <c r="AB1291" s="10"/>
      <c r="AC1291" s="10"/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10"/>
      <c r="BC1291" s="10"/>
      <c r="BD1291" s="10"/>
      <c r="BE1291" s="10"/>
      <c r="BF1291" s="10"/>
      <c r="BG1291" s="10"/>
      <c r="BH1291" s="10"/>
      <c r="BI1291" s="10"/>
      <c r="BJ1291" s="10"/>
    </row>
    <row r="1292" spans="1:62" s="1" customFormat="1" ht="15.75">
      <c r="A1292" s="327"/>
      <c r="B1292" s="698"/>
      <c r="C1292" s="352"/>
      <c r="D1292" s="352"/>
      <c r="E1292" s="330"/>
      <c r="F1292" s="355"/>
      <c r="G1292" s="355"/>
      <c r="H1292" s="574"/>
      <c r="I1292" s="353"/>
      <c r="J1292" s="353"/>
      <c r="K1292" s="355"/>
      <c r="L1292" s="333"/>
      <c r="M1292" s="333"/>
      <c r="N1292" s="333"/>
      <c r="O1292" s="333"/>
      <c r="P1292" s="333"/>
      <c r="Q1292" s="356"/>
      <c r="R1292" s="334"/>
      <c r="S1292" s="335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  <c r="BE1292" s="10"/>
      <c r="BF1292" s="10"/>
      <c r="BG1292" s="10"/>
      <c r="BH1292" s="10"/>
      <c r="BI1292" s="10"/>
      <c r="BJ1292" s="10"/>
    </row>
    <row r="1293" spans="1:62" s="1" customFormat="1" ht="15.75">
      <c r="A1293" s="327"/>
      <c r="B1293" s="698"/>
      <c r="C1293" s="352"/>
      <c r="D1293" s="352"/>
      <c r="E1293" s="330"/>
      <c r="F1293" s="355"/>
      <c r="G1293" s="355"/>
      <c r="H1293" s="574"/>
      <c r="I1293" s="353"/>
      <c r="J1293" s="353"/>
      <c r="K1293" s="355"/>
      <c r="L1293" s="333"/>
      <c r="M1293" s="333"/>
      <c r="N1293" s="333"/>
      <c r="O1293" s="333"/>
      <c r="P1293" s="333"/>
      <c r="Q1293" s="356"/>
      <c r="R1293" s="334"/>
      <c r="S1293" s="335"/>
    </row>
    <row r="1294" spans="1:62" s="1" customFormat="1" ht="15.75">
      <c r="A1294" s="327"/>
      <c r="B1294" s="698"/>
      <c r="C1294" s="352"/>
      <c r="D1294" s="352"/>
      <c r="E1294" s="330"/>
      <c r="F1294" s="355"/>
      <c r="G1294" s="355"/>
      <c r="H1294" s="574"/>
      <c r="I1294" s="353"/>
      <c r="J1294" s="353"/>
      <c r="K1294" s="355"/>
      <c r="L1294" s="333"/>
      <c r="M1294" s="333"/>
      <c r="N1294" s="333"/>
      <c r="O1294" s="333"/>
      <c r="P1294" s="333"/>
      <c r="Q1294" s="356"/>
      <c r="R1294" s="334"/>
      <c r="S1294" s="335"/>
    </row>
    <row r="1295" spans="1:62" s="1" customFormat="1" ht="15.75">
      <c r="A1295" s="107"/>
      <c r="B1295" s="1292" t="s">
        <v>94</v>
      </c>
      <c r="C1295" s="1292"/>
      <c r="D1295" s="1292"/>
      <c r="E1295" s="1292"/>
      <c r="F1295" s="1292"/>
      <c r="G1295" s="1292"/>
      <c r="H1295" s="106">
        <f>H1296+H1297</f>
        <v>5185.7</v>
      </c>
      <c r="I1295" s="106">
        <f t="shared" ref="I1295:P1295" si="360">I1296+I1297</f>
        <v>4237.5</v>
      </c>
      <c r="J1295" s="106">
        <f t="shared" si="360"/>
        <v>4010.2000000000003</v>
      </c>
      <c r="K1295" s="106">
        <f t="shared" si="360"/>
        <v>172</v>
      </c>
      <c r="L1295" s="565">
        <f t="shared" si="360"/>
        <v>2634518</v>
      </c>
      <c r="M1295" s="565">
        <f t="shared" si="360"/>
        <v>0</v>
      </c>
      <c r="N1295" s="565">
        <f t="shared" si="360"/>
        <v>0</v>
      </c>
      <c r="O1295" s="565">
        <f t="shared" si="360"/>
        <v>2634518</v>
      </c>
      <c r="P1295" s="565">
        <f t="shared" si="360"/>
        <v>0</v>
      </c>
      <c r="Q1295" s="106" t="s">
        <v>40</v>
      </c>
      <c r="R1295" s="106" t="s">
        <v>40</v>
      </c>
      <c r="S1295" s="335">
        <v>43830</v>
      </c>
    </row>
    <row r="1296" spans="1:62" s="47" customFormat="1" ht="15.75">
      <c r="A1296" s="327"/>
      <c r="B1296" s="905" t="s">
        <v>976</v>
      </c>
      <c r="C1296" s="906"/>
      <c r="D1296" s="330"/>
      <c r="E1296" s="330" t="s">
        <v>734</v>
      </c>
      <c r="F1296" s="397">
        <v>9</v>
      </c>
      <c r="G1296" s="397">
        <v>1</v>
      </c>
      <c r="H1296" s="398">
        <v>4656.8</v>
      </c>
      <c r="I1296" s="399">
        <v>3745.2</v>
      </c>
      <c r="J1296" s="399">
        <v>3572.3</v>
      </c>
      <c r="K1296" s="400">
        <v>153</v>
      </c>
      <c r="L1296" s="333">
        <v>1960022</v>
      </c>
      <c r="M1296" s="333">
        <v>0</v>
      </c>
      <c r="N1296" s="333">
        <v>0</v>
      </c>
      <c r="O1296" s="333">
        <v>1960022</v>
      </c>
      <c r="P1296" s="333">
        <v>0</v>
      </c>
      <c r="Q1296" s="399">
        <f>L1296/I1296</f>
        <v>523.34241162020726</v>
      </c>
      <c r="R1296" s="334">
        <v>7920</v>
      </c>
      <c r="S1296" s="335">
        <v>43830</v>
      </c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</row>
    <row r="1297" spans="1:30" s="1" customFormat="1" ht="31.5">
      <c r="A1297" s="327"/>
      <c r="B1297" s="905" t="s">
        <v>977</v>
      </c>
      <c r="C1297" s="906"/>
      <c r="D1297" s="330"/>
      <c r="E1297" s="330" t="s">
        <v>974</v>
      </c>
      <c r="F1297" s="397">
        <v>2</v>
      </c>
      <c r="G1297" s="397">
        <v>1</v>
      </c>
      <c r="H1297" s="398">
        <v>528.9</v>
      </c>
      <c r="I1297" s="399">
        <v>492.3</v>
      </c>
      <c r="J1297" s="399">
        <v>437.9</v>
      </c>
      <c r="K1297" s="400">
        <v>19</v>
      </c>
      <c r="L1297" s="333">
        <v>674496</v>
      </c>
      <c r="M1297" s="333">
        <v>0</v>
      </c>
      <c r="N1297" s="333">
        <v>0</v>
      </c>
      <c r="O1297" s="333">
        <v>674496</v>
      </c>
      <c r="P1297" s="333">
        <v>0</v>
      </c>
      <c r="Q1297" s="399">
        <f>L1297/I1297</f>
        <v>1370.0914076782449</v>
      </c>
      <c r="R1297" s="334">
        <v>7920</v>
      </c>
      <c r="S1297" s="335">
        <v>43830</v>
      </c>
      <c r="T1297" s="49"/>
      <c r="U1297" s="49"/>
      <c r="V1297" s="49"/>
      <c r="W1297" s="49"/>
      <c r="X1297" s="49"/>
      <c r="Y1297" s="49"/>
      <c r="Z1297" s="49"/>
      <c r="AA1297" s="49"/>
      <c r="AB1297" s="49"/>
      <c r="AC1297" s="49"/>
      <c r="AD1297" s="49"/>
    </row>
    <row r="1298" spans="1:30" s="1" customFormat="1" ht="15.75">
      <c r="A1298" s="327"/>
      <c r="B1298" s="396"/>
      <c r="C1298" s="330"/>
      <c r="D1298" s="330"/>
      <c r="E1298" s="330"/>
      <c r="F1298" s="397"/>
      <c r="G1298" s="397"/>
      <c r="H1298" s="398"/>
      <c r="I1298" s="398"/>
      <c r="J1298" s="398"/>
      <c r="K1298" s="400"/>
      <c r="L1298" s="333"/>
      <c r="M1298" s="333"/>
      <c r="N1298" s="333"/>
      <c r="O1298" s="333"/>
      <c r="P1298" s="333"/>
      <c r="Q1298" s="399"/>
      <c r="R1298" s="334"/>
      <c r="S1298" s="335"/>
    </row>
    <row r="1299" spans="1:30" s="1" customFormat="1" ht="15.75">
      <c r="A1299" s="327"/>
      <c r="B1299" s="396"/>
      <c r="C1299" s="330"/>
      <c r="D1299" s="330"/>
      <c r="E1299" s="330"/>
      <c r="F1299" s="397"/>
      <c r="G1299" s="397"/>
      <c r="H1299" s="398"/>
      <c r="I1299" s="399"/>
      <c r="J1299" s="399"/>
      <c r="K1299" s="400"/>
      <c r="L1299" s="333"/>
      <c r="M1299" s="333"/>
      <c r="N1299" s="333"/>
      <c r="O1299" s="333"/>
      <c r="P1299" s="333"/>
      <c r="Q1299" s="399"/>
      <c r="R1299" s="334"/>
      <c r="S1299" s="335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</row>
    <row r="1300" spans="1:30" s="1" customFormat="1" ht="15.75">
      <c r="A1300" s="327"/>
      <c r="B1300" s="396"/>
      <c r="C1300" s="330"/>
      <c r="D1300" s="330"/>
      <c r="E1300" s="330"/>
      <c r="F1300" s="397"/>
      <c r="G1300" s="397"/>
      <c r="H1300" s="398"/>
      <c r="I1300" s="399"/>
      <c r="J1300" s="399"/>
      <c r="K1300" s="400"/>
      <c r="L1300" s="333"/>
      <c r="M1300" s="333"/>
      <c r="N1300" s="333"/>
      <c r="O1300" s="333"/>
      <c r="P1300" s="333"/>
      <c r="Q1300" s="399"/>
      <c r="R1300" s="334"/>
      <c r="S1300" s="335"/>
      <c r="T1300" s="49"/>
      <c r="U1300" s="49"/>
      <c r="V1300" s="49"/>
      <c r="W1300" s="49"/>
      <c r="X1300" s="49"/>
      <c r="Y1300" s="49"/>
      <c r="Z1300" s="49"/>
      <c r="AA1300" s="49"/>
      <c r="AB1300" s="49"/>
      <c r="AC1300" s="49"/>
      <c r="AD1300" s="49"/>
    </row>
    <row r="1301" spans="1:30" s="10" customFormat="1" ht="15.75">
      <c r="A1301" s="327"/>
      <c r="B1301" s="401"/>
      <c r="C1301" s="330"/>
      <c r="D1301" s="330"/>
      <c r="E1301" s="330"/>
      <c r="F1301" s="397"/>
      <c r="G1301" s="397"/>
      <c r="H1301" s="398"/>
      <c r="I1301" s="398"/>
      <c r="J1301" s="398"/>
      <c r="K1301" s="400"/>
      <c r="L1301" s="333"/>
      <c r="M1301" s="333"/>
      <c r="N1301" s="333"/>
      <c r="O1301" s="333"/>
      <c r="P1301" s="333"/>
      <c r="Q1301" s="399"/>
      <c r="R1301" s="334"/>
      <c r="S1301" s="335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</row>
    <row r="1302" spans="1:30" s="10" customFormat="1" ht="15.75">
      <c r="A1302" s="327"/>
      <c r="B1302" s="396"/>
      <c r="C1302" s="330"/>
      <c r="D1302" s="330"/>
      <c r="E1302" s="330"/>
      <c r="F1302" s="397"/>
      <c r="G1302" s="397"/>
      <c r="H1302" s="398"/>
      <c r="I1302" s="399"/>
      <c r="J1302" s="399"/>
      <c r="K1302" s="400"/>
      <c r="L1302" s="333"/>
      <c r="M1302" s="333"/>
      <c r="N1302" s="333"/>
      <c r="O1302" s="333"/>
      <c r="P1302" s="333"/>
      <c r="Q1302" s="399"/>
      <c r="R1302" s="334"/>
      <c r="S1302" s="335"/>
      <c r="T1302" s="49"/>
      <c r="U1302" s="49"/>
      <c r="V1302" s="49"/>
      <c r="W1302" s="49"/>
      <c r="X1302" s="49"/>
      <c r="Y1302" s="49"/>
      <c r="Z1302" s="49"/>
      <c r="AA1302" s="49"/>
      <c r="AB1302" s="49"/>
      <c r="AC1302" s="49"/>
      <c r="AD1302" s="49"/>
    </row>
    <row r="1303" spans="1:30" s="48" customFormat="1" ht="15.75">
      <c r="A1303" s="327"/>
      <c r="B1303" s="396"/>
      <c r="C1303" s="330"/>
      <c r="D1303" s="330"/>
      <c r="E1303" s="330"/>
      <c r="F1303" s="397"/>
      <c r="G1303" s="397"/>
      <c r="H1303" s="398"/>
      <c r="I1303" s="399"/>
      <c r="J1303" s="399"/>
      <c r="K1303" s="400"/>
      <c r="L1303" s="333"/>
      <c r="M1303" s="333"/>
      <c r="N1303" s="333"/>
      <c r="O1303" s="333"/>
      <c r="P1303" s="333"/>
      <c r="Q1303" s="399"/>
      <c r="R1303" s="334"/>
      <c r="S1303" s="335"/>
      <c r="T1303" s="49"/>
      <c r="U1303" s="49"/>
      <c r="V1303" s="49"/>
      <c r="W1303" s="49"/>
      <c r="X1303" s="49"/>
      <c r="Y1303" s="49"/>
      <c r="Z1303" s="49"/>
      <c r="AA1303" s="49"/>
      <c r="AB1303" s="49"/>
      <c r="AC1303" s="49"/>
      <c r="AD1303" s="49"/>
    </row>
    <row r="1304" spans="1:30" s="49" customFormat="1" ht="15.75">
      <c r="A1304" s="327"/>
      <c r="B1304" s="401"/>
      <c r="C1304" s="330"/>
      <c r="D1304" s="330"/>
      <c r="E1304" s="330"/>
      <c r="F1304" s="397"/>
      <c r="G1304" s="397"/>
      <c r="H1304" s="398"/>
      <c r="I1304" s="398"/>
      <c r="J1304" s="399"/>
      <c r="K1304" s="400"/>
      <c r="L1304" s="333"/>
      <c r="M1304" s="333"/>
      <c r="N1304" s="333"/>
      <c r="O1304" s="333"/>
      <c r="P1304" s="333"/>
      <c r="Q1304" s="399"/>
      <c r="R1304" s="334"/>
      <c r="S1304" s="335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7"/>
      <c r="AD1304" s="47"/>
    </row>
    <row r="1305" spans="1:30" s="49" customFormat="1" ht="15.75">
      <c r="A1305" s="327"/>
      <c r="B1305" s="396"/>
      <c r="C1305" s="330"/>
      <c r="D1305" s="330"/>
      <c r="E1305" s="330"/>
      <c r="F1305" s="397"/>
      <c r="G1305" s="397"/>
      <c r="H1305" s="398"/>
      <c r="I1305" s="398"/>
      <c r="J1305" s="398"/>
      <c r="K1305" s="400"/>
      <c r="L1305" s="333"/>
      <c r="M1305" s="333"/>
      <c r="N1305" s="333"/>
      <c r="O1305" s="333"/>
      <c r="P1305" s="333"/>
      <c r="Q1305" s="399"/>
      <c r="R1305" s="334"/>
      <c r="S1305" s="335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</row>
    <row r="1306" spans="1:30" s="49" customFormat="1" ht="15.75">
      <c r="A1306" s="327"/>
      <c r="B1306" s="396"/>
      <c r="C1306" s="330"/>
      <c r="D1306" s="330"/>
      <c r="E1306" s="330"/>
      <c r="F1306" s="397"/>
      <c r="G1306" s="397"/>
      <c r="H1306" s="398"/>
      <c r="I1306" s="399"/>
      <c r="J1306" s="399"/>
      <c r="K1306" s="400"/>
      <c r="L1306" s="333"/>
      <c r="M1306" s="333"/>
      <c r="N1306" s="333"/>
      <c r="O1306" s="333"/>
      <c r="P1306" s="333"/>
      <c r="Q1306" s="399"/>
      <c r="R1306" s="334"/>
      <c r="S1306" s="335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</row>
    <row r="1307" spans="1:30" s="49" customFormat="1" ht="15.75">
      <c r="A1307" s="327"/>
      <c r="B1307" s="401"/>
      <c r="C1307" s="330"/>
      <c r="D1307" s="330"/>
      <c r="E1307" s="330"/>
      <c r="F1307" s="397"/>
      <c r="G1307" s="397"/>
      <c r="H1307" s="398"/>
      <c r="I1307" s="399"/>
      <c r="J1307" s="399"/>
      <c r="K1307" s="400"/>
      <c r="L1307" s="333"/>
      <c r="M1307" s="333"/>
      <c r="N1307" s="333"/>
      <c r="O1307" s="333"/>
      <c r="P1307" s="333"/>
      <c r="Q1307" s="399"/>
      <c r="R1307" s="334"/>
      <c r="S1307" s="335"/>
      <c r="T1307" s="10"/>
      <c r="U1307" s="10"/>
      <c r="V1307" s="10"/>
      <c r="W1307" s="10"/>
      <c r="X1307" s="10"/>
      <c r="Y1307" s="10"/>
      <c r="Z1307" s="10"/>
      <c r="AA1307" s="10"/>
      <c r="AB1307" s="10"/>
      <c r="AC1307" s="10"/>
      <c r="AD1307" s="10"/>
    </row>
    <row r="1308" spans="1:30" s="1" customFormat="1" ht="15.75">
      <c r="A1308" s="327"/>
      <c r="B1308" s="1369" t="s">
        <v>123</v>
      </c>
      <c r="C1308" s="1369"/>
      <c r="D1308" s="1369"/>
      <c r="E1308" s="1369"/>
      <c r="F1308" s="1369"/>
      <c r="G1308" s="1369"/>
      <c r="H1308" s="353">
        <f t="shared" ref="H1308:P1308" si="361">SUM(H1309:H1311)</f>
        <v>20881.099999999999</v>
      </c>
      <c r="I1308" s="353">
        <f t="shared" si="361"/>
        <v>12692.79</v>
      </c>
      <c r="J1308" s="353">
        <f t="shared" si="361"/>
        <v>9770.1</v>
      </c>
      <c r="K1308" s="353">
        <f t="shared" si="361"/>
        <v>629</v>
      </c>
      <c r="L1308" s="708">
        <f t="shared" si="361"/>
        <v>10007426</v>
      </c>
      <c r="M1308" s="708">
        <f t="shared" si="361"/>
        <v>0</v>
      </c>
      <c r="N1308" s="708">
        <f t="shared" si="361"/>
        <v>0</v>
      </c>
      <c r="O1308" s="708">
        <f t="shared" si="361"/>
        <v>10007426</v>
      </c>
      <c r="P1308" s="708">
        <f t="shared" si="361"/>
        <v>0</v>
      </c>
      <c r="Q1308" s="356" t="s">
        <v>40</v>
      </c>
      <c r="R1308" s="352" t="s">
        <v>40</v>
      </c>
      <c r="S1308" s="335">
        <v>43830</v>
      </c>
    </row>
    <row r="1309" spans="1:30" s="1" customFormat="1" ht="31.5">
      <c r="A1309" s="327">
        <f>A1307+1</f>
        <v>1</v>
      </c>
      <c r="B1309" s="877" t="s">
        <v>943</v>
      </c>
      <c r="C1309" s="367">
        <v>1964</v>
      </c>
      <c r="D1309" s="367"/>
      <c r="E1309" s="330" t="s">
        <v>218</v>
      </c>
      <c r="F1309" s="352">
        <v>5</v>
      </c>
      <c r="G1309" s="352">
        <v>5</v>
      </c>
      <c r="H1309" s="353">
        <v>6196.8</v>
      </c>
      <c r="I1309" s="352">
        <v>4027.51</v>
      </c>
      <c r="J1309" s="352">
        <v>3262.28</v>
      </c>
      <c r="K1309" s="370">
        <v>233</v>
      </c>
      <c r="L1309" s="333">
        <v>3237114</v>
      </c>
      <c r="M1309" s="333">
        <f>SUM(M1310:M1321)</f>
        <v>0</v>
      </c>
      <c r="N1309" s="333">
        <v>0</v>
      </c>
      <c r="O1309" s="333">
        <f>L1309</f>
        <v>3237114</v>
      </c>
      <c r="P1309" s="333">
        <v>0</v>
      </c>
      <c r="Q1309" s="356">
        <f t="shared" ref="Q1309:Q1321" si="362">L1309/I1309</f>
        <v>803.75070452959767</v>
      </c>
      <c r="R1309" s="334">
        <v>7920</v>
      </c>
      <c r="S1309" s="335">
        <v>43830</v>
      </c>
    </row>
    <row r="1310" spans="1:30" s="1" customFormat="1" ht="31.5">
      <c r="A1310" s="327">
        <f t="shared" ref="A1310:A1334" si="363">A1309+1</f>
        <v>2</v>
      </c>
      <c r="B1310" s="877" t="s">
        <v>741</v>
      </c>
      <c r="C1310" s="367">
        <v>1979</v>
      </c>
      <c r="D1310" s="367"/>
      <c r="E1310" s="330" t="s">
        <v>218</v>
      </c>
      <c r="F1310" s="352">
        <v>5</v>
      </c>
      <c r="G1310" s="352">
        <v>5</v>
      </c>
      <c r="H1310" s="353">
        <v>6648.4</v>
      </c>
      <c r="I1310" s="352">
        <v>3931</v>
      </c>
      <c r="J1310" s="352">
        <v>2464.7399999999998</v>
      </c>
      <c r="K1310" s="370">
        <v>182</v>
      </c>
      <c r="L1310" s="333">
        <v>3071501</v>
      </c>
      <c r="M1310" s="333">
        <f>SUM(M1311:M1322)</f>
        <v>0</v>
      </c>
      <c r="N1310" s="333">
        <v>0</v>
      </c>
      <c r="O1310" s="333">
        <f>L1310</f>
        <v>3071501</v>
      </c>
      <c r="P1310" s="333">
        <v>0</v>
      </c>
      <c r="Q1310" s="356">
        <f t="shared" si="362"/>
        <v>781.35359959297887</v>
      </c>
      <c r="R1310" s="334">
        <v>7920</v>
      </c>
      <c r="S1310" s="335">
        <v>43830</v>
      </c>
    </row>
    <row r="1311" spans="1:30" s="1" customFormat="1" ht="31.5">
      <c r="A1311" s="327">
        <v>3</v>
      </c>
      <c r="B1311" s="877" t="s">
        <v>742</v>
      </c>
      <c r="C1311" s="367">
        <v>1975</v>
      </c>
      <c r="D1311" s="352"/>
      <c r="E1311" s="330" t="s">
        <v>218</v>
      </c>
      <c r="F1311" s="352">
        <v>5</v>
      </c>
      <c r="G1311" s="352">
        <v>6</v>
      </c>
      <c r="H1311" s="353">
        <v>8035.9</v>
      </c>
      <c r="I1311" s="352">
        <v>4734.28</v>
      </c>
      <c r="J1311" s="352">
        <v>4043.08</v>
      </c>
      <c r="K1311" s="370">
        <v>214</v>
      </c>
      <c r="L1311" s="333">
        <v>3698811</v>
      </c>
      <c r="M1311" s="333">
        <f t="shared" ref="M1311" si="364">SUM(M1312:M1324)</f>
        <v>0</v>
      </c>
      <c r="N1311" s="333">
        <v>0</v>
      </c>
      <c r="O1311" s="333">
        <f>L1311</f>
        <v>3698811</v>
      </c>
      <c r="P1311" s="333">
        <v>0</v>
      </c>
      <c r="Q1311" s="356">
        <f t="shared" si="362"/>
        <v>781.28268712454701</v>
      </c>
      <c r="R1311" s="334">
        <v>7920</v>
      </c>
      <c r="S1311" s="335">
        <v>43830</v>
      </c>
    </row>
    <row r="1312" spans="1:30" s="1" customFormat="1" ht="15.75">
      <c r="A1312" s="327"/>
      <c r="B1312" s="877"/>
      <c r="C1312" s="367"/>
      <c r="D1312" s="352"/>
      <c r="E1312" s="330"/>
      <c r="F1312" s="352"/>
      <c r="G1312" s="352"/>
      <c r="H1312" s="353"/>
      <c r="I1312" s="352"/>
      <c r="J1312" s="352"/>
      <c r="K1312" s="370"/>
      <c r="L1312" s="333"/>
      <c r="M1312" s="333"/>
      <c r="N1312" s="333"/>
      <c r="O1312" s="333"/>
      <c r="P1312" s="333"/>
      <c r="Q1312" s="356"/>
      <c r="R1312" s="334"/>
      <c r="S1312" s="335">
        <v>43830</v>
      </c>
    </row>
    <row r="1313" spans="1:19" s="1" customFormat="1" ht="15.75">
      <c r="A1313" s="327"/>
      <c r="B1313" s="877"/>
      <c r="C1313" s="367"/>
      <c r="D1313" s="352"/>
      <c r="E1313" s="330"/>
      <c r="F1313" s="352"/>
      <c r="G1313" s="352"/>
      <c r="H1313" s="353"/>
      <c r="I1313" s="352"/>
      <c r="J1313" s="352"/>
      <c r="K1313" s="370"/>
      <c r="L1313" s="333"/>
      <c r="M1313" s="333"/>
      <c r="N1313" s="333"/>
      <c r="O1313" s="333"/>
      <c r="P1313" s="333"/>
      <c r="Q1313" s="356"/>
      <c r="R1313" s="334"/>
      <c r="S1313" s="335">
        <v>43830</v>
      </c>
    </row>
    <row r="1314" spans="1:19" s="1" customFormat="1" ht="15.75">
      <c r="A1314" s="327"/>
      <c r="B1314" s="877"/>
      <c r="C1314" s="646"/>
      <c r="D1314" s="352"/>
      <c r="E1314" s="330"/>
      <c r="F1314" s="352"/>
      <c r="G1314" s="352"/>
      <c r="H1314" s="353"/>
      <c r="I1314" s="352"/>
      <c r="J1314" s="352"/>
      <c r="K1314" s="370"/>
      <c r="L1314" s="333"/>
      <c r="M1314" s="333"/>
      <c r="N1314" s="333"/>
      <c r="O1314" s="333"/>
      <c r="P1314" s="333"/>
      <c r="Q1314" s="356"/>
      <c r="R1314" s="334"/>
      <c r="S1314" s="335">
        <v>43830</v>
      </c>
    </row>
    <row r="1315" spans="1:19" s="1" customFormat="1" ht="15.75">
      <c r="A1315" s="327"/>
      <c r="B1315" s="877"/>
      <c r="C1315" s="646"/>
      <c r="D1315" s="352"/>
      <c r="E1315" s="330"/>
      <c r="F1315" s="352"/>
      <c r="G1315" s="352"/>
      <c r="H1315" s="353"/>
      <c r="I1315" s="352"/>
      <c r="J1315" s="352"/>
      <c r="K1315" s="370"/>
      <c r="L1315" s="333"/>
      <c r="M1315" s="333"/>
      <c r="N1315" s="333"/>
      <c r="O1315" s="333"/>
      <c r="P1315" s="333"/>
      <c r="Q1315" s="356"/>
      <c r="R1315" s="334"/>
      <c r="S1315" s="335">
        <v>43830</v>
      </c>
    </row>
    <row r="1316" spans="1:19" s="1" customFormat="1" ht="15.75">
      <c r="A1316" s="327"/>
      <c r="B1316" s="877"/>
      <c r="C1316" s="367"/>
      <c r="D1316" s="352"/>
      <c r="E1316" s="330"/>
      <c r="F1316" s="352"/>
      <c r="G1316" s="352"/>
      <c r="H1316" s="353"/>
      <c r="I1316" s="352"/>
      <c r="J1316" s="352"/>
      <c r="K1316" s="370"/>
      <c r="L1316" s="333"/>
      <c r="M1316" s="333"/>
      <c r="N1316" s="333"/>
      <c r="O1316" s="333"/>
      <c r="P1316" s="333"/>
      <c r="Q1316" s="356"/>
      <c r="R1316" s="334"/>
      <c r="S1316" s="335">
        <v>43830</v>
      </c>
    </row>
    <row r="1317" spans="1:19" s="1" customFormat="1" ht="15.75">
      <c r="A1317" s="327"/>
      <c r="B1317" s="877"/>
      <c r="C1317" s="367"/>
      <c r="D1317" s="352"/>
      <c r="E1317" s="330"/>
      <c r="F1317" s="352"/>
      <c r="G1317" s="352"/>
      <c r="H1317" s="353"/>
      <c r="I1317" s="352"/>
      <c r="J1317" s="352"/>
      <c r="K1317" s="370"/>
      <c r="L1317" s="333"/>
      <c r="M1317" s="333"/>
      <c r="N1317" s="333"/>
      <c r="O1317" s="333"/>
      <c r="P1317" s="333"/>
      <c r="Q1317" s="356"/>
      <c r="R1317" s="334"/>
      <c r="S1317" s="335">
        <v>43830</v>
      </c>
    </row>
    <row r="1318" spans="1:19" s="1" customFormat="1" ht="15.75">
      <c r="A1318" s="327"/>
      <c r="B1318" s="877"/>
      <c r="C1318" s="367"/>
      <c r="D1318" s="352"/>
      <c r="E1318" s="330"/>
      <c r="F1318" s="352"/>
      <c r="G1318" s="352"/>
      <c r="H1318" s="353"/>
      <c r="I1318" s="352"/>
      <c r="J1318" s="352"/>
      <c r="K1318" s="370"/>
      <c r="L1318" s="333"/>
      <c r="M1318" s="333"/>
      <c r="N1318" s="333"/>
      <c r="O1318" s="333"/>
      <c r="P1318" s="333"/>
      <c r="Q1318" s="356"/>
      <c r="R1318" s="334"/>
      <c r="S1318" s="335">
        <v>43830</v>
      </c>
    </row>
    <row r="1319" spans="1:19" s="1" customFormat="1" ht="15.75">
      <c r="A1319" s="327"/>
      <c r="B1319" s="877"/>
      <c r="C1319" s="367"/>
      <c r="D1319" s="352"/>
      <c r="E1319" s="330"/>
      <c r="F1319" s="352"/>
      <c r="G1319" s="352"/>
      <c r="H1319" s="353"/>
      <c r="I1319" s="352"/>
      <c r="J1319" s="352"/>
      <c r="K1319" s="370"/>
      <c r="L1319" s="333"/>
      <c r="M1319" s="333"/>
      <c r="N1319" s="333"/>
      <c r="O1319" s="333"/>
      <c r="P1319" s="333"/>
      <c r="Q1319" s="356"/>
      <c r="R1319" s="334"/>
      <c r="S1319" s="335">
        <v>43830</v>
      </c>
    </row>
    <row r="1320" spans="1:19" s="1" customFormat="1" ht="28.15" customHeight="1">
      <c r="A1320" s="327"/>
      <c r="B1320" s="1369" t="s">
        <v>864</v>
      </c>
      <c r="C1320" s="1369"/>
      <c r="D1320" s="1369"/>
      <c r="E1320" s="1369"/>
      <c r="F1320" s="1369"/>
      <c r="G1320" s="1369"/>
      <c r="H1320" s="353">
        <f>H1321</f>
        <v>2514.6999999999998</v>
      </c>
      <c r="I1320" s="353">
        <f t="shared" ref="I1320:P1320" si="365">I1321</f>
        <v>1996.2</v>
      </c>
      <c r="J1320" s="353">
        <f t="shared" si="365"/>
        <v>1756.5</v>
      </c>
      <c r="K1320" s="353">
        <f t="shared" si="365"/>
        <v>82</v>
      </c>
      <c r="L1320" s="708">
        <f t="shared" si="365"/>
        <v>1112894</v>
      </c>
      <c r="M1320" s="708">
        <f t="shared" si="365"/>
        <v>0</v>
      </c>
      <c r="N1320" s="708">
        <f t="shared" si="365"/>
        <v>0</v>
      </c>
      <c r="O1320" s="708">
        <f t="shared" si="365"/>
        <v>1112894</v>
      </c>
      <c r="P1320" s="708">
        <f t="shared" si="365"/>
        <v>0</v>
      </c>
      <c r="Q1320" s="356" t="s">
        <v>40</v>
      </c>
      <c r="R1320" s="352" t="s">
        <v>40</v>
      </c>
      <c r="S1320" s="335">
        <v>43830</v>
      </c>
    </row>
    <row r="1321" spans="1:19" s="1" customFormat="1" ht="31.5">
      <c r="A1321" s="327"/>
      <c r="B1321" s="910" t="s">
        <v>869</v>
      </c>
      <c r="C1321" s="367">
        <v>1966</v>
      </c>
      <c r="D1321" s="352"/>
      <c r="E1321" s="330" t="s">
        <v>218</v>
      </c>
      <c r="F1321" s="352">
        <v>4</v>
      </c>
      <c r="G1321" s="352">
        <v>3</v>
      </c>
      <c r="H1321" s="353">
        <v>2514.6999999999998</v>
      </c>
      <c r="I1321" s="352">
        <v>1996.2</v>
      </c>
      <c r="J1321" s="352">
        <v>1756.5</v>
      </c>
      <c r="K1321" s="370">
        <v>82</v>
      </c>
      <c r="L1321" s="333">
        <v>1112894</v>
      </c>
      <c r="M1321" s="333">
        <v>0</v>
      </c>
      <c r="N1321" s="333">
        <v>0</v>
      </c>
      <c r="O1321" s="333">
        <v>1112894</v>
      </c>
      <c r="P1321" s="333">
        <v>0</v>
      </c>
      <c r="Q1321" s="356">
        <f t="shared" si="362"/>
        <v>557.50626189760544</v>
      </c>
      <c r="R1321" s="334">
        <v>7920</v>
      </c>
      <c r="S1321" s="335">
        <v>43830</v>
      </c>
    </row>
    <row r="1322" spans="1:19" s="16" customFormat="1" ht="23.45" customHeight="1">
      <c r="A1322" s="327"/>
      <c r="B1322" s="1369" t="s">
        <v>72</v>
      </c>
      <c r="C1322" s="1369"/>
      <c r="D1322" s="1369"/>
      <c r="E1322" s="1369"/>
      <c r="F1322" s="1369"/>
      <c r="G1322" s="1369"/>
      <c r="H1322" s="353">
        <f>H1323</f>
        <v>2066.4</v>
      </c>
      <c r="I1322" s="352">
        <f t="shared" ref="I1322:R1322" si="366">I1323</f>
        <v>1872.3</v>
      </c>
      <c r="J1322" s="352">
        <f t="shared" si="366"/>
        <v>1662.1</v>
      </c>
      <c r="K1322" s="355">
        <f t="shared" si="366"/>
        <v>80</v>
      </c>
      <c r="L1322" s="333">
        <f t="shared" si="366"/>
        <v>4547991</v>
      </c>
      <c r="M1322" s="333">
        <f t="shared" si="366"/>
        <v>0</v>
      </c>
      <c r="N1322" s="333">
        <f t="shared" si="366"/>
        <v>0</v>
      </c>
      <c r="O1322" s="333">
        <f t="shared" si="366"/>
        <v>4547991</v>
      </c>
      <c r="P1322" s="333">
        <f t="shared" si="366"/>
        <v>0</v>
      </c>
      <c r="Q1322" s="356" t="str">
        <f t="shared" si="366"/>
        <v>Х</v>
      </c>
      <c r="R1322" s="352" t="str">
        <f t="shared" si="366"/>
        <v>Х</v>
      </c>
      <c r="S1322" s="335">
        <v>43830</v>
      </c>
    </row>
    <row r="1323" spans="1:19" s="16" customFormat="1" ht="30.6" customHeight="1">
      <c r="A1323" s="327"/>
      <c r="B1323" s="1369" t="s">
        <v>95</v>
      </c>
      <c r="C1323" s="1369"/>
      <c r="D1323" s="1369"/>
      <c r="E1323" s="1369"/>
      <c r="F1323" s="1369"/>
      <c r="G1323" s="1369"/>
      <c r="H1323" s="353">
        <f>SUM(H1324:H1327)</f>
        <v>2066.4</v>
      </c>
      <c r="I1323" s="353">
        <f t="shared" ref="I1323:P1323" si="367">SUM(I1324:I1327)</f>
        <v>1872.3</v>
      </c>
      <c r="J1323" s="353">
        <f t="shared" si="367"/>
        <v>1662.1</v>
      </c>
      <c r="K1323" s="353">
        <f t="shared" si="367"/>
        <v>80</v>
      </c>
      <c r="L1323" s="680">
        <f t="shared" si="367"/>
        <v>4547991</v>
      </c>
      <c r="M1323" s="680">
        <f t="shared" si="367"/>
        <v>0</v>
      </c>
      <c r="N1323" s="680">
        <f t="shared" si="367"/>
        <v>0</v>
      </c>
      <c r="O1323" s="680">
        <f t="shared" si="367"/>
        <v>4547991</v>
      </c>
      <c r="P1323" s="680">
        <f t="shared" si="367"/>
        <v>0</v>
      </c>
      <c r="Q1323" s="356" t="s">
        <v>40</v>
      </c>
      <c r="R1323" s="367" t="s">
        <v>40</v>
      </c>
      <c r="S1323" s="335">
        <v>43830</v>
      </c>
    </row>
    <row r="1324" spans="1:19" s="1" customFormat="1" ht="31.5">
      <c r="A1324" s="327" t="e">
        <f>#REF!+1</f>
        <v>#REF!</v>
      </c>
      <c r="B1324" s="338" t="s">
        <v>625</v>
      </c>
      <c r="C1324" s="329">
        <v>1978</v>
      </c>
      <c r="D1324" s="329"/>
      <c r="E1324" s="330" t="s">
        <v>218</v>
      </c>
      <c r="F1324" s="329">
        <v>2</v>
      </c>
      <c r="G1324" s="329">
        <v>2</v>
      </c>
      <c r="H1324" s="331">
        <v>568.9</v>
      </c>
      <c r="I1324" s="329">
        <v>523</v>
      </c>
      <c r="J1324" s="358">
        <v>490.1</v>
      </c>
      <c r="K1324" s="332">
        <v>24</v>
      </c>
      <c r="L1324" s="333">
        <v>2106656</v>
      </c>
      <c r="M1324" s="333">
        <v>0</v>
      </c>
      <c r="N1324" s="333">
        <v>0</v>
      </c>
      <c r="O1324" s="333">
        <f>L1324</f>
        <v>2106656</v>
      </c>
      <c r="P1324" s="333">
        <v>0</v>
      </c>
      <c r="Q1324" s="334">
        <f t="shared" ref="Q1324:Q1327" si="368">L1324/I1324</f>
        <v>4028.0229445506693</v>
      </c>
      <c r="R1324" s="620">
        <v>7920</v>
      </c>
      <c r="S1324" s="335">
        <v>43830</v>
      </c>
    </row>
    <row r="1325" spans="1:19" s="1" customFormat="1" ht="21.6" customHeight="1">
      <c r="A1325" s="327" t="e">
        <f t="shared" si="363"/>
        <v>#REF!</v>
      </c>
      <c r="B1325" s="338" t="s">
        <v>626</v>
      </c>
      <c r="C1325" s="329">
        <v>1975</v>
      </c>
      <c r="D1325" s="329"/>
      <c r="E1325" s="330" t="s">
        <v>220</v>
      </c>
      <c r="F1325" s="329">
        <v>2</v>
      </c>
      <c r="G1325" s="329">
        <v>2</v>
      </c>
      <c r="H1325" s="331">
        <v>572.6</v>
      </c>
      <c r="I1325" s="329">
        <v>520.20000000000005</v>
      </c>
      <c r="J1325" s="358">
        <v>342.9</v>
      </c>
      <c r="K1325" s="332">
        <v>22</v>
      </c>
      <c r="L1325" s="333">
        <v>649678</v>
      </c>
      <c r="M1325" s="333">
        <v>0</v>
      </c>
      <c r="N1325" s="333">
        <v>0</v>
      </c>
      <c r="O1325" s="333">
        <f t="shared" ref="O1325:O1327" si="369">L1325</f>
        <v>649678</v>
      </c>
      <c r="P1325" s="333">
        <v>0</v>
      </c>
      <c r="Q1325" s="334">
        <f t="shared" si="368"/>
        <v>1248.9004229142636</v>
      </c>
      <c r="R1325" s="620">
        <v>7920</v>
      </c>
      <c r="S1325" s="335">
        <v>43830</v>
      </c>
    </row>
    <row r="1326" spans="1:19" s="1" customFormat="1" ht="31.5">
      <c r="A1326" s="327" t="e">
        <f t="shared" si="363"/>
        <v>#REF!</v>
      </c>
      <c r="B1326" s="338" t="s">
        <v>443</v>
      </c>
      <c r="C1326" s="329">
        <v>1967</v>
      </c>
      <c r="D1326" s="329"/>
      <c r="E1326" s="330" t="s">
        <v>218</v>
      </c>
      <c r="F1326" s="329">
        <v>2</v>
      </c>
      <c r="G1326" s="329">
        <v>2</v>
      </c>
      <c r="H1326" s="331">
        <v>529.5</v>
      </c>
      <c r="I1326" s="329">
        <v>471.3</v>
      </c>
      <c r="J1326" s="329">
        <v>471.3</v>
      </c>
      <c r="K1326" s="332">
        <v>21</v>
      </c>
      <c r="L1326" s="333">
        <v>1157557</v>
      </c>
      <c r="M1326" s="333">
        <v>0</v>
      </c>
      <c r="N1326" s="333">
        <v>0</v>
      </c>
      <c r="O1326" s="333">
        <f t="shared" si="369"/>
        <v>1157557</v>
      </c>
      <c r="P1326" s="333">
        <v>0</v>
      </c>
      <c r="Q1326" s="334">
        <f t="shared" si="368"/>
        <v>2456.0937831529809</v>
      </c>
      <c r="R1326" s="334">
        <v>7920</v>
      </c>
      <c r="S1326" s="335">
        <v>43830</v>
      </c>
    </row>
    <row r="1327" spans="1:19" s="1" customFormat="1" ht="31.5">
      <c r="A1327" s="327" t="e">
        <f t="shared" si="363"/>
        <v>#REF!</v>
      </c>
      <c r="B1327" s="338" t="s">
        <v>391</v>
      </c>
      <c r="C1327" s="329">
        <v>1969</v>
      </c>
      <c r="D1327" s="329"/>
      <c r="E1327" s="330" t="s">
        <v>218</v>
      </c>
      <c r="F1327" s="329">
        <v>2</v>
      </c>
      <c r="G1327" s="329">
        <v>2</v>
      </c>
      <c r="H1327" s="331">
        <v>395.4</v>
      </c>
      <c r="I1327" s="329">
        <v>357.8</v>
      </c>
      <c r="J1327" s="329">
        <v>357.8</v>
      </c>
      <c r="K1327" s="332">
        <v>13</v>
      </c>
      <c r="L1327" s="333">
        <v>634100</v>
      </c>
      <c r="M1327" s="333">
        <v>0</v>
      </c>
      <c r="N1327" s="333">
        <v>0</v>
      </c>
      <c r="O1327" s="333">
        <f t="shared" si="369"/>
        <v>634100</v>
      </c>
      <c r="P1327" s="333">
        <v>0</v>
      </c>
      <c r="Q1327" s="334">
        <f t="shared" si="368"/>
        <v>1772.219116825042</v>
      </c>
      <c r="R1327" s="334">
        <v>7920</v>
      </c>
      <c r="S1327" s="335">
        <v>43830</v>
      </c>
    </row>
    <row r="1328" spans="1:19" s="1" customFormat="1" ht="15.75">
      <c r="A1328" s="327"/>
      <c r="B1328" s="338"/>
      <c r="C1328" s="329"/>
      <c r="D1328" s="329"/>
      <c r="E1328" s="330"/>
      <c r="F1328" s="329"/>
      <c r="G1328" s="329"/>
      <c r="H1328" s="331"/>
      <c r="I1328" s="329"/>
      <c r="J1328" s="329"/>
      <c r="K1328" s="332"/>
      <c r="L1328" s="333"/>
      <c r="M1328" s="333"/>
      <c r="N1328" s="333"/>
      <c r="O1328" s="333"/>
      <c r="P1328" s="333"/>
      <c r="Q1328" s="334"/>
      <c r="R1328" s="334"/>
      <c r="S1328" s="335"/>
    </row>
    <row r="1329" spans="1:34" s="1" customFormat="1" ht="15.75">
      <c r="A1329" s="327"/>
      <c r="B1329" s="338"/>
      <c r="C1329" s="329"/>
      <c r="D1329" s="329"/>
      <c r="E1329" s="330"/>
      <c r="F1329" s="329"/>
      <c r="G1329" s="329"/>
      <c r="H1329" s="331"/>
      <c r="I1329" s="329"/>
      <c r="J1329" s="329"/>
      <c r="K1329" s="332"/>
      <c r="L1329" s="333"/>
      <c r="M1329" s="333"/>
      <c r="N1329" s="333"/>
      <c r="O1329" s="333"/>
      <c r="P1329" s="333"/>
      <c r="Q1329" s="334"/>
      <c r="R1329" s="334"/>
      <c r="S1329" s="335"/>
    </row>
    <row r="1330" spans="1:34" s="1" customFormat="1" ht="15.75">
      <c r="A1330" s="327"/>
      <c r="B1330" s="338"/>
      <c r="C1330" s="329"/>
      <c r="D1330" s="329"/>
      <c r="E1330" s="330"/>
      <c r="F1330" s="329"/>
      <c r="G1330" s="329"/>
      <c r="H1330" s="331"/>
      <c r="I1330" s="329"/>
      <c r="J1330" s="358"/>
      <c r="K1330" s="332"/>
      <c r="L1330" s="333"/>
      <c r="M1330" s="333"/>
      <c r="N1330" s="333"/>
      <c r="O1330" s="333"/>
      <c r="P1330" s="333"/>
      <c r="Q1330" s="334"/>
      <c r="R1330" s="334"/>
      <c r="S1330" s="335"/>
    </row>
    <row r="1331" spans="1:34" s="1" customFormat="1" ht="15.75" customHeight="1">
      <c r="A1331" s="107"/>
      <c r="B1331" s="1331" t="s">
        <v>41</v>
      </c>
      <c r="C1331" s="1331"/>
      <c r="D1331" s="1331"/>
      <c r="E1331" s="1331"/>
      <c r="F1331" s="1331"/>
      <c r="G1331" s="1331"/>
      <c r="H1331" s="111">
        <f>H1332</f>
        <v>11641.5</v>
      </c>
      <c r="I1331" s="111">
        <f t="shared" ref="I1331:P1331" si="370">I1332</f>
        <v>9960.2199999999993</v>
      </c>
      <c r="J1331" s="111">
        <f t="shared" si="370"/>
        <v>9539.32</v>
      </c>
      <c r="K1331" s="112">
        <f t="shared" si="370"/>
        <v>480</v>
      </c>
      <c r="L1331" s="113">
        <f t="shared" si="370"/>
        <v>12671361</v>
      </c>
      <c r="M1331" s="113">
        <f t="shared" si="370"/>
        <v>0</v>
      </c>
      <c r="N1331" s="113">
        <f t="shared" si="370"/>
        <v>0</v>
      </c>
      <c r="O1331" s="113">
        <f t="shared" si="370"/>
        <v>12671361</v>
      </c>
      <c r="P1331" s="113">
        <f t="shared" si="370"/>
        <v>0</v>
      </c>
      <c r="Q1331" s="114" t="s">
        <v>40</v>
      </c>
      <c r="R1331" s="126" t="s">
        <v>40</v>
      </c>
      <c r="S1331" s="335">
        <v>43830</v>
      </c>
    </row>
    <row r="1332" spans="1:34" s="1" customFormat="1" ht="24.6" customHeight="1">
      <c r="A1332" s="107"/>
      <c r="B1332" s="1332" t="s">
        <v>96</v>
      </c>
      <c r="C1332" s="1332"/>
      <c r="D1332" s="1331"/>
      <c r="E1332" s="1331"/>
      <c r="F1332" s="1332"/>
      <c r="G1332" s="1332"/>
      <c r="H1332" s="628">
        <f>SUM(H1333:H1336)</f>
        <v>11641.5</v>
      </c>
      <c r="I1332" s="628">
        <f t="shared" ref="I1332:P1332" si="371">SUM(I1333:I1336)</f>
        <v>9960.2199999999993</v>
      </c>
      <c r="J1332" s="628">
        <f t="shared" si="371"/>
        <v>9539.32</v>
      </c>
      <c r="K1332" s="628">
        <f t="shared" si="371"/>
        <v>480</v>
      </c>
      <c r="L1332" s="635">
        <f t="shared" si="371"/>
        <v>12671361</v>
      </c>
      <c r="M1332" s="635">
        <f t="shared" si="371"/>
        <v>0</v>
      </c>
      <c r="N1332" s="635">
        <f t="shared" si="371"/>
        <v>0</v>
      </c>
      <c r="O1332" s="635">
        <f t="shared" si="371"/>
        <v>12671361</v>
      </c>
      <c r="P1332" s="635">
        <f t="shared" si="371"/>
        <v>0</v>
      </c>
      <c r="Q1332" s="114" t="s">
        <v>40</v>
      </c>
      <c r="R1332" s="126" t="s">
        <v>40</v>
      </c>
      <c r="S1332" s="335">
        <v>43830</v>
      </c>
    </row>
    <row r="1333" spans="1:34" s="1" customFormat="1" ht="31.5">
      <c r="A1333" s="631">
        <f>A1330+1</f>
        <v>1</v>
      </c>
      <c r="B1333" s="780" t="s">
        <v>831</v>
      </c>
      <c r="C1333" s="781">
        <v>1976</v>
      </c>
      <c r="D1333" s="761"/>
      <c r="E1333" s="611" t="s">
        <v>834</v>
      </c>
      <c r="F1333" s="781">
        <v>5</v>
      </c>
      <c r="G1333" s="781">
        <v>6</v>
      </c>
      <c r="H1333" s="783">
        <v>4451</v>
      </c>
      <c r="I1333" s="783">
        <v>4064.82</v>
      </c>
      <c r="J1333" s="783">
        <f>I1333-53.9</f>
        <v>4010.92</v>
      </c>
      <c r="K1333" s="781">
        <v>153</v>
      </c>
      <c r="L1333" s="784">
        <v>4056611</v>
      </c>
      <c r="M1333" s="655">
        <v>0</v>
      </c>
      <c r="N1333" s="113">
        <v>0</v>
      </c>
      <c r="O1333" s="113">
        <f>L1333</f>
        <v>4056611</v>
      </c>
      <c r="P1333" s="113">
        <v>0</v>
      </c>
      <c r="Q1333" s="114">
        <f>L1333/I1333</f>
        <v>997.98047638025787</v>
      </c>
      <c r="R1333" s="114">
        <v>7920</v>
      </c>
      <c r="S1333" s="335">
        <v>43830</v>
      </c>
    </row>
    <row r="1334" spans="1:34" s="1" customFormat="1" ht="31.5">
      <c r="A1334" s="631">
        <f t="shared" si="363"/>
        <v>2</v>
      </c>
      <c r="B1334" s="780" t="s">
        <v>832</v>
      </c>
      <c r="C1334" s="781">
        <v>1989</v>
      </c>
      <c r="D1334" s="761"/>
      <c r="E1334" s="611" t="s">
        <v>834</v>
      </c>
      <c r="F1334" s="781">
        <v>5</v>
      </c>
      <c r="G1334" s="781">
        <v>4</v>
      </c>
      <c r="H1334" s="783">
        <v>2784</v>
      </c>
      <c r="I1334" s="783">
        <v>1565.5</v>
      </c>
      <c r="J1334" s="783">
        <f>I1334-245.6</f>
        <v>1319.9</v>
      </c>
      <c r="K1334" s="781">
        <v>141</v>
      </c>
      <c r="L1334" s="784">
        <v>2157151</v>
      </c>
      <c r="M1334" s="655">
        <v>0</v>
      </c>
      <c r="N1334" s="113">
        <v>0</v>
      </c>
      <c r="O1334" s="113">
        <f t="shared" ref="O1334:O1336" si="372">L1334</f>
        <v>2157151</v>
      </c>
      <c r="P1334" s="113">
        <v>0</v>
      </c>
      <c r="Q1334" s="114">
        <f>L1334/I1334</f>
        <v>1377.9310124560843</v>
      </c>
      <c r="R1334" s="114">
        <v>7920</v>
      </c>
      <c r="S1334" s="335">
        <v>43830</v>
      </c>
    </row>
    <row r="1335" spans="1:34" s="1" customFormat="1" ht="31.5">
      <c r="A1335" s="631">
        <f>A1334+1</f>
        <v>3</v>
      </c>
      <c r="B1335" s="780" t="s">
        <v>833</v>
      </c>
      <c r="C1335" s="781">
        <v>1988</v>
      </c>
      <c r="D1335" s="761"/>
      <c r="E1335" s="611" t="s">
        <v>218</v>
      </c>
      <c r="F1335" s="781">
        <v>5</v>
      </c>
      <c r="G1335" s="781">
        <v>1</v>
      </c>
      <c r="H1335" s="783">
        <v>2379.9</v>
      </c>
      <c r="I1335" s="783">
        <v>2357.3000000000002</v>
      </c>
      <c r="J1335" s="783">
        <f>I1335-35</f>
        <v>2322.3000000000002</v>
      </c>
      <c r="K1335" s="781">
        <v>101</v>
      </c>
      <c r="L1335" s="784">
        <v>1992941</v>
      </c>
      <c r="M1335" s="655">
        <v>0</v>
      </c>
      <c r="N1335" s="113">
        <v>0</v>
      </c>
      <c r="O1335" s="113">
        <f t="shared" si="372"/>
        <v>1992941</v>
      </c>
      <c r="P1335" s="113">
        <v>0</v>
      </c>
      <c r="Q1335" s="114">
        <f>L1335/I1335</f>
        <v>845.43375896152372</v>
      </c>
      <c r="R1335" s="114">
        <v>7920</v>
      </c>
      <c r="S1335" s="335">
        <v>43830</v>
      </c>
    </row>
    <row r="1336" spans="1:34" s="1" customFormat="1" ht="31.5">
      <c r="A1336" s="107"/>
      <c r="B1336" s="778" t="s">
        <v>948</v>
      </c>
      <c r="C1336" s="779">
        <v>1963</v>
      </c>
      <c r="D1336" s="108"/>
      <c r="E1336" s="109" t="s">
        <v>218</v>
      </c>
      <c r="F1336" s="779">
        <v>4</v>
      </c>
      <c r="G1336" s="779">
        <v>3</v>
      </c>
      <c r="H1336" s="885">
        <v>2026.6</v>
      </c>
      <c r="I1336" s="886">
        <v>1972.6</v>
      </c>
      <c r="J1336" s="887">
        <v>1886.2</v>
      </c>
      <c r="K1336" s="782">
        <v>85</v>
      </c>
      <c r="L1336" s="771">
        <v>4464658</v>
      </c>
      <c r="M1336" s="113">
        <v>0</v>
      </c>
      <c r="N1336" s="113">
        <v>0</v>
      </c>
      <c r="O1336" s="113">
        <f t="shared" si="372"/>
        <v>4464658</v>
      </c>
      <c r="P1336" s="113">
        <v>0</v>
      </c>
      <c r="Q1336" s="114">
        <f>L1336/I1336</f>
        <v>2263.3367129676571</v>
      </c>
      <c r="R1336" s="114">
        <v>7920</v>
      </c>
      <c r="S1336" s="335">
        <v>43830</v>
      </c>
    </row>
    <row r="1337" spans="1:34" s="1" customFormat="1" ht="15.75">
      <c r="A1337" s="107"/>
      <c r="B1337" s="301"/>
      <c r="C1337" s="108"/>
      <c r="D1337" s="108"/>
      <c r="E1337" s="109"/>
      <c r="F1337" s="108"/>
      <c r="G1337" s="108"/>
      <c r="H1337" s="111"/>
      <c r="I1337" s="108"/>
      <c r="J1337" s="122"/>
      <c r="K1337" s="112"/>
      <c r="L1337" s="113"/>
      <c r="M1337" s="113"/>
      <c r="N1337" s="113"/>
      <c r="O1337" s="113"/>
      <c r="P1337" s="113"/>
      <c r="Q1337" s="114"/>
      <c r="R1337" s="114"/>
      <c r="S1337" s="335"/>
    </row>
    <row r="1338" spans="1:34" s="1" customFormat="1" ht="15.75">
      <c r="A1338" s="107"/>
      <c r="B1338" s="1292" t="s">
        <v>68</v>
      </c>
      <c r="C1338" s="1292"/>
      <c r="D1338" s="1292"/>
      <c r="E1338" s="1292"/>
      <c r="F1338" s="1292"/>
      <c r="G1338" s="1292"/>
      <c r="H1338" s="128">
        <f>H1339</f>
        <v>0</v>
      </c>
      <c r="I1338" s="106">
        <f t="shared" ref="I1338:P1339" si="373">I1339</f>
        <v>0</v>
      </c>
      <c r="J1338" s="106">
        <f t="shared" si="373"/>
        <v>0</v>
      </c>
      <c r="K1338" s="119">
        <f t="shared" si="373"/>
        <v>0</v>
      </c>
      <c r="L1338" s="113">
        <f t="shared" si="373"/>
        <v>0</v>
      </c>
      <c r="M1338" s="113">
        <f t="shared" si="373"/>
        <v>0</v>
      </c>
      <c r="N1338" s="113">
        <f t="shared" si="373"/>
        <v>0</v>
      </c>
      <c r="O1338" s="113">
        <f t="shared" si="373"/>
        <v>0</v>
      </c>
      <c r="P1338" s="113">
        <f t="shared" si="373"/>
        <v>0</v>
      </c>
      <c r="Q1338" s="106" t="s">
        <v>40</v>
      </c>
      <c r="R1338" s="106" t="s">
        <v>40</v>
      </c>
      <c r="S1338" s="335">
        <v>43830</v>
      </c>
    </row>
    <row r="1339" spans="1:34" s="1" customFormat="1" ht="15.75" customHeight="1">
      <c r="A1339" s="107"/>
      <c r="B1339" s="1294" t="s">
        <v>97</v>
      </c>
      <c r="C1339" s="1294"/>
      <c r="D1339" s="1294"/>
      <c r="E1339" s="1294"/>
      <c r="F1339" s="1294"/>
      <c r="G1339" s="1294"/>
      <c r="H1339" s="128">
        <f>H1340</f>
        <v>0</v>
      </c>
      <c r="I1339" s="106">
        <f t="shared" si="373"/>
        <v>0</v>
      </c>
      <c r="J1339" s="106">
        <f t="shared" si="373"/>
        <v>0</v>
      </c>
      <c r="K1339" s="119">
        <f t="shared" si="373"/>
        <v>0</v>
      </c>
      <c r="L1339" s="113">
        <f t="shared" si="373"/>
        <v>0</v>
      </c>
      <c r="M1339" s="113">
        <f t="shared" si="373"/>
        <v>0</v>
      </c>
      <c r="N1339" s="113">
        <f t="shared" si="373"/>
        <v>0</v>
      </c>
      <c r="O1339" s="113">
        <f t="shared" si="373"/>
        <v>0</v>
      </c>
      <c r="P1339" s="113">
        <f t="shared" si="373"/>
        <v>0</v>
      </c>
      <c r="Q1339" s="106" t="s">
        <v>40</v>
      </c>
      <c r="R1339" s="106" t="s">
        <v>40</v>
      </c>
      <c r="S1339" s="335">
        <v>43830</v>
      </c>
    </row>
    <row r="1340" spans="1:34" s="1" customFormat="1" ht="15.75">
      <c r="A1340" s="327"/>
      <c r="B1340" s="365"/>
      <c r="C1340" s="352"/>
      <c r="D1340" s="352"/>
      <c r="E1340" s="330"/>
      <c r="F1340" s="352"/>
      <c r="G1340" s="352"/>
      <c r="H1340" s="353"/>
      <c r="I1340" s="356"/>
      <c r="J1340" s="356"/>
      <c r="K1340" s="355"/>
      <c r="L1340" s="333"/>
      <c r="M1340" s="333"/>
      <c r="N1340" s="333"/>
      <c r="O1340" s="333"/>
      <c r="P1340" s="333"/>
      <c r="Q1340" s="356"/>
      <c r="R1340" s="334"/>
      <c r="S1340" s="335"/>
    </row>
    <row r="1341" spans="1:34" s="16" customFormat="1" ht="15.75">
      <c r="A1341" s="107"/>
      <c r="B1341" s="1292" t="s">
        <v>43</v>
      </c>
      <c r="C1341" s="1292"/>
      <c r="D1341" s="1292"/>
      <c r="E1341" s="1292"/>
      <c r="F1341" s="1292"/>
      <c r="G1341" s="1292"/>
      <c r="H1341" s="106">
        <f>H1342+H1357</f>
        <v>23164.559999999998</v>
      </c>
      <c r="I1341" s="106">
        <f t="shared" ref="I1341:J1341" si="374">I1342+I1357</f>
        <v>21134.959999999999</v>
      </c>
      <c r="J1341" s="106">
        <f t="shared" si="374"/>
        <v>19251.09</v>
      </c>
      <c r="K1341" s="119">
        <f>K1342+K1357</f>
        <v>853</v>
      </c>
      <c r="L1341" s="113">
        <f t="shared" ref="L1341:P1341" si="375">L1342+L1357</f>
        <v>23032470</v>
      </c>
      <c r="M1341" s="113">
        <f t="shared" si="375"/>
        <v>0</v>
      </c>
      <c r="N1341" s="113">
        <f t="shared" si="375"/>
        <v>1400000</v>
      </c>
      <c r="O1341" s="113">
        <f t="shared" si="375"/>
        <v>21632470</v>
      </c>
      <c r="P1341" s="113">
        <f t="shared" si="375"/>
        <v>0</v>
      </c>
      <c r="Q1341" s="106" t="s">
        <v>40</v>
      </c>
      <c r="R1341" s="106" t="s">
        <v>40</v>
      </c>
      <c r="S1341" s="335">
        <v>43830</v>
      </c>
    </row>
    <row r="1342" spans="1:34" s="10" customFormat="1" ht="15.75" customHeight="1">
      <c r="A1342" s="107"/>
      <c r="B1342" s="1294" t="s">
        <v>125</v>
      </c>
      <c r="C1342" s="1294"/>
      <c r="D1342" s="1294"/>
      <c r="E1342" s="1294"/>
      <c r="F1342" s="1294"/>
      <c r="G1342" s="1294"/>
      <c r="H1342" s="128">
        <f t="shared" ref="H1342:M1342" si="376">SUM(H1343:H1356)</f>
        <v>20106.559999999998</v>
      </c>
      <c r="I1342" s="106">
        <f t="shared" si="376"/>
        <v>18426.259999999998</v>
      </c>
      <c r="J1342" s="106">
        <f t="shared" si="376"/>
        <v>16665.189999999999</v>
      </c>
      <c r="K1342" s="119">
        <f t="shared" si="376"/>
        <v>735</v>
      </c>
      <c r="L1342" s="113">
        <f t="shared" si="376"/>
        <v>20696312</v>
      </c>
      <c r="M1342" s="113">
        <f t="shared" si="376"/>
        <v>0</v>
      </c>
      <c r="N1342" s="113">
        <f t="shared" ref="N1342:O1342" si="377">SUM(N1343:N1356)</f>
        <v>0</v>
      </c>
      <c r="O1342" s="113">
        <f t="shared" si="377"/>
        <v>20696312</v>
      </c>
      <c r="P1342" s="113">
        <f>SUM(P1343:P1359)</f>
        <v>0</v>
      </c>
      <c r="Q1342" s="106" t="s">
        <v>40</v>
      </c>
      <c r="R1342" s="106" t="s">
        <v>40</v>
      </c>
      <c r="S1342" s="335">
        <v>43830</v>
      </c>
    </row>
    <row r="1343" spans="1:34" s="40" customFormat="1" ht="15.75">
      <c r="A1343" s="107">
        <f>A1340+1</f>
        <v>1</v>
      </c>
      <c r="B1343" s="130" t="s">
        <v>405</v>
      </c>
      <c r="C1343" s="131">
        <v>1979</v>
      </c>
      <c r="D1343" s="132"/>
      <c r="E1343" s="109" t="s">
        <v>219</v>
      </c>
      <c r="F1343" s="131">
        <v>5</v>
      </c>
      <c r="G1343" s="131">
        <v>6</v>
      </c>
      <c r="H1343" s="133">
        <v>4364.1000000000004</v>
      </c>
      <c r="I1343" s="131">
        <v>3933.3</v>
      </c>
      <c r="J1343" s="131">
        <v>3786.33</v>
      </c>
      <c r="K1343" s="123">
        <v>163</v>
      </c>
      <c r="L1343" s="113">
        <v>2301804</v>
      </c>
      <c r="M1343" s="113">
        <v>0</v>
      </c>
      <c r="N1343" s="113">
        <v>0</v>
      </c>
      <c r="O1343" s="113">
        <f t="shared" ref="O1343:O1356" si="378">L1343</f>
        <v>2301804</v>
      </c>
      <c r="P1343" s="113">
        <v>0</v>
      </c>
      <c r="Q1343" s="134">
        <f>L1343/I1343</f>
        <v>585.2093661810693</v>
      </c>
      <c r="R1343" s="114">
        <v>6774</v>
      </c>
      <c r="S1343" s="335">
        <v>43830</v>
      </c>
      <c r="T1343" s="41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F1343" s="41"/>
      <c r="AG1343" s="41"/>
      <c r="AH1343" s="41"/>
    </row>
    <row r="1344" spans="1:34" s="41" customFormat="1" ht="31.5">
      <c r="A1344" s="107">
        <f t="shared" ref="A1344:A1397" si="379">A1343+1</f>
        <v>2</v>
      </c>
      <c r="B1344" s="120" t="s">
        <v>393</v>
      </c>
      <c r="C1344" s="109">
        <v>1976</v>
      </c>
      <c r="D1344" s="109"/>
      <c r="E1344" s="109" t="s">
        <v>218</v>
      </c>
      <c r="F1344" s="135">
        <v>5</v>
      </c>
      <c r="G1344" s="109">
        <v>6</v>
      </c>
      <c r="H1344" s="136">
        <v>4869.8</v>
      </c>
      <c r="I1344" s="137">
        <v>4494.8</v>
      </c>
      <c r="J1344" s="137">
        <v>3910.1</v>
      </c>
      <c r="K1344" s="138">
        <v>161</v>
      </c>
      <c r="L1344" s="113">
        <v>1743478</v>
      </c>
      <c r="M1344" s="113">
        <v>0</v>
      </c>
      <c r="N1344" s="113">
        <v>0</v>
      </c>
      <c r="O1344" s="113">
        <f t="shared" si="378"/>
        <v>1743478</v>
      </c>
      <c r="P1344" s="113">
        <v>0</v>
      </c>
      <c r="Q1344" s="139">
        <f>L1344/I1344</f>
        <v>387.88778143632641</v>
      </c>
      <c r="R1344" s="102">
        <v>6774</v>
      </c>
      <c r="S1344" s="335">
        <v>43830</v>
      </c>
      <c r="T1344" s="40"/>
      <c r="U1344" s="40"/>
      <c r="V1344" s="40"/>
      <c r="W1344" s="40"/>
      <c r="X1344" s="40"/>
      <c r="Y1344" s="40"/>
      <c r="Z1344" s="40"/>
      <c r="AA1344" s="40"/>
      <c r="AB1344" s="40"/>
      <c r="AC1344" s="40"/>
      <c r="AD1344" s="40"/>
      <c r="AE1344" s="40"/>
      <c r="AF1344" s="40"/>
      <c r="AG1344" s="40"/>
      <c r="AH1344" s="40"/>
    </row>
    <row r="1345" spans="1:34" s="41" customFormat="1" ht="31.5">
      <c r="A1345" s="107">
        <f t="shared" si="379"/>
        <v>3</v>
      </c>
      <c r="B1345" s="140" t="s">
        <v>406</v>
      </c>
      <c r="C1345" s="132">
        <v>2005</v>
      </c>
      <c r="D1345" s="132"/>
      <c r="E1345" s="109" t="s">
        <v>218</v>
      </c>
      <c r="F1345" s="131">
        <v>2</v>
      </c>
      <c r="G1345" s="131">
        <v>2</v>
      </c>
      <c r="H1345" s="133">
        <v>2170.6999999999998</v>
      </c>
      <c r="I1345" s="125">
        <v>1890.5</v>
      </c>
      <c r="J1345" s="125">
        <v>1756.6</v>
      </c>
      <c r="K1345" s="123">
        <v>72</v>
      </c>
      <c r="L1345" s="113">
        <v>2485001</v>
      </c>
      <c r="M1345" s="113">
        <v>0</v>
      </c>
      <c r="N1345" s="113">
        <v>0</v>
      </c>
      <c r="O1345" s="113">
        <f t="shared" si="378"/>
        <v>2485001</v>
      </c>
      <c r="P1345" s="113">
        <v>0</v>
      </c>
      <c r="Q1345" s="126">
        <f>L1345/I1345</f>
        <v>1314.4676011637132</v>
      </c>
      <c r="R1345" s="114">
        <v>6774</v>
      </c>
      <c r="S1345" s="335">
        <v>43830</v>
      </c>
    </row>
    <row r="1346" spans="1:34" s="41" customFormat="1" ht="31.5">
      <c r="A1346" s="107">
        <f t="shared" si="379"/>
        <v>4</v>
      </c>
      <c r="B1346" s="130" t="s">
        <v>402</v>
      </c>
      <c r="C1346" s="131">
        <v>1961</v>
      </c>
      <c r="D1346" s="132"/>
      <c r="E1346" s="109" t="s">
        <v>218</v>
      </c>
      <c r="F1346" s="131">
        <v>2</v>
      </c>
      <c r="G1346" s="132">
        <v>3</v>
      </c>
      <c r="H1346" s="141">
        <v>662.8</v>
      </c>
      <c r="I1346" s="142">
        <v>612.6</v>
      </c>
      <c r="J1346" s="142">
        <v>517</v>
      </c>
      <c r="K1346" s="143">
        <v>32</v>
      </c>
      <c r="L1346" s="113">
        <v>1237591</v>
      </c>
      <c r="M1346" s="113">
        <v>0</v>
      </c>
      <c r="N1346" s="113">
        <v>0</v>
      </c>
      <c r="O1346" s="113">
        <f t="shared" si="378"/>
        <v>1237591</v>
      </c>
      <c r="P1346" s="113">
        <v>0</v>
      </c>
      <c r="Q1346" s="144">
        <f>L1346/I1346</f>
        <v>2020.2269017303297</v>
      </c>
      <c r="R1346" s="114">
        <v>6774</v>
      </c>
      <c r="S1346" s="335">
        <v>43830</v>
      </c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</row>
    <row r="1347" spans="1:34" s="41" customFormat="1" ht="31.5">
      <c r="A1347" s="107">
        <f t="shared" si="379"/>
        <v>5</v>
      </c>
      <c r="B1347" s="145" t="s">
        <v>397</v>
      </c>
      <c r="C1347" s="131">
        <v>1953</v>
      </c>
      <c r="D1347" s="132"/>
      <c r="E1347" s="109" t="s">
        <v>218</v>
      </c>
      <c r="F1347" s="131">
        <v>2</v>
      </c>
      <c r="G1347" s="132">
        <v>2</v>
      </c>
      <c r="H1347" s="146">
        <v>470.96</v>
      </c>
      <c r="I1347" s="147">
        <v>417.36</v>
      </c>
      <c r="J1347" s="147">
        <v>356.76</v>
      </c>
      <c r="K1347" s="148">
        <v>10</v>
      </c>
      <c r="L1347" s="113">
        <v>1448078</v>
      </c>
      <c r="M1347" s="113">
        <v>0</v>
      </c>
      <c r="N1347" s="113">
        <v>0</v>
      </c>
      <c r="O1347" s="113">
        <f t="shared" si="378"/>
        <v>1448078</v>
      </c>
      <c r="P1347" s="113">
        <v>0</v>
      </c>
      <c r="Q1347" s="144">
        <f>L1347/I1347</f>
        <v>3469.6137626988689</v>
      </c>
      <c r="R1347" s="114">
        <v>6774</v>
      </c>
      <c r="S1347" s="335">
        <v>43830</v>
      </c>
    </row>
    <row r="1348" spans="1:34" s="41" customFormat="1" ht="31.5">
      <c r="A1348" s="107">
        <f t="shared" si="379"/>
        <v>6</v>
      </c>
      <c r="B1348" s="145" t="s">
        <v>398</v>
      </c>
      <c r="C1348" s="131">
        <v>1954</v>
      </c>
      <c r="D1348" s="132"/>
      <c r="E1348" s="109" t="s">
        <v>218</v>
      </c>
      <c r="F1348" s="131">
        <v>2</v>
      </c>
      <c r="G1348" s="132">
        <v>2</v>
      </c>
      <c r="H1348" s="141">
        <v>922.3</v>
      </c>
      <c r="I1348" s="142">
        <v>862.3</v>
      </c>
      <c r="J1348" s="142">
        <v>862.3</v>
      </c>
      <c r="K1348" s="123">
        <v>31</v>
      </c>
      <c r="L1348" s="113">
        <v>1963797</v>
      </c>
      <c r="M1348" s="113">
        <v>0</v>
      </c>
      <c r="N1348" s="113">
        <v>0</v>
      </c>
      <c r="O1348" s="113">
        <f t="shared" si="378"/>
        <v>1963797</v>
      </c>
      <c r="P1348" s="113">
        <v>0</v>
      </c>
      <c r="Q1348" s="144">
        <f xml:space="preserve"> L1348/I1348</f>
        <v>2277.3941783601995</v>
      </c>
      <c r="R1348" s="114">
        <v>6774</v>
      </c>
      <c r="S1348" s="335">
        <v>43830</v>
      </c>
    </row>
    <row r="1349" spans="1:34" s="42" customFormat="1" ht="31.5">
      <c r="A1349" s="107">
        <f t="shared" si="379"/>
        <v>7</v>
      </c>
      <c r="B1349" s="145" t="s">
        <v>399</v>
      </c>
      <c r="C1349" s="131">
        <v>1961</v>
      </c>
      <c r="D1349" s="132"/>
      <c r="E1349" s="109" t="s">
        <v>218</v>
      </c>
      <c r="F1349" s="131">
        <v>4</v>
      </c>
      <c r="G1349" s="132">
        <v>4</v>
      </c>
      <c r="H1349" s="133">
        <v>2386.6</v>
      </c>
      <c r="I1349" s="125">
        <v>2260.4</v>
      </c>
      <c r="J1349" s="125">
        <v>2024.9</v>
      </c>
      <c r="K1349" s="123">
        <v>66</v>
      </c>
      <c r="L1349" s="113">
        <v>2119530</v>
      </c>
      <c r="M1349" s="113">
        <v>0</v>
      </c>
      <c r="N1349" s="113">
        <v>0</v>
      </c>
      <c r="O1349" s="113">
        <f t="shared" si="378"/>
        <v>2119530</v>
      </c>
      <c r="P1349" s="113">
        <v>0</v>
      </c>
      <c r="Q1349" s="144">
        <f t="shared" ref="Q1349:Q1356" si="380">L1349/I1349</f>
        <v>937.67917182799499</v>
      </c>
      <c r="R1349" s="114">
        <v>6774</v>
      </c>
      <c r="S1349" s="335">
        <v>43830</v>
      </c>
    </row>
    <row r="1350" spans="1:34" s="42" customFormat="1" ht="31.5">
      <c r="A1350" s="107">
        <f t="shared" si="379"/>
        <v>8</v>
      </c>
      <c r="B1350" s="130" t="s">
        <v>403</v>
      </c>
      <c r="C1350" s="131">
        <v>1956</v>
      </c>
      <c r="D1350" s="132"/>
      <c r="E1350" s="109" t="s">
        <v>218</v>
      </c>
      <c r="F1350" s="131">
        <v>2</v>
      </c>
      <c r="G1350" s="132">
        <v>2</v>
      </c>
      <c r="H1350" s="149">
        <v>833.9</v>
      </c>
      <c r="I1350" s="142">
        <v>785.9</v>
      </c>
      <c r="J1350" s="142">
        <v>675</v>
      </c>
      <c r="K1350" s="143">
        <v>32</v>
      </c>
      <c r="L1350" s="113">
        <v>1098163</v>
      </c>
      <c r="M1350" s="113">
        <v>0</v>
      </c>
      <c r="N1350" s="113">
        <v>0</v>
      </c>
      <c r="O1350" s="113">
        <f t="shared" si="378"/>
        <v>1098163</v>
      </c>
      <c r="P1350" s="113">
        <v>0</v>
      </c>
      <c r="Q1350" s="144">
        <f t="shared" si="380"/>
        <v>1397.3317215930781</v>
      </c>
      <c r="R1350" s="114">
        <v>6774</v>
      </c>
      <c r="S1350" s="335">
        <v>43830</v>
      </c>
      <c r="T1350" s="44"/>
      <c r="U1350" s="44"/>
      <c r="V1350" s="44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  <c r="AG1350" s="44"/>
      <c r="AH1350" s="44"/>
    </row>
    <row r="1351" spans="1:34" s="42" customFormat="1" ht="31.5">
      <c r="A1351" s="107">
        <f t="shared" si="379"/>
        <v>9</v>
      </c>
      <c r="B1351" s="130" t="s">
        <v>404</v>
      </c>
      <c r="C1351" s="131">
        <v>1959</v>
      </c>
      <c r="D1351" s="132"/>
      <c r="E1351" s="109" t="s">
        <v>218</v>
      </c>
      <c r="F1351" s="131">
        <v>2</v>
      </c>
      <c r="G1351" s="132">
        <v>3</v>
      </c>
      <c r="H1351" s="150">
        <v>640.5</v>
      </c>
      <c r="I1351" s="147">
        <v>621.79999999999995</v>
      </c>
      <c r="J1351" s="147">
        <v>490.9</v>
      </c>
      <c r="K1351" s="143">
        <v>35</v>
      </c>
      <c r="L1351" s="113">
        <v>1241309</v>
      </c>
      <c r="M1351" s="113">
        <v>0</v>
      </c>
      <c r="N1351" s="113">
        <v>0</v>
      </c>
      <c r="O1351" s="113">
        <f t="shared" si="378"/>
        <v>1241309</v>
      </c>
      <c r="P1351" s="113">
        <v>0</v>
      </c>
      <c r="Q1351" s="144">
        <f t="shared" si="380"/>
        <v>1996.3155355419751</v>
      </c>
      <c r="R1351" s="114">
        <v>6774</v>
      </c>
      <c r="S1351" s="335">
        <v>43830</v>
      </c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</row>
    <row r="1352" spans="1:34" s="42" customFormat="1" ht="31.5">
      <c r="A1352" s="107">
        <f t="shared" si="379"/>
        <v>10</v>
      </c>
      <c r="B1352" s="130" t="s">
        <v>400</v>
      </c>
      <c r="C1352" s="131">
        <v>1960</v>
      </c>
      <c r="D1352" s="132"/>
      <c r="E1352" s="109" t="s">
        <v>218</v>
      </c>
      <c r="F1352" s="131">
        <v>2</v>
      </c>
      <c r="G1352" s="132">
        <v>2</v>
      </c>
      <c r="H1352" s="141">
        <v>504.1</v>
      </c>
      <c r="I1352" s="142">
        <v>445.3</v>
      </c>
      <c r="J1352" s="142">
        <v>373.3</v>
      </c>
      <c r="K1352" s="143">
        <v>24</v>
      </c>
      <c r="L1352" s="113">
        <v>1041360</v>
      </c>
      <c r="M1352" s="113">
        <v>0</v>
      </c>
      <c r="N1352" s="113">
        <v>0</v>
      </c>
      <c r="O1352" s="113">
        <f t="shared" si="378"/>
        <v>1041360</v>
      </c>
      <c r="P1352" s="113">
        <v>0</v>
      </c>
      <c r="Q1352" s="144">
        <f t="shared" si="380"/>
        <v>2338.5582753200088</v>
      </c>
      <c r="R1352" s="114">
        <v>6774</v>
      </c>
      <c r="S1352" s="335">
        <v>43830</v>
      </c>
    </row>
    <row r="1353" spans="1:34" s="44" customFormat="1" ht="31.5">
      <c r="A1353" s="107">
        <f>A1352+1</f>
        <v>11</v>
      </c>
      <c r="B1353" s="130" t="s">
        <v>401</v>
      </c>
      <c r="C1353" s="131">
        <v>1961</v>
      </c>
      <c r="D1353" s="132"/>
      <c r="E1353" s="109" t="s">
        <v>218</v>
      </c>
      <c r="F1353" s="131">
        <v>2</v>
      </c>
      <c r="G1353" s="132">
        <v>2</v>
      </c>
      <c r="H1353" s="141">
        <v>506.2</v>
      </c>
      <c r="I1353" s="142">
        <v>447.4</v>
      </c>
      <c r="J1353" s="142">
        <f>I1353</f>
        <v>447.4</v>
      </c>
      <c r="K1353" s="143">
        <v>18</v>
      </c>
      <c r="L1353" s="113">
        <v>1138866</v>
      </c>
      <c r="M1353" s="113">
        <v>0</v>
      </c>
      <c r="N1353" s="113">
        <v>0</v>
      </c>
      <c r="O1353" s="113">
        <f t="shared" si="378"/>
        <v>1138866</v>
      </c>
      <c r="P1353" s="113">
        <v>0</v>
      </c>
      <c r="Q1353" s="144">
        <f t="shared" si="380"/>
        <v>2545.5207867679928</v>
      </c>
      <c r="R1353" s="114">
        <v>6774</v>
      </c>
      <c r="S1353" s="335">
        <v>43830</v>
      </c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</row>
    <row r="1354" spans="1:34" s="41" customFormat="1" ht="31.5">
      <c r="A1354" s="107">
        <f>A1353+1</f>
        <v>12</v>
      </c>
      <c r="B1354" s="145" t="s">
        <v>394</v>
      </c>
      <c r="C1354" s="131">
        <v>1966</v>
      </c>
      <c r="D1354" s="132"/>
      <c r="E1354" s="109" t="s">
        <v>218</v>
      </c>
      <c r="F1354" s="131">
        <v>2</v>
      </c>
      <c r="G1354" s="132">
        <v>2</v>
      </c>
      <c r="H1354" s="141">
        <v>482.5</v>
      </c>
      <c r="I1354" s="142">
        <v>454.1</v>
      </c>
      <c r="J1354" s="142">
        <v>370.7</v>
      </c>
      <c r="K1354" s="123">
        <v>31</v>
      </c>
      <c r="L1354" s="113">
        <v>848546</v>
      </c>
      <c r="M1354" s="113">
        <v>0</v>
      </c>
      <c r="N1354" s="113">
        <v>0</v>
      </c>
      <c r="O1354" s="113">
        <f t="shared" si="378"/>
        <v>848546</v>
      </c>
      <c r="P1354" s="113">
        <v>0</v>
      </c>
      <c r="Q1354" s="144">
        <f t="shared" si="380"/>
        <v>1868.6324598106144</v>
      </c>
      <c r="R1354" s="114">
        <v>6774</v>
      </c>
      <c r="S1354" s="335">
        <v>43830</v>
      </c>
    </row>
    <row r="1355" spans="1:34" s="41" customFormat="1" ht="31.5">
      <c r="A1355" s="107">
        <f>A1354+1</f>
        <v>13</v>
      </c>
      <c r="B1355" s="145" t="s">
        <v>395</v>
      </c>
      <c r="C1355" s="131">
        <v>1969</v>
      </c>
      <c r="D1355" s="132"/>
      <c r="E1355" s="109" t="s">
        <v>218</v>
      </c>
      <c r="F1355" s="131">
        <v>2</v>
      </c>
      <c r="G1355" s="132">
        <v>2</v>
      </c>
      <c r="H1355" s="141">
        <v>502.6</v>
      </c>
      <c r="I1355" s="151">
        <v>471</v>
      </c>
      <c r="J1355" s="142">
        <v>423.8</v>
      </c>
      <c r="K1355" s="123">
        <v>21</v>
      </c>
      <c r="L1355" s="113">
        <v>848706</v>
      </c>
      <c r="M1355" s="113">
        <v>0</v>
      </c>
      <c r="N1355" s="113">
        <v>0</v>
      </c>
      <c r="O1355" s="113">
        <f t="shared" si="378"/>
        <v>848706</v>
      </c>
      <c r="P1355" s="113">
        <v>0</v>
      </c>
      <c r="Q1355" s="144">
        <f t="shared" si="380"/>
        <v>1801.9235668789809</v>
      </c>
      <c r="R1355" s="114">
        <v>6774</v>
      </c>
      <c r="S1355" s="335">
        <v>43830</v>
      </c>
    </row>
    <row r="1356" spans="1:34" s="41" customFormat="1" ht="31.5">
      <c r="A1356" s="107">
        <f>A1355+1</f>
        <v>14</v>
      </c>
      <c r="B1356" s="145" t="s">
        <v>396</v>
      </c>
      <c r="C1356" s="131">
        <v>1973</v>
      </c>
      <c r="D1356" s="132"/>
      <c r="E1356" s="109" t="s">
        <v>218</v>
      </c>
      <c r="F1356" s="131">
        <v>2</v>
      </c>
      <c r="G1356" s="132">
        <v>2</v>
      </c>
      <c r="H1356" s="141">
        <v>789.5</v>
      </c>
      <c r="I1356" s="142">
        <v>729.5</v>
      </c>
      <c r="J1356" s="142">
        <v>670.1</v>
      </c>
      <c r="K1356" s="123">
        <v>39</v>
      </c>
      <c r="L1356" s="113">
        <v>1180083</v>
      </c>
      <c r="M1356" s="113">
        <v>0</v>
      </c>
      <c r="N1356" s="113">
        <v>0</v>
      </c>
      <c r="O1356" s="113">
        <f t="shared" si="378"/>
        <v>1180083</v>
      </c>
      <c r="P1356" s="113">
        <v>0</v>
      </c>
      <c r="Q1356" s="144">
        <f t="shared" si="380"/>
        <v>1617.6600411240577</v>
      </c>
      <c r="R1356" s="114">
        <v>6774</v>
      </c>
      <c r="S1356" s="335">
        <v>43830</v>
      </c>
    </row>
    <row r="1357" spans="1:34" s="42" customFormat="1" ht="15.75" customHeight="1">
      <c r="A1357" s="107"/>
      <c r="B1357" s="1294" t="s">
        <v>210</v>
      </c>
      <c r="C1357" s="1294"/>
      <c r="D1357" s="1294"/>
      <c r="E1357" s="1294"/>
      <c r="F1357" s="1294"/>
      <c r="G1357" s="1294"/>
      <c r="H1357" s="106">
        <f>H1358+H1359</f>
        <v>3058</v>
      </c>
      <c r="I1357" s="106">
        <f t="shared" ref="I1357:P1357" si="381">I1358+I1359</f>
        <v>2708.7</v>
      </c>
      <c r="J1357" s="106">
        <f t="shared" si="381"/>
        <v>2585.9</v>
      </c>
      <c r="K1357" s="119">
        <f t="shared" si="381"/>
        <v>118</v>
      </c>
      <c r="L1357" s="113">
        <f t="shared" si="381"/>
        <v>2336158</v>
      </c>
      <c r="M1357" s="113">
        <f t="shared" si="381"/>
        <v>0</v>
      </c>
      <c r="N1357" s="113">
        <f t="shared" si="381"/>
        <v>1400000</v>
      </c>
      <c r="O1357" s="113">
        <f t="shared" si="381"/>
        <v>936158</v>
      </c>
      <c r="P1357" s="113">
        <f t="shared" si="381"/>
        <v>0</v>
      </c>
      <c r="Q1357" s="106" t="s">
        <v>40</v>
      </c>
      <c r="R1357" s="106" t="s">
        <v>40</v>
      </c>
      <c r="S1357" s="335">
        <v>43830</v>
      </c>
    </row>
    <row r="1358" spans="1:34" s="42" customFormat="1" ht="16.5" customHeight="1">
      <c r="A1358" s="107">
        <f>A1356+1</f>
        <v>15</v>
      </c>
      <c r="B1358" s="140" t="s">
        <v>407</v>
      </c>
      <c r="C1358" s="132">
        <v>1986</v>
      </c>
      <c r="D1358" s="132"/>
      <c r="E1358" s="109" t="s">
        <v>222</v>
      </c>
      <c r="F1358" s="131">
        <v>3</v>
      </c>
      <c r="G1358" s="132">
        <v>3</v>
      </c>
      <c r="H1358" s="152">
        <v>1529</v>
      </c>
      <c r="I1358" s="153">
        <v>1345.2</v>
      </c>
      <c r="J1358" s="153">
        <v>1345.2</v>
      </c>
      <c r="K1358" s="143">
        <v>60</v>
      </c>
      <c r="L1358" s="113">
        <f>O1358+N1358</f>
        <v>1168079</v>
      </c>
      <c r="M1358" s="113">
        <v>0</v>
      </c>
      <c r="N1358" s="113">
        <v>700000</v>
      </c>
      <c r="O1358" s="113">
        <v>468079</v>
      </c>
      <c r="P1358" s="113">
        <v>0</v>
      </c>
      <c r="Q1358" s="144">
        <f>L1358/I1358</f>
        <v>868.33110318168303</v>
      </c>
      <c r="R1358" s="114">
        <v>6774</v>
      </c>
      <c r="S1358" s="335">
        <v>43830</v>
      </c>
    </row>
    <row r="1359" spans="1:34" s="42" customFormat="1" ht="18" customHeight="1">
      <c r="A1359" s="107">
        <f>A1358+1</f>
        <v>16</v>
      </c>
      <c r="B1359" s="140" t="s">
        <v>408</v>
      </c>
      <c r="C1359" s="132">
        <v>1986</v>
      </c>
      <c r="D1359" s="132"/>
      <c r="E1359" s="109" t="s">
        <v>222</v>
      </c>
      <c r="F1359" s="131">
        <v>3</v>
      </c>
      <c r="G1359" s="132">
        <v>3</v>
      </c>
      <c r="H1359" s="152">
        <v>1529</v>
      </c>
      <c r="I1359" s="153">
        <v>1363.5</v>
      </c>
      <c r="J1359" s="153">
        <v>1240.7</v>
      </c>
      <c r="K1359" s="143">
        <v>58</v>
      </c>
      <c r="L1359" s="113">
        <f>O1359+N1359</f>
        <v>1168079</v>
      </c>
      <c r="M1359" s="113">
        <v>0</v>
      </c>
      <c r="N1359" s="113">
        <v>700000</v>
      </c>
      <c r="O1359" s="113">
        <v>468079</v>
      </c>
      <c r="P1359" s="113">
        <v>0</v>
      </c>
      <c r="Q1359" s="144">
        <f>L1359/I1359</f>
        <v>856.67693436010268</v>
      </c>
      <c r="R1359" s="114">
        <v>6774</v>
      </c>
      <c r="S1359" s="335">
        <v>43830</v>
      </c>
    </row>
    <row r="1360" spans="1:34" s="1" customFormat="1" ht="15.75">
      <c r="A1360" s="107"/>
      <c r="B1360" s="1292" t="s">
        <v>44</v>
      </c>
      <c r="C1360" s="1292"/>
      <c r="D1360" s="1292"/>
      <c r="E1360" s="1292"/>
      <c r="F1360" s="1292"/>
      <c r="G1360" s="1292"/>
      <c r="H1360" s="128">
        <f>H1361</f>
        <v>518.5</v>
      </c>
      <c r="I1360" s="106">
        <f t="shared" ref="I1360:P1361" si="382">I1361</f>
        <v>518.5</v>
      </c>
      <c r="J1360" s="106">
        <f t="shared" si="382"/>
        <v>298.10000000000002</v>
      </c>
      <c r="K1360" s="119">
        <f t="shared" si="382"/>
        <v>27</v>
      </c>
      <c r="L1360" s="113">
        <f>L1361</f>
        <v>906976</v>
      </c>
      <c r="M1360" s="113">
        <f t="shared" si="382"/>
        <v>0</v>
      </c>
      <c r="N1360" s="113">
        <f t="shared" si="382"/>
        <v>0</v>
      </c>
      <c r="O1360" s="113">
        <f t="shared" si="382"/>
        <v>906976</v>
      </c>
      <c r="P1360" s="113">
        <f t="shared" si="382"/>
        <v>0</v>
      </c>
      <c r="Q1360" s="106" t="s">
        <v>40</v>
      </c>
      <c r="R1360" s="114" t="s">
        <v>40</v>
      </c>
      <c r="S1360" s="335">
        <v>43830</v>
      </c>
    </row>
    <row r="1361" spans="1:19" s="1" customFormat="1" ht="15.75" customHeight="1">
      <c r="A1361" s="107"/>
      <c r="B1361" s="1294" t="s">
        <v>435</v>
      </c>
      <c r="C1361" s="1294"/>
      <c r="D1361" s="1294"/>
      <c r="E1361" s="1294"/>
      <c r="F1361" s="1294"/>
      <c r="G1361" s="1294"/>
      <c r="H1361" s="128">
        <f>H1362</f>
        <v>518.5</v>
      </c>
      <c r="I1361" s="128">
        <f t="shared" si="382"/>
        <v>518.5</v>
      </c>
      <c r="J1361" s="128">
        <f t="shared" si="382"/>
        <v>298.10000000000002</v>
      </c>
      <c r="K1361" s="128">
        <f t="shared" si="382"/>
        <v>27</v>
      </c>
      <c r="L1361" s="565">
        <f t="shared" si="382"/>
        <v>906976</v>
      </c>
      <c r="M1361" s="565">
        <f t="shared" si="382"/>
        <v>0</v>
      </c>
      <c r="N1361" s="565">
        <f t="shared" si="382"/>
        <v>0</v>
      </c>
      <c r="O1361" s="565">
        <f t="shared" si="382"/>
        <v>906976</v>
      </c>
      <c r="P1361" s="565">
        <f t="shared" si="382"/>
        <v>0</v>
      </c>
      <c r="Q1361" s="106" t="s">
        <v>40</v>
      </c>
      <c r="R1361" s="106" t="s">
        <v>40</v>
      </c>
      <c r="S1361" s="335">
        <v>43830</v>
      </c>
    </row>
    <row r="1362" spans="1:19" s="1" customFormat="1" ht="31.5">
      <c r="A1362" s="327"/>
      <c r="B1362" s="338" t="s">
        <v>768</v>
      </c>
      <c r="C1362" s="327">
        <v>1967</v>
      </c>
      <c r="D1362" s="329"/>
      <c r="E1362" s="330" t="s">
        <v>218</v>
      </c>
      <c r="F1362" s="329">
        <v>2</v>
      </c>
      <c r="G1362" s="329">
        <v>2</v>
      </c>
      <c r="H1362" s="331">
        <v>518.5</v>
      </c>
      <c r="I1362" s="329">
        <v>518.5</v>
      </c>
      <c r="J1362" s="329">
        <v>298.10000000000002</v>
      </c>
      <c r="K1362" s="332">
        <v>27</v>
      </c>
      <c r="L1362" s="333">
        <v>906976</v>
      </c>
      <c r="M1362" s="333">
        <v>0</v>
      </c>
      <c r="N1362" s="333">
        <v>0</v>
      </c>
      <c r="O1362" s="333">
        <v>906976</v>
      </c>
      <c r="P1362" s="333">
        <v>0</v>
      </c>
      <c r="Q1362" s="664">
        <f>L1362/I1362</f>
        <v>1749.2304725168756</v>
      </c>
      <c r="R1362" s="334">
        <v>7920</v>
      </c>
      <c r="S1362" s="335">
        <v>43830</v>
      </c>
    </row>
    <row r="1363" spans="1:19" s="1" customFormat="1" ht="15.75">
      <c r="A1363" s="327"/>
      <c r="B1363" s="338"/>
      <c r="C1363" s="329"/>
      <c r="D1363" s="329"/>
      <c r="E1363" s="330"/>
      <c r="F1363" s="329"/>
      <c r="G1363" s="329"/>
      <c r="H1363" s="331"/>
      <c r="I1363" s="329"/>
      <c r="J1363" s="329"/>
      <c r="K1363" s="332"/>
      <c r="L1363" s="333"/>
      <c r="M1363" s="333"/>
      <c r="N1363" s="333"/>
      <c r="O1363" s="333"/>
      <c r="P1363" s="333"/>
      <c r="Q1363" s="334"/>
      <c r="R1363" s="334"/>
      <c r="S1363" s="335">
        <v>43830</v>
      </c>
    </row>
    <row r="1364" spans="1:19" s="1" customFormat="1" ht="21.6" customHeight="1">
      <c r="A1364" s="107"/>
      <c r="B1364" s="1292" t="s">
        <v>45</v>
      </c>
      <c r="C1364" s="1292"/>
      <c r="D1364" s="1292"/>
      <c r="E1364" s="1292"/>
      <c r="F1364" s="1292"/>
      <c r="G1364" s="1292"/>
      <c r="H1364" s="128">
        <f>H1365+H1367+H1369+H1372+H1373+H1375+H1377</f>
        <v>11088.41</v>
      </c>
      <c r="I1364" s="128">
        <f t="shared" ref="I1364:P1364" si="383">I1365+I1367+I1369+I1372+I1373+I1375+I1377</f>
        <v>9212.02</v>
      </c>
      <c r="J1364" s="128">
        <f t="shared" si="383"/>
        <v>7783.04</v>
      </c>
      <c r="K1364" s="128">
        <f t="shared" si="383"/>
        <v>381</v>
      </c>
      <c r="L1364" s="565">
        <f t="shared" si="383"/>
        <v>11109566</v>
      </c>
      <c r="M1364" s="565">
        <f t="shared" si="383"/>
        <v>0</v>
      </c>
      <c r="N1364" s="565">
        <f t="shared" si="383"/>
        <v>0</v>
      </c>
      <c r="O1364" s="565">
        <f t="shared" si="383"/>
        <v>11109566</v>
      </c>
      <c r="P1364" s="565">
        <f t="shared" si="383"/>
        <v>0</v>
      </c>
      <c r="Q1364" s="106" t="s">
        <v>40</v>
      </c>
      <c r="R1364" s="114" t="s">
        <v>40</v>
      </c>
      <c r="S1364" s="335">
        <v>43830</v>
      </c>
    </row>
    <row r="1365" spans="1:19" s="1" customFormat="1" ht="15.75">
      <c r="A1365" s="327"/>
      <c r="B1365" s="1369" t="s">
        <v>98</v>
      </c>
      <c r="C1365" s="1369"/>
      <c r="D1365" s="1369"/>
      <c r="E1365" s="1369"/>
      <c r="F1365" s="1369"/>
      <c r="G1365" s="1369"/>
      <c r="H1365" s="353">
        <f>H1366</f>
        <v>3642.1</v>
      </c>
      <c r="I1365" s="353">
        <f t="shared" ref="I1365:P1365" si="384">I1366</f>
        <v>3274.61</v>
      </c>
      <c r="J1365" s="353">
        <f t="shared" si="384"/>
        <v>3121.61</v>
      </c>
      <c r="K1365" s="353">
        <f t="shared" si="384"/>
        <v>158</v>
      </c>
      <c r="L1365" s="708">
        <f t="shared" si="384"/>
        <v>2377747</v>
      </c>
      <c r="M1365" s="708">
        <f t="shared" si="384"/>
        <v>0</v>
      </c>
      <c r="N1365" s="708">
        <f t="shared" si="384"/>
        <v>0</v>
      </c>
      <c r="O1365" s="708">
        <f t="shared" si="384"/>
        <v>2377747</v>
      </c>
      <c r="P1365" s="708">
        <f t="shared" si="384"/>
        <v>0</v>
      </c>
      <c r="Q1365" s="356" t="s">
        <v>40</v>
      </c>
      <c r="R1365" s="356" t="s">
        <v>40</v>
      </c>
      <c r="S1365" s="335">
        <v>43830</v>
      </c>
    </row>
    <row r="1366" spans="1:19" s="1" customFormat="1" ht="31.5">
      <c r="A1366" s="327">
        <f>A1363+1</f>
        <v>1</v>
      </c>
      <c r="B1366" s="576" t="s">
        <v>798</v>
      </c>
      <c r="C1366" s="327">
        <v>1970</v>
      </c>
      <c r="D1366" s="329"/>
      <c r="E1366" s="330" t="s">
        <v>218</v>
      </c>
      <c r="F1366" s="577">
        <v>5</v>
      </c>
      <c r="G1366" s="577">
        <v>4</v>
      </c>
      <c r="H1366" s="574">
        <v>3642.1</v>
      </c>
      <c r="I1366" s="578">
        <v>3274.61</v>
      </c>
      <c r="J1366" s="579">
        <v>3121.61</v>
      </c>
      <c r="K1366" s="580">
        <v>158</v>
      </c>
      <c r="L1366" s="333">
        <v>2377747</v>
      </c>
      <c r="M1366" s="333">
        <v>0</v>
      </c>
      <c r="N1366" s="333">
        <v>0</v>
      </c>
      <c r="O1366" s="333">
        <v>2377747</v>
      </c>
      <c r="P1366" s="333">
        <f>SUM(P1372:P1372)</f>
        <v>0</v>
      </c>
      <c r="Q1366" s="334">
        <f>L1366/I1366</f>
        <v>726.11608710655617</v>
      </c>
      <c r="R1366" s="334">
        <v>7920</v>
      </c>
      <c r="S1366" s="335">
        <v>43830</v>
      </c>
    </row>
    <row r="1367" spans="1:19" s="1" customFormat="1" ht="18" customHeight="1">
      <c r="A1367" s="327"/>
      <c r="B1367" s="1369" t="s">
        <v>688</v>
      </c>
      <c r="C1367" s="1369"/>
      <c r="D1367" s="1369"/>
      <c r="E1367" s="1369"/>
      <c r="F1367" s="1369"/>
      <c r="G1367" s="1369"/>
      <c r="H1367" s="574">
        <f>H1368</f>
        <v>489.41</v>
      </c>
      <c r="I1367" s="574">
        <f t="shared" ref="I1367:P1367" si="385">I1368</f>
        <v>489.41</v>
      </c>
      <c r="J1367" s="574">
        <f t="shared" si="385"/>
        <v>317</v>
      </c>
      <c r="K1367" s="574">
        <f t="shared" si="385"/>
        <v>20</v>
      </c>
      <c r="L1367" s="575">
        <f t="shared" si="385"/>
        <v>901450</v>
      </c>
      <c r="M1367" s="575">
        <f t="shared" si="385"/>
        <v>0</v>
      </c>
      <c r="N1367" s="575">
        <f t="shared" si="385"/>
        <v>0</v>
      </c>
      <c r="O1367" s="575">
        <f t="shared" si="385"/>
        <v>901450</v>
      </c>
      <c r="P1367" s="575">
        <f t="shared" si="385"/>
        <v>0</v>
      </c>
      <c r="Q1367" s="356" t="s">
        <v>40</v>
      </c>
      <c r="R1367" s="334" t="s">
        <v>40</v>
      </c>
      <c r="S1367" s="335">
        <v>43830</v>
      </c>
    </row>
    <row r="1368" spans="1:19" s="1" customFormat="1" ht="37.15" customHeight="1">
      <c r="A1368" s="327"/>
      <c r="B1368" s="576" t="s">
        <v>691</v>
      </c>
      <c r="C1368" s="327">
        <v>1960</v>
      </c>
      <c r="D1368" s="329"/>
      <c r="E1368" s="330" t="s">
        <v>218</v>
      </c>
      <c r="F1368" s="577">
        <v>2</v>
      </c>
      <c r="G1368" s="577">
        <v>3</v>
      </c>
      <c r="H1368" s="574">
        <v>489.41</v>
      </c>
      <c r="I1368" s="578">
        <v>489.41</v>
      </c>
      <c r="J1368" s="579">
        <v>317</v>
      </c>
      <c r="K1368" s="580">
        <v>20</v>
      </c>
      <c r="L1368" s="333">
        <v>901450</v>
      </c>
      <c r="M1368" s="333">
        <v>0</v>
      </c>
      <c r="N1368" s="333">
        <v>0</v>
      </c>
      <c r="O1368" s="333">
        <v>901450</v>
      </c>
      <c r="P1368" s="333">
        <v>0</v>
      </c>
      <c r="Q1368" s="334">
        <f t="shared" ref="Q1368" si="386">L1368/I1368</f>
        <v>1841.911689585419</v>
      </c>
      <c r="R1368" s="334">
        <v>7920</v>
      </c>
      <c r="S1368" s="335">
        <v>43830</v>
      </c>
    </row>
    <row r="1369" spans="1:19" s="1" customFormat="1" ht="15.75">
      <c r="A1369" s="327"/>
      <c r="B1369" s="1369" t="s">
        <v>99</v>
      </c>
      <c r="C1369" s="1369"/>
      <c r="D1369" s="1369"/>
      <c r="E1369" s="1369"/>
      <c r="F1369" s="1369"/>
      <c r="G1369" s="1369"/>
      <c r="H1369" s="353">
        <f>SUM(H1370:H1371)</f>
        <v>1025.3</v>
      </c>
      <c r="I1369" s="356">
        <f t="shared" ref="I1369:P1369" si="387">SUM(I1370:I1371)</f>
        <v>941.9</v>
      </c>
      <c r="J1369" s="356">
        <f t="shared" si="387"/>
        <v>830.5</v>
      </c>
      <c r="K1369" s="355">
        <f t="shared" si="387"/>
        <v>34</v>
      </c>
      <c r="L1369" s="333">
        <f t="shared" si="387"/>
        <v>1696092</v>
      </c>
      <c r="M1369" s="333">
        <f t="shared" si="387"/>
        <v>0</v>
      </c>
      <c r="N1369" s="333">
        <f t="shared" si="387"/>
        <v>0</v>
      </c>
      <c r="O1369" s="333">
        <f t="shared" si="387"/>
        <v>1696092</v>
      </c>
      <c r="P1369" s="333">
        <f t="shared" si="387"/>
        <v>0</v>
      </c>
      <c r="Q1369" s="356" t="s">
        <v>40</v>
      </c>
      <c r="R1369" s="356" t="s">
        <v>40</v>
      </c>
      <c r="S1369" s="335">
        <v>43830</v>
      </c>
    </row>
    <row r="1370" spans="1:19" s="20" customFormat="1" ht="31.5">
      <c r="A1370" s="327" t="e">
        <f>#REF!+1</f>
        <v>#REF!</v>
      </c>
      <c r="B1370" s="705" t="s">
        <v>801</v>
      </c>
      <c r="C1370" s="367">
        <v>1967</v>
      </c>
      <c r="D1370" s="367"/>
      <c r="E1370" s="330" t="s">
        <v>218</v>
      </c>
      <c r="F1370" s="367">
        <v>2</v>
      </c>
      <c r="G1370" s="367">
        <v>2</v>
      </c>
      <c r="H1370" s="368">
        <v>523.9</v>
      </c>
      <c r="I1370" s="713">
        <v>470.7</v>
      </c>
      <c r="J1370" s="713">
        <v>433.4</v>
      </c>
      <c r="K1370" s="370">
        <v>13</v>
      </c>
      <c r="L1370" s="333">
        <v>851963</v>
      </c>
      <c r="M1370" s="333">
        <v>0</v>
      </c>
      <c r="N1370" s="333">
        <v>0</v>
      </c>
      <c r="O1370" s="333">
        <f>L1370</f>
        <v>851963</v>
      </c>
      <c r="P1370" s="333">
        <v>0</v>
      </c>
      <c r="Q1370" s="371">
        <f>L1370/I1370</f>
        <v>1809.9915020182707</v>
      </c>
      <c r="R1370" s="334">
        <v>7920</v>
      </c>
      <c r="S1370" s="335">
        <v>43830</v>
      </c>
    </row>
    <row r="1371" spans="1:19" s="20" customFormat="1" ht="31.5">
      <c r="A1371" s="327" t="e">
        <f t="shared" si="379"/>
        <v>#REF!</v>
      </c>
      <c r="B1371" s="705" t="s">
        <v>802</v>
      </c>
      <c r="C1371" s="367">
        <v>1967</v>
      </c>
      <c r="D1371" s="367"/>
      <c r="E1371" s="330" t="s">
        <v>218</v>
      </c>
      <c r="F1371" s="367">
        <v>2</v>
      </c>
      <c r="G1371" s="367">
        <v>2</v>
      </c>
      <c r="H1371" s="368">
        <v>501.4</v>
      </c>
      <c r="I1371" s="713">
        <v>471.2</v>
      </c>
      <c r="J1371" s="713">
        <v>397.1</v>
      </c>
      <c r="K1371" s="370">
        <v>21</v>
      </c>
      <c r="L1371" s="333">
        <v>844129</v>
      </c>
      <c r="M1371" s="333">
        <v>0</v>
      </c>
      <c r="N1371" s="333">
        <v>0</v>
      </c>
      <c r="O1371" s="333">
        <f>L1371</f>
        <v>844129</v>
      </c>
      <c r="P1371" s="333">
        <v>0</v>
      </c>
      <c r="Q1371" s="371">
        <f>L1371/I1371</f>
        <v>1791.445246179966</v>
      </c>
      <c r="R1371" s="334">
        <v>7920</v>
      </c>
      <c r="S1371" s="335">
        <v>43830</v>
      </c>
    </row>
    <row r="1372" spans="1:19" s="1" customFormat="1" ht="24.6" customHeight="1">
      <c r="A1372" s="327"/>
      <c r="B1372" s="1370" t="s">
        <v>100</v>
      </c>
      <c r="C1372" s="1370"/>
      <c r="D1372" s="1370"/>
      <c r="E1372" s="1370"/>
      <c r="F1372" s="1370"/>
      <c r="G1372" s="1370"/>
      <c r="H1372" s="574">
        <v>0</v>
      </c>
      <c r="I1372" s="398">
        <v>0</v>
      </c>
      <c r="J1372" s="398">
        <v>0</v>
      </c>
      <c r="K1372" s="597">
        <v>0</v>
      </c>
      <c r="L1372" s="333">
        <v>0</v>
      </c>
      <c r="M1372" s="333">
        <v>0</v>
      </c>
      <c r="N1372" s="333">
        <v>0</v>
      </c>
      <c r="O1372" s="333">
        <v>0</v>
      </c>
      <c r="P1372" s="333">
        <v>0</v>
      </c>
      <c r="Q1372" s="334" t="s">
        <v>40</v>
      </c>
      <c r="R1372" s="334" t="s">
        <v>40</v>
      </c>
      <c r="S1372" s="335">
        <v>43830</v>
      </c>
    </row>
    <row r="1373" spans="1:19" s="1" customFormat="1" ht="15.75" customHeight="1">
      <c r="A1373" s="327"/>
      <c r="B1373" s="1371" t="s">
        <v>101</v>
      </c>
      <c r="C1373" s="1371"/>
      <c r="D1373" s="1371"/>
      <c r="E1373" s="1371"/>
      <c r="F1373" s="1371"/>
      <c r="G1373" s="1371"/>
      <c r="H1373" s="353">
        <f>H1374</f>
        <v>1472.1</v>
      </c>
      <c r="I1373" s="353">
        <f t="shared" ref="I1373:P1373" si="388">I1374</f>
        <v>872.9</v>
      </c>
      <c r="J1373" s="353">
        <f t="shared" si="388"/>
        <v>872.9</v>
      </c>
      <c r="K1373" s="353">
        <f t="shared" si="388"/>
        <v>29</v>
      </c>
      <c r="L1373" s="708">
        <f t="shared" si="388"/>
        <v>1648047</v>
      </c>
      <c r="M1373" s="708">
        <f t="shared" si="388"/>
        <v>0</v>
      </c>
      <c r="N1373" s="708">
        <f t="shared" si="388"/>
        <v>0</v>
      </c>
      <c r="O1373" s="708">
        <f t="shared" si="388"/>
        <v>1648047</v>
      </c>
      <c r="P1373" s="708">
        <f t="shared" si="388"/>
        <v>0</v>
      </c>
      <c r="Q1373" s="356" t="s">
        <v>40</v>
      </c>
      <c r="R1373" s="356" t="s">
        <v>40</v>
      </c>
      <c r="S1373" s="335">
        <v>43830</v>
      </c>
    </row>
    <row r="1374" spans="1:19" s="20" customFormat="1" ht="31.5">
      <c r="A1374" s="327" t="e">
        <f>#REF!+1</f>
        <v>#REF!</v>
      </c>
      <c r="B1374" s="872" t="s">
        <v>923</v>
      </c>
      <c r="C1374" s="367">
        <v>1984</v>
      </c>
      <c r="D1374" s="367"/>
      <c r="E1374" s="330" t="s">
        <v>218</v>
      </c>
      <c r="F1374" s="367">
        <v>2</v>
      </c>
      <c r="G1374" s="367">
        <v>3</v>
      </c>
      <c r="H1374" s="368">
        <v>1472.1</v>
      </c>
      <c r="I1374" s="371">
        <v>872.9</v>
      </c>
      <c r="J1374" s="371">
        <v>872.9</v>
      </c>
      <c r="K1374" s="370">
        <v>29</v>
      </c>
      <c r="L1374" s="333">
        <v>1648047</v>
      </c>
      <c r="M1374" s="333">
        <v>0</v>
      </c>
      <c r="N1374" s="333">
        <v>0</v>
      </c>
      <c r="O1374" s="333">
        <f>L1374</f>
        <v>1648047</v>
      </c>
      <c r="P1374" s="333">
        <v>0</v>
      </c>
      <c r="Q1374" s="371">
        <f>L1374/I1374</f>
        <v>1888.0135181578646</v>
      </c>
      <c r="R1374" s="334">
        <v>7920</v>
      </c>
      <c r="S1374" s="335">
        <v>43830</v>
      </c>
    </row>
    <row r="1375" spans="1:19" s="20" customFormat="1" ht="15.75" customHeight="1">
      <c r="A1375" s="327"/>
      <c r="B1375" s="1371" t="s">
        <v>126</v>
      </c>
      <c r="C1375" s="1371"/>
      <c r="D1375" s="1371"/>
      <c r="E1375" s="1371"/>
      <c r="F1375" s="1371"/>
      <c r="G1375" s="1371"/>
      <c r="H1375" s="368">
        <f>H1376</f>
        <v>874.2</v>
      </c>
      <c r="I1375" s="367">
        <f t="shared" ref="I1375:P1375" si="389">I1376</f>
        <v>874.2</v>
      </c>
      <c r="J1375" s="367">
        <f t="shared" si="389"/>
        <v>778.53</v>
      </c>
      <c r="K1375" s="370">
        <f t="shared" si="389"/>
        <v>33</v>
      </c>
      <c r="L1375" s="333">
        <f t="shared" si="389"/>
        <v>2577836</v>
      </c>
      <c r="M1375" s="333">
        <f t="shared" si="389"/>
        <v>0</v>
      </c>
      <c r="N1375" s="333">
        <f t="shared" si="389"/>
        <v>0</v>
      </c>
      <c r="O1375" s="333">
        <f t="shared" si="389"/>
        <v>2577836</v>
      </c>
      <c r="P1375" s="333">
        <f t="shared" si="389"/>
        <v>0</v>
      </c>
      <c r="Q1375" s="371" t="s">
        <v>40</v>
      </c>
      <c r="R1375" s="367" t="s">
        <v>40</v>
      </c>
      <c r="S1375" s="335">
        <v>43830</v>
      </c>
    </row>
    <row r="1376" spans="1:19" s="1" customFormat="1" ht="31.5">
      <c r="A1376" s="327" t="e">
        <f>#REF!+1</f>
        <v>#REF!</v>
      </c>
      <c r="B1376" s="621" t="s">
        <v>811</v>
      </c>
      <c r="C1376" s="327">
        <v>1984</v>
      </c>
      <c r="D1376" s="327"/>
      <c r="E1376" s="330" t="s">
        <v>218</v>
      </c>
      <c r="F1376" s="327">
        <v>2</v>
      </c>
      <c r="G1376" s="327">
        <v>3</v>
      </c>
      <c r="H1376" s="758">
        <v>874.2</v>
      </c>
      <c r="I1376" s="327">
        <v>874.2</v>
      </c>
      <c r="J1376" s="327">
        <v>778.53</v>
      </c>
      <c r="K1376" s="580">
        <v>33</v>
      </c>
      <c r="L1376" s="333">
        <v>2577836</v>
      </c>
      <c r="M1376" s="333">
        <v>0</v>
      </c>
      <c r="N1376" s="333">
        <v>0</v>
      </c>
      <c r="O1376" s="333">
        <v>2577836</v>
      </c>
      <c r="P1376" s="333">
        <v>0</v>
      </c>
      <c r="Q1376" s="371">
        <f>L1376/I1376</f>
        <v>2948.7943262411345</v>
      </c>
      <c r="R1376" s="334">
        <v>7920</v>
      </c>
      <c r="S1376" s="335">
        <v>43830</v>
      </c>
    </row>
    <row r="1377" spans="1:19" s="1" customFormat="1" ht="28.15" customHeight="1">
      <c r="A1377" s="327"/>
      <c r="B1377" s="1371" t="s">
        <v>861</v>
      </c>
      <c r="C1377" s="1371"/>
      <c r="D1377" s="1371"/>
      <c r="E1377" s="1371"/>
      <c r="F1377" s="1371"/>
      <c r="G1377" s="1371"/>
      <c r="H1377" s="758">
        <f>H1378</f>
        <v>3585.3</v>
      </c>
      <c r="I1377" s="758">
        <f t="shared" ref="I1377:P1377" si="390">I1378</f>
        <v>2759</v>
      </c>
      <c r="J1377" s="758">
        <f t="shared" si="390"/>
        <v>1862.5</v>
      </c>
      <c r="K1377" s="758">
        <f t="shared" si="390"/>
        <v>107</v>
      </c>
      <c r="L1377" s="873">
        <f t="shared" si="390"/>
        <v>1908394</v>
      </c>
      <c r="M1377" s="873">
        <f t="shared" si="390"/>
        <v>0</v>
      </c>
      <c r="N1377" s="873">
        <f t="shared" si="390"/>
        <v>0</v>
      </c>
      <c r="O1377" s="873">
        <f t="shared" si="390"/>
        <v>1908394</v>
      </c>
      <c r="P1377" s="873">
        <f t="shared" si="390"/>
        <v>0</v>
      </c>
      <c r="Q1377" s="356" t="s">
        <v>40</v>
      </c>
      <c r="R1377" s="334" t="s">
        <v>40</v>
      </c>
      <c r="S1377" s="335">
        <v>43830</v>
      </c>
    </row>
    <row r="1378" spans="1:19" s="1" customFormat="1" ht="30.6" customHeight="1">
      <c r="A1378" s="327"/>
      <c r="B1378" s="621" t="s">
        <v>862</v>
      </c>
      <c r="C1378" s="327">
        <v>1973</v>
      </c>
      <c r="D1378" s="327"/>
      <c r="E1378" s="330" t="s">
        <v>860</v>
      </c>
      <c r="F1378" s="327">
        <v>5</v>
      </c>
      <c r="G1378" s="327">
        <v>4</v>
      </c>
      <c r="H1378" s="758">
        <v>3585.3</v>
      </c>
      <c r="I1378" s="327">
        <v>2759</v>
      </c>
      <c r="J1378" s="327">
        <v>1862.5</v>
      </c>
      <c r="K1378" s="580">
        <v>107</v>
      </c>
      <c r="L1378" s="333">
        <v>1908394</v>
      </c>
      <c r="M1378" s="333">
        <v>0</v>
      </c>
      <c r="N1378" s="333">
        <v>0</v>
      </c>
      <c r="O1378" s="333">
        <v>1908394</v>
      </c>
      <c r="P1378" s="333">
        <v>0</v>
      </c>
      <c r="Q1378" s="371">
        <f t="shared" ref="Q1378" si="391">L1378/I1378</f>
        <v>691.69771656397245</v>
      </c>
      <c r="R1378" s="334">
        <v>7920</v>
      </c>
      <c r="S1378" s="335">
        <v>43830</v>
      </c>
    </row>
    <row r="1379" spans="1:19" s="1" customFormat="1" ht="15.75">
      <c r="A1379" s="107"/>
      <c r="B1379" s="1292" t="s">
        <v>46</v>
      </c>
      <c r="C1379" s="1292"/>
      <c r="D1379" s="1292"/>
      <c r="E1379" s="1292"/>
      <c r="F1379" s="1292"/>
      <c r="G1379" s="1292"/>
      <c r="H1379" s="128">
        <f>H1380</f>
        <v>466.2</v>
      </c>
      <c r="I1379" s="106">
        <f t="shared" ref="I1379:P1379" si="392">I1380</f>
        <v>417</v>
      </c>
      <c r="J1379" s="106">
        <f t="shared" si="392"/>
        <v>370.8</v>
      </c>
      <c r="K1379" s="119">
        <f t="shared" si="392"/>
        <v>17</v>
      </c>
      <c r="L1379" s="113">
        <f t="shared" si="392"/>
        <v>684446</v>
      </c>
      <c r="M1379" s="113">
        <f t="shared" si="392"/>
        <v>0</v>
      </c>
      <c r="N1379" s="113">
        <f t="shared" si="392"/>
        <v>0</v>
      </c>
      <c r="O1379" s="113">
        <f t="shared" si="392"/>
        <v>684446</v>
      </c>
      <c r="P1379" s="113">
        <f t="shared" si="392"/>
        <v>0</v>
      </c>
      <c r="Q1379" s="106" t="s">
        <v>40</v>
      </c>
      <c r="R1379" s="106" t="s">
        <v>40</v>
      </c>
      <c r="S1379" s="335">
        <v>43830</v>
      </c>
    </row>
    <row r="1380" spans="1:19" s="1" customFormat="1" ht="15.75">
      <c r="A1380" s="107"/>
      <c r="B1380" s="1292" t="s">
        <v>102</v>
      </c>
      <c r="C1380" s="1292"/>
      <c r="D1380" s="1292"/>
      <c r="E1380" s="1292"/>
      <c r="F1380" s="1292"/>
      <c r="G1380" s="1292"/>
      <c r="H1380" s="128">
        <f>H1381+H1382</f>
        <v>466.2</v>
      </c>
      <c r="I1380" s="106">
        <f t="shared" ref="I1380:N1380" si="393">I1381+I1382</f>
        <v>417</v>
      </c>
      <c r="J1380" s="106">
        <f t="shared" si="393"/>
        <v>370.8</v>
      </c>
      <c r="K1380" s="119">
        <f t="shared" si="393"/>
        <v>17</v>
      </c>
      <c r="L1380" s="113">
        <f t="shared" si="393"/>
        <v>684446</v>
      </c>
      <c r="M1380" s="113">
        <f t="shared" si="393"/>
        <v>0</v>
      </c>
      <c r="N1380" s="113">
        <f t="shared" si="393"/>
        <v>0</v>
      </c>
      <c r="O1380" s="113">
        <f>O1381+O1382</f>
        <v>684446</v>
      </c>
      <c r="P1380" s="113">
        <f t="shared" ref="P1380" si="394">P1381+P1382</f>
        <v>0</v>
      </c>
      <c r="Q1380" s="106" t="s">
        <v>40</v>
      </c>
      <c r="R1380" s="106" t="s">
        <v>40</v>
      </c>
      <c r="S1380" s="335">
        <v>43830</v>
      </c>
    </row>
    <row r="1381" spans="1:19" s="1" customFormat="1" ht="15.75">
      <c r="A1381" s="327" t="e">
        <f>A1376+1</f>
        <v>#REF!</v>
      </c>
      <c r="B1381" s="328" t="s">
        <v>409</v>
      </c>
      <c r="C1381" s="329">
        <v>1959</v>
      </c>
      <c r="D1381" s="357"/>
      <c r="E1381" s="330" t="s">
        <v>222</v>
      </c>
      <c r="F1381" s="329">
        <v>2</v>
      </c>
      <c r="G1381" s="329">
        <v>2</v>
      </c>
      <c r="H1381" s="331">
        <v>466.2</v>
      </c>
      <c r="I1381" s="358">
        <v>417</v>
      </c>
      <c r="J1381" s="329">
        <v>370.8</v>
      </c>
      <c r="K1381" s="332">
        <v>17</v>
      </c>
      <c r="L1381" s="333">
        <v>684446</v>
      </c>
      <c r="M1381" s="333">
        <v>0</v>
      </c>
      <c r="N1381" s="333">
        <v>0</v>
      </c>
      <c r="O1381" s="333">
        <v>684446</v>
      </c>
      <c r="P1381" s="333">
        <v>0</v>
      </c>
      <c r="Q1381" s="334">
        <f>L1381/I1381</f>
        <v>1641.3573141486811</v>
      </c>
      <c r="R1381" s="334">
        <v>7920</v>
      </c>
      <c r="S1381" s="335">
        <v>43830</v>
      </c>
    </row>
    <row r="1382" spans="1:19" s="1" customFormat="1" ht="15.75">
      <c r="A1382" s="107"/>
      <c r="B1382" s="301"/>
      <c r="C1382" s="108"/>
      <c r="D1382" s="156"/>
      <c r="E1382" s="109"/>
      <c r="F1382" s="108"/>
      <c r="G1382" s="108"/>
      <c r="H1382" s="111"/>
      <c r="I1382" s="108"/>
      <c r="J1382" s="108"/>
      <c r="K1382" s="112"/>
      <c r="L1382" s="113"/>
      <c r="M1382" s="113"/>
      <c r="N1382" s="113"/>
      <c r="O1382" s="113"/>
      <c r="P1382" s="113"/>
      <c r="Q1382" s="114"/>
      <c r="R1382" s="114"/>
      <c r="S1382" s="335"/>
    </row>
    <row r="1383" spans="1:19" s="1" customFormat="1" ht="15.75">
      <c r="A1383" s="107"/>
      <c r="B1383" s="1292" t="s">
        <v>47</v>
      </c>
      <c r="C1383" s="1292"/>
      <c r="D1383" s="1292"/>
      <c r="E1383" s="1292"/>
      <c r="F1383" s="1292"/>
      <c r="G1383" s="1292"/>
      <c r="H1383" s="128">
        <f>H1384</f>
        <v>930</v>
      </c>
      <c r="I1383" s="106">
        <f t="shared" ref="I1383:P1384" si="395">I1384</f>
        <v>829.5</v>
      </c>
      <c r="J1383" s="106">
        <f t="shared" si="395"/>
        <v>829.5</v>
      </c>
      <c r="K1383" s="119">
        <f t="shared" si="395"/>
        <v>45</v>
      </c>
      <c r="L1383" s="113">
        <f t="shared" si="395"/>
        <v>2602688</v>
      </c>
      <c r="M1383" s="113">
        <f>M1384</f>
        <v>0</v>
      </c>
      <c r="N1383" s="113">
        <f t="shared" si="395"/>
        <v>0</v>
      </c>
      <c r="O1383" s="113">
        <f t="shared" si="395"/>
        <v>2602688</v>
      </c>
      <c r="P1383" s="113">
        <f t="shared" si="395"/>
        <v>0</v>
      </c>
      <c r="Q1383" s="106" t="s">
        <v>40</v>
      </c>
      <c r="R1383" s="114" t="s">
        <v>40</v>
      </c>
      <c r="S1383" s="335">
        <v>43830</v>
      </c>
    </row>
    <row r="1384" spans="1:19" s="1" customFormat="1" ht="22.9" customHeight="1">
      <c r="A1384" s="327"/>
      <c r="B1384" s="1369" t="s">
        <v>103</v>
      </c>
      <c r="C1384" s="1369"/>
      <c r="D1384" s="1369"/>
      <c r="E1384" s="1369"/>
      <c r="F1384" s="1369"/>
      <c r="G1384" s="1369"/>
      <c r="H1384" s="353">
        <f>H1385</f>
        <v>930</v>
      </c>
      <c r="I1384" s="353">
        <f t="shared" si="395"/>
        <v>829.5</v>
      </c>
      <c r="J1384" s="353">
        <f t="shared" si="395"/>
        <v>829.5</v>
      </c>
      <c r="K1384" s="353">
        <f t="shared" si="395"/>
        <v>45</v>
      </c>
      <c r="L1384" s="708">
        <f t="shared" si="395"/>
        <v>2602688</v>
      </c>
      <c r="M1384" s="708">
        <f t="shared" si="395"/>
        <v>0</v>
      </c>
      <c r="N1384" s="708">
        <f t="shared" si="395"/>
        <v>0</v>
      </c>
      <c r="O1384" s="708">
        <f t="shared" si="395"/>
        <v>2602688</v>
      </c>
      <c r="P1384" s="708">
        <f t="shared" si="395"/>
        <v>0</v>
      </c>
      <c r="Q1384" s="356" t="s">
        <v>40</v>
      </c>
      <c r="R1384" s="356" t="s">
        <v>40</v>
      </c>
      <c r="S1384" s="335">
        <v>43830</v>
      </c>
    </row>
    <row r="1385" spans="1:19" s="1" customFormat="1" ht="31.5">
      <c r="A1385" s="327">
        <f>A1382+1</f>
        <v>1</v>
      </c>
      <c r="B1385" s="937" t="s">
        <v>880</v>
      </c>
      <c r="C1385" s="555" t="s">
        <v>881</v>
      </c>
      <c r="D1385" s="555"/>
      <c r="E1385" s="330" t="s">
        <v>218</v>
      </c>
      <c r="F1385" s="329">
        <v>2</v>
      </c>
      <c r="G1385" s="329">
        <v>3</v>
      </c>
      <c r="H1385" s="574">
        <v>930</v>
      </c>
      <c r="I1385" s="398">
        <v>829.5</v>
      </c>
      <c r="J1385" s="398">
        <v>829.5</v>
      </c>
      <c r="K1385" s="332">
        <v>45</v>
      </c>
      <c r="L1385" s="333">
        <v>2602688</v>
      </c>
      <c r="M1385" s="333">
        <v>0</v>
      </c>
      <c r="N1385" s="333">
        <v>0</v>
      </c>
      <c r="O1385" s="708">
        <v>2602688</v>
      </c>
      <c r="P1385" s="333">
        <v>0</v>
      </c>
      <c r="Q1385" s="398">
        <f>L1385/I1385</f>
        <v>3137.658830620856</v>
      </c>
      <c r="R1385" s="334">
        <v>7920</v>
      </c>
      <c r="S1385" s="335">
        <v>43830</v>
      </c>
    </row>
    <row r="1386" spans="1:19" s="1" customFormat="1" ht="15.75">
      <c r="A1386" s="107"/>
      <c r="B1386" s="1292" t="s">
        <v>48</v>
      </c>
      <c r="C1386" s="1292"/>
      <c r="D1386" s="1292"/>
      <c r="E1386" s="1292"/>
      <c r="F1386" s="1292"/>
      <c r="G1386" s="1292"/>
      <c r="H1386" s="128">
        <f t="shared" ref="H1386:P1386" si="396">H1387+H1389</f>
        <v>2141.5</v>
      </c>
      <c r="I1386" s="106">
        <f t="shared" si="396"/>
        <v>1540.6000000000001</v>
      </c>
      <c r="J1386" s="106">
        <f t="shared" si="396"/>
        <v>1540.6000000000001</v>
      </c>
      <c r="K1386" s="119">
        <f t="shared" si="396"/>
        <v>43</v>
      </c>
      <c r="L1386" s="113">
        <f t="shared" si="396"/>
        <v>2656416</v>
      </c>
      <c r="M1386" s="113">
        <f t="shared" si="396"/>
        <v>0</v>
      </c>
      <c r="N1386" s="113">
        <f t="shared" si="396"/>
        <v>414501.02</v>
      </c>
      <c r="O1386" s="113">
        <f t="shared" si="396"/>
        <v>2241914.98</v>
      </c>
      <c r="P1386" s="113">
        <f t="shared" si="396"/>
        <v>0</v>
      </c>
      <c r="Q1386" s="106" t="s">
        <v>40</v>
      </c>
      <c r="R1386" s="114" t="s">
        <v>40</v>
      </c>
      <c r="S1386" s="335">
        <v>43830</v>
      </c>
    </row>
    <row r="1387" spans="1:19" s="1" customFormat="1" ht="15.75">
      <c r="A1387" s="327"/>
      <c r="B1387" s="1369" t="s">
        <v>107</v>
      </c>
      <c r="C1387" s="1369"/>
      <c r="D1387" s="1369"/>
      <c r="E1387" s="1369"/>
      <c r="F1387" s="1369"/>
      <c r="G1387" s="1369"/>
      <c r="H1387" s="353">
        <f>H1388</f>
        <v>1876</v>
      </c>
      <c r="I1387" s="353">
        <f t="shared" ref="I1387:P1387" si="397">I1388</f>
        <v>1297.7</v>
      </c>
      <c r="J1387" s="353">
        <f t="shared" si="397"/>
        <v>1297.7</v>
      </c>
      <c r="K1387" s="353">
        <f t="shared" si="397"/>
        <v>41</v>
      </c>
      <c r="L1387" s="353">
        <f t="shared" si="397"/>
        <v>2102577</v>
      </c>
      <c r="M1387" s="353">
        <f t="shared" si="397"/>
        <v>0</v>
      </c>
      <c r="N1387" s="356">
        <f t="shared" si="397"/>
        <v>0</v>
      </c>
      <c r="O1387" s="353">
        <f t="shared" si="397"/>
        <v>2102577</v>
      </c>
      <c r="P1387" s="680">
        <f t="shared" si="397"/>
        <v>0</v>
      </c>
      <c r="Q1387" s="356" t="s">
        <v>40</v>
      </c>
      <c r="R1387" s="356" t="s">
        <v>40</v>
      </c>
      <c r="S1387" s="335">
        <v>43830</v>
      </c>
    </row>
    <row r="1388" spans="1:19" s="1" customFormat="1" ht="31.5">
      <c r="A1388" s="327" t="e">
        <f>#REF!+1</f>
        <v>#REF!</v>
      </c>
      <c r="B1388" s="576" t="s">
        <v>774</v>
      </c>
      <c r="C1388" s="676">
        <v>1986</v>
      </c>
      <c r="D1388" s="676"/>
      <c r="E1388" s="330" t="s">
        <v>218</v>
      </c>
      <c r="F1388" s="676">
        <v>3</v>
      </c>
      <c r="G1388" s="676">
        <v>2</v>
      </c>
      <c r="H1388" s="677">
        <v>1876</v>
      </c>
      <c r="I1388" s="678">
        <v>1297.7</v>
      </c>
      <c r="J1388" s="678">
        <v>1297.7</v>
      </c>
      <c r="K1388" s="679">
        <v>41</v>
      </c>
      <c r="L1388" s="333">
        <v>2102577</v>
      </c>
      <c r="M1388" s="333">
        <v>0</v>
      </c>
      <c r="N1388" s="333">
        <v>0</v>
      </c>
      <c r="O1388" s="333">
        <f>L1388</f>
        <v>2102577</v>
      </c>
      <c r="P1388" s="333">
        <v>0</v>
      </c>
      <c r="Q1388" s="356">
        <f>L1388/I1388</f>
        <v>1620.2334900208059</v>
      </c>
      <c r="R1388" s="334">
        <v>7920</v>
      </c>
      <c r="S1388" s="335">
        <v>43830</v>
      </c>
    </row>
    <row r="1389" spans="1:19" s="1" customFormat="1" ht="15.75" customHeight="1">
      <c r="A1389" s="107"/>
      <c r="B1389" s="1294" t="s">
        <v>104</v>
      </c>
      <c r="C1389" s="1294"/>
      <c r="D1389" s="1294"/>
      <c r="E1389" s="1294"/>
      <c r="F1389" s="1294"/>
      <c r="G1389" s="1294"/>
      <c r="H1389" s="128">
        <f>H1390</f>
        <v>265.5</v>
      </c>
      <c r="I1389" s="106">
        <f t="shared" ref="I1389:P1389" si="398">I1390</f>
        <v>242.9</v>
      </c>
      <c r="J1389" s="106">
        <f t="shared" si="398"/>
        <v>242.9</v>
      </c>
      <c r="K1389" s="119">
        <f t="shared" si="398"/>
        <v>2</v>
      </c>
      <c r="L1389" s="113">
        <f t="shared" si="398"/>
        <v>553839</v>
      </c>
      <c r="M1389" s="113">
        <f t="shared" si="398"/>
        <v>0</v>
      </c>
      <c r="N1389" s="113">
        <f t="shared" si="398"/>
        <v>414501.02</v>
      </c>
      <c r="O1389" s="113">
        <f t="shared" si="398"/>
        <v>139337.98000000001</v>
      </c>
      <c r="P1389" s="113">
        <f t="shared" si="398"/>
        <v>0</v>
      </c>
      <c r="Q1389" s="106" t="s">
        <v>40</v>
      </c>
      <c r="R1389" s="114" t="s">
        <v>40</v>
      </c>
      <c r="S1389" s="335">
        <v>43830</v>
      </c>
    </row>
    <row r="1390" spans="1:19" s="1" customFormat="1" ht="31.5">
      <c r="A1390" s="107" t="e">
        <f>#REF!+1</f>
        <v>#REF!</v>
      </c>
      <c r="B1390" s="301" t="s">
        <v>458</v>
      </c>
      <c r="C1390" s="110">
        <v>1953</v>
      </c>
      <c r="D1390" s="108"/>
      <c r="E1390" s="109" t="s">
        <v>218</v>
      </c>
      <c r="F1390" s="108">
        <v>2</v>
      </c>
      <c r="G1390" s="108">
        <v>1</v>
      </c>
      <c r="H1390" s="111">
        <v>265.5</v>
      </c>
      <c r="I1390" s="108">
        <v>242.9</v>
      </c>
      <c r="J1390" s="108">
        <v>242.9</v>
      </c>
      <c r="K1390" s="112">
        <v>2</v>
      </c>
      <c r="L1390" s="113">
        <f>N1390+O1390</f>
        <v>553839</v>
      </c>
      <c r="M1390" s="113">
        <v>0</v>
      </c>
      <c r="N1390" s="113">
        <v>414501.02</v>
      </c>
      <c r="O1390" s="113">
        <v>139337.98000000001</v>
      </c>
      <c r="P1390" s="113">
        <v>0</v>
      </c>
      <c r="Q1390" s="114">
        <f>L1390/I1390</f>
        <v>2280.1111568546726</v>
      </c>
      <c r="R1390" s="114">
        <v>6774</v>
      </c>
      <c r="S1390" s="335">
        <v>43830</v>
      </c>
    </row>
    <row r="1391" spans="1:19" s="1" customFormat="1" ht="15.75">
      <c r="A1391" s="107"/>
      <c r="B1391" s="1292" t="s">
        <v>49</v>
      </c>
      <c r="C1391" s="1292"/>
      <c r="D1391" s="1292"/>
      <c r="E1391" s="1292"/>
      <c r="F1391" s="1292"/>
      <c r="G1391" s="1292"/>
      <c r="H1391" s="128">
        <f>H1392+H1395+H1398+H1400</f>
        <v>5557.7</v>
      </c>
      <c r="I1391" s="128">
        <f t="shared" ref="I1391:P1391" si="399">I1392+I1395+I1398+I1400</f>
        <v>5067.3</v>
      </c>
      <c r="J1391" s="128">
        <f t="shared" si="399"/>
        <v>4765</v>
      </c>
      <c r="K1391" s="162">
        <f t="shared" si="399"/>
        <v>274</v>
      </c>
      <c r="L1391" s="113">
        <f t="shared" si="399"/>
        <v>7081131</v>
      </c>
      <c r="M1391" s="113">
        <f t="shared" si="399"/>
        <v>0</v>
      </c>
      <c r="N1391" s="113">
        <f t="shared" si="399"/>
        <v>59804</v>
      </c>
      <c r="O1391" s="113">
        <f t="shared" si="399"/>
        <v>7021327</v>
      </c>
      <c r="P1391" s="113">
        <f t="shared" si="399"/>
        <v>0</v>
      </c>
      <c r="Q1391" s="106" t="s">
        <v>40</v>
      </c>
      <c r="R1391" s="114" t="s">
        <v>40</v>
      </c>
      <c r="S1391" s="335">
        <v>43830</v>
      </c>
    </row>
    <row r="1392" spans="1:19" s="1" customFormat="1" ht="15.75">
      <c r="A1392" s="107"/>
      <c r="B1392" s="1292" t="s">
        <v>105</v>
      </c>
      <c r="C1392" s="1292"/>
      <c r="D1392" s="1292"/>
      <c r="E1392" s="1292"/>
      <c r="F1392" s="1292"/>
      <c r="G1392" s="1292"/>
      <c r="H1392" s="128">
        <f>H1393+H1394</f>
        <v>637.1</v>
      </c>
      <c r="I1392" s="162">
        <f t="shared" ref="I1392:J1392" si="400">I1393+I1394</f>
        <v>415.1</v>
      </c>
      <c r="J1392" s="162">
        <f t="shared" si="400"/>
        <v>415.1</v>
      </c>
      <c r="K1392" s="119">
        <f>K1393+K1394</f>
        <v>24</v>
      </c>
      <c r="L1392" s="113">
        <f t="shared" ref="L1392:P1392" si="401">L1393+L1394</f>
        <v>1551685</v>
      </c>
      <c r="M1392" s="113">
        <f t="shared" si="401"/>
        <v>0</v>
      </c>
      <c r="N1392" s="113">
        <f t="shared" si="401"/>
        <v>0</v>
      </c>
      <c r="O1392" s="113">
        <f t="shared" si="401"/>
        <v>1551685</v>
      </c>
      <c r="P1392" s="113">
        <f t="shared" si="401"/>
        <v>0</v>
      </c>
      <c r="Q1392" s="106" t="s">
        <v>40</v>
      </c>
      <c r="R1392" s="106" t="s">
        <v>40</v>
      </c>
      <c r="S1392" s="335">
        <v>43830</v>
      </c>
    </row>
    <row r="1393" spans="1:34" s="1" customFormat="1" ht="31.5">
      <c r="A1393" s="327" t="e">
        <f>A1390+1</f>
        <v>#REF!</v>
      </c>
      <c r="B1393" s="351" t="s">
        <v>483</v>
      </c>
      <c r="C1393" s="352">
        <v>1965</v>
      </c>
      <c r="D1393" s="352"/>
      <c r="E1393" s="330" t="s">
        <v>218</v>
      </c>
      <c r="F1393" s="352">
        <v>2</v>
      </c>
      <c r="G1393" s="352">
        <v>2</v>
      </c>
      <c r="H1393" s="353">
        <v>637.1</v>
      </c>
      <c r="I1393" s="354">
        <v>415.1</v>
      </c>
      <c r="J1393" s="354">
        <v>415.1</v>
      </c>
      <c r="K1393" s="355">
        <v>24</v>
      </c>
      <c r="L1393" s="333">
        <v>1551685</v>
      </c>
      <c r="M1393" s="333">
        <v>0</v>
      </c>
      <c r="N1393" s="333">
        <v>0</v>
      </c>
      <c r="O1393" s="333">
        <f>L1393</f>
        <v>1551685</v>
      </c>
      <c r="P1393" s="333">
        <v>0</v>
      </c>
      <c r="Q1393" s="356">
        <f>L1393/I1393</f>
        <v>3738.0992531920019</v>
      </c>
      <c r="R1393" s="334">
        <v>7920</v>
      </c>
      <c r="S1393" s="335">
        <v>43830</v>
      </c>
    </row>
    <row r="1394" spans="1:34" s="1" customFormat="1" ht="15.75">
      <c r="A1394" s="107"/>
      <c r="B1394" s="307"/>
      <c r="C1394" s="118"/>
      <c r="D1394" s="118"/>
      <c r="E1394" s="109"/>
      <c r="F1394" s="118"/>
      <c r="G1394" s="118"/>
      <c r="H1394" s="128"/>
      <c r="I1394" s="106"/>
      <c r="J1394" s="118"/>
      <c r="K1394" s="119"/>
      <c r="L1394" s="113"/>
      <c r="M1394" s="113"/>
      <c r="N1394" s="113"/>
      <c r="O1394" s="113"/>
      <c r="P1394" s="113"/>
      <c r="Q1394" s="106"/>
      <c r="R1394" s="114"/>
      <c r="S1394" s="335"/>
    </row>
    <row r="1395" spans="1:34" s="1" customFormat="1" ht="15.75" customHeight="1">
      <c r="A1395" s="107"/>
      <c r="B1395" s="1294" t="s">
        <v>188</v>
      </c>
      <c r="C1395" s="1294"/>
      <c r="D1395" s="1294"/>
      <c r="E1395" s="1294"/>
      <c r="F1395" s="1294"/>
      <c r="G1395" s="1294"/>
      <c r="H1395" s="128">
        <f>H1396+H1397</f>
        <v>1595.1</v>
      </c>
      <c r="I1395" s="128">
        <f t="shared" ref="I1395:J1395" si="402">I1396+I1397</f>
        <v>1431.3</v>
      </c>
      <c r="J1395" s="128">
        <f t="shared" si="402"/>
        <v>1431.3</v>
      </c>
      <c r="K1395" s="162">
        <f>K1396+K1397</f>
        <v>87</v>
      </c>
      <c r="L1395" s="113">
        <f t="shared" ref="L1395:P1395" si="403">L1396+L1397</f>
        <v>1905804</v>
      </c>
      <c r="M1395" s="113">
        <f t="shared" si="403"/>
        <v>0</v>
      </c>
      <c r="N1395" s="113">
        <f t="shared" si="403"/>
        <v>59804</v>
      </c>
      <c r="O1395" s="113">
        <f t="shared" si="403"/>
        <v>1846000</v>
      </c>
      <c r="P1395" s="113">
        <f t="shared" si="403"/>
        <v>0</v>
      </c>
      <c r="Q1395" s="106" t="s">
        <v>40</v>
      </c>
      <c r="R1395" s="114" t="s">
        <v>40</v>
      </c>
      <c r="S1395" s="335">
        <v>43830</v>
      </c>
    </row>
    <row r="1396" spans="1:34" s="1" customFormat="1" ht="15.75">
      <c r="A1396" s="107">
        <f>A1394+1</f>
        <v>1</v>
      </c>
      <c r="B1396" s="300" t="s">
        <v>410</v>
      </c>
      <c r="C1396" s="302">
        <v>1968</v>
      </c>
      <c r="D1396" s="118"/>
      <c r="E1396" s="109" t="s">
        <v>219</v>
      </c>
      <c r="F1396" s="118">
        <v>2</v>
      </c>
      <c r="G1396" s="118">
        <v>3</v>
      </c>
      <c r="H1396" s="128">
        <v>798.1</v>
      </c>
      <c r="I1396" s="106">
        <v>714.4</v>
      </c>
      <c r="J1396" s="118">
        <v>714.4</v>
      </c>
      <c r="K1396" s="119">
        <v>42</v>
      </c>
      <c r="L1396" s="113">
        <v>958459</v>
      </c>
      <c r="M1396" s="113">
        <v>0</v>
      </c>
      <c r="N1396" s="113">
        <v>35459</v>
      </c>
      <c r="O1396" s="113">
        <v>923000</v>
      </c>
      <c r="P1396" s="113">
        <v>0</v>
      </c>
      <c r="Q1396" s="106">
        <f>L1396/I1396</f>
        <v>1341.6279395296754</v>
      </c>
      <c r="R1396" s="114">
        <v>6774</v>
      </c>
      <c r="S1396" s="335">
        <v>43830</v>
      </c>
    </row>
    <row r="1397" spans="1:34" s="1" customFormat="1" ht="15.75">
      <c r="A1397" s="107">
        <f t="shared" si="379"/>
        <v>2</v>
      </c>
      <c r="B1397" s="307" t="s">
        <v>411</v>
      </c>
      <c r="C1397" s="118">
        <v>1970</v>
      </c>
      <c r="D1397" s="118"/>
      <c r="E1397" s="109" t="s">
        <v>219</v>
      </c>
      <c r="F1397" s="118">
        <v>2</v>
      </c>
      <c r="G1397" s="118">
        <v>3</v>
      </c>
      <c r="H1397" s="128">
        <v>797</v>
      </c>
      <c r="I1397" s="106">
        <v>716.9</v>
      </c>
      <c r="J1397" s="118">
        <v>716.9</v>
      </c>
      <c r="K1397" s="119">
        <v>45</v>
      </c>
      <c r="L1397" s="113">
        <v>947345</v>
      </c>
      <c r="M1397" s="113">
        <v>0</v>
      </c>
      <c r="N1397" s="113">
        <v>24345</v>
      </c>
      <c r="O1397" s="113">
        <v>923000</v>
      </c>
      <c r="P1397" s="113">
        <v>0</v>
      </c>
      <c r="Q1397" s="106">
        <f>L1397/I1397</f>
        <v>1321.4465057888131</v>
      </c>
      <c r="R1397" s="114">
        <v>6774</v>
      </c>
      <c r="S1397" s="335">
        <v>43830</v>
      </c>
    </row>
    <row r="1398" spans="1:34" s="1" customFormat="1" ht="15.75">
      <c r="A1398" s="107"/>
      <c r="B1398" s="1292" t="s">
        <v>189</v>
      </c>
      <c r="C1398" s="1292"/>
      <c r="D1398" s="1292"/>
      <c r="E1398" s="1292"/>
      <c r="F1398" s="1292"/>
      <c r="G1398" s="1292"/>
      <c r="H1398" s="128">
        <f>H1399</f>
        <v>506.9</v>
      </c>
      <c r="I1398" s="128">
        <f t="shared" ref="I1398:P1398" si="404">I1399</f>
        <v>402.3</v>
      </c>
      <c r="J1398" s="128">
        <f t="shared" si="404"/>
        <v>402.3</v>
      </c>
      <c r="K1398" s="162">
        <f t="shared" si="404"/>
        <v>7</v>
      </c>
      <c r="L1398" s="113">
        <f t="shared" si="404"/>
        <v>820660</v>
      </c>
      <c r="M1398" s="113">
        <f t="shared" si="404"/>
        <v>0</v>
      </c>
      <c r="N1398" s="113">
        <f t="shared" si="404"/>
        <v>0</v>
      </c>
      <c r="O1398" s="113">
        <f t="shared" si="404"/>
        <v>820660</v>
      </c>
      <c r="P1398" s="113">
        <f t="shared" si="404"/>
        <v>0</v>
      </c>
      <c r="Q1398" s="106" t="s">
        <v>40</v>
      </c>
      <c r="R1398" s="114" t="s">
        <v>40</v>
      </c>
      <c r="S1398" s="335">
        <v>43830</v>
      </c>
    </row>
    <row r="1399" spans="1:34" s="1" customFormat="1" ht="31.5">
      <c r="A1399" s="107">
        <f>A1397+1</f>
        <v>3</v>
      </c>
      <c r="B1399" s="307" t="s">
        <v>412</v>
      </c>
      <c r="C1399" s="118">
        <v>1958</v>
      </c>
      <c r="D1399" s="118"/>
      <c r="E1399" s="109" t="s">
        <v>218</v>
      </c>
      <c r="F1399" s="118">
        <v>2</v>
      </c>
      <c r="G1399" s="118">
        <v>1</v>
      </c>
      <c r="H1399" s="128">
        <v>506.9</v>
      </c>
      <c r="I1399" s="106">
        <v>402.3</v>
      </c>
      <c r="J1399" s="118">
        <v>402.3</v>
      </c>
      <c r="K1399" s="119">
        <v>7</v>
      </c>
      <c r="L1399" s="113">
        <v>820660</v>
      </c>
      <c r="M1399" s="113">
        <v>0</v>
      </c>
      <c r="N1399" s="113">
        <v>0</v>
      </c>
      <c r="O1399" s="113">
        <f>L1399</f>
        <v>820660</v>
      </c>
      <c r="P1399" s="113">
        <v>0</v>
      </c>
      <c r="Q1399" s="106">
        <f>L1399/I1399</f>
        <v>2039.9204573701218</v>
      </c>
      <c r="R1399" s="114">
        <v>6774</v>
      </c>
      <c r="S1399" s="335">
        <v>43830</v>
      </c>
    </row>
    <row r="1400" spans="1:34" s="1" customFormat="1" ht="15.75">
      <c r="A1400" s="107"/>
      <c r="B1400" s="1292" t="s">
        <v>131</v>
      </c>
      <c r="C1400" s="1292"/>
      <c r="D1400" s="1292"/>
      <c r="E1400" s="1292"/>
      <c r="F1400" s="1292"/>
      <c r="G1400" s="1292"/>
      <c r="H1400" s="128">
        <f>H1401</f>
        <v>2818.6</v>
      </c>
      <c r="I1400" s="128">
        <f t="shared" ref="I1400:P1400" si="405">I1401</f>
        <v>2818.6</v>
      </c>
      <c r="J1400" s="128">
        <f t="shared" si="405"/>
        <v>2516.3000000000002</v>
      </c>
      <c r="K1400" s="128">
        <f t="shared" si="405"/>
        <v>156</v>
      </c>
      <c r="L1400" s="565">
        <f t="shared" si="405"/>
        <v>2802982</v>
      </c>
      <c r="M1400" s="565">
        <f t="shared" si="405"/>
        <v>0</v>
      </c>
      <c r="N1400" s="565">
        <f t="shared" si="405"/>
        <v>0</v>
      </c>
      <c r="O1400" s="565">
        <f t="shared" si="405"/>
        <v>2802982</v>
      </c>
      <c r="P1400" s="565">
        <f t="shared" si="405"/>
        <v>0</v>
      </c>
      <c r="Q1400" s="106" t="s">
        <v>40</v>
      </c>
      <c r="R1400" s="114" t="s">
        <v>40</v>
      </c>
      <c r="S1400" s="335">
        <v>43830</v>
      </c>
    </row>
    <row r="1401" spans="1:34" s="61" customFormat="1">
      <c r="A1401" s="107">
        <f>A1399+1</f>
        <v>4</v>
      </c>
      <c r="B1401" s="163" t="s">
        <v>662</v>
      </c>
      <c r="C1401" s="131">
        <v>1991</v>
      </c>
      <c r="D1401" s="131"/>
      <c r="E1401" s="109" t="s">
        <v>219</v>
      </c>
      <c r="F1401" s="131">
        <v>5</v>
      </c>
      <c r="G1401" s="131">
        <v>4</v>
      </c>
      <c r="H1401" s="131">
        <v>2818.6</v>
      </c>
      <c r="I1401" s="131">
        <v>2818.6</v>
      </c>
      <c r="J1401" s="131">
        <v>2516.3000000000002</v>
      </c>
      <c r="K1401" s="131">
        <v>156</v>
      </c>
      <c r="L1401" s="113">
        <v>2802982</v>
      </c>
      <c r="M1401" s="113">
        <v>0</v>
      </c>
      <c r="N1401" s="113">
        <v>0</v>
      </c>
      <c r="O1401" s="113">
        <v>2802982</v>
      </c>
      <c r="P1401" s="113">
        <v>0</v>
      </c>
      <c r="Q1401" s="124">
        <f>L1401/I1401</f>
        <v>994.45895125239485</v>
      </c>
      <c r="R1401" s="114">
        <v>7920</v>
      </c>
      <c r="S1401" s="335">
        <v>43830</v>
      </c>
    </row>
    <row r="1402" spans="1:34" s="61" customFormat="1">
      <c r="A1402" s="107"/>
      <c r="B1402" s="145"/>
      <c r="C1402" s="164"/>
      <c r="D1402" s="131"/>
      <c r="E1402" s="109"/>
      <c r="F1402" s="131"/>
      <c r="G1402" s="131"/>
      <c r="H1402" s="131"/>
      <c r="I1402" s="131"/>
      <c r="J1402" s="131"/>
      <c r="K1402" s="131"/>
      <c r="L1402" s="113"/>
      <c r="M1402" s="113"/>
      <c r="N1402" s="113"/>
      <c r="O1402" s="113"/>
      <c r="P1402" s="113"/>
      <c r="Q1402" s="124"/>
      <c r="R1402" s="114"/>
      <c r="S1402" s="335"/>
    </row>
    <row r="1403" spans="1:34" s="1" customFormat="1" ht="15.75">
      <c r="A1403" s="107"/>
      <c r="B1403" s="1292" t="s">
        <v>50</v>
      </c>
      <c r="C1403" s="1292"/>
      <c r="D1403" s="1292"/>
      <c r="E1403" s="1292"/>
      <c r="F1403" s="1292"/>
      <c r="G1403" s="1292"/>
      <c r="H1403" s="106">
        <f>H1404</f>
        <v>7969.19</v>
      </c>
      <c r="I1403" s="106">
        <f t="shared" ref="I1403:P1403" si="406">I1404</f>
        <v>7333.2000000000007</v>
      </c>
      <c r="J1403" s="106">
        <f t="shared" si="406"/>
        <v>6468</v>
      </c>
      <c r="K1403" s="119">
        <f t="shared" si="406"/>
        <v>301</v>
      </c>
      <c r="L1403" s="113">
        <f t="shared" si="406"/>
        <v>13218958</v>
      </c>
      <c r="M1403" s="113">
        <f t="shared" si="406"/>
        <v>0</v>
      </c>
      <c r="N1403" s="113">
        <f t="shared" si="406"/>
        <v>0</v>
      </c>
      <c r="O1403" s="113">
        <f t="shared" si="406"/>
        <v>13218958</v>
      </c>
      <c r="P1403" s="113">
        <f t="shared" si="406"/>
        <v>0</v>
      </c>
      <c r="Q1403" s="106" t="s">
        <v>40</v>
      </c>
      <c r="R1403" s="114" t="s">
        <v>40</v>
      </c>
      <c r="S1403" s="335">
        <v>43830</v>
      </c>
    </row>
    <row r="1404" spans="1:34" s="18" customFormat="1" ht="29.45" customHeight="1">
      <c r="A1404" s="107"/>
      <c r="B1404" s="1292" t="s">
        <v>106</v>
      </c>
      <c r="C1404" s="1292"/>
      <c r="D1404" s="1292"/>
      <c r="E1404" s="1292"/>
      <c r="F1404" s="1292"/>
      <c r="G1404" s="1292"/>
      <c r="H1404" s="409">
        <f t="shared" ref="H1404:P1404" si="407">SUM(H1405:H1413)</f>
        <v>7969.19</v>
      </c>
      <c r="I1404" s="409">
        <f t="shared" si="407"/>
        <v>7333.2000000000007</v>
      </c>
      <c r="J1404" s="409">
        <f t="shared" si="407"/>
        <v>6468</v>
      </c>
      <c r="K1404" s="657">
        <f t="shared" si="407"/>
        <v>301</v>
      </c>
      <c r="L1404" s="113">
        <f t="shared" si="407"/>
        <v>13218958</v>
      </c>
      <c r="M1404" s="113">
        <f t="shared" si="407"/>
        <v>0</v>
      </c>
      <c r="N1404" s="113">
        <f t="shared" si="407"/>
        <v>0</v>
      </c>
      <c r="O1404" s="113">
        <f t="shared" si="407"/>
        <v>13218958</v>
      </c>
      <c r="P1404" s="113">
        <f t="shared" si="407"/>
        <v>0</v>
      </c>
      <c r="Q1404" s="106" t="s">
        <v>40</v>
      </c>
      <c r="R1404" s="114" t="s">
        <v>40</v>
      </c>
      <c r="S1404" s="335">
        <v>43830</v>
      </c>
    </row>
    <row r="1405" spans="1:34" s="66" customFormat="1" ht="31.5">
      <c r="A1405" s="107">
        <f>A1402+1</f>
        <v>1</v>
      </c>
      <c r="B1405" s="165" t="s">
        <v>852</v>
      </c>
      <c r="C1405" s="166">
        <v>1971</v>
      </c>
      <c r="D1405" s="167"/>
      <c r="E1405" s="109" t="s">
        <v>218</v>
      </c>
      <c r="F1405" s="167">
        <v>2</v>
      </c>
      <c r="G1405" s="793">
        <v>2</v>
      </c>
      <c r="H1405" s="795">
        <v>447.2</v>
      </c>
      <c r="I1405" s="794">
        <v>397.2</v>
      </c>
      <c r="J1405" s="794">
        <v>297.2</v>
      </c>
      <c r="K1405" s="794">
        <v>25</v>
      </c>
      <c r="L1405" s="655">
        <v>1024592</v>
      </c>
      <c r="M1405" s="113">
        <f>SUM(M1406:M1413)</f>
        <v>0</v>
      </c>
      <c r="N1405" s="113">
        <f>SUM(N1406:N1413)</f>
        <v>0</v>
      </c>
      <c r="O1405" s="113">
        <f t="shared" ref="O1405:O1413" si="408">L1405</f>
        <v>1024592</v>
      </c>
      <c r="P1405" s="113">
        <f>SUM(P1406:P1413)</f>
        <v>0</v>
      </c>
      <c r="Q1405" s="168">
        <f t="shared" ref="Q1405:Q1413" si="409">L1405/I1405</f>
        <v>2579.5367573011076</v>
      </c>
      <c r="R1405" s="114">
        <v>7920</v>
      </c>
      <c r="S1405" s="335">
        <v>43830</v>
      </c>
      <c r="T1405" s="50"/>
      <c r="U1405" s="50"/>
      <c r="V1405" s="50"/>
      <c r="W1405" s="50"/>
      <c r="X1405" s="50"/>
      <c r="Y1405" s="50"/>
      <c r="Z1405" s="50"/>
      <c r="AA1405" s="50"/>
      <c r="AB1405" s="50"/>
      <c r="AC1405" s="50"/>
      <c r="AD1405" s="50"/>
      <c r="AE1405" s="50"/>
      <c r="AF1405" s="50"/>
      <c r="AG1405" s="50"/>
      <c r="AH1405" s="50"/>
    </row>
    <row r="1406" spans="1:34" s="50" customFormat="1" ht="31.5">
      <c r="A1406" s="107">
        <f>A1405+1</f>
        <v>2</v>
      </c>
      <c r="B1406" s="165" t="s">
        <v>853</v>
      </c>
      <c r="C1406" s="166">
        <v>1977</v>
      </c>
      <c r="D1406" s="167"/>
      <c r="E1406" s="109" t="s">
        <v>218</v>
      </c>
      <c r="F1406" s="167">
        <v>3</v>
      </c>
      <c r="G1406" s="793">
        <v>2</v>
      </c>
      <c r="H1406" s="795">
        <v>1046.69</v>
      </c>
      <c r="I1406" s="794">
        <v>987.6</v>
      </c>
      <c r="J1406" s="794">
        <v>684.2</v>
      </c>
      <c r="K1406" s="794">
        <v>49</v>
      </c>
      <c r="L1406" s="655">
        <v>1366296</v>
      </c>
      <c r="M1406" s="113">
        <f>SUM(M1407:M1415)</f>
        <v>0</v>
      </c>
      <c r="N1406" s="113">
        <f>SUM(N1407:N1415)</f>
        <v>0</v>
      </c>
      <c r="O1406" s="113">
        <f t="shared" si="408"/>
        <v>1366296</v>
      </c>
      <c r="P1406" s="113">
        <f>SUM(P1407:P1415)</f>
        <v>0</v>
      </c>
      <c r="Q1406" s="168">
        <f t="shared" si="409"/>
        <v>1383.4507897934386</v>
      </c>
      <c r="R1406" s="114">
        <v>7920</v>
      </c>
      <c r="S1406" s="335">
        <v>43830</v>
      </c>
    </row>
    <row r="1407" spans="1:34" s="50" customFormat="1" ht="31.5">
      <c r="A1407" s="107">
        <f t="shared" ref="A1407:A1444" si="410">A1406+1</f>
        <v>3</v>
      </c>
      <c r="B1407" s="165" t="s">
        <v>854</v>
      </c>
      <c r="C1407" s="166">
        <v>1973</v>
      </c>
      <c r="D1407" s="167"/>
      <c r="E1407" s="109" t="s">
        <v>218</v>
      </c>
      <c r="F1407" s="167">
        <v>2</v>
      </c>
      <c r="G1407" s="793">
        <v>2</v>
      </c>
      <c r="H1407" s="795">
        <v>585</v>
      </c>
      <c r="I1407" s="794">
        <v>536.6</v>
      </c>
      <c r="J1407" s="794">
        <v>536.6</v>
      </c>
      <c r="K1407" s="794">
        <v>21</v>
      </c>
      <c r="L1407" s="655">
        <v>1544253</v>
      </c>
      <c r="M1407" s="113">
        <f>SUM(M1408:M1414)</f>
        <v>0</v>
      </c>
      <c r="N1407" s="113">
        <f>SUM(N1408:N1414)</f>
        <v>0</v>
      </c>
      <c r="O1407" s="113">
        <f t="shared" si="408"/>
        <v>1544253</v>
      </c>
      <c r="P1407" s="113">
        <f>SUM(P1408:P1414)</f>
        <v>0</v>
      </c>
      <c r="Q1407" s="168">
        <f t="shared" si="409"/>
        <v>2877.8475587029443</v>
      </c>
      <c r="R1407" s="114">
        <v>7920</v>
      </c>
      <c r="S1407" s="335">
        <v>43830</v>
      </c>
    </row>
    <row r="1408" spans="1:34" s="50" customFormat="1" ht="31.5">
      <c r="A1408" s="107">
        <f t="shared" si="410"/>
        <v>4</v>
      </c>
      <c r="B1408" s="165" t="s">
        <v>855</v>
      </c>
      <c r="C1408" s="166">
        <v>1967</v>
      </c>
      <c r="D1408" s="167"/>
      <c r="E1408" s="109" t="s">
        <v>218</v>
      </c>
      <c r="F1408" s="167">
        <v>2</v>
      </c>
      <c r="G1408" s="793">
        <v>2</v>
      </c>
      <c r="H1408" s="795">
        <v>391.2</v>
      </c>
      <c r="I1408" s="794">
        <v>347.2</v>
      </c>
      <c r="J1408" s="794">
        <v>171</v>
      </c>
      <c r="K1408" s="794">
        <v>26</v>
      </c>
      <c r="L1408" s="655">
        <v>1119066</v>
      </c>
      <c r="M1408" s="113">
        <f>SUM(M1409:M1413)</f>
        <v>0</v>
      </c>
      <c r="N1408" s="113">
        <f>SUM(N1409:N1413)</f>
        <v>0</v>
      </c>
      <c r="O1408" s="113">
        <f t="shared" si="408"/>
        <v>1119066</v>
      </c>
      <c r="P1408" s="113">
        <f>SUM(P1409:P1413)</f>
        <v>0</v>
      </c>
      <c r="Q1408" s="168">
        <f t="shared" si="409"/>
        <v>3223.1163594470049</v>
      </c>
      <c r="R1408" s="114">
        <v>7920</v>
      </c>
      <c r="S1408" s="335">
        <v>43830</v>
      </c>
    </row>
    <row r="1409" spans="1:19" s="50" customFormat="1" ht="31.5">
      <c r="A1409" s="107">
        <f t="shared" si="410"/>
        <v>5</v>
      </c>
      <c r="B1409" s="165" t="s">
        <v>856</v>
      </c>
      <c r="C1409" s="166">
        <v>1968</v>
      </c>
      <c r="D1409" s="167"/>
      <c r="E1409" s="109" t="s">
        <v>218</v>
      </c>
      <c r="F1409" s="167">
        <v>2</v>
      </c>
      <c r="G1409" s="793">
        <v>2</v>
      </c>
      <c r="H1409" s="795">
        <v>799.4</v>
      </c>
      <c r="I1409" s="794">
        <v>739.4</v>
      </c>
      <c r="J1409" s="794">
        <v>739.4</v>
      </c>
      <c r="K1409" s="794">
        <v>12</v>
      </c>
      <c r="L1409" s="655">
        <v>2060671</v>
      </c>
      <c r="M1409" s="113">
        <f>SUM(M1411:M1416)</f>
        <v>0</v>
      </c>
      <c r="N1409" s="113">
        <f>SUM(N1411:N1416)</f>
        <v>0</v>
      </c>
      <c r="O1409" s="113">
        <f t="shared" si="408"/>
        <v>2060671</v>
      </c>
      <c r="P1409" s="113">
        <f>SUM(P1411:P1416)</f>
        <v>0</v>
      </c>
      <c r="Q1409" s="168">
        <f t="shared" si="409"/>
        <v>2786.9502299161481</v>
      </c>
      <c r="R1409" s="114">
        <v>7920</v>
      </c>
      <c r="S1409" s="335">
        <v>43830</v>
      </c>
    </row>
    <row r="1410" spans="1:19" s="50" customFormat="1" ht="33.6" customHeight="1">
      <c r="A1410" s="107">
        <f t="shared" si="410"/>
        <v>6</v>
      </c>
      <c r="B1410" s="165" t="s">
        <v>850</v>
      </c>
      <c r="C1410" s="166">
        <v>1962</v>
      </c>
      <c r="D1410" s="167"/>
      <c r="E1410" s="109" t="s">
        <v>218</v>
      </c>
      <c r="F1410" s="167">
        <v>2</v>
      </c>
      <c r="G1410" s="793">
        <v>2</v>
      </c>
      <c r="H1410" s="795">
        <v>296.2</v>
      </c>
      <c r="I1410" s="794">
        <v>274.8</v>
      </c>
      <c r="J1410" s="794">
        <v>184.1</v>
      </c>
      <c r="K1410" s="794">
        <v>22</v>
      </c>
      <c r="L1410" s="655">
        <v>1226134</v>
      </c>
      <c r="M1410" s="113">
        <f>SUM(M1411:M1417)</f>
        <v>0</v>
      </c>
      <c r="N1410" s="113">
        <f>SUM(N1411:N1417)</f>
        <v>0</v>
      </c>
      <c r="O1410" s="113">
        <f t="shared" si="408"/>
        <v>1226134</v>
      </c>
      <c r="P1410" s="113">
        <f>SUM(P1411:P1417)</f>
        <v>0</v>
      </c>
      <c r="Q1410" s="168">
        <f t="shared" si="409"/>
        <v>4461.9141193595342</v>
      </c>
      <c r="R1410" s="114">
        <v>7920</v>
      </c>
      <c r="S1410" s="335">
        <v>43830</v>
      </c>
    </row>
    <row r="1411" spans="1:19" s="50" customFormat="1" ht="23.45" customHeight="1">
      <c r="A1411" s="107">
        <f>A1410+1</f>
        <v>7</v>
      </c>
      <c r="B1411" s="165" t="s">
        <v>978</v>
      </c>
      <c r="C1411" s="166">
        <v>1973</v>
      </c>
      <c r="D1411" s="167"/>
      <c r="E1411" s="109" t="s">
        <v>661</v>
      </c>
      <c r="F1411" s="167">
        <v>2</v>
      </c>
      <c r="G1411" s="793">
        <v>2</v>
      </c>
      <c r="H1411" s="795">
        <v>578.1</v>
      </c>
      <c r="I1411" s="794">
        <v>532.1</v>
      </c>
      <c r="J1411" s="794">
        <v>431</v>
      </c>
      <c r="K1411" s="794">
        <v>26</v>
      </c>
      <c r="L1411" s="655">
        <v>1002285</v>
      </c>
      <c r="M1411" s="113">
        <v>0</v>
      </c>
      <c r="N1411" s="113">
        <v>0</v>
      </c>
      <c r="O1411" s="113">
        <f t="shared" si="408"/>
        <v>1002285</v>
      </c>
      <c r="P1411" s="113">
        <v>0</v>
      </c>
      <c r="Q1411" s="168">
        <f t="shared" si="409"/>
        <v>1883.6402931779739</v>
      </c>
      <c r="R1411" s="114">
        <v>7920</v>
      </c>
      <c r="S1411" s="335">
        <v>43830</v>
      </c>
    </row>
    <row r="1412" spans="1:19" s="50" customFormat="1" ht="31.5">
      <c r="A1412" s="107">
        <f>A1411+1</f>
        <v>8</v>
      </c>
      <c r="B1412" s="165" t="s">
        <v>979</v>
      </c>
      <c r="C1412" s="166">
        <v>1960</v>
      </c>
      <c r="D1412" s="167"/>
      <c r="E1412" s="109" t="s">
        <v>218</v>
      </c>
      <c r="F1412" s="167">
        <v>1</v>
      </c>
      <c r="G1412" s="793">
        <v>2</v>
      </c>
      <c r="H1412" s="795">
        <v>246.9</v>
      </c>
      <c r="I1412" s="794">
        <v>225.4</v>
      </c>
      <c r="J1412" s="794">
        <v>225.4</v>
      </c>
      <c r="K1412" s="794">
        <v>16</v>
      </c>
      <c r="L1412" s="655">
        <v>1296378</v>
      </c>
      <c r="M1412" s="113">
        <f>SUM(M1413:M1418)</f>
        <v>0</v>
      </c>
      <c r="N1412" s="113">
        <f>SUM(N1413:N1418)</f>
        <v>0</v>
      </c>
      <c r="O1412" s="113">
        <f t="shared" si="408"/>
        <v>1296378</v>
      </c>
      <c r="P1412" s="113">
        <f>SUM(P1413:P1418)</f>
        <v>0</v>
      </c>
      <c r="Q1412" s="168">
        <f t="shared" si="409"/>
        <v>5751.4551907719606</v>
      </c>
      <c r="R1412" s="114">
        <v>7920</v>
      </c>
      <c r="S1412" s="335">
        <v>43830</v>
      </c>
    </row>
    <row r="1413" spans="1:19" s="50" customFormat="1" ht="31.5">
      <c r="A1413" s="107">
        <v>9</v>
      </c>
      <c r="B1413" s="165" t="s">
        <v>857</v>
      </c>
      <c r="C1413" s="166">
        <v>1980</v>
      </c>
      <c r="D1413" s="167"/>
      <c r="E1413" s="109" t="s">
        <v>218</v>
      </c>
      <c r="F1413" s="167">
        <v>5</v>
      </c>
      <c r="G1413" s="793">
        <v>4</v>
      </c>
      <c r="H1413" s="795">
        <v>3578.5</v>
      </c>
      <c r="I1413" s="794">
        <v>3292.9</v>
      </c>
      <c r="J1413" s="794">
        <v>3199.1</v>
      </c>
      <c r="K1413" s="794">
        <v>104</v>
      </c>
      <c r="L1413" s="655">
        <v>2579283</v>
      </c>
      <c r="M1413" s="113">
        <f>SUM(M1414:M1418)</f>
        <v>0</v>
      </c>
      <c r="N1413" s="113">
        <f>SUM(N1414:N1418)</f>
        <v>0</v>
      </c>
      <c r="O1413" s="113">
        <f t="shared" si="408"/>
        <v>2579283</v>
      </c>
      <c r="P1413" s="113">
        <f>SUM(P1414:P1418)</f>
        <v>0</v>
      </c>
      <c r="Q1413" s="168">
        <f t="shared" si="409"/>
        <v>783.28616113456224</v>
      </c>
      <c r="R1413" s="114">
        <v>7920</v>
      </c>
      <c r="S1413" s="335">
        <v>43830</v>
      </c>
    </row>
    <row r="1414" spans="1:19" s="1" customFormat="1" ht="15.75">
      <c r="A1414" s="107"/>
      <c r="B1414" s="1292" t="s">
        <v>51</v>
      </c>
      <c r="C1414" s="1292"/>
      <c r="D1414" s="1292"/>
      <c r="E1414" s="1292"/>
      <c r="F1414" s="1292"/>
      <c r="G1414" s="1292"/>
      <c r="H1414" s="765">
        <f>H1415</f>
        <v>8727.8000000000011</v>
      </c>
      <c r="I1414" s="791">
        <f t="shared" ref="I1414:P1414" si="411">I1415</f>
        <v>8727.8000000000011</v>
      </c>
      <c r="J1414" s="791">
        <f t="shared" si="411"/>
        <v>7641.2</v>
      </c>
      <c r="K1414" s="777">
        <f t="shared" si="411"/>
        <v>328</v>
      </c>
      <c r="L1414" s="113">
        <f t="shared" si="411"/>
        <v>10822736</v>
      </c>
      <c r="M1414" s="113">
        <f t="shared" si="411"/>
        <v>0</v>
      </c>
      <c r="N1414" s="113">
        <f t="shared" si="411"/>
        <v>0</v>
      </c>
      <c r="O1414" s="113">
        <f t="shared" si="411"/>
        <v>10822736</v>
      </c>
      <c r="P1414" s="113">
        <f t="shared" si="411"/>
        <v>0</v>
      </c>
      <c r="Q1414" s="106" t="s">
        <v>40</v>
      </c>
      <c r="R1414" s="106" t="s">
        <v>40</v>
      </c>
      <c r="S1414" s="335">
        <v>43830</v>
      </c>
    </row>
    <row r="1415" spans="1:19" s="1" customFormat="1" ht="21.6" customHeight="1">
      <c r="A1415" s="107"/>
      <c r="B1415" s="1292" t="s">
        <v>108</v>
      </c>
      <c r="C1415" s="1292"/>
      <c r="D1415" s="1292"/>
      <c r="E1415" s="1292"/>
      <c r="F1415" s="1335"/>
      <c r="G1415" s="1335"/>
      <c r="H1415" s="613">
        <f t="shared" ref="H1415:P1415" si="412">SUM(H1416:H1422)</f>
        <v>8727.8000000000011</v>
      </c>
      <c r="I1415" s="952">
        <f t="shared" si="412"/>
        <v>8727.8000000000011</v>
      </c>
      <c r="J1415" s="952">
        <f t="shared" si="412"/>
        <v>7641.2</v>
      </c>
      <c r="K1415" s="657">
        <f t="shared" si="412"/>
        <v>328</v>
      </c>
      <c r="L1415" s="113">
        <f t="shared" si="412"/>
        <v>10822736</v>
      </c>
      <c r="M1415" s="113">
        <f t="shared" si="412"/>
        <v>0</v>
      </c>
      <c r="N1415" s="113">
        <f t="shared" si="412"/>
        <v>0</v>
      </c>
      <c r="O1415" s="113">
        <f t="shared" si="412"/>
        <v>10822736</v>
      </c>
      <c r="P1415" s="113">
        <f t="shared" si="412"/>
        <v>0</v>
      </c>
      <c r="Q1415" s="106" t="s">
        <v>40</v>
      </c>
      <c r="R1415" s="106" t="s">
        <v>40</v>
      </c>
      <c r="S1415" s="335">
        <v>43830</v>
      </c>
    </row>
    <row r="1416" spans="1:19" s="51" customFormat="1" ht="31.5">
      <c r="A1416" s="107">
        <f>A1413+1</f>
        <v>10</v>
      </c>
      <c r="B1416" s="945" t="s">
        <v>1014</v>
      </c>
      <c r="C1416" s="118">
        <v>1969</v>
      </c>
      <c r="D1416" s="118"/>
      <c r="E1416" s="611" t="s">
        <v>218</v>
      </c>
      <c r="F1416" s="958">
        <v>2</v>
      </c>
      <c r="G1416" s="958">
        <v>2</v>
      </c>
      <c r="H1416" s="959">
        <v>502.9</v>
      </c>
      <c r="I1416" s="960">
        <v>502.9</v>
      </c>
      <c r="J1416" s="959">
        <v>344.2</v>
      </c>
      <c r="K1416" s="958">
        <v>23</v>
      </c>
      <c r="L1416" s="655">
        <f>O1416</f>
        <v>1488075</v>
      </c>
      <c r="M1416" s="113">
        <v>0</v>
      </c>
      <c r="N1416" s="113">
        <v>0</v>
      </c>
      <c r="O1416" s="113">
        <v>1488075</v>
      </c>
      <c r="P1416" s="113">
        <v>0</v>
      </c>
      <c r="Q1416" s="170">
        <f t="shared" ref="Q1416:Q1425" si="413">L1416/I1416</f>
        <v>2958.9878703519589</v>
      </c>
      <c r="R1416" s="114">
        <v>7920</v>
      </c>
      <c r="S1416" s="335">
        <v>43830</v>
      </c>
    </row>
    <row r="1417" spans="1:19" s="51" customFormat="1" ht="31.5">
      <c r="A1417" s="107">
        <f t="shared" si="410"/>
        <v>11</v>
      </c>
      <c r="B1417" s="945" t="s">
        <v>486</v>
      </c>
      <c r="C1417" s="118">
        <v>1969</v>
      </c>
      <c r="D1417" s="118"/>
      <c r="E1417" s="611" t="s">
        <v>218</v>
      </c>
      <c r="F1417" s="958">
        <v>2</v>
      </c>
      <c r="G1417" s="958">
        <v>2</v>
      </c>
      <c r="H1417" s="959">
        <v>502</v>
      </c>
      <c r="I1417" s="960">
        <v>502</v>
      </c>
      <c r="J1417" s="959">
        <v>340.9</v>
      </c>
      <c r="K1417" s="958">
        <v>15</v>
      </c>
      <c r="L1417" s="655">
        <f t="shared" ref="L1417:L1422" si="414">O1417</f>
        <v>1488068</v>
      </c>
      <c r="M1417" s="113">
        <v>0</v>
      </c>
      <c r="N1417" s="113">
        <v>0</v>
      </c>
      <c r="O1417" s="113">
        <v>1488068</v>
      </c>
      <c r="P1417" s="113">
        <v>0</v>
      </c>
      <c r="Q1417" s="170">
        <f t="shared" si="413"/>
        <v>2964.2788844621514</v>
      </c>
      <c r="R1417" s="114">
        <v>7920</v>
      </c>
      <c r="S1417" s="335">
        <v>43830</v>
      </c>
    </row>
    <row r="1418" spans="1:19" s="51" customFormat="1" ht="31.5">
      <c r="A1418" s="107">
        <f t="shared" si="410"/>
        <v>12</v>
      </c>
      <c r="B1418" s="945" t="s">
        <v>1015</v>
      </c>
      <c r="C1418" s="118">
        <v>1964</v>
      </c>
      <c r="D1418" s="118"/>
      <c r="E1418" s="611" t="s">
        <v>218</v>
      </c>
      <c r="F1418" s="958">
        <v>2</v>
      </c>
      <c r="G1418" s="958">
        <v>1</v>
      </c>
      <c r="H1418" s="959">
        <v>303.89999999999998</v>
      </c>
      <c r="I1418" s="960">
        <v>303.89999999999998</v>
      </c>
      <c r="J1418" s="959">
        <v>209.5</v>
      </c>
      <c r="K1418" s="958">
        <v>9</v>
      </c>
      <c r="L1418" s="655">
        <f t="shared" si="414"/>
        <v>931593</v>
      </c>
      <c r="M1418" s="113">
        <v>0</v>
      </c>
      <c r="N1418" s="113">
        <v>0</v>
      </c>
      <c r="O1418" s="113">
        <v>931593</v>
      </c>
      <c r="P1418" s="113">
        <v>0</v>
      </c>
      <c r="Q1418" s="170">
        <f t="shared" si="413"/>
        <v>3065.4590325765057</v>
      </c>
      <c r="R1418" s="114">
        <v>7920</v>
      </c>
      <c r="S1418" s="335">
        <v>43830</v>
      </c>
    </row>
    <row r="1419" spans="1:19" s="1" customFormat="1" ht="31.5">
      <c r="A1419" s="107">
        <f t="shared" si="410"/>
        <v>13</v>
      </c>
      <c r="B1419" s="171" t="s">
        <v>1016</v>
      </c>
      <c r="C1419" s="172" t="s">
        <v>190</v>
      </c>
      <c r="D1419" s="171"/>
      <c r="E1419" s="611" t="s">
        <v>218</v>
      </c>
      <c r="F1419" s="958">
        <v>1</v>
      </c>
      <c r="G1419" s="958">
        <v>2</v>
      </c>
      <c r="H1419" s="959">
        <v>113.3</v>
      </c>
      <c r="I1419" s="960">
        <v>113.3</v>
      </c>
      <c r="J1419" s="959">
        <v>89.2</v>
      </c>
      <c r="K1419" s="958">
        <v>6</v>
      </c>
      <c r="L1419" s="655">
        <f t="shared" si="414"/>
        <v>741660</v>
      </c>
      <c r="M1419" s="113">
        <v>0</v>
      </c>
      <c r="N1419" s="113">
        <v>0</v>
      </c>
      <c r="O1419" s="113">
        <v>741660</v>
      </c>
      <c r="P1419" s="113">
        <v>0</v>
      </c>
      <c r="Q1419" s="170">
        <f t="shared" si="413"/>
        <v>6545.9841129744045</v>
      </c>
      <c r="R1419" s="114">
        <v>7920</v>
      </c>
      <c r="S1419" s="335">
        <v>43830</v>
      </c>
    </row>
    <row r="1420" spans="1:19" s="1" customFormat="1" ht="31.5">
      <c r="A1420" s="107">
        <f t="shared" si="410"/>
        <v>14</v>
      </c>
      <c r="B1420" s="945" t="s">
        <v>1017</v>
      </c>
      <c r="C1420" s="118">
        <v>1972</v>
      </c>
      <c r="D1420" s="118"/>
      <c r="E1420" s="611" t="s">
        <v>218</v>
      </c>
      <c r="F1420" s="958">
        <v>3</v>
      </c>
      <c r="G1420" s="958">
        <v>2</v>
      </c>
      <c r="H1420" s="959">
        <v>979.7</v>
      </c>
      <c r="I1420" s="960">
        <v>979.7</v>
      </c>
      <c r="J1420" s="959">
        <v>648</v>
      </c>
      <c r="K1420" s="958">
        <v>42</v>
      </c>
      <c r="L1420" s="655">
        <f t="shared" si="414"/>
        <v>1854480</v>
      </c>
      <c r="M1420" s="113">
        <v>0</v>
      </c>
      <c r="N1420" s="113">
        <v>0</v>
      </c>
      <c r="O1420" s="113">
        <v>1854480</v>
      </c>
      <c r="P1420" s="113">
        <v>0</v>
      </c>
      <c r="Q1420" s="170">
        <f t="shared" si="413"/>
        <v>1892.9059916300907</v>
      </c>
      <c r="R1420" s="114">
        <v>7920</v>
      </c>
      <c r="S1420" s="335">
        <v>43830</v>
      </c>
    </row>
    <row r="1421" spans="1:19" s="23" customFormat="1" ht="31.5">
      <c r="A1421" s="107">
        <f t="shared" si="410"/>
        <v>15</v>
      </c>
      <c r="B1421" s="567" t="s">
        <v>1018</v>
      </c>
      <c r="C1421" s="118">
        <v>1972</v>
      </c>
      <c r="D1421" s="118"/>
      <c r="E1421" s="611" t="s">
        <v>218</v>
      </c>
      <c r="F1421" s="958">
        <v>5</v>
      </c>
      <c r="G1421" s="958">
        <v>4</v>
      </c>
      <c r="H1421" s="959">
        <v>3178.4</v>
      </c>
      <c r="I1421" s="960">
        <v>3178.4</v>
      </c>
      <c r="J1421" s="959">
        <v>3099.9</v>
      </c>
      <c r="K1421" s="958">
        <v>121</v>
      </c>
      <c r="L1421" s="655">
        <f t="shared" si="414"/>
        <v>2161845</v>
      </c>
      <c r="M1421" s="113">
        <v>0</v>
      </c>
      <c r="N1421" s="113">
        <v>0</v>
      </c>
      <c r="O1421" s="113">
        <v>2161845</v>
      </c>
      <c r="P1421" s="113">
        <v>0</v>
      </c>
      <c r="Q1421" s="170">
        <f t="shared" si="413"/>
        <v>680.16769443745284</v>
      </c>
      <c r="R1421" s="114">
        <v>7920</v>
      </c>
      <c r="S1421" s="335">
        <v>43830</v>
      </c>
    </row>
    <row r="1422" spans="1:19" s="1" customFormat="1" ht="31.5">
      <c r="A1422" s="107">
        <f t="shared" si="410"/>
        <v>16</v>
      </c>
      <c r="B1422" s="945" t="s">
        <v>1019</v>
      </c>
      <c r="C1422" s="118">
        <v>1977</v>
      </c>
      <c r="D1422" s="118"/>
      <c r="E1422" s="611" t="s">
        <v>218</v>
      </c>
      <c r="F1422" s="958">
        <v>5</v>
      </c>
      <c r="G1422" s="958">
        <v>4</v>
      </c>
      <c r="H1422" s="959">
        <v>3147.6</v>
      </c>
      <c r="I1422" s="960">
        <v>3147.6</v>
      </c>
      <c r="J1422" s="959">
        <v>2909.5</v>
      </c>
      <c r="K1422" s="958">
        <v>112</v>
      </c>
      <c r="L1422" s="655">
        <f t="shared" si="414"/>
        <v>2157015</v>
      </c>
      <c r="M1422" s="113">
        <v>0</v>
      </c>
      <c r="N1422" s="113">
        <v>0</v>
      </c>
      <c r="O1422" s="113">
        <v>2157015</v>
      </c>
      <c r="P1422" s="113">
        <v>0</v>
      </c>
      <c r="Q1422" s="170">
        <f t="shared" si="413"/>
        <v>685.28879146016016</v>
      </c>
      <c r="R1422" s="114">
        <v>7920</v>
      </c>
      <c r="S1422" s="335">
        <v>43830</v>
      </c>
    </row>
    <row r="1423" spans="1:19" s="1" customFormat="1" ht="21.6" customHeight="1">
      <c r="A1423" s="327"/>
      <c r="B1423" s="1369" t="s">
        <v>882</v>
      </c>
      <c r="C1423" s="1369"/>
      <c r="D1423" s="1369"/>
      <c r="E1423" s="1369"/>
      <c r="F1423" s="1372"/>
      <c r="G1423" s="1372"/>
      <c r="H1423" s="976">
        <f>H1424+H1425</f>
        <v>1097.9000000000001</v>
      </c>
      <c r="I1423" s="976">
        <f t="shared" ref="I1423:P1423" si="415">I1424+I1425</f>
        <v>1097.9000000000001</v>
      </c>
      <c r="J1423" s="976">
        <f t="shared" si="415"/>
        <v>848</v>
      </c>
      <c r="K1423" s="977">
        <f t="shared" si="415"/>
        <v>43</v>
      </c>
      <c r="L1423" s="978">
        <f t="shared" si="415"/>
        <v>1917878</v>
      </c>
      <c r="M1423" s="978">
        <f t="shared" si="415"/>
        <v>0</v>
      </c>
      <c r="N1423" s="978">
        <f t="shared" si="415"/>
        <v>0</v>
      </c>
      <c r="O1423" s="978">
        <f t="shared" si="415"/>
        <v>1917878</v>
      </c>
      <c r="P1423" s="978">
        <f t="shared" si="415"/>
        <v>0</v>
      </c>
      <c r="Q1423" s="356" t="s">
        <v>40</v>
      </c>
      <c r="R1423" s="356" t="s">
        <v>40</v>
      </c>
      <c r="S1423" s="335">
        <v>43830</v>
      </c>
    </row>
    <row r="1424" spans="1:19" s="1" customFormat="1" ht="37.15" customHeight="1">
      <c r="A1424" s="327"/>
      <c r="B1424" s="979" t="s">
        <v>886</v>
      </c>
      <c r="C1424" s="980">
        <v>1968</v>
      </c>
      <c r="D1424" s="979"/>
      <c r="E1424" s="330" t="s">
        <v>218</v>
      </c>
      <c r="F1424" s="980">
        <v>2</v>
      </c>
      <c r="G1424" s="980">
        <v>2</v>
      </c>
      <c r="H1424" s="981">
        <v>581.4</v>
      </c>
      <c r="I1424" s="981">
        <v>581.4</v>
      </c>
      <c r="J1424" s="980">
        <v>532</v>
      </c>
      <c r="K1424" s="982">
        <v>21</v>
      </c>
      <c r="L1424" s="333">
        <v>1625233</v>
      </c>
      <c r="M1424" s="333">
        <v>0</v>
      </c>
      <c r="N1424" s="333">
        <v>0</v>
      </c>
      <c r="O1424" s="333">
        <v>1625233</v>
      </c>
      <c r="P1424" s="333">
        <v>0</v>
      </c>
      <c r="Q1424" s="983">
        <f t="shared" si="413"/>
        <v>2795.3783969728242</v>
      </c>
      <c r="R1424" s="334">
        <v>7920</v>
      </c>
      <c r="S1424" s="335">
        <v>43830</v>
      </c>
    </row>
    <row r="1425" spans="1:34" s="1" customFormat="1" ht="24.6" customHeight="1">
      <c r="A1425" s="327"/>
      <c r="B1425" s="979" t="s">
        <v>884</v>
      </c>
      <c r="C1425" s="980">
        <v>1948</v>
      </c>
      <c r="D1425" s="979"/>
      <c r="E1425" s="330" t="s">
        <v>221</v>
      </c>
      <c r="F1425" s="980">
        <v>2</v>
      </c>
      <c r="G1425" s="980">
        <v>2</v>
      </c>
      <c r="H1425" s="981">
        <v>516.5</v>
      </c>
      <c r="I1425" s="981">
        <v>516.5</v>
      </c>
      <c r="J1425" s="980">
        <v>316</v>
      </c>
      <c r="K1425" s="982">
        <v>22</v>
      </c>
      <c r="L1425" s="333">
        <v>292645</v>
      </c>
      <c r="M1425" s="333">
        <v>0</v>
      </c>
      <c r="N1425" s="333">
        <v>0</v>
      </c>
      <c r="O1425" s="333">
        <v>292645</v>
      </c>
      <c r="P1425" s="333">
        <v>0</v>
      </c>
      <c r="Q1425" s="983">
        <f t="shared" si="413"/>
        <v>566.59244917715387</v>
      </c>
      <c r="R1425" s="334">
        <v>7920</v>
      </c>
      <c r="S1425" s="335">
        <v>43830</v>
      </c>
    </row>
    <row r="1426" spans="1:34" s="1" customFormat="1" ht="15.75">
      <c r="A1426" s="107"/>
      <c r="B1426" s="1292" t="s">
        <v>52</v>
      </c>
      <c r="C1426" s="1292"/>
      <c r="D1426" s="1292"/>
      <c r="E1426" s="1292"/>
      <c r="F1426" s="1292"/>
      <c r="G1426" s="1292"/>
      <c r="H1426" s="128">
        <f t="shared" ref="H1426:P1426" si="416">H1430+H1427+H1432</f>
        <v>2403.5</v>
      </c>
      <c r="I1426" s="128">
        <f t="shared" si="416"/>
        <v>2340.1</v>
      </c>
      <c r="J1426" s="128">
        <f t="shared" si="416"/>
        <v>1698.8</v>
      </c>
      <c r="K1426" s="162">
        <f t="shared" si="416"/>
        <v>83</v>
      </c>
      <c r="L1426" s="113">
        <f t="shared" si="416"/>
        <v>3677572</v>
      </c>
      <c r="M1426" s="113">
        <f t="shared" si="416"/>
        <v>0</v>
      </c>
      <c r="N1426" s="113">
        <f t="shared" si="416"/>
        <v>92056</v>
      </c>
      <c r="O1426" s="113">
        <f t="shared" si="416"/>
        <v>3585516</v>
      </c>
      <c r="P1426" s="113">
        <f t="shared" si="416"/>
        <v>0</v>
      </c>
      <c r="Q1426" s="106" t="s">
        <v>40</v>
      </c>
      <c r="R1426" s="106" t="s">
        <v>40</v>
      </c>
      <c r="S1426" s="335">
        <v>43830</v>
      </c>
    </row>
    <row r="1427" spans="1:34" s="1" customFormat="1" ht="15.75">
      <c r="A1427" s="327"/>
      <c r="B1427" s="1369" t="s">
        <v>130</v>
      </c>
      <c r="C1427" s="1369"/>
      <c r="D1427" s="1369"/>
      <c r="E1427" s="1369"/>
      <c r="F1427" s="1369"/>
      <c r="G1427" s="1369"/>
      <c r="H1427" s="353">
        <f>H1428</f>
        <v>747.7</v>
      </c>
      <c r="I1427" s="353">
        <f t="shared" ref="I1427:P1427" si="417">I1428</f>
        <v>747.7</v>
      </c>
      <c r="J1427" s="353">
        <f t="shared" si="417"/>
        <v>505</v>
      </c>
      <c r="K1427" s="353">
        <f t="shared" si="417"/>
        <v>18</v>
      </c>
      <c r="L1427" s="708">
        <f t="shared" si="417"/>
        <v>2385226</v>
      </c>
      <c r="M1427" s="708">
        <f t="shared" si="417"/>
        <v>0</v>
      </c>
      <c r="N1427" s="708">
        <f t="shared" si="417"/>
        <v>0</v>
      </c>
      <c r="O1427" s="708">
        <f t="shared" si="417"/>
        <v>2385226</v>
      </c>
      <c r="P1427" s="708">
        <f t="shared" si="417"/>
        <v>0</v>
      </c>
      <c r="Q1427" s="356" t="s">
        <v>40</v>
      </c>
      <c r="R1427" s="356" t="s">
        <v>40</v>
      </c>
      <c r="S1427" s="335">
        <v>43830</v>
      </c>
    </row>
    <row r="1428" spans="1:34" s="41" customFormat="1" ht="31.5">
      <c r="A1428" s="327" t="e">
        <f>#REF!+1</f>
        <v>#REF!</v>
      </c>
      <c r="B1428" s="868" t="s">
        <v>674</v>
      </c>
      <c r="C1428" s="367">
        <v>1957</v>
      </c>
      <c r="D1428" s="367"/>
      <c r="E1428" s="330" t="s">
        <v>218</v>
      </c>
      <c r="F1428" s="367">
        <v>2</v>
      </c>
      <c r="G1428" s="367">
        <v>2</v>
      </c>
      <c r="H1428" s="367">
        <v>747.7</v>
      </c>
      <c r="I1428" s="367">
        <v>747.7</v>
      </c>
      <c r="J1428" s="367">
        <v>505</v>
      </c>
      <c r="K1428" s="367">
        <v>18</v>
      </c>
      <c r="L1428" s="333">
        <v>2385226</v>
      </c>
      <c r="M1428" s="333">
        <v>0</v>
      </c>
      <c r="N1428" s="333">
        <v>0</v>
      </c>
      <c r="O1428" s="333">
        <f>L1428</f>
        <v>2385226</v>
      </c>
      <c r="P1428" s="333">
        <v>0</v>
      </c>
      <c r="Q1428" s="334">
        <f>L1428/I1428</f>
        <v>3190.0842583924032</v>
      </c>
      <c r="R1428" s="620">
        <v>7920</v>
      </c>
      <c r="S1428" s="335">
        <v>43830</v>
      </c>
    </row>
    <row r="1429" spans="1:34" s="41" customFormat="1" ht="15.75">
      <c r="A1429" s="107"/>
      <c r="B1429" s="145"/>
      <c r="C1429" s="132"/>
      <c r="D1429" s="132"/>
      <c r="E1429" s="109"/>
      <c r="F1429" s="132"/>
      <c r="G1429" s="132"/>
      <c r="H1429" s="174"/>
      <c r="I1429" s="174"/>
      <c r="J1429" s="107"/>
      <c r="K1429" s="107"/>
      <c r="L1429" s="113"/>
      <c r="M1429" s="113"/>
      <c r="N1429" s="113"/>
      <c r="O1429" s="113"/>
      <c r="P1429" s="113"/>
      <c r="Q1429" s="114"/>
      <c r="R1429" s="115"/>
      <c r="S1429" s="335"/>
    </row>
    <row r="1430" spans="1:34" s="1" customFormat="1" ht="15.75" customHeight="1">
      <c r="A1430" s="107"/>
      <c r="B1430" s="1294" t="s">
        <v>109</v>
      </c>
      <c r="C1430" s="1294"/>
      <c r="D1430" s="1294"/>
      <c r="E1430" s="1294"/>
      <c r="F1430" s="1294"/>
      <c r="G1430" s="1294"/>
      <c r="H1430" s="128">
        <f>H1431</f>
        <v>799.3</v>
      </c>
      <c r="I1430" s="106">
        <f t="shared" ref="I1430:P1430" si="418">I1431</f>
        <v>735.9</v>
      </c>
      <c r="J1430" s="106">
        <f t="shared" si="418"/>
        <v>693.8</v>
      </c>
      <c r="K1430" s="119">
        <f t="shared" si="418"/>
        <v>32</v>
      </c>
      <c r="L1430" s="113">
        <v>201010</v>
      </c>
      <c r="M1430" s="113">
        <f t="shared" si="418"/>
        <v>0</v>
      </c>
      <c r="N1430" s="113">
        <f t="shared" si="418"/>
        <v>92056</v>
      </c>
      <c r="O1430" s="113">
        <f t="shared" si="418"/>
        <v>108954</v>
      </c>
      <c r="P1430" s="113">
        <f t="shared" si="418"/>
        <v>0</v>
      </c>
      <c r="Q1430" s="106" t="s">
        <v>40</v>
      </c>
      <c r="R1430" s="106" t="s">
        <v>40</v>
      </c>
      <c r="S1430" s="335">
        <v>43830</v>
      </c>
    </row>
    <row r="1431" spans="1:34" s="1" customFormat="1" ht="15.75">
      <c r="A1431" s="107">
        <f>A1429+1</f>
        <v>1</v>
      </c>
      <c r="B1431" s="303" t="s">
        <v>414</v>
      </c>
      <c r="C1431" s="302">
        <v>1977</v>
      </c>
      <c r="D1431" s="118"/>
      <c r="E1431" s="109" t="s">
        <v>219</v>
      </c>
      <c r="F1431" s="118">
        <v>2</v>
      </c>
      <c r="G1431" s="118">
        <v>2</v>
      </c>
      <c r="H1431" s="128">
        <v>799.3</v>
      </c>
      <c r="I1431" s="106">
        <v>735.9</v>
      </c>
      <c r="J1431" s="106">
        <v>693.8</v>
      </c>
      <c r="K1431" s="119">
        <v>32</v>
      </c>
      <c r="L1431" s="113">
        <v>201010</v>
      </c>
      <c r="M1431" s="113">
        <v>0</v>
      </c>
      <c r="N1431" s="113">
        <v>92056</v>
      </c>
      <c r="O1431" s="113">
        <v>108954</v>
      </c>
      <c r="P1431" s="113">
        <v>0</v>
      </c>
      <c r="Q1431" s="106">
        <f>L1431/I1431</f>
        <v>273.14852561489334</v>
      </c>
      <c r="R1431" s="114">
        <v>6774</v>
      </c>
      <c r="S1431" s="335">
        <v>43830</v>
      </c>
    </row>
    <row r="1432" spans="1:34" s="23" customFormat="1" ht="15.75" customHeight="1">
      <c r="A1432" s="107"/>
      <c r="B1432" s="1328" t="s">
        <v>198</v>
      </c>
      <c r="C1432" s="1328"/>
      <c r="D1432" s="1328"/>
      <c r="E1432" s="1328"/>
      <c r="F1432" s="1328"/>
      <c r="G1432" s="1328"/>
      <c r="H1432" s="128">
        <f>H1433</f>
        <v>856.5</v>
      </c>
      <c r="I1432" s="128">
        <f t="shared" ref="I1432:P1432" si="419">I1433</f>
        <v>856.5</v>
      </c>
      <c r="J1432" s="128">
        <f t="shared" si="419"/>
        <v>500</v>
      </c>
      <c r="K1432" s="175">
        <f t="shared" si="419"/>
        <v>33</v>
      </c>
      <c r="L1432" s="113">
        <f t="shared" si="419"/>
        <v>1091336</v>
      </c>
      <c r="M1432" s="113">
        <f t="shared" si="419"/>
        <v>0</v>
      </c>
      <c r="N1432" s="113">
        <f t="shared" si="419"/>
        <v>0</v>
      </c>
      <c r="O1432" s="113">
        <f t="shared" si="419"/>
        <v>1091336</v>
      </c>
      <c r="P1432" s="113">
        <f t="shared" si="419"/>
        <v>0</v>
      </c>
      <c r="Q1432" s="106" t="s">
        <v>40</v>
      </c>
      <c r="R1432" s="114" t="s">
        <v>40</v>
      </c>
      <c r="S1432" s="335">
        <v>43830</v>
      </c>
    </row>
    <row r="1433" spans="1:34" s="23" customFormat="1" ht="31.5">
      <c r="A1433" s="107">
        <f>A1431+1</f>
        <v>2</v>
      </c>
      <c r="B1433" s="300" t="s">
        <v>415</v>
      </c>
      <c r="C1433" s="302">
        <v>1982</v>
      </c>
      <c r="D1433" s="118"/>
      <c r="E1433" s="109" t="s">
        <v>218</v>
      </c>
      <c r="F1433" s="118">
        <v>2</v>
      </c>
      <c r="G1433" s="118">
        <v>3</v>
      </c>
      <c r="H1433" s="128">
        <v>856.5</v>
      </c>
      <c r="I1433" s="106">
        <v>856.5</v>
      </c>
      <c r="J1433" s="106">
        <v>500</v>
      </c>
      <c r="K1433" s="119">
        <v>33</v>
      </c>
      <c r="L1433" s="113">
        <v>1091336</v>
      </c>
      <c r="M1433" s="113">
        <v>0</v>
      </c>
      <c r="N1433" s="113">
        <v>0</v>
      </c>
      <c r="O1433" s="113">
        <f>L1433</f>
        <v>1091336</v>
      </c>
      <c r="P1433" s="113">
        <v>0</v>
      </c>
      <c r="Q1433" s="106">
        <f>L1433/I1433</f>
        <v>1274.1809690601285</v>
      </c>
      <c r="R1433" s="114">
        <v>6774</v>
      </c>
      <c r="S1433" s="335">
        <v>43830</v>
      </c>
    </row>
    <row r="1434" spans="1:34" s="1" customFormat="1" ht="15.75">
      <c r="A1434" s="107"/>
      <c r="B1434" s="1292" t="s">
        <v>53</v>
      </c>
      <c r="C1434" s="1292"/>
      <c r="D1434" s="1292"/>
      <c r="E1434" s="1292"/>
      <c r="F1434" s="1292"/>
      <c r="G1434" s="1292"/>
      <c r="H1434" s="106">
        <f>H1435+H1447+H1449+H1451+H1458+H1459+H1461</f>
        <v>73224.099999999977</v>
      </c>
      <c r="I1434" s="106">
        <f>I1435+I1447+I1449+I1451+I1458+I1459+I1461</f>
        <v>52965.799999999996</v>
      </c>
      <c r="J1434" s="106">
        <f>J1435+J1447+J1449+J1451+J1458+J1459+J1461</f>
        <v>51251.19999999999</v>
      </c>
      <c r="K1434" s="119">
        <f>K1435+K1447+K1449+K1451+K1458+K1459+K1461</f>
        <v>2435</v>
      </c>
      <c r="L1434" s="113">
        <f>L1449+L1451+L1458+L1459+L1461+L1435+L1447</f>
        <v>45386895.920000002</v>
      </c>
      <c r="M1434" s="113">
        <f>M1449+M1451+M1458+M1459+M1461+M1435+M1447</f>
        <v>0</v>
      </c>
      <c r="N1434" s="113">
        <f>N1449+N1451+N1458+N1459+N1461+N1435+N1447</f>
        <v>146321.84</v>
      </c>
      <c r="O1434" s="113">
        <f>O1449+O1451+O1458+O1459+O1461+O1435+O1447</f>
        <v>45240534.079999998</v>
      </c>
      <c r="P1434" s="113">
        <f>P1449+P1451+P1458+P1459+P1461+P1435+P1447</f>
        <v>0</v>
      </c>
      <c r="Q1434" s="106" t="s">
        <v>40</v>
      </c>
      <c r="R1434" s="106" t="s">
        <v>40</v>
      </c>
      <c r="S1434" s="335">
        <v>43830</v>
      </c>
    </row>
    <row r="1435" spans="1:34" s="1" customFormat="1" ht="21.6" customHeight="1">
      <c r="A1435" s="107"/>
      <c r="B1435" s="1292" t="s">
        <v>88</v>
      </c>
      <c r="C1435" s="1292"/>
      <c r="D1435" s="1292"/>
      <c r="E1435" s="1292"/>
      <c r="F1435" s="1335"/>
      <c r="G1435" s="1335"/>
      <c r="H1435" s="613">
        <f>SUM(H1436:H1446)</f>
        <v>56547.399999999987</v>
      </c>
      <c r="I1435" s="613">
        <f t="shared" ref="I1435:P1435" si="420">SUM(I1436:I1446)</f>
        <v>38077.199999999997</v>
      </c>
      <c r="J1435" s="613">
        <f t="shared" si="420"/>
        <v>37432.799999999996</v>
      </c>
      <c r="K1435" s="613">
        <f t="shared" si="420"/>
        <v>1705</v>
      </c>
      <c r="L1435" s="415">
        <f t="shared" si="420"/>
        <v>29036828</v>
      </c>
      <c r="M1435" s="415">
        <f t="shared" si="420"/>
        <v>0</v>
      </c>
      <c r="N1435" s="415">
        <f t="shared" si="420"/>
        <v>0</v>
      </c>
      <c r="O1435" s="415">
        <f t="shared" si="420"/>
        <v>29036828</v>
      </c>
      <c r="P1435" s="415">
        <f t="shared" si="420"/>
        <v>0</v>
      </c>
      <c r="Q1435" s="106" t="s">
        <v>40</v>
      </c>
      <c r="R1435" s="106" t="s">
        <v>40</v>
      </c>
      <c r="S1435" s="335">
        <v>43830</v>
      </c>
    </row>
    <row r="1436" spans="1:34" s="21" customFormat="1" ht="31.5">
      <c r="A1436" s="327">
        <v>1</v>
      </c>
      <c r="B1436" s="844" t="s">
        <v>756</v>
      </c>
      <c r="C1436" s="397">
        <v>1970</v>
      </c>
      <c r="D1436" s="397"/>
      <c r="E1436" s="744" t="s">
        <v>218</v>
      </c>
      <c r="F1436" s="370">
        <v>5</v>
      </c>
      <c r="G1436" s="370">
        <v>3</v>
      </c>
      <c r="H1436" s="371">
        <v>4419.3999999999996</v>
      </c>
      <c r="I1436" s="371">
        <v>2368.3000000000002</v>
      </c>
      <c r="J1436" s="371">
        <v>2251.8000000000002</v>
      </c>
      <c r="K1436" s="370">
        <v>287</v>
      </c>
      <c r="L1436" s="858">
        <v>3116315</v>
      </c>
      <c r="M1436" s="859">
        <v>0</v>
      </c>
      <c r="N1436" s="333">
        <v>0</v>
      </c>
      <c r="O1436" s="333">
        <f t="shared" ref="O1436:O1446" si="421">L1436</f>
        <v>3116315</v>
      </c>
      <c r="P1436" s="333">
        <v>0</v>
      </c>
      <c r="Q1436" s="334">
        <f t="shared" ref="Q1436:Q1446" si="422">L1436/I1436</f>
        <v>1315.8446987290461</v>
      </c>
      <c r="R1436" s="334">
        <v>7920</v>
      </c>
      <c r="S1436" s="335">
        <v>43830</v>
      </c>
    </row>
    <row r="1437" spans="1:34" s="21" customFormat="1" ht="24.6" customHeight="1">
      <c r="A1437" s="327">
        <f t="shared" si="410"/>
        <v>2</v>
      </c>
      <c r="B1437" s="844" t="s">
        <v>754</v>
      </c>
      <c r="C1437" s="397">
        <v>1974</v>
      </c>
      <c r="D1437" s="397"/>
      <c r="E1437" s="744" t="s">
        <v>219</v>
      </c>
      <c r="F1437" s="580">
        <v>5</v>
      </c>
      <c r="G1437" s="580">
        <v>8</v>
      </c>
      <c r="H1437" s="620">
        <v>4260.8999999999996</v>
      </c>
      <c r="I1437" s="620">
        <v>3791.7</v>
      </c>
      <c r="J1437" s="620">
        <v>3791.7</v>
      </c>
      <c r="K1437" s="370">
        <v>165</v>
      </c>
      <c r="L1437" s="858">
        <v>2952420</v>
      </c>
      <c r="M1437" s="859">
        <v>0</v>
      </c>
      <c r="N1437" s="333">
        <v>0</v>
      </c>
      <c r="O1437" s="333">
        <f t="shared" si="421"/>
        <v>2952420</v>
      </c>
      <c r="P1437" s="333">
        <v>0</v>
      </c>
      <c r="Q1437" s="334">
        <f t="shared" si="422"/>
        <v>778.65337447582885</v>
      </c>
      <c r="R1437" s="334">
        <v>7920</v>
      </c>
      <c r="S1437" s="335">
        <v>43830</v>
      </c>
    </row>
    <row r="1438" spans="1:34" s="21" customFormat="1" ht="24" customHeight="1">
      <c r="A1438" s="327">
        <f t="shared" si="410"/>
        <v>3</v>
      </c>
      <c r="B1438" s="844" t="s">
        <v>755</v>
      </c>
      <c r="C1438" s="397">
        <v>1974</v>
      </c>
      <c r="D1438" s="397"/>
      <c r="E1438" s="744" t="s">
        <v>219</v>
      </c>
      <c r="F1438" s="580">
        <v>5</v>
      </c>
      <c r="G1438" s="580">
        <v>8</v>
      </c>
      <c r="H1438" s="620">
        <v>4253.7</v>
      </c>
      <c r="I1438" s="620">
        <v>3784.3</v>
      </c>
      <c r="J1438" s="620">
        <v>3784.3</v>
      </c>
      <c r="K1438" s="370">
        <v>165</v>
      </c>
      <c r="L1438" s="858">
        <v>2857647</v>
      </c>
      <c r="M1438" s="859">
        <v>0</v>
      </c>
      <c r="N1438" s="333">
        <v>0</v>
      </c>
      <c r="O1438" s="333">
        <f t="shared" si="421"/>
        <v>2857647</v>
      </c>
      <c r="P1438" s="333">
        <v>0</v>
      </c>
      <c r="Q1438" s="334">
        <f t="shared" si="422"/>
        <v>755.13225695637232</v>
      </c>
      <c r="R1438" s="334">
        <v>7920</v>
      </c>
      <c r="S1438" s="335">
        <v>43830</v>
      </c>
    </row>
    <row r="1439" spans="1:34" s="21" customFormat="1" ht="31.5">
      <c r="A1439" s="327">
        <f t="shared" si="410"/>
        <v>4</v>
      </c>
      <c r="B1439" s="844" t="s">
        <v>759</v>
      </c>
      <c r="C1439" s="397">
        <v>1975</v>
      </c>
      <c r="D1439" s="397"/>
      <c r="E1439" s="744" t="s">
        <v>218</v>
      </c>
      <c r="F1439" s="580">
        <v>12</v>
      </c>
      <c r="G1439" s="580">
        <v>1</v>
      </c>
      <c r="H1439" s="620">
        <v>5393.6</v>
      </c>
      <c r="I1439" s="620">
        <v>3815.1</v>
      </c>
      <c r="J1439" s="620">
        <f>I1439-73.9</f>
        <v>3741.2</v>
      </c>
      <c r="K1439" s="370">
        <v>116</v>
      </c>
      <c r="L1439" s="371">
        <v>1532580</v>
      </c>
      <c r="M1439" s="859">
        <v>0</v>
      </c>
      <c r="N1439" s="333">
        <v>0</v>
      </c>
      <c r="O1439" s="333">
        <f t="shared" si="421"/>
        <v>1532580</v>
      </c>
      <c r="P1439" s="333">
        <v>0</v>
      </c>
      <c r="Q1439" s="334">
        <f t="shared" si="422"/>
        <v>401.71424078005822</v>
      </c>
      <c r="R1439" s="334">
        <v>7920</v>
      </c>
      <c r="S1439" s="335">
        <v>43830</v>
      </c>
    </row>
    <row r="1440" spans="1:34" s="21" customFormat="1" ht="15.75">
      <c r="A1440" s="327">
        <f t="shared" si="410"/>
        <v>5</v>
      </c>
      <c r="B1440" s="844" t="s">
        <v>760</v>
      </c>
      <c r="C1440" s="397">
        <v>1964</v>
      </c>
      <c r="D1440" s="397"/>
      <c r="E1440" s="744" t="s">
        <v>220</v>
      </c>
      <c r="F1440" s="580">
        <v>5</v>
      </c>
      <c r="G1440" s="580">
        <v>4</v>
      </c>
      <c r="H1440" s="620">
        <v>5456.4</v>
      </c>
      <c r="I1440" s="620">
        <v>3525.7</v>
      </c>
      <c r="J1440" s="620">
        <f>I1440-160.1</f>
        <v>3365.6</v>
      </c>
      <c r="K1440" s="370">
        <v>152</v>
      </c>
      <c r="L1440" s="858">
        <v>2654053</v>
      </c>
      <c r="M1440" s="859">
        <v>0</v>
      </c>
      <c r="N1440" s="333">
        <v>0</v>
      </c>
      <c r="O1440" s="333">
        <f t="shared" si="421"/>
        <v>2654053</v>
      </c>
      <c r="P1440" s="333">
        <v>0</v>
      </c>
      <c r="Q1440" s="334">
        <f t="shared" si="422"/>
        <v>752.77334997305502</v>
      </c>
      <c r="R1440" s="334">
        <v>7920</v>
      </c>
      <c r="S1440" s="335">
        <v>43830</v>
      </c>
      <c r="T1440" s="52"/>
      <c r="U1440" s="52"/>
      <c r="V1440" s="52"/>
      <c r="W1440" s="52"/>
      <c r="X1440" s="52"/>
      <c r="Y1440" s="52"/>
      <c r="Z1440" s="52"/>
      <c r="AA1440" s="52"/>
      <c r="AB1440" s="52"/>
      <c r="AC1440" s="52"/>
      <c r="AD1440" s="52"/>
      <c r="AE1440" s="52"/>
      <c r="AF1440" s="52"/>
      <c r="AG1440" s="52"/>
      <c r="AH1440" s="52"/>
    </row>
    <row r="1441" spans="1:34" s="52" customFormat="1" ht="15.75">
      <c r="A1441" s="327">
        <f t="shared" si="410"/>
        <v>6</v>
      </c>
      <c r="B1441" s="844" t="s">
        <v>761</v>
      </c>
      <c r="C1441" s="397">
        <v>1968</v>
      </c>
      <c r="D1441" s="397"/>
      <c r="E1441" s="744" t="s">
        <v>219</v>
      </c>
      <c r="F1441" s="580">
        <v>5</v>
      </c>
      <c r="G1441" s="580">
        <v>4</v>
      </c>
      <c r="H1441" s="620">
        <v>5361.8</v>
      </c>
      <c r="I1441" s="620">
        <v>3503.3</v>
      </c>
      <c r="J1441" s="620">
        <f>I1441-41</f>
        <v>3462.3</v>
      </c>
      <c r="K1441" s="370">
        <v>123</v>
      </c>
      <c r="L1441" s="858">
        <v>2653957</v>
      </c>
      <c r="M1441" s="859">
        <v>0</v>
      </c>
      <c r="N1441" s="333">
        <v>0</v>
      </c>
      <c r="O1441" s="333">
        <f t="shared" si="421"/>
        <v>2653957</v>
      </c>
      <c r="P1441" s="333">
        <v>0</v>
      </c>
      <c r="Q1441" s="334">
        <f t="shared" si="422"/>
        <v>757.5591585076927</v>
      </c>
      <c r="R1441" s="334">
        <v>7920</v>
      </c>
      <c r="S1441" s="335">
        <v>43830</v>
      </c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21"/>
      <c r="AH1441" s="21"/>
    </row>
    <row r="1442" spans="1:34" s="21" customFormat="1" ht="15.75">
      <c r="A1442" s="327">
        <f t="shared" si="410"/>
        <v>7</v>
      </c>
      <c r="B1442" s="844" t="s">
        <v>762</v>
      </c>
      <c r="C1442" s="397">
        <v>1966</v>
      </c>
      <c r="D1442" s="397"/>
      <c r="E1442" s="744" t="s">
        <v>219</v>
      </c>
      <c r="F1442" s="580">
        <v>5</v>
      </c>
      <c r="G1442" s="580">
        <v>4</v>
      </c>
      <c r="H1442" s="620">
        <v>5498.4</v>
      </c>
      <c r="I1442" s="620">
        <v>3455.3</v>
      </c>
      <c r="J1442" s="620">
        <f>I1442-91.5</f>
        <v>3363.8</v>
      </c>
      <c r="K1442" s="370">
        <v>127</v>
      </c>
      <c r="L1442" s="858">
        <v>2653904</v>
      </c>
      <c r="M1442" s="859">
        <v>0</v>
      </c>
      <c r="N1442" s="333">
        <v>0</v>
      </c>
      <c r="O1442" s="333">
        <f t="shared" si="421"/>
        <v>2653904</v>
      </c>
      <c r="P1442" s="333">
        <v>0</v>
      </c>
      <c r="Q1442" s="334">
        <f t="shared" si="422"/>
        <v>768.06760628599534</v>
      </c>
      <c r="R1442" s="334">
        <v>7920</v>
      </c>
      <c r="S1442" s="335">
        <v>43830</v>
      </c>
    </row>
    <row r="1443" spans="1:34" s="52" customFormat="1" ht="15.75">
      <c r="A1443" s="327">
        <f t="shared" si="410"/>
        <v>8</v>
      </c>
      <c r="B1443" s="844" t="s">
        <v>763</v>
      </c>
      <c r="C1443" s="397">
        <v>1970</v>
      </c>
      <c r="D1443" s="397"/>
      <c r="E1443" s="744" t="s">
        <v>219</v>
      </c>
      <c r="F1443" s="580">
        <v>5</v>
      </c>
      <c r="G1443" s="580">
        <v>4</v>
      </c>
      <c r="H1443" s="620">
        <v>5402.7</v>
      </c>
      <c r="I1443" s="620">
        <v>3457.6</v>
      </c>
      <c r="J1443" s="620">
        <f>I1443-77.1</f>
        <v>3380.5</v>
      </c>
      <c r="K1443" s="370">
        <v>159</v>
      </c>
      <c r="L1443" s="858">
        <v>2653979</v>
      </c>
      <c r="M1443" s="859">
        <v>0</v>
      </c>
      <c r="N1443" s="333">
        <v>0</v>
      </c>
      <c r="O1443" s="333">
        <f t="shared" si="421"/>
        <v>2653979</v>
      </c>
      <c r="P1443" s="333">
        <v>0</v>
      </c>
      <c r="Q1443" s="334">
        <f t="shared" si="422"/>
        <v>767.57837806571035</v>
      </c>
      <c r="R1443" s="334">
        <v>7920</v>
      </c>
      <c r="S1443" s="335">
        <v>43830</v>
      </c>
    </row>
    <row r="1444" spans="1:34" s="21" customFormat="1" ht="15.75">
      <c r="A1444" s="327">
        <f t="shared" si="410"/>
        <v>9</v>
      </c>
      <c r="B1444" s="844" t="s">
        <v>764</v>
      </c>
      <c r="C1444" s="397">
        <v>1966</v>
      </c>
      <c r="D1444" s="397"/>
      <c r="E1444" s="744" t="s">
        <v>220</v>
      </c>
      <c r="F1444" s="580">
        <v>5</v>
      </c>
      <c r="G1444" s="580">
        <v>4</v>
      </c>
      <c r="H1444" s="620">
        <v>5532.6</v>
      </c>
      <c r="I1444" s="620">
        <v>3527</v>
      </c>
      <c r="J1444" s="620">
        <f>I1444-43</f>
        <v>3484</v>
      </c>
      <c r="K1444" s="370">
        <v>144</v>
      </c>
      <c r="L1444" s="858">
        <v>2654063</v>
      </c>
      <c r="M1444" s="859">
        <v>0</v>
      </c>
      <c r="N1444" s="333">
        <v>0</v>
      </c>
      <c r="O1444" s="333">
        <f t="shared" si="421"/>
        <v>2654063</v>
      </c>
      <c r="P1444" s="333">
        <v>0</v>
      </c>
      <c r="Q1444" s="334">
        <f t="shared" si="422"/>
        <v>752.49872412815421</v>
      </c>
      <c r="R1444" s="334">
        <v>7920</v>
      </c>
      <c r="S1444" s="335">
        <v>43830</v>
      </c>
    </row>
    <row r="1445" spans="1:34" s="21" customFormat="1" ht="21.6" customHeight="1">
      <c r="A1445" s="327">
        <v>10</v>
      </c>
      <c r="B1445" s="844" t="s">
        <v>765</v>
      </c>
      <c r="C1445" s="397">
        <v>1965</v>
      </c>
      <c r="D1445" s="397"/>
      <c r="E1445" s="744" t="s">
        <v>219</v>
      </c>
      <c r="F1445" s="580">
        <v>5</v>
      </c>
      <c r="G1445" s="580">
        <v>4</v>
      </c>
      <c r="H1445" s="620">
        <v>5561.7</v>
      </c>
      <c r="I1445" s="620">
        <v>3463.1</v>
      </c>
      <c r="J1445" s="620">
        <f>I1445</f>
        <v>3463.1</v>
      </c>
      <c r="K1445" s="370">
        <v>144</v>
      </c>
      <c r="L1445" s="858">
        <v>2653996</v>
      </c>
      <c r="M1445" s="859">
        <v>0</v>
      </c>
      <c r="N1445" s="333">
        <v>0</v>
      </c>
      <c r="O1445" s="333">
        <f t="shared" si="421"/>
        <v>2653996</v>
      </c>
      <c r="P1445" s="333">
        <v>0</v>
      </c>
      <c r="Q1445" s="334">
        <f t="shared" si="422"/>
        <v>766.36424013167391</v>
      </c>
      <c r="R1445" s="334">
        <v>7920</v>
      </c>
      <c r="S1445" s="335">
        <v>43830</v>
      </c>
    </row>
    <row r="1446" spans="1:34" s="21" customFormat="1" ht="20.45" customHeight="1">
      <c r="A1446" s="327">
        <v>11</v>
      </c>
      <c r="B1446" s="844" t="s">
        <v>766</v>
      </c>
      <c r="C1446" s="397">
        <v>1966</v>
      </c>
      <c r="D1446" s="397"/>
      <c r="E1446" s="744" t="s">
        <v>219</v>
      </c>
      <c r="F1446" s="580">
        <v>5</v>
      </c>
      <c r="G1446" s="580">
        <v>4</v>
      </c>
      <c r="H1446" s="620">
        <v>5406.2</v>
      </c>
      <c r="I1446" s="620">
        <v>3385.8</v>
      </c>
      <c r="J1446" s="620">
        <f>I1446-41.3</f>
        <v>3344.5</v>
      </c>
      <c r="K1446" s="370">
        <v>123</v>
      </c>
      <c r="L1446" s="858">
        <v>2653914</v>
      </c>
      <c r="M1446" s="859">
        <v>0</v>
      </c>
      <c r="N1446" s="333">
        <v>0</v>
      </c>
      <c r="O1446" s="333">
        <f t="shared" si="421"/>
        <v>2653914</v>
      </c>
      <c r="P1446" s="333">
        <v>0</v>
      </c>
      <c r="Q1446" s="334">
        <f t="shared" si="422"/>
        <v>783.83661173134851</v>
      </c>
      <c r="R1446" s="334">
        <v>7920</v>
      </c>
      <c r="S1446" s="335">
        <v>43830</v>
      </c>
    </row>
    <row r="1447" spans="1:34" s="21" customFormat="1" ht="15.75" customHeight="1">
      <c r="A1447" s="107"/>
      <c r="B1447" s="1304" t="s">
        <v>132</v>
      </c>
      <c r="C1447" s="1304"/>
      <c r="D1447" s="1304"/>
      <c r="E1447" s="1304"/>
      <c r="F1447" s="1304"/>
      <c r="G1447" s="1304"/>
      <c r="H1447" s="117">
        <f>H1448</f>
        <v>834</v>
      </c>
      <c r="I1447" s="117">
        <f t="shared" ref="I1447:P1447" si="423">I1448</f>
        <v>756.7</v>
      </c>
      <c r="J1447" s="117">
        <f t="shared" si="423"/>
        <v>756.7</v>
      </c>
      <c r="K1447" s="155">
        <f t="shared" si="423"/>
        <v>47</v>
      </c>
      <c r="L1447" s="113">
        <f t="shared" si="423"/>
        <v>1854126</v>
      </c>
      <c r="M1447" s="113">
        <f t="shared" si="423"/>
        <v>0</v>
      </c>
      <c r="N1447" s="113">
        <f t="shared" si="423"/>
        <v>0</v>
      </c>
      <c r="O1447" s="113">
        <f t="shared" si="423"/>
        <v>1854126</v>
      </c>
      <c r="P1447" s="113">
        <f t="shared" si="423"/>
        <v>0</v>
      </c>
      <c r="Q1447" s="114" t="s">
        <v>40</v>
      </c>
      <c r="R1447" s="114" t="s">
        <v>40</v>
      </c>
      <c r="S1447" s="335">
        <v>43830</v>
      </c>
    </row>
    <row r="1448" spans="1:34" s="21" customFormat="1" ht="31.5">
      <c r="A1448" s="327" t="e">
        <f>#REF!+1</f>
        <v>#REF!</v>
      </c>
      <c r="B1448" s="844" t="s">
        <v>702</v>
      </c>
      <c r="C1448" s="397">
        <v>1968</v>
      </c>
      <c r="D1448" s="397"/>
      <c r="E1448" s="330" t="s">
        <v>218</v>
      </c>
      <c r="F1448" s="397">
        <v>2</v>
      </c>
      <c r="G1448" s="397">
        <v>3</v>
      </c>
      <c r="H1448" s="574">
        <v>834</v>
      </c>
      <c r="I1448" s="574">
        <v>756.7</v>
      </c>
      <c r="J1448" s="574">
        <v>756.7</v>
      </c>
      <c r="K1448" s="597">
        <v>47</v>
      </c>
      <c r="L1448" s="333">
        <v>1854126</v>
      </c>
      <c r="M1448" s="333">
        <v>0</v>
      </c>
      <c r="N1448" s="333">
        <v>0</v>
      </c>
      <c r="O1448" s="333">
        <f>L1448</f>
        <v>1854126</v>
      </c>
      <c r="P1448" s="333">
        <v>0</v>
      </c>
      <c r="Q1448" s="334">
        <f>L1448/I1448</f>
        <v>2450.2788423417469</v>
      </c>
      <c r="R1448" s="334">
        <v>7920</v>
      </c>
      <c r="S1448" s="335">
        <v>43830</v>
      </c>
    </row>
    <row r="1449" spans="1:34" s="1" customFormat="1" ht="15.75" customHeight="1">
      <c r="A1449" s="107"/>
      <c r="B1449" s="1294" t="s">
        <v>110</v>
      </c>
      <c r="C1449" s="1294"/>
      <c r="D1449" s="1294"/>
      <c r="E1449" s="1294"/>
      <c r="F1449" s="1294"/>
      <c r="G1449" s="1294"/>
      <c r="H1449" s="128">
        <f t="shared" ref="H1449:O1449" si="424">SUM(H1450:H1450)</f>
        <v>1394.2</v>
      </c>
      <c r="I1449" s="106">
        <f t="shared" si="424"/>
        <v>990.2</v>
      </c>
      <c r="J1449" s="106">
        <f t="shared" si="424"/>
        <v>764.2</v>
      </c>
      <c r="K1449" s="119">
        <f t="shared" si="424"/>
        <v>60</v>
      </c>
      <c r="L1449" s="113">
        <f t="shared" si="424"/>
        <v>2569441</v>
      </c>
      <c r="M1449" s="113">
        <f t="shared" si="424"/>
        <v>0</v>
      </c>
      <c r="N1449" s="113">
        <f t="shared" si="424"/>
        <v>0</v>
      </c>
      <c r="O1449" s="113">
        <f t="shared" si="424"/>
        <v>2569441</v>
      </c>
      <c r="P1449" s="113">
        <v>0</v>
      </c>
      <c r="Q1449" s="106" t="s">
        <v>40</v>
      </c>
      <c r="R1449" s="106" t="s">
        <v>40</v>
      </c>
      <c r="S1449" s="335">
        <v>43830</v>
      </c>
    </row>
    <row r="1450" spans="1:34" s="1" customFormat="1" ht="15.75">
      <c r="A1450" s="327" t="e">
        <f>A1448+1</f>
        <v>#REF!</v>
      </c>
      <c r="B1450" s="328" t="s">
        <v>477</v>
      </c>
      <c r="C1450" s="327">
        <v>1965</v>
      </c>
      <c r="D1450" s="329"/>
      <c r="E1450" s="330" t="s">
        <v>473</v>
      </c>
      <c r="F1450" s="329">
        <v>3</v>
      </c>
      <c r="G1450" s="329">
        <v>3</v>
      </c>
      <c r="H1450" s="331">
        <v>1394.2</v>
      </c>
      <c r="I1450" s="329">
        <v>990.2</v>
      </c>
      <c r="J1450" s="329">
        <v>764.2</v>
      </c>
      <c r="K1450" s="332">
        <v>60</v>
      </c>
      <c r="L1450" s="333">
        <v>2569441</v>
      </c>
      <c r="M1450" s="333">
        <v>0</v>
      </c>
      <c r="N1450" s="333">
        <v>0</v>
      </c>
      <c r="O1450" s="333">
        <v>2569441</v>
      </c>
      <c r="P1450" s="333">
        <v>0</v>
      </c>
      <c r="Q1450" s="334">
        <f>L1450/I1450</f>
        <v>2594.8707331852152</v>
      </c>
      <c r="R1450" s="334">
        <v>7920</v>
      </c>
      <c r="S1450" s="335">
        <v>43830</v>
      </c>
    </row>
    <row r="1451" spans="1:34" s="1" customFormat="1" ht="15.75" customHeight="1">
      <c r="A1451" s="327"/>
      <c r="B1451" s="1364" t="s">
        <v>128</v>
      </c>
      <c r="C1451" s="1364"/>
      <c r="D1451" s="1364"/>
      <c r="E1451" s="1364"/>
      <c r="F1451" s="1365"/>
      <c r="G1451" s="1365"/>
      <c r="H1451" s="811">
        <f>H1452+H1453+H1454</f>
        <v>12875.8</v>
      </c>
      <c r="I1451" s="811">
        <f t="shared" ref="I1451:P1451" si="425">I1452+I1453+I1454</f>
        <v>11648.4</v>
      </c>
      <c r="J1451" s="811">
        <f t="shared" si="425"/>
        <v>11035.6</v>
      </c>
      <c r="K1451" s="811">
        <f t="shared" si="425"/>
        <v>521</v>
      </c>
      <c r="L1451" s="812">
        <f t="shared" si="425"/>
        <v>9681670</v>
      </c>
      <c r="M1451" s="812">
        <f t="shared" si="425"/>
        <v>0</v>
      </c>
      <c r="N1451" s="812">
        <f t="shared" si="425"/>
        <v>0</v>
      </c>
      <c r="O1451" s="812">
        <f t="shared" si="425"/>
        <v>9681670</v>
      </c>
      <c r="P1451" s="812">
        <f t="shared" si="425"/>
        <v>0</v>
      </c>
      <c r="Q1451" s="811" t="s">
        <v>40</v>
      </c>
      <c r="R1451" s="334" t="s">
        <v>40</v>
      </c>
      <c r="S1451" s="335">
        <v>43830</v>
      </c>
    </row>
    <row r="1452" spans="1:34" s="59" customFormat="1" ht="38.450000000000003" customHeight="1">
      <c r="A1452" s="327"/>
      <c r="B1452" s="338" t="s">
        <v>729</v>
      </c>
      <c r="C1452" s="327">
        <v>1970</v>
      </c>
      <c r="D1452" s="329"/>
      <c r="E1452" s="744" t="s">
        <v>218</v>
      </c>
      <c r="F1452" s="813">
        <v>5</v>
      </c>
      <c r="G1452" s="813">
        <v>4</v>
      </c>
      <c r="H1452" s="814">
        <v>3164</v>
      </c>
      <c r="I1452" s="815">
        <v>2892</v>
      </c>
      <c r="J1452" s="814">
        <v>2892</v>
      </c>
      <c r="K1452" s="813">
        <v>107</v>
      </c>
      <c r="L1452" s="816">
        <v>2026223</v>
      </c>
      <c r="M1452" s="816">
        <v>0</v>
      </c>
      <c r="N1452" s="816">
        <v>0</v>
      </c>
      <c r="O1452" s="816">
        <f>L1452</f>
        <v>2026223</v>
      </c>
      <c r="P1452" s="816">
        <v>0</v>
      </c>
      <c r="Q1452" s="817">
        <f t="shared" ref="Q1452:Q1454" si="426">L1452/I1452</f>
        <v>700.63035961272476</v>
      </c>
      <c r="R1452" s="818">
        <v>7920</v>
      </c>
      <c r="S1452" s="335">
        <v>43830</v>
      </c>
    </row>
    <row r="1453" spans="1:34" s="59" customFormat="1" ht="31.5">
      <c r="A1453" s="327"/>
      <c r="B1453" s="338" t="s">
        <v>730</v>
      </c>
      <c r="C1453" s="327">
        <v>1982</v>
      </c>
      <c r="D1453" s="329"/>
      <c r="E1453" s="744" t="s">
        <v>218</v>
      </c>
      <c r="F1453" s="813">
        <v>5</v>
      </c>
      <c r="G1453" s="813">
        <v>7</v>
      </c>
      <c r="H1453" s="814">
        <v>5381</v>
      </c>
      <c r="I1453" s="815">
        <v>4862.3999999999996</v>
      </c>
      <c r="J1453" s="814">
        <v>4530.6000000000004</v>
      </c>
      <c r="K1453" s="813">
        <v>245</v>
      </c>
      <c r="L1453" s="816">
        <v>4351244</v>
      </c>
      <c r="M1453" s="816">
        <v>0</v>
      </c>
      <c r="N1453" s="816">
        <v>0</v>
      </c>
      <c r="O1453" s="816">
        <f t="shared" ref="O1453:O1454" si="427">L1453</f>
        <v>4351244</v>
      </c>
      <c r="P1453" s="816">
        <v>0</v>
      </c>
      <c r="Q1453" s="817">
        <f t="shared" si="426"/>
        <v>894.87578150707475</v>
      </c>
      <c r="R1453" s="818">
        <v>7920</v>
      </c>
      <c r="S1453" s="335">
        <v>43830</v>
      </c>
    </row>
    <row r="1454" spans="1:34" s="59" customFormat="1" ht="31.5">
      <c r="A1454" s="327"/>
      <c r="B1454" s="338" t="s">
        <v>731</v>
      </c>
      <c r="C1454" s="327">
        <v>1982</v>
      </c>
      <c r="D1454" s="329"/>
      <c r="E1454" s="744" t="s">
        <v>218</v>
      </c>
      <c r="F1454" s="813">
        <v>5</v>
      </c>
      <c r="G1454" s="813">
        <v>6</v>
      </c>
      <c r="H1454" s="814">
        <v>4330.8</v>
      </c>
      <c r="I1454" s="815">
        <v>3894</v>
      </c>
      <c r="J1454" s="814">
        <v>3613</v>
      </c>
      <c r="K1454" s="813">
        <v>169</v>
      </c>
      <c r="L1454" s="816">
        <v>3304203</v>
      </c>
      <c r="M1454" s="816">
        <v>0</v>
      </c>
      <c r="N1454" s="816">
        <v>0</v>
      </c>
      <c r="O1454" s="816">
        <f t="shared" si="427"/>
        <v>3304203</v>
      </c>
      <c r="P1454" s="816">
        <v>0</v>
      </c>
      <c r="Q1454" s="817">
        <f t="shared" si="426"/>
        <v>848.53697996918334</v>
      </c>
      <c r="R1454" s="818">
        <v>7920</v>
      </c>
      <c r="S1454" s="335">
        <v>43830</v>
      </c>
    </row>
    <row r="1455" spans="1:34" s="59" customFormat="1" ht="15.75">
      <c r="A1455" s="327"/>
      <c r="B1455" s="338"/>
      <c r="C1455" s="327"/>
      <c r="D1455" s="329"/>
      <c r="E1455" s="330"/>
      <c r="F1455" s="636"/>
      <c r="G1455" s="636"/>
      <c r="H1455" s="636"/>
      <c r="I1455" s="637"/>
      <c r="J1455" s="636"/>
      <c r="K1455" s="636"/>
      <c r="L1455" s="625"/>
      <c r="M1455" s="625"/>
      <c r="N1455" s="625"/>
      <c r="O1455" s="625"/>
      <c r="P1455" s="625"/>
      <c r="Q1455" s="626"/>
      <c r="R1455" s="334"/>
      <c r="S1455" s="335"/>
    </row>
    <row r="1456" spans="1:34" s="59" customFormat="1" ht="15.75">
      <c r="A1456" s="327"/>
      <c r="B1456" s="338"/>
      <c r="C1456" s="327"/>
      <c r="D1456" s="329"/>
      <c r="E1456" s="330"/>
      <c r="F1456" s="329"/>
      <c r="G1456" s="329"/>
      <c r="H1456" s="329"/>
      <c r="I1456" s="352"/>
      <c r="J1456" s="329"/>
      <c r="K1456" s="329"/>
      <c r="L1456" s="333"/>
      <c r="M1456" s="333"/>
      <c r="N1456" s="333"/>
      <c r="O1456" s="333"/>
      <c r="P1456" s="333"/>
      <c r="Q1456" s="334"/>
      <c r="R1456" s="334"/>
      <c r="S1456" s="335"/>
    </row>
    <row r="1457" spans="1:19" s="59" customFormat="1" ht="15.75">
      <c r="A1457" s="327"/>
      <c r="B1457" s="338"/>
      <c r="C1457" s="327"/>
      <c r="D1457" s="329"/>
      <c r="E1457" s="330"/>
      <c r="F1457" s="329"/>
      <c r="G1457" s="329"/>
      <c r="H1457" s="329"/>
      <c r="I1457" s="352"/>
      <c r="J1457" s="329"/>
      <c r="K1457" s="329"/>
      <c r="L1457" s="333"/>
      <c r="M1457" s="333"/>
      <c r="N1457" s="333"/>
      <c r="O1457" s="333"/>
      <c r="P1457" s="333"/>
      <c r="Q1457" s="334"/>
      <c r="R1457" s="334"/>
      <c r="S1457" s="335"/>
    </row>
    <row r="1458" spans="1:19" s="1" customFormat="1" ht="29.45" customHeight="1">
      <c r="A1458" s="107"/>
      <c r="B1458" s="1292" t="s">
        <v>994</v>
      </c>
      <c r="C1458" s="1292"/>
      <c r="D1458" s="1292"/>
      <c r="E1458" s="1292"/>
      <c r="F1458" s="1292"/>
      <c r="G1458" s="1292"/>
      <c r="H1458" s="128">
        <v>0</v>
      </c>
      <c r="I1458" s="106">
        <v>0</v>
      </c>
      <c r="J1458" s="106">
        <v>0</v>
      </c>
      <c r="K1458" s="119">
        <v>0</v>
      </c>
      <c r="L1458" s="113">
        <v>0</v>
      </c>
      <c r="M1458" s="113">
        <v>0</v>
      </c>
      <c r="N1458" s="113">
        <v>0</v>
      </c>
      <c r="O1458" s="113">
        <v>0</v>
      </c>
      <c r="P1458" s="113">
        <v>0</v>
      </c>
      <c r="Q1458" s="106" t="s">
        <v>40</v>
      </c>
      <c r="R1458" s="114" t="s">
        <v>40</v>
      </c>
      <c r="S1458" s="335">
        <v>43830</v>
      </c>
    </row>
    <row r="1459" spans="1:19" s="1" customFormat="1" ht="15.75" customHeight="1">
      <c r="A1459" s="107"/>
      <c r="B1459" s="1294" t="s">
        <v>111</v>
      </c>
      <c r="C1459" s="1294"/>
      <c r="D1459" s="1294"/>
      <c r="E1459" s="1294"/>
      <c r="F1459" s="1294"/>
      <c r="G1459" s="1294"/>
      <c r="H1459" s="128">
        <f>H1460</f>
        <v>533.5</v>
      </c>
      <c r="I1459" s="128">
        <f t="shared" ref="I1459:J1459" si="428">I1460</f>
        <v>525.5</v>
      </c>
      <c r="J1459" s="128">
        <f t="shared" si="428"/>
        <v>294.10000000000002</v>
      </c>
      <c r="K1459" s="119">
        <f>K1460</f>
        <v>54</v>
      </c>
      <c r="L1459" s="113">
        <f>L1460</f>
        <v>657835.92000000004</v>
      </c>
      <c r="M1459" s="113">
        <f t="shared" ref="M1459:P1459" si="429">M1460</f>
        <v>0</v>
      </c>
      <c r="N1459" s="113">
        <f t="shared" si="429"/>
        <v>146321.84</v>
      </c>
      <c r="O1459" s="113">
        <f t="shared" si="429"/>
        <v>511514.08</v>
      </c>
      <c r="P1459" s="113">
        <f t="shared" si="429"/>
        <v>0</v>
      </c>
      <c r="Q1459" s="106" t="s">
        <v>40</v>
      </c>
      <c r="R1459" s="106" t="s">
        <v>40</v>
      </c>
      <c r="S1459" s="335">
        <v>43830</v>
      </c>
    </row>
    <row r="1460" spans="1:19" s="1" customFormat="1" ht="31.5">
      <c r="A1460" s="107" t="e">
        <f>#REF!+1</f>
        <v>#REF!</v>
      </c>
      <c r="B1460" s="303" t="s">
        <v>420</v>
      </c>
      <c r="C1460" s="302">
        <v>1967</v>
      </c>
      <c r="D1460" s="304"/>
      <c r="E1460" s="109" t="s">
        <v>218</v>
      </c>
      <c r="F1460" s="118">
        <v>2</v>
      </c>
      <c r="G1460" s="118">
        <v>2</v>
      </c>
      <c r="H1460" s="128">
        <v>533.5</v>
      </c>
      <c r="I1460" s="106">
        <v>525.5</v>
      </c>
      <c r="J1460" s="106">
        <v>294.10000000000002</v>
      </c>
      <c r="K1460" s="119">
        <v>54</v>
      </c>
      <c r="L1460" s="113">
        <v>657835.92000000004</v>
      </c>
      <c r="M1460" s="113">
        <v>0</v>
      </c>
      <c r="N1460" s="113">
        <v>146321.84</v>
      </c>
      <c r="O1460" s="113">
        <v>511514.08</v>
      </c>
      <c r="P1460" s="113">
        <v>0</v>
      </c>
      <c r="Q1460" s="106">
        <f>L1459/I1460</f>
        <v>1251.828582302569</v>
      </c>
      <c r="R1460" s="114">
        <v>6774</v>
      </c>
      <c r="S1460" s="335">
        <v>43830</v>
      </c>
    </row>
    <row r="1461" spans="1:19" s="1" customFormat="1" ht="15.75">
      <c r="A1461" s="327"/>
      <c r="B1461" s="1369" t="s">
        <v>129</v>
      </c>
      <c r="C1461" s="1369"/>
      <c r="D1461" s="1369"/>
      <c r="E1461" s="1369"/>
      <c r="F1461" s="1369"/>
      <c r="G1461" s="1369"/>
      <c r="H1461" s="353">
        <f>H1462</f>
        <v>1039.2</v>
      </c>
      <c r="I1461" s="353">
        <f t="shared" ref="I1461:P1461" si="430">I1462</f>
        <v>967.8</v>
      </c>
      <c r="J1461" s="353">
        <f t="shared" si="430"/>
        <v>967.8</v>
      </c>
      <c r="K1461" s="353">
        <f t="shared" si="430"/>
        <v>48</v>
      </c>
      <c r="L1461" s="708">
        <f t="shared" si="430"/>
        <v>1586995</v>
      </c>
      <c r="M1461" s="708">
        <f t="shared" si="430"/>
        <v>0</v>
      </c>
      <c r="N1461" s="708">
        <f t="shared" si="430"/>
        <v>0</v>
      </c>
      <c r="O1461" s="708">
        <f t="shared" si="430"/>
        <v>1586955</v>
      </c>
      <c r="P1461" s="708">
        <f t="shared" si="430"/>
        <v>0</v>
      </c>
      <c r="Q1461" s="356" t="s">
        <v>40</v>
      </c>
      <c r="R1461" s="334" t="s">
        <v>40</v>
      </c>
      <c r="S1461" s="335">
        <v>43830</v>
      </c>
    </row>
    <row r="1462" spans="1:19" s="59" customFormat="1" ht="31.5">
      <c r="A1462" s="327" t="e">
        <f>A1460+1</f>
        <v>#REF!</v>
      </c>
      <c r="B1462" s="338" t="s">
        <v>683</v>
      </c>
      <c r="C1462" s="329"/>
      <c r="D1462" s="329"/>
      <c r="E1462" s="330" t="s">
        <v>218</v>
      </c>
      <c r="F1462" s="329">
        <v>3</v>
      </c>
      <c r="G1462" s="329">
        <v>2</v>
      </c>
      <c r="H1462" s="327">
        <v>1039.2</v>
      </c>
      <c r="I1462" s="329">
        <v>967.8</v>
      </c>
      <c r="J1462" s="329">
        <v>967.8</v>
      </c>
      <c r="K1462" s="329">
        <v>48</v>
      </c>
      <c r="L1462" s="333">
        <v>1586995</v>
      </c>
      <c r="M1462" s="333">
        <v>0</v>
      </c>
      <c r="N1462" s="333">
        <v>0</v>
      </c>
      <c r="O1462" s="333">
        <v>1586955</v>
      </c>
      <c r="P1462" s="333">
        <v>0</v>
      </c>
      <c r="Q1462" s="334">
        <f>L1462/I1462</f>
        <v>1639.7964455466006</v>
      </c>
      <c r="R1462" s="334">
        <v>7920</v>
      </c>
      <c r="S1462" s="335">
        <v>43830</v>
      </c>
    </row>
    <row r="1463" spans="1:19" s="59" customFormat="1" ht="15.75">
      <c r="A1463" s="327"/>
      <c r="B1463" s="338"/>
      <c r="C1463" s="329"/>
      <c r="D1463" s="329"/>
      <c r="E1463" s="330"/>
      <c r="F1463" s="329"/>
      <c r="G1463" s="329"/>
      <c r="H1463" s="329"/>
      <c r="I1463" s="329"/>
      <c r="J1463" s="329"/>
      <c r="K1463" s="329"/>
      <c r="L1463" s="333"/>
      <c r="M1463" s="333"/>
      <c r="N1463" s="333"/>
      <c r="O1463" s="333"/>
      <c r="P1463" s="333"/>
      <c r="Q1463" s="334"/>
      <c r="R1463" s="334"/>
      <c r="S1463" s="335"/>
    </row>
    <row r="1464" spans="1:19" s="59" customFormat="1" ht="15.75">
      <c r="A1464" s="327"/>
      <c r="B1464" s="338"/>
      <c r="C1464" s="329"/>
      <c r="D1464" s="329"/>
      <c r="E1464" s="330"/>
      <c r="F1464" s="329"/>
      <c r="G1464" s="329"/>
      <c r="H1464" s="329"/>
      <c r="I1464" s="329"/>
      <c r="J1464" s="329"/>
      <c r="K1464" s="329"/>
      <c r="L1464" s="333"/>
      <c r="M1464" s="333"/>
      <c r="N1464" s="333"/>
      <c r="O1464" s="333"/>
      <c r="P1464" s="333"/>
      <c r="Q1464" s="334"/>
      <c r="R1464" s="334"/>
      <c r="S1464" s="335"/>
    </row>
    <row r="1465" spans="1:19" s="59" customFormat="1" ht="15.75">
      <c r="A1465" s="327"/>
      <c r="B1465" s="338"/>
      <c r="C1465" s="329"/>
      <c r="D1465" s="329"/>
      <c r="E1465" s="330"/>
      <c r="F1465" s="329"/>
      <c r="G1465" s="329"/>
      <c r="H1465" s="329"/>
      <c r="I1465" s="329"/>
      <c r="J1465" s="329"/>
      <c r="K1465" s="329"/>
      <c r="L1465" s="333"/>
      <c r="M1465" s="333"/>
      <c r="N1465" s="333"/>
      <c r="O1465" s="333"/>
      <c r="P1465" s="333"/>
      <c r="Q1465" s="334"/>
      <c r="R1465" s="334"/>
      <c r="S1465" s="335"/>
    </row>
    <row r="1466" spans="1:19" s="1" customFormat="1" ht="15.75">
      <c r="A1466" s="107"/>
      <c r="B1466" s="1292" t="s">
        <v>54</v>
      </c>
      <c r="C1466" s="1292"/>
      <c r="D1466" s="1292"/>
      <c r="E1466" s="1292"/>
      <c r="F1466" s="1292"/>
      <c r="G1466" s="1292"/>
      <c r="H1466" s="128">
        <f>H1467</f>
        <v>1983</v>
      </c>
      <c r="I1466" s="106">
        <f t="shared" ref="I1466:P1466" si="431">I1467</f>
        <v>1780.1</v>
      </c>
      <c r="J1466" s="106">
        <f t="shared" si="431"/>
        <v>1780.1</v>
      </c>
      <c r="K1466" s="119">
        <f t="shared" si="431"/>
        <v>80</v>
      </c>
      <c r="L1466" s="113">
        <f t="shared" si="431"/>
        <v>2222747</v>
      </c>
      <c r="M1466" s="113">
        <f t="shared" si="431"/>
        <v>0</v>
      </c>
      <c r="N1466" s="113">
        <f t="shared" si="431"/>
        <v>0</v>
      </c>
      <c r="O1466" s="113">
        <f t="shared" si="431"/>
        <v>2222747</v>
      </c>
      <c r="P1466" s="113">
        <f t="shared" si="431"/>
        <v>0</v>
      </c>
      <c r="Q1466" s="106" t="s">
        <v>40</v>
      </c>
      <c r="R1466" s="106" t="s">
        <v>40</v>
      </c>
      <c r="S1466" s="335">
        <v>43830</v>
      </c>
    </row>
    <row r="1467" spans="1:19" s="1" customFormat="1" ht="15.75" customHeight="1">
      <c r="A1467" s="107"/>
      <c r="B1467" s="1294" t="s">
        <v>112</v>
      </c>
      <c r="C1467" s="1294"/>
      <c r="D1467" s="1294"/>
      <c r="E1467" s="1294"/>
      <c r="F1467" s="1294"/>
      <c r="G1467" s="1294"/>
      <c r="H1467" s="128">
        <f>SUM(H1468:H1470)</f>
        <v>1983</v>
      </c>
      <c r="I1467" s="106">
        <f t="shared" ref="I1467:P1467" si="432">SUM(I1468:I1470)</f>
        <v>1780.1</v>
      </c>
      <c r="J1467" s="106">
        <f t="shared" si="432"/>
        <v>1780.1</v>
      </c>
      <c r="K1467" s="119">
        <f t="shared" si="432"/>
        <v>80</v>
      </c>
      <c r="L1467" s="113">
        <f t="shared" si="432"/>
        <v>2222747</v>
      </c>
      <c r="M1467" s="113">
        <f t="shared" si="432"/>
        <v>0</v>
      </c>
      <c r="N1467" s="113">
        <f t="shared" si="432"/>
        <v>0</v>
      </c>
      <c r="O1467" s="113">
        <f t="shared" si="432"/>
        <v>2222747</v>
      </c>
      <c r="P1467" s="113">
        <f t="shared" si="432"/>
        <v>0</v>
      </c>
      <c r="Q1467" s="106" t="s">
        <v>40</v>
      </c>
      <c r="R1467" s="106" t="s">
        <v>40</v>
      </c>
      <c r="S1467" s="335">
        <v>43830</v>
      </c>
    </row>
    <row r="1468" spans="1:19" s="35" customFormat="1" ht="31.5">
      <c r="A1468" s="107">
        <f>A1465+1</f>
        <v>1</v>
      </c>
      <c r="B1468" s="301" t="s">
        <v>422</v>
      </c>
      <c r="C1468" s="107">
        <v>1972</v>
      </c>
      <c r="D1468" s="173"/>
      <c r="E1468" s="109" t="s">
        <v>218</v>
      </c>
      <c r="F1468" s="108">
        <v>2</v>
      </c>
      <c r="G1468" s="108">
        <v>2</v>
      </c>
      <c r="H1468" s="111">
        <v>778.9</v>
      </c>
      <c r="I1468" s="126">
        <v>719.8</v>
      </c>
      <c r="J1468" s="126">
        <v>719.8</v>
      </c>
      <c r="K1468" s="112">
        <v>27</v>
      </c>
      <c r="L1468" s="113">
        <v>1003542</v>
      </c>
      <c r="M1468" s="113">
        <v>0</v>
      </c>
      <c r="N1468" s="113">
        <v>0</v>
      </c>
      <c r="O1468" s="113">
        <f>L1468</f>
        <v>1003542</v>
      </c>
      <c r="P1468" s="113">
        <v>0</v>
      </c>
      <c r="Q1468" s="114">
        <f>L1468/I1468</f>
        <v>1394.1956098916366</v>
      </c>
      <c r="R1468" s="114">
        <v>6774</v>
      </c>
      <c r="S1468" s="335">
        <v>43830</v>
      </c>
    </row>
    <row r="1469" spans="1:19" s="35" customFormat="1" ht="31.5">
      <c r="A1469" s="107">
        <f t="shared" ref="A1469:A1506" si="433">A1468+1</f>
        <v>2</v>
      </c>
      <c r="B1469" s="301" t="s">
        <v>421</v>
      </c>
      <c r="C1469" s="177">
        <v>1980</v>
      </c>
      <c r="D1469" s="178"/>
      <c r="E1469" s="109" t="s">
        <v>218</v>
      </c>
      <c r="F1469" s="108">
        <v>3</v>
      </c>
      <c r="G1469" s="108">
        <v>2</v>
      </c>
      <c r="H1469" s="111">
        <v>928.6</v>
      </c>
      <c r="I1469" s="126">
        <v>843.2</v>
      </c>
      <c r="J1469" s="126">
        <v>843.2</v>
      </c>
      <c r="K1469" s="112">
        <v>39</v>
      </c>
      <c r="L1469" s="113">
        <v>740146</v>
      </c>
      <c r="M1469" s="113">
        <v>0</v>
      </c>
      <c r="N1469" s="113">
        <v>0</v>
      </c>
      <c r="O1469" s="113">
        <f>L1469</f>
        <v>740146</v>
      </c>
      <c r="P1469" s="113">
        <v>0</v>
      </c>
      <c r="Q1469" s="114">
        <f>L1469/I1469</f>
        <v>877.7822580645161</v>
      </c>
      <c r="R1469" s="114">
        <v>6774</v>
      </c>
      <c r="S1469" s="335">
        <v>43830</v>
      </c>
    </row>
    <row r="1470" spans="1:19" s="35" customFormat="1" ht="15.75">
      <c r="A1470" s="107">
        <f t="shared" si="433"/>
        <v>3</v>
      </c>
      <c r="B1470" s="301" t="s">
        <v>423</v>
      </c>
      <c r="C1470" s="108">
        <v>1965</v>
      </c>
      <c r="D1470" s="173"/>
      <c r="E1470" s="109" t="s">
        <v>221</v>
      </c>
      <c r="F1470" s="108">
        <v>2</v>
      </c>
      <c r="G1470" s="108">
        <v>2</v>
      </c>
      <c r="H1470" s="111">
        <v>275.5</v>
      </c>
      <c r="I1470" s="126">
        <v>217.1</v>
      </c>
      <c r="J1470" s="126">
        <v>217.1</v>
      </c>
      <c r="K1470" s="112">
        <v>14</v>
      </c>
      <c r="L1470" s="113">
        <v>479059</v>
      </c>
      <c r="M1470" s="113">
        <v>0</v>
      </c>
      <c r="N1470" s="113">
        <v>0</v>
      </c>
      <c r="O1470" s="113">
        <f>L1470</f>
        <v>479059</v>
      </c>
      <c r="P1470" s="113">
        <v>0</v>
      </c>
      <c r="Q1470" s="114">
        <f>L1470/I1470</f>
        <v>2206.6282818977429</v>
      </c>
      <c r="R1470" s="114">
        <v>6774</v>
      </c>
      <c r="S1470" s="335">
        <v>43830</v>
      </c>
    </row>
    <row r="1471" spans="1:19" s="1" customFormat="1" ht="15.75">
      <c r="A1471" s="107"/>
      <c r="B1471" s="1292" t="s">
        <v>55</v>
      </c>
      <c r="C1471" s="1292"/>
      <c r="D1471" s="1292"/>
      <c r="E1471" s="1292"/>
      <c r="F1471" s="1292"/>
      <c r="G1471" s="1292"/>
      <c r="H1471" s="128">
        <f>H1472</f>
        <v>988.7</v>
      </c>
      <c r="I1471" s="106">
        <f t="shared" ref="I1471:R1472" si="434">I1472</f>
        <v>893.7</v>
      </c>
      <c r="J1471" s="106">
        <f t="shared" si="434"/>
        <v>636.9</v>
      </c>
      <c r="K1471" s="119">
        <f t="shared" si="434"/>
        <v>17</v>
      </c>
      <c r="L1471" s="113">
        <f t="shared" si="434"/>
        <v>2451868</v>
      </c>
      <c r="M1471" s="113">
        <f t="shared" si="434"/>
        <v>0</v>
      </c>
      <c r="N1471" s="113">
        <f t="shared" si="434"/>
        <v>0</v>
      </c>
      <c r="O1471" s="113">
        <f t="shared" si="434"/>
        <v>2451868</v>
      </c>
      <c r="P1471" s="113">
        <f t="shared" si="434"/>
        <v>0</v>
      </c>
      <c r="Q1471" s="106" t="str">
        <f t="shared" si="434"/>
        <v>Х</v>
      </c>
      <c r="R1471" s="106" t="str">
        <f t="shared" si="434"/>
        <v>Х</v>
      </c>
      <c r="S1471" s="335">
        <v>43830</v>
      </c>
    </row>
    <row r="1472" spans="1:19" s="1" customFormat="1" ht="15.75">
      <c r="A1472" s="107"/>
      <c r="B1472" s="1292" t="s">
        <v>122</v>
      </c>
      <c r="C1472" s="1292"/>
      <c r="D1472" s="1292"/>
      <c r="E1472" s="1292"/>
      <c r="F1472" s="1292"/>
      <c r="G1472" s="1292"/>
      <c r="H1472" s="128">
        <f>H1473</f>
        <v>988.7</v>
      </c>
      <c r="I1472" s="128">
        <f t="shared" si="434"/>
        <v>893.7</v>
      </c>
      <c r="J1472" s="128">
        <f t="shared" si="434"/>
        <v>636.9</v>
      </c>
      <c r="K1472" s="128">
        <f t="shared" si="434"/>
        <v>17</v>
      </c>
      <c r="L1472" s="366">
        <f t="shared" si="434"/>
        <v>2451868</v>
      </c>
      <c r="M1472" s="366">
        <f t="shared" si="434"/>
        <v>0</v>
      </c>
      <c r="N1472" s="366">
        <f t="shared" si="434"/>
        <v>0</v>
      </c>
      <c r="O1472" s="366">
        <f t="shared" si="434"/>
        <v>2451868</v>
      </c>
      <c r="P1472" s="366">
        <f t="shared" si="434"/>
        <v>0</v>
      </c>
      <c r="Q1472" s="106" t="s">
        <v>40</v>
      </c>
      <c r="R1472" s="114" t="s">
        <v>40</v>
      </c>
      <c r="S1472" s="335">
        <v>43830</v>
      </c>
    </row>
    <row r="1473" spans="1:19" s="1" customFormat="1" ht="31.5">
      <c r="A1473" s="327"/>
      <c r="B1473" s="338" t="s">
        <v>390</v>
      </c>
      <c r="C1473" s="555" t="s">
        <v>604</v>
      </c>
      <c r="D1473" s="329"/>
      <c r="E1473" s="330" t="s">
        <v>218</v>
      </c>
      <c r="F1473" s="329">
        <v>2</v>
      </c>
      <c r="G1473" s="329">
        <v>3</v>
      </c>
      <c r="H1473" s="331">
        <v>988.7</v>
      </c>
      <c r="I1473" s="334">
        <v>893.7</v>
      </c>
      <c r="J1473" s="334">
        <v>636.9</v>
      </c>
      <c r="K1473" s="332">
        <v>17</v>
      </c>
      <c r="L1473" s="333">
        <v>2451868</v>
      </c>
      <c r="M1473" s="333">
        <v>0</v>
      </c>
      <c r="N1473" s="333">
        <v>0</v>
      </c>
      <c r="O1473" s="333">
        <v>2451868</v>
      </c>
      <c r="P1473" s="333">
        <v>0</v>
      </c>
      <c r="Q1473" s="334">
        <f>L1473/I1473</f>
        <v>2743.5022938346201</v>
      </c>
      <c r="R1473" s="334">
        <v>7920</v>
      </c>
      <c r="S1473" s="335">
        <v>43830</v>
      </c>
    </row>
    <row r="1474" spans="1:19" s="1" customFormat="1" ht="15.75">
      <c r="A1474" s="327"/>
      <c r="B1474" s="338"/>
      <c r="C1474" s="555"/>
      <c r="D1474" s="329"/>
      <c r="E1474" s="330"/>
      <c r="F1474" s="329"/>
      <c r="G1474" s="329"/>
      <c r="H1474" s="331"/>
      <c r="I1474" s="334"/>
      <c r="J1474" s="334"/>
      <c r="K1474" s="332"/>
      <c r="L1474" s="333"/>
      <c r="M1474" s="333"/>
      <c r="N1474" s="333"/>
      <c r="O1474" s="333"/>
      <c r="P1474" s="333"/>
      <c r="Q1474" s="334"/>
      <c r="R1474" s="334"/>
      <c r="S1474" s="335"/>
    </row>
    <row r="1475" spans="1:19" s="1" customFormat="1" ht="15.75">
      <c r="A1475" s="327"/>
      <c r="B1475" s="338"/>
      <c r="C1475" s="555"/>
      <c r="D1475" s="329"/>
      <c r="E1475" s="330"/>
      <c r="F1475" s="329"/>
      <c r="G1475" s="329"/>
      <c r="H1475" s="331"/>
      <c r="I1475" s="334"/>
      <c r="J1475" s="334"/>
      <c r="K1475" s="332"/>
      <c r="L1475" s="333"/>
      <c r="M1475" s="333"/>
      <c r="N1475" s="333"/>
      <c r="O1475" s="333"/>
      <c r="P1475" s="333"/>
      <c r="Q1475" s="334"/>
      <c r="R1475" s="334"/>
      <c r="S1475" s="335"/>
    </row>
    <row r="1476" spans="1:19" s="1" customFormat="1" ht="15.75">
      <c r="A1476" s="107"/>
      <c r="B1476" s="1292" t="s">
        <v>56</v>
      </c>
      <c r="C1476" s="1292"/>
      <c r="D1476" s="1292"/>
      <c r="E1476" s="1292"/>
      <c r="F1476" s="1292"/>
      <c r="G1476" s="1292"/>
      <c r="H1476" s="128">
        <f t="shared" ref="H1476:P1476" si="435">H1483+H1477+H1485</f>
        <v>8840.7000000000007</v>
      </c>
      <c r="I1476" s="106">
        <f t="shared" si="435"/>
        <v>6723.3</v>
      </c>
      <c r="J1476" s="106">
        <f t="shared" si="435"/>
        <v>6115.2</v>
      </c>
      <c r="K1476" s="119">
        <f t="shared" si="435"/>
        <v>304</v>
      </c>
      <c r="L1476" s="113">
        <f t="shared" si="435"/>
        <v>11882203</v>
      </c>
      <c r="M1476" s="113">
        <f t="shared" si="435"/>
        <v>0</v>
      </c>
      <c r="N1476" s="113">
        <f t="shared" si="435"/>
        <v>0</v>
      </c>
      <c r="O1476" s="113">
        <f t="shared" si="435"/>
        <v>11882203</v>
      </c>
      <c r="P1476" s="113">
        <f t="shared" si="435"/>
        <v>0</v>
      </c>
      <c r="Q1476" s="106" t="str">
        <f t="shared" ref="Q1476:R1476" si="436">Q1477</f>
        <v>Х</v>
      </c>
      <c r="R1476" s="106" t="str">
        <f t="shared" si="436"/>
        <v>Х</v>
      </c>
      <c r="S1476" s="335">
        <v>43830</v>
      </c>
    </row>
    <row r="1477" spans="1:19" s="18" customFormat="1" ht="26.45" customHeight="1">
      <c r="A1477" s="327"/>
      <c r="B1477" s="1371" t="s">
        <v>424</v>
      </c>
      <c r="C1477" s="1371"/>
      <c r="D1477" s="1371"/>
      <c r="E1477" s="1371"/>
      <c r="F1477" s="1373"/>
      <c r="G1477" s="1373"/>
      <c r="H1477" s="740">
        <f>SUM(H1478:H1482)</f>
        <v>4232.5</v>
      </c>
      <c r="I1477" s="740">
        <f t="shared" ref="I1477:P1477" si="437">SUM(I1478:I1482)</f>
        <v>3017.6</v>
      </c>
      <c r="J1477" s="740">
        <f t="shared" si="437"/>
        <v>2627.5</v>
      </c>
      <c r="K1477" s="740">
        <f t="shared" si="437"/>
        <v>175</v>
      </c>
      <c r="L1477" s="741">
        <f t="shared" si="437"/>
        <v>9225003</v>
      </c>
      <c r="M1477" s="741">
        <f t="shared" si="437"/>
        <v>0</v>
      </c>
      <c r="N1477" s="741">
        <f t="shared" si="437"/>
        <v>0</v>
      </c>
      <c r="O1477" s="741">
        <f t="shared" si="437"/>
        <v>9225003</v>
      </c>
      <c r="P1477" s="741">
        <f t="shared" si="437"/>
        <v>0</v>
      </c>
      <c r="Q1477" s="742" t="s">
        <v>40</v>
      </c>
      <c r="R1477" s="743" t="s">
        <v>40</v>
      </c>
      <c r="S1477" s="335">
        <v>43830</v>
      </c>
    </row>
    <row r="1478" spans="1:19" s="62" customFormat="1" ht="31.5">
      <c r="A1478" s="327">
        <f>A1475+1</f>
        <v>1</v>
      </c>
      <c r="B1478" s="621" t="s">
        <v>715</v>
      </c>
      <c r="C1478" s="327">
        <v>1976</v>
      </c>
      <c r="D1478" s="327"/>
      <c r="E1478" s="744" t="s">
        <v>218</v>
      </c>
      <c r="F1478" s="329">
        <v>2</v>
      </c>
      <c r="G1478" s="329">
        <v>2</v>
      </c>
      <c r="H1478" s="358">
        <v>1011.9</v>
      </c>
      <c r="I1478" s="358">
        <v>686.6</v>
      </c>
      <c r="J1478" s="358">
        <v>603</v>
      </c>
      <c r="K1478" s="329">
        <v>62</v>
      </c>
      <c r="L1478" s="745">
        <v>3119960</v>
      </c>
      <c r="M1478" s="745">
        <v>0</v>
      </c>
      <c r="N1478" s="745">
        <v>0</v>
      </c>
      <c r="O1478" s="745">
        <v>3119960</v>
      </c>
      <c r="P1478" s="745">
        <v>0</v>
      </c>
      <c r="Q1478" s="745">
        <f>L1478/I1478</f>
        <v>4544.0722400233035</v>
      </c>
      <c r="R1478" s="745">
        <v>7920</v>
      </c>
      <c r="S1478" s="624">
        <v>43830</v>
      </c>
    </row>
    <row r="1479" spans="1:19" s="62" customFormat="1" ht="31.5">
      <c r="A1479" s="327">
        <f t="shared" si="433"/>
        <v>2</v>
      </c>
      <c r="B1479" s="746" t="s">
        <v>716</v>
      </c>
      <c r="C1479" s="327">
        <v>1957</v>
      </c>
      <c r="D1479" s="327"/>
      <c r="E1479" s="744" t="s">
        <v>218</v>
      </c>
      <c r="F1479" s="329">
        <v>2</v>
      </c>
      <c r="G1479" s="329">
        <v>2</v>
      </c>
      <c r="H1479" s="358">
        <v>978.8</v>
      </c>
      <c r="I1479" s="358">
        <v>798</v>
      </c>
      <c r="J1479" s="358">
        <v>701.9</v>
      </c>
      <c r="K1479" s="329">
        <v>26</v>
      </c>
      <c r="L1479" s="745">
        <v>2408975</v>
      </c>
      <c r="M1479" s="745">
        <v>0</v>
      </c>
      <c r="N1479" s="745">
        <v>0</v>
      </c>
      <c r="O1479" s="745">
        <v>2408975</v>
      </c>
      <c r="P1479" s="745">
        <v>0</v>
      </c>
      <c r="Q1479" s="745">
        <f>L1479/I1479</f>
        <v>3018.7656641604012</v>
      </c>
      <c r="R1479" s="745">
        <v>7920</v>
      </c>
      <c r="S1479" s="624">
        <v>43830</v>
      </c>
    </row>
    <row r="1480" spans="1:19" s="62" customFormat="1" ht="31.5">
      <c r="A1480" s="327">
        <f t="shared" si="433"/>
        <v>3</v>
      </c>
      <c r="B1480" s="621" t="s">
        <v>717</v>
      </c>
      <c r="C1480" s="327">
        <v>1853</v>
      </c>
      <c r="D1480" s="327"/>
      <c r="E1480" s="744" t="s">
        <v>218</v>
      </c>
      <c r="F1480" s="329">
        <v>2</v>
      </c>
      <c r="G1480" s="329">
        <v>1</v>
      </c>
      <c r="H1480" s="358">
        <v>374.3</v>
      </c>
      <c r="I1480" s="358">
        <v>257.89999999999998</v>
      </c>
      <c r="J1480" s="358">
        <v>176</v>
      </c>
      <c r="K1480" s="329">
        <v>14</v>
      </c>
      <c r="L1480" s="745">
        <v>678910</v>
      </c>
      <c r="M1480" s="745">
        <v>0</v>
      </c>
      <c r="N1480" s="745">
        <v>0</v>
      </c>
      <c r="O1480" s="745">
        <v>678910</v>
      </c>
      <c r="P1480" s="745">
        <v>0</v>
      </c>
      <c r="Q1480" s="745">
        <f>L1480/I1480</f>
        <v>2632.4544397053123</v>
      </c>
      <c r="R1480" s="745">
        <v>7920</v>
      </c>
      <c r="S1480" s="624">
        <v>43830</v>
      </c>
    </row>
    <row r="1481" spans="1:19" s="62" customFormat="1" ht="31.5">
      <c r="A1481" s="327">
        <f t="shared" si="433"/>
        <v>4</v>
      </c>
      <c r="B1481" s="619" t="s">
        <v>718</v>
      </c>
      <c r="C1481" s="327">
        <v>1970</v>
      </c>
      <c r="D1481" s="327"/>
      <c r="E1481" s="744" t="s">
        <v>218</v>
      </c>
      <c r="F1481" s="329">
        <v>2</v>
      </c>
      <c r="G1481" s="329">
        <v>2</v>
      </c>
      <c r="H1481" s="358">
        <v>541.9</v>
      </c>
      <c r="I1481" s="358">
        <v>493.7</v>
      </c>
      <c r="J1481" s="358">
        <v>452.5</v>
      </c>
      <c r="K1481" s="329">
        <v>19</v>
      </c>
      <c r="L1481" s="745">
        <v>1603279</v>
      </c>
      <c r="M1481" s="745">
        <v>0</v>
      </c>
      <c r="N1481" s="745">
        <v>0</v>
      </c>
      <c r="O1481" s="745">
        <v>1603279</v>
      </c>
      <c r="P1481" s="745">
        <v>0</v>
      </c>
      <c r="Q1481" s="745">
        <f>L1481/I1481</f>
        <v>3247.4762001215313</v>
      </c>
      <c r="R1481" s="745">
        <v>7920</v>
      </c>
      <c r="S1481" s="624">
        <v>43830</v>
      </c>
    </row>
    <row r="1482" spans="1:19" s="62" customFormat="1" ht="31.5">
      <c r="A1482" s="327">
        <f t="shared" si="433"/>
        <v>5</v>
      </c>
      <c r="B1482" s="621" t="s">
        <v>719</v>
      </c>
      <c r="C1482" s="327">
        <v>1983</v>
      </c>
      <c r="D1482" s="327"/>
      <c r="E1482" s="744" t="s">
        <v>218</v>
      </c>
      <c r="F1482" s="329">
        <v>2</v>
      </c>
      <c r="G1482" s="329">
        <v>2</v>
      </c>
      <c r="H1482" s="358">
        <v>1325.6</v>
      </c>
      <c r="I1482" s="358">
        <v>781.4</v>
      </c>
      <c r="J1482" s="358">
        <v>694.1</v>
      </c>
      <c r="K1482" s="329">
        <v>54</v>
      </c>
      <c r="L1482" s="745">
        <v>1413879</v>
      </c>
      <c r="M1482" s="745">
        <v>0</v>
      </c>
      <c r="N1482" s="745">
        <v>0</v>
      </c>
      <c r="O1482" s="745">
        <v>1413879</v>
      </c>
      <c r="P1482" s="745">
        <v>0</v>
      </c>
      <c r="Q1482" s="745">
        <f>L1482/I1482</f>
        <v>1809.4177117993345</v>
      </c>
      <c r="R1482" s="745">
        <v>7920</v>
      </c>
      <c r="S1482" s="624">
        <v>43830</v>
      </c>
    </row>
    <row r="1483" spans="1:19" s="1" customFormat="1" ht="23.45" customHeight="1">
      <c r="A1483" s="107"/>
      <c r="B1483" s="1294" t="s">
        <v>121</v>
      </c>
      <c r="C1483" s="1294"/>
      <c r="D1483" s="1294"/>
      <c r="E1483" s="1294"/>
      <c r="F1483" s="1294"/>
      <c r="G1483" s="1294"/>
      <c r="H1483" s="128">
        <f>H1484</f>
        <v>3954</v>
      </c>
      <c r="I1483" s="106">
        <f t="shared" ref="I1483:P1483" si="438">I1484</f>
        <v>3051.5</v>
      </c>
      <c r="J1483" s="106">
        <f t="shared" si="438"/>
        <v>2833.5</v>
      </c>
      <c r="K1483" s="119">
        <f t="shared" si="438"/>
        <v>93</v>
      </c>
      <c r="L1483" s="113">
        <f t="shared" si="438"/>
        <v>2068781</v>
      </c>
      <c r="M1483" s="113">
        <f t="shared" si="438"/>
        <v>0</v>
      </c>
      <c r="N1483" s="113">
        <f t="shared" si="438"/>
        <v>0</v>
      </c>
      <c r="O1483" s="113">
        <f t="shared" si="438"/>
        <v>2068781</v>
      </c>
      <c r="P1483" s="113">
        <f t="shared" si="438"/>
        <v>0</v>
      </c>
      <c r="Q1483" s="106" t="s">
        <v>40</v>
      </c>
      <c r="R1483" s="106" t="s">
        <v>40</v>
      </c>
      <c r="S1483" s="335">
        <v>43830</v>
      </c>
    </row>
    <row r="1484" spans="1:19" s="1" customFormat="1" ht="29.45" customHeight="1">
      <c r="A1484" s="107" t="e">
        <f>#REF!+1</f>
        <v>#REF!</v>
      </c>
      <c r="B1484" s="934" t="s">
        <v>993</v>
      </c>
      <c r="C1484" s="302">
        <v>1982</v>
      </c>
      <c r="D1484" s="118"/>
      <c r="E1484" s="109" t="s">
        <v>219</v>
      </c>
      <c r="F1484" s="118">
        <v>5</v>
      </c>
      <c r="G1484" s="118">
        <v>4</v>
      </c>
      <c r="H1484" s="128">
        <v>3954</v>
      </c>
      <c r="I1484" s="106">
        <v>3051.5</v>
      </c>
      <c r="J1484" s="106">
        <v>2833.5</v>
      </c>
      <c r="K1484" s="119">
        <v>93</v>
      </c>
      <c r="L1484" s="113">
        <v>2068781</v>
      </c>
      <c r="M1484" s="113">
        <v>0</v>
      </c>
      <c r="N1484" s="113">
        <v>0</v>
      </c>
      <c r="O1484" s="113">
        <f>L1484</f>
        <v>2068781</v>
      </c>
      <c r="P1484" s="113">
        <v>0</v>
      </c>
      <c r="Q1484" s="106">
        <f>L1484/I1484</f>
        <v>677.95543175487467</v>
      </c>
      <c r="R1484" s="114">
        <v>7920</v>
      </c>
      <c r="S1484" s="335">
        <v>43830</v>
      </c>
    </row>
    <row r="1485" spans="1:19" s="1" customFormat="1" ht="15.75" customHeight="1">
      <c r="A1485" s="107"/>
      <c r="B1485" s="1294" t="s">
        <v>807</v>
      </c>
      <c r="C1485" s="1294"/>
      <c r="D1485" s="1294"/>
      <c r="E1485" s="1294"/>
      <c r="F1485" s="1294"/>
      <c r="G1485" s="1294"/>
      <c r="H1485" s="128">
        <f>H1486</f>
        <v>654.20000000000005</v>
      </c>
      <c r="I1485" s="106">
        <f t="shared" ref="I1485:P1485" si="439">I1486</f>
        <v>654.20000000000005</v>
      </c>
      <c r="J1485" s="106">
        <f t="shared" si="439"/>
        <v>654.20000000000005</v>
      </c>
      <c r="K1485" s="119">
        <f t="shared" si="439"/>
        <v>36</v>
      </c>
      <c r="L1485" s="113">
        <f t="shared" si="439"/>
        <v>588419</v>
      </c>
      <c r="M1485" s="113">
        <f t="shared" si="439"/>
        <v>0</v>
      </c>
      <c r="N1485" s="113">
        <f t="shared" si="439"/>
        <v>0</v>
      </c>
      <c r="O1485" s="113">
        <f t="shared" si="439"/>
        <v>588419</v>
      </c>
      <c r="P1485" s="113">
        <f t="shared" si="439"/>
        <v>0</v>
      </c>
      <c r="Q1485" s="106" t="s">
        <v>40</v>
      </c>
      <c r="R1485" s="106" t="s">
        <v>40</v>
      </c>
      <c r="S1485" s="335">
        <v>43830</v>
      </c>
    </row>
    <row r="1486" spans="1:19" s="1" customFormat="1" ht="31.5">
      <c r="A1486" s="107" t="e">
        <f>A1484+1</f>
        <v>#REF!</v>
      </c>
      <c r="B1486" s="751" t="s">
        <v>809</v>
      </c>
      <c r="C1486" s="302">
        <v>1962</v>
      </c>
      <c r="D1486" s="118"/>
      <c r="E1486" s="109" t="s">
        <v>218</v>
      </c>
      <c r="F1486" s="118">
        <v>2</v>
      </c>
      <c r="G1486" s="118">
        <v>2</v>
      </c>
      <c r="H1486" s="128">
        <v>654.20000000000005</v>
      </c>
      <c r="I1486" s="106">
        <v>654.20000000000005</v>
      </c>
      <c r="J1486" s="106">
        <v>654.20000000000005</v>
      </c>
      <c r="K1486" s="119">
        <v>36</v>
      </c>
      <c r="L1486" s="113">
        <v>588419</v>
      </c>
      <c r="M1486" s="113">
        <v>0</v>
      </c>
      <c r="N1486" s="113">
        <v>0</v>
      </c>
      <c r="O1486" s="113">
        <f>L1486</f>
        <v>588419</v>
      </c>
      <c r="P1486" s="113">
        <v>0</v>
      </c>
      <c r="Q1486" s="106">
        <f>L1486/I1486</f>
        <v>899.4481809844084</v>
      </c>
      <c r="R1486" s="114">
        <v>7920</v>
      </c>
      <c r="S1486" s="335">
        <v>43830</v>
      </c>
    </row>
    <row r="1487" spans="1:19" s="1" customFormat="1" ht="15.75">
      <c r="A1487" s="107"/>
      <c r="B1487" s="1292" t="s">
        <v>57</v>
      </c>
      <c r="C1487" s="1292"/>
      <c r="D1487" s="1292"/>
      <c r="E1487" s="1292"/>
      <c r="F1487" s="1292"/>
      <c r="G1487" s="1292"/>
      <c r="H1487" s="128">
        <f>H1488</f>
        <v>821.12</v>
      </c>
      <c r="I1487" s="128">
        <f t="shared" ref="I1487:P1488" si="440">I1488</f>
        <v>756</v>
      </c>
      <c r="J1487" s="128">
        <f t="shared" si="440"/>
        <v>756</v>
      </c>
      <c r="K1487" s="119">
        <f t="shared" si="440"/>
        <v>21</v>
      </c>
      <c r="L1487" s="113">
        <f t="shared" si="440"/>
        <v>1788296</v>
      </c>
      <c r="M1487" s="113">
        <f t="shared" si="440"/>
        <v>0</v>
      </c>
      <c r="N1487" s="113">
        <f t="shared" si="440"/>
        <v>0</v>
      </c>
      <c r="O1487" s="113">
        <f t="shared" si="440"/>
        <v>1788296</v>
      </c>
      <c r="P1487" s="113">
        <f t="shared" si="440"/>
        <v>0</v>
      </c>
      <c r="Q1487" s="106" t="s">
        <v>40</v>
      </c>
      <c r="R1487" s="114" t="s">
        <v>40</v>
      </c>
      <c r="S1487" s="335">
        <v>43830</v>
      </c>
    </row>
    <row r="1488" spans="1:19" s="1" customFormat="1" ht="15.6" customHeight="1">
      <c r="A1488" s="107"/>
      <c r="B1488" s="1294" t="s">
        <v>119</v>
      </c>
      <c r="C1488" s="1294"/>
      <c r="D1488" s="1294"/>
      <c r="E1488" s="1294"/>
      <c r="F1488" s="1294"/>
      <c r="G1488" s="1294"/>
      <c r="H1488" s="128">
        <f>H1489</f>
        <v>821.12</v>
      </c>
      <c r="I1488" s="128">
        <f t="shared" si="440"/>
        <v>756</v>
      </c>
      <c r="J1488" s="128">
        <f t="shared" si="440"/>
        <v>756</v>
      </c>
      <c r="K1488" s="128">
        <f t="shared" si="440"/>
        <v>21</v>
      </c>
      <c r="L1488" s="565">
        <f t="shared" si="440"/>
        <v>1788296</v>
      </c>
      <c r="M1488" s="565">
        <f t="shared" si="440"/>
        <v>0</v>
      </c>
      <c r="N1488" s="565">
        <f t="shared" si="440"/>
        <v>0</v>
      </c>
      <c r="O1488" s="565">
        <f t="shared" si="440"/>
        <v>1788296</v>
      </c>
      <c r="P1488" s="565">
        <f t="shared" si="440"/>
        <v>0</v>
      </c>
      <c r="Q1488" s="106" t="s">
        <v>40</v>
      </c>
      <c r="R1488" s="106" t="s">
        <v>40</v>
      </c>
      <c r="S1488" s="335">
        <v>43830</v>
      </c>
    </row>
    <row r="1489" spans="1:19" s="23" customFormat="1" ht="31.5">
      <c r="A1489" s="107">
        <v>1</v>
      </c>
      <c r="B1489" s="908" t="s">
        <v>984</v>
      </c>
      <c r="C1489" s="302">
        <v>1920</v>
      </c>
      <c r="D1489" s="118"/>
      <c r="E1489" s="109" t="s">
        <v>218</v>
      </c>
      <c r="F1489" s="118">
        <v>2</v>
      </c>
      <c r="G1489" s="118">
        <v>2</v>
      </c>
      <c r="H1489" s="128">
        <v>821.12</v>
      </c>
      <c r="I1489" s="128">
        <v>756</v>
      </c>
      <c r="J1489" s="128">
        <v>756</v>
      </c>
      <c r="K1489" s="119">
        <v>21</v>
      </c>
      <c r="L1489" s="113">
        <v>1788296</v>
      </c>
      <c r="M1489" s="113">
        <v>0</v>
      </c>
      <c r="N1489" s="113">
        <v>0</v>
      </c>
      <c r="O1489" s="113">
        <f>L1489</f>
        <v>1788296</v>
      </c>
      <c r="P1489" s="113">
        <v>0</v>
      </c>
      <c r="Q1489" s="106">
        <f>L1489/I1489</f>
        <v>2365.4708994708994</v>
      </c>
      <c r="R1489" s="114">
        <v>7920</v>
      </c>
      <c r="S1489" s="335">
        <v>43830</v>
      </c>
    </row>
    <row r="1490" spans="1:19" s="1" customFormat="1" ht="15.75">
      <c r="A1490" s="107"/>
      <c r="B1490" s="1292" t="s">
        <v>58</v>
      </c>
      <c r="C1490" s="1292"/>
      <c r="D1490" s="1292"/>
      <c r="E1490" s="1292"/>
      <c r="F1490" s="1292"/>
      <c r="G1490" s="1292"/>
      <c r="H1490" s="128">
        <f>H1491</f>
        <v>15250.300000000001</v>
      </c>
      <c r="I1490" s="128">
        <f t="shared" ref="I1490:P1490" si="441">I1491</f>
        <v>13418.4</v>
      </c>
      <c r="J1490" s="128">
        <f t="shared" si="441"/>
        <v>12151.1</v>
      </c>
      <c r="K1490" s="119">
        <f t="shared" si="441"/>
        <v>490</v>
      </c>
      <c r="L1490" s="113">
        <f t="shared" si="441"/>
        <v>12013200</v>
      </c>
      <c r="M1490" s="113">
        <f t="shared" si="441"/>
        <v>0</v>
      </c>
      <c r="N1490" s="113">
        <f t="shared" si="441"/>
        <v>0</v>
      </c>
      <c r="O1490" s="113">
        <f t="shared" si="441"/>
        <v>12013200</v>
      </c>
      <c r="P1490" s="113">
        <f t="shared" si="441"/>
        <v>0</v>
      </c>
      <c r="Q1490" s="106" t="s">
        <v>40</v>
      </c>
      <c r="R1490" s="106" t="s">
        <v>40</v>
      </c>
      <c r="S1490" s="335">
        <v>43830</v>
      </c>
    </row>
    <row r="1491" spans="1:19" s="1" customFormat="1" ht="15.75" customHeight="1">
      <c r="A1491" s="107"/>
      <c r="B1491" s="1294" t="s">
        <v>87</v>
      </c>
      <c r="C1491" s="1294"/>
      <c r="D1491" s="1294"/>
      <c r="E1491" s="1294"/>
      <c r="F1491" s="1294"/>
      <c r="G1491" s="1294"/>
      <c r="H1491" s="128">
        <f>SUM(H1492:H1500)</f>
        <v>15250.300000000001</v>
      </c>
      <c r="I1491" s="106">
        <f t="shared" ref="I1491:N1491" si="442">SUM(I1492:I1500)</f>
        <v>13418.4</v>
      </c>
      <c r="J1491" s="106">
        <f t="shared" si="442"/>
        <v>12151.1</v>
      </c>
      <c r="K1491" s="119">
        <f t="shared" si="442"/>
        <v>490</v>
      </c>
      <c r="L1491" s="113">
        <f t="shared" si="442"/>
        <v>12013200</v>
      </c>
      <c r="M1491" s="113">
        <f t="shared" si="442"/>
        <v>0</v>
      </c>
      <c r="N1491" s="113">
        <f t="shared" si="442"/>
        <v>0</v>
      </c>
      <c r="O1491" s="113">
        <f>SUM(O1492:O1500)</f>
        <v>12013200</v>
      </c>
      <c r="P1491" s="113">
        <v>0</v>
      </c>
      <c r="Q1491" s="106" t="s">
        <v>40</v>
      </c>
      <c r="R1491" s="106" t="s">
        <v>40</v>
      </c>
      <c r="S1491" s="335">
        <v>43830</v>
      </c>
    </row>
    <row r="1492" spans="1:19" s="30" customFormat="1" ht="31.5">
      <c r="A1492" s="107">
        <f>A1489+1</f>
        <v>2</v>
      </c>
      <c r="B1492" s="300" t="s">
        <v>425</v>
      </c>
      <c r="C1492" s="179">
        <v>1962</v>
      </c>
      <c r="D1492" s="99"/>
      <c r="E1492" s="109" t="s">
        <v>218</v>
      </c>
      <c r="F1492" s="99">
        <v>5</v>
      </c>
      <c r="G1492" s="99">
        <v>4</v>
      </c>
      <c r="H1492" s="180">
        <v>3382</v>
      </c>
      <c r="I1492" s="115">
        <v>3164.5</v>
      </c>
      <c r="J1492" s="115">
        <v>2546.4</v>
      </c>
      <c r="K1492" s="154">
        <v>88</v>
      </c>
      <c r="L1492" s="113">
        <f t="shared" ref="L1492:L1500" si="443">O1492</f>
        <v>2239107</v>
      </c>
      <c r="M1492" s="113">
        <v>0</v>
      </c>
      <c r="N1492" s="113">
        <v>0</v>
      </c>
      <c r="O1492" s="113">
        <v>2239107</v>
      </c>
      <c r="P1492" s="113">
        <v>0</v>
      </c>
      <c r="Q1492" s="100">
        <f t="shared" ref="Q1492:Q1500" si="444">L1492/I1492</f>
        <v>707.57054826986882</v>
      </c>
      <c r="R1492" s="114">
        <v>6774</v>
      </c>
      <c r="S1492" s="335">
        <v>43830</v>
      </c>
    </row>
    <row r="1493" spans="1:19" s="30" customFormat="1" ht="15.75">
      <c r="A1493" s="107">
        <f t="shared" si="433"/>
        <v>3</v>
      </c>
      <c r="B1493" s="300" t="s">
        <v>79</v>
      </c>
      <c r="C1493" s="99">
        <v>1949</v>
      </c>
      <c r="D1493" s="99"/>
      <c r="E1493" s="109" t="s">
        <v>222</v>
      </c>
      <c r="F1493" s="99">
        <v>2</v>
      </c>
      <c r="G1493" s="99">
        <v>2</v>
      </c>
      <c r="H1493" s="180">
        <v>448.3</v>
      </c>
      <c r="I1493" s="100">
        <v>402.5</v>
      </c>
      <c r="J1493" s="100">
        <v>346.7</v>
      </c>
      <c r="K1493" s="101">
        <v>16</v>
      </c>
      <c r="L1493" s="113">
        <f t="shared" si="443"/>
        <v>706234</v>
      </c>
      <c r="M1493" s="113">
        <v>0</v>
      </c>
      <c r="N1493" s="113">
        <v>0</v>
      </c>
      <c r="O1493" s="113">
        <v>706234</v>
      </c>
      <c r="P1493" s="113">
        <v>0</v>
      </c>
      <c r="Q1493" s="100">
        <f t="shared" si="444"/>
        <v>1754.6186335403727</v>
      </c>
      <c r="R1493" s="114">
        <v>6774</v>
      </c>
      <c r="S1493" s="335">
        <v>43830</v>
      </c>
    </row>
    <row r="1494" spans="1:19" s="30" customFormat="1" ht="15.75">
      <c r="A1494" s="107">
        <f t="shared" si="433"/>
        <v>4</v>
      </c>
      <c r="B1494" s="300" t="s">
        <v>78</v>
      </c>
      <c r="C1494" s="99">
        <v>1949</v>
      </c>
      <c r="D1494" s="99"/>
      <c r="E1494" s="109" t="s">
        <v>221</v>
      </c>
      <c r="F1494" s="99">
        <v>2</v>
      </c>
      <c r="G1494" s="99">
        <v>2</v>
      </c>
      <c r="H1494" s="180">
        <v>438.3</v>
      </c>
      <c r="I1494" s="100">
        <v>393.5</v>
      </c>
      <c r="J1494" s="100">
        <f>I1494-49.9</f>
        <v>343.6</v>
      </c>
      <c r="K1494" s="101">
        <v>16</v>
      </c>
      <c r="L1494" s="113">
        <f t="shared" si="443"/>
        <v>651603</v>
      </c>
      <c r="M1494" s="113">
        <v>0</v>
      </c>
      <c r="N1494" s="113">
        <v>0</v>
      </c>
      <c r="O1494" s="113">
        <v>651603</v>
      </c>
      <c r="P1494" s="113">
        <v>0</v>
      </c>
      <c r="Q1494" s="100">
        <f t="shared" si="444"/>
        <v>1655.9161372299873</v>
      </c>
      <c r="R1494" s="114">
        <v>6774</v>
      </c>
      <c r="S1494" s="335">
        <v>43830</v>
      </c>
    </row>
    <row r="1495" spans="1:19" s="30" customFormat="1" ht="31.5">
      <c r="A1495" s="107">
        <f t="shared" si="433"/>
        <v>5</v>
      </c>
      <c r="B1495" s="300" t="s">
        <v>426</v>
      </c>
      <c r="C1495" s="179">
        <v>1990</v>
      </c>
      <c r="D1495" s="99"/>
      <c r="E1495" s="109" t="s">
        <v>218</v>
      </c>
      <c r="F1495" s="99">
        <v>3</v>
      </c>
      <c r="G1495" s="99">
        <v>1</v>
      </c>
      <c r="H1495" s="180">
        <v>700.1</v>
      </c>
      <c r="I1495" s="115">
        <v>650.70000000000005</v>
      </c>
      <c r="J1495" s="115">
        <v>650.70000000000005</v>
      </c>
      <c r="K1495" s="154">
        <v>18</v>
      </c>
      <c r="L1495" s="113">
        <f t="shared" si="443"/>
        <v>698701</v>
      </c>
      <c r="M1495" s="113">
        <v>0</v>
      </c>
      <c r="N1495" s="113">
        <v>0</v>
      </c>
      <c r="O1495" s="113">
        <v>698701</v>
      </c>
      <c r="P1495" s="113">
        <v>0</v>
      </c>
      <c r="Q1495" s="100">
        <f t="shared" si="444"/>
        <v>1073.7682495773781</v>
      </c>
      <c r="R1495" s="114">
        <v>6774</v>
      </c>
      <c r="S1495" s="335">
        <v>43830</v>
      </c>
    </row>
    <row r="1496" spans="1:19" s="30" customFormat="1" ht="31.5">
      <c r="A1496" s="107">
        <f t="shared" si="433"/>
        <v>6</v>
      </c>
      <c r="B1496" s="300" t="s">
        <v>80</v>
      </c>
      <c r="C1496" s="179">
        <v>1982</v>
      </c>
      <c r="D1496" s="99"/>
      <c r="E1496" s="109" t="s">
        <v>218</v>
      </c>
      <c r="F1496" s="99">
        <v>5</v>
      </c>
      <c r="G1496" s="99">
        <v>4</v>
      </c>
      <c r="H1496" s="181">
        <v>3159.2</v>
      </c>
      <c r="I1496" s="115">
        <v>2600.8000000000002</v>
      </c>
      <c r="J1496" s="115">
        <v>2455.5</v>
      </c>
      <c r="K1496" s="154">
        <v>106</v>
      </c>
      <c r="L1496" s="113">
        <f t="shared" si="443"/>
        <v>1512903</v>
      </c>
      <c r="M1496" s="113">
        <v>0</v>
      </c>
      <c r="N1496" s="113">
        <v>0</v>
      </c>
      <c r="O1496" s="113">
        <v>1512903</v>
      </c>
      <c r="P1496" s="113">
        <v>0</v>
      </c>
      <c r="Q1496" s="100">
        <f t="shared" si="444"/>
        <v>581.70678252845278</v>
      </c>
      <c r="R1496" s="114">
        <v>6774</v>
      </c>
      <c r="S1496" s="335">
        <v>43830</v>
      </c>
    </row>
    <row r="1497" spans="1:19" s="30" customFormat="1" ht="15.75">
      <c r="A1497" s="107">
        <f t="shared" si="433"/>
        <v>7</v>
      </c>
      <c r="B1497" s="300" t="s">
        <v>84</v>
      </c>
      <c r="C1497" s="179">
        <v>1953</v>
      </c>
      <c r="D1497" s="99"/>
      <c r="E1497" s="109" t="s">
        <v>220</v>
      </c>
      <c r="F1497" s="99">
        <v>2</v>
      </c>
      <c r="G1497" s="99">
        <v>2</v>
      </c>
      <c r="H1497" s="181">
        <v>664.5</v>
      </c>
      <c r="I1497" s="115">
        <v>609.4</v>
      </c>
      <c r="J1497" s="115">
        <f>450.2-48.3</f>
        <v>401.9</v>
      </c>
      <c r="K1497" s="154">
        <v>15</v>
      </c>
      <c r="L1497" s="113">
        <f t="shared" si="443"/>
        <v>1668544</v>
      </c>
      <c r="M1497" s="113">
        <v>0</v>
      </c>
      <c r="N1497" s="113">
        <v>0</v>
      </c>
      <c r="O1497" s="113">
        <v>1668544</v>
      </c>
      <c r="P1497" s="113">
        <v>0</v>
      </c>
      <c r="Q1497" s="100">
        <f t="shared" si="444"/>
        <v>2738.0111585165737</v>
      </c>
      <c r="R1497" s="114">
        <v>6774</v>
      </c>
      <c r="S1497" s="335">
        <v>43830</v>
      </c>
    </row>
    <row r="1498" spans="1:19" s="30" customFormat="1" ht="31.5">
      <c r="A1498" s="107">
        <f t="shared" si="433"/>
        <v>8</v>
      </c>
      <c r="B1498" s="300" t="s">
        <v>81</v>
      </c>
      <c r="C1498" s="179">
        <v>1988</v>
      </c>
      <c r="D1498" s="99"/>
      <c r="E1498" s="109" t="s">
        <v>218</v>
      </c>
      <c r="F1498" s="99">
        <v>5</v>
      </c>
      <c r="G1498" s="99">
        <v>6</v>
      </c>
      <c r="H1498" s="181">
        <v>4806.3999999999996</v>
      </c>
      <c r="I1498" s="115">
        <v>4087.2</v>
      </c>
      <c r="J1498" s="115">
        <v>4087.2</v>
      </c>
      <c r="K1498" s="154">
        <v>172</v>
      </c>
      <c r="L1498" s="113">
        <f t="shared" si="443"/>
        <v>2294873</v>
      </c>
      <c r="M1498" s="113">
        <v>0</v>
      </c>
      <c r="N1498" s="113">
        <v>0</v>
      </c>
      <c r="O1498" s="113">
        <v>2294873</v>
      </c>
      <c r="P1498" s="113">
        <v>0</v>
      </c>
      <c r="Q1498" s="100">
        <f t="shared" si="444"/>
        <v>561.47802896848702</v>
      </c>
      <c r="R1498" s="114">
        <v>6774</v>
      </c>
      <c r="S1498" s="335">
        <v>43830</v>
      </c>
    </row>
    <row r="1499" spans="1:19" s="30" customFormat="1" ht="15.75">
      <c r="A1499" s="107">
        <f t="shared" si="433"/>
        <v>9</v>
      </c>
      <c r="B1499" s="300" t="s">
        <v>82</v>
      </c>
      <c r="C1499" s="179">
        <v>1948</v>
      </c>
      <c r="D1499" s="99"/>
      <c r="E1499" s="109" t="s">
        <v>221</v>
      </c>
      <c r="F1499" s="99">
        <v>2</v>
      </c>
      <c r="G1499" s="99">
        <v>1</v>
      </c>
      <c r="H1499" s="181">
        <v>559.9</v>
      </c>
      <c r="I1499" s="115">
        <v>503.7</v>
      </c>
      <c r="J1499" s="115">
        <f>I1499-190.7</f>
        <v>313</v>
      </c>
      <c r="K1499" s="154">
        <v>26</v>
      </c>
      <c r="L1499" s="113">
        <f t="shared" si="443"/>
        <v>879987</v>
      </c>
      <c r="M1499" s="113">
        <v>0</v>
      </c>
      <c r="N1499" s="113">
        <v>0</v>
      </c>
      <c r="O1499" s="113">
        <v>879987</v>
      </c>
      <c r="P1499" s="113">
        <v>0</v>
      </c>
      <c r="Q1499" s="100">
        <f t="shared" si="444"/>
        <v>1747.0458606313282</v>
      </c>
      <c r="R1499" s="114">
        <v>6774</v>
      </c>
      <c r="S1499" s="335">
        <v>43830</v>
      </c>
    </row>
    <row r="1500" spans="1:19" s="30" customFormat="1" ht="31.5">
      <c r="A1500" s="107">
        <f t="shared" si="433"/>
        <v>10</v>
      </c>
      <c r="B1500" s="300" t="s">
        <v>83</v>
      </c>
      <c r="C1500" s="179">
        <v>1958</v>
      </c>
      <c r="D1500" s="99"/>
      <c r="E1500" s="109" t="s">
        <v>218</v>
      </c>
      <c r="F1500" s="99">
        <v>2</v>
      </c>
      <c r="G1500" s="99">
        <v>3</v>
      </c>
      <c r="H1500" s="181">
        <v>1091.5999999999999</v>
      </c>
      <c r="I1500" s="115">
        <v>1006.1</v>
      </c>
      <c r="J1500" s="115">
        <v>1006.1</v>
      </c>
      <c r="K1500" s="154">
        <v>33</v>
      </c>
      <c r="L1500" s="113">
        <f t="shared" si="443"/>
        <v>1361248</v>
      </c>
      <c r="M1500" s="113">
        <v>0</v>
      </c>
      <c r="N1500" s="113">
        <v>0</v>
      </c>
      <c r="O1500" s="113">
        <v>1361248</v>
      </c>
      <c r="P1500" s="113">
        <v>0</v>
      </c>
      <c r="Q1500" s="100">
        <f t="shared" si="444"/>
        <v>1352.9947321339828</v>
      </c>
      <c r="R1500" s="114">
        <v>6774</v>
      </c>
      <c r="S1500" s="335">
        <v>43830</v>
      </c>
    </row>
    <row r="1501" spans="1:19" s="1" customFormat="1" ht="15.75">
      <c r="A1501" s="107"/>
      <c r="B1501" s="1292" t="s">
        <v>60</v>
      </c>
      <c r="C1501" s="1292"/>
      <c r="D1501" s="1292"/>
      <c r="E1501" s="1292"/>
      <c r="F1501" s="1292"/>
      <c r="G1501" s="1292"/>
      <c r="H1501" s="128">
        <f>H1502</f>
        <v>10619.599999999999</v>
      </c>
      <c r="I1501" s="106">
        <f t="shared" ref="I1501:P1501" si="445">I1502</f>
        <v>8195.6999999999989</v>
      </c>
      <c r="J1501" s="106">
        <f t="shared" si="445"/>
        <v>6450.3</v>
      </c>
      <c r="K1501" s="119">
        <f t="shared" si="445"/>
        <v>429</v>
      </c>
      <c r="L1501" s="113">
        <f t="shared" si="445"/>
        <v>9462538</v>
      </c>
      <c r="M1501" s="113">
        <f t="shared" si="445"/>
        <v>0</v>
      </c>
      <c r="N1501" s="113">
        <f t="shared" si="445"/>
        <v>0</v>
      </c>
      <c r="O1501" s="113">
        <f t="shared" si="445"/>
        <v>9462538</v>
      </c>
      <c r="P1501" s="113">
        <f t="shared" si="445"/>
        <v>0</v>
      </c>
      <c r="Q1501" s="106" t="s">
        <v>40</v>
      </c>
      <c r="R1501" s="106" t="s">
        <v>40</v>
      </c>
      <c r="S1501" s="335">
        <v>43830</v>
      </c>
    </row>
    <row r="1502" spans="1:19" s="1" customFormat="1" ht="15.75">
      <c r="A1502" s="107"/>
      <c r="B1502" s="1292" t="s">
        <v>113</v>
      </c>
      <c r="C1502" s="1292"/>
      <c r="D1502" s="1292"/>
      <c r="E1502" s="1292"/>
      <c r="F1502" s="1292"/>
      <c r="G1502" s="1292"/>
      <c r="H1502" s="128">
        <f>SUM(H1503:H1506)</f>
        <v>10619.599999999999</v>
      </c>
      <c r="I1502" s="106">
        <f t="shared" ref="I1502:P1502" si="446">SUM(I1503:I1506)</f>
        <v>8195.6999999999989</v>
      </c>
      <c r="J1502" s="106">
        <f t="shared" si="446"/>
        <v>6450.3</v>
      </c>
      <c r="K1502" s="119">
        <f t="shared" si="446"/>
        <v>429</v>
      </c>
      <c r="L1502" s="113">
        <f t="shared" si="446"/>
        <v>9462538</v>
      </c>
      <c r="M1502" s="113">
        <f t="shared" si="446"/>
        <v>0</v>
      </c>
      <c r="N1502" s="113">
        <f t="shared" si="446"/>
        <v>0</v>
      </c>
      <c r="O1502" s="113">
        <f t="shared" si="446"/>
        <v>9462538</v>
      </c>
      <c r="P1502" s="113">
        <f t="shared" si="446"/>
        <v>0</v>
      </c>
      <c r="Q1502" s="106" t="s">
        <v>40</v>
      </c>
      <c r="R1502" s="106" t="s">
        <v>40</v>
      </c>
      <c r="S1502" s="335">
        <v>43830</v>
      </c>
    </row>
    <row r="1503" spans="1:19" s="53" customFormat="1" ht="15.75">
      <c r="A1503" s="107">
        <f>A1500+1</f>
        <v>11</v>
      </c>
      <c r="B1503" s="301" t="s">
        <v>76</v>
      </c>
      <c r="C1503" s="108">
        <v>1979</v>
      </c>
      <c r="D1503" s="108"/>
      <c r="E1503" s="109" t="s">
        <v>219</v>
      </c>
      <c r="F1503" s="108">
        <v>5</v>
      </c>
      <c r="G1503" s="108">
        <v>4</v>
      </c>
      <c r="H1503" s="111">
        <v>3482.7</v>
      </c>
      <c r="I1503" s="108">
        <v>3216.7</v>
      </c>
      <c r="J1503" s="108">
        <v>2864.9</v>
      </c>
      <c r="K1503" s="112">
        <v>131</v>
      </c>
      <c r="L1503" s="113">
        <v>3626543</v>
      </c>
      <c r="M1503" s="113">
        <v>0</v>
      </c>
      <c r="N1503" s="113">
        <v>0</v>
      </c>
      <c r="O1503" s="113">
        <f>L1503</f>
        <v>3626543</v>
      </c>
      <c r="P1503" s="113">
        <v>0</v>
      </c>
      <c r="Q1503" s="114">
        <f>L1503/I1503</f>
        <v>1127.4110112848573</v>
      </c>
      <c r="R1503" s="114">
        <v>6774</v>
      </c>
      <c r="S1503" s="335">
        <v>43830</v>
      </c>
    </row>
    <row r="1504" spans="1:19" s="53" customFormat="1" ht="31.5">
      <c r="A1504" s="107">
        <f t="shared" si="433"/>
        <v>12</v>
      </c>
      <c r="B1504" s="301" t="s">
        <v>75</v>
      </c>
      <c r="C1504" s="108">
        <v>1978</v>
      </c>
      <c r="D1504" s="108"/>
      <c r="E1504" s="109" t="s">
        <v>218</v>
      </c>
      <c r="F1504" s="108">
        <v>5</v>
      </c>
      <c r="G1504" s="108">
        <v>1</v>
      </c>
      <c r="H1504" s="111">
        <v>4056.6</v>
      </c>
      <c r="I1504" s="108">
        <v>2191.6</v>
      </c>
      <c r="J1504" s="108">
        <v>937</v>
      </c>
      <c r="K1504" s="112">
        <v>196</v>
      </c>
      <c r="L1504" s="113">
        <v>2160246</v>
      </c>
      <c r="M1504" s="113">
        <v>0</v>
      </c>
      <c r="N1504" s="113">
        <v>0</v>
      </c>
      <c r="O1504" s="113">
        <f>L1504</f>
        <v>2160246</v>
      </c>
      <c r="P1504" s="113">
        <v>0</v>
      </c>
      <c r="Q1504" s="114">
        <f>L1504/I1504</f>
        <v>985.69355721847057</v>
      </c>
      <c r="R1504" s="114">
        <v>6774</v>
      </c>
      <c r="S1504" s="335">
        <v>43830</v>
      </c>
    </row>
    <row r="1505" spans="1:19" s="53" customFormat="1" ht="31.5">
      <c r="A1505" s="107">
        <f t="shared" si="433"/>
        <v>13</v>
      </c>
      <c r="B1505" s="301" t="s">
        <v>77</v>
      </c>
      <c r="C1505" s="108">
        <v>1925</v>
      </c>
      <c r="D1505" s="108"/>
      <c r="E1505" s="109" t="s">
        <v>218</v>
      </c>
      <c r="F1505" s="108">
        <v>2</v>
      </c>
      <c r="G1505" s="108">
        <v>2</v>
      </c>
      <c r="H1505" s="111">
        <v>597.1</v>
      </c>
      <c r="I1505" s="108">
        <v>487.9</v>
      </c>
      <c r="J1505" s="108">
        <v>455.6</v>
      </c>
      <c r="K1505" s="112">
        <v>16</v>
      </c>
      <c r="L1505" s="113">
        <v>1013564</v>
      </c>
      <c r="M1505" s="113">
        <v>0</v>
      </c>
      <c r="N1505" s="113">
        <v>0</v>
      </c>
      <c r="O1505" s="113">
        <f>L1505</f>
        <v>1013564</v>
      </c>
      <c r="P1505" s="113">
        <v>0</v>
      </c>
      <c r="Q1505" s="114">
        <f>L1505/I1505</f>
        <v>2077.401106784177</v>
      </c>
      <c r="R1505" s="114">
        <v>6774</v>
      </c>
      <c r="S1505" s="335">
        <v>43830</v>
      </c>
    </row>
    <row r="1506" spans="1:19" s="53" customFormat="1" ht="15.75">
      <c r="A1506" s="107">
        <f t="shared" si="433"/>
        <v>14</v>
      </c>
      <c r="B1506" s="301" t="s">
        <v>427</v>
      </c>
      <c r="C1506" s="108">
        <v>1982</v>
      </c>
      <c r="D1506" s="108"/>
      <c r="E1506" s="109" t="s">
        <v>219</v>
      </c>
      <c r="F1506" s="108">
        <v>5</v>
      </c>
      <c r="G1506" s="108">
        <v>3</v>
      </c>
      <c r="H1506" s="111">
        <v>2483.1999999999998</v>
      </c>
      <c r="I1506" s="108">
        <v>2299.5</v>
      </c>
      <c r="J1506" s="108">
        <v>2192.8000000000002</v>
      </c>
      <c r="K1506" s="112">
        <v>86</v>
      </c>
      <c r="L1506" s="113">
        <v>2662185</v>
      </c>
      <c r="M1506" s="113">
        <v>0</v>
      </c>
      <c r="N1506" s="113">
        <v>0</v>
      </c>
      <c r="O1506" s="113">
        <f>L1506</f>
        <v>2662185</v>
      </c>
      <c r="P1506" s="113">
        <v>0</v>
      </c>
      <c r="Q1506" s="114">
        <f>L1506/I1506</f>
        <v>1157.723418134377</v>
      </c>
      <c r="R1506" s="114">
        <v>6774</v>
      </c>
      <c r="S1506" s="335">
        <v>43830</v>
      </c>
    </row>
    <row r="1507" spans="1:19" s="53" customFormat="1" ht="15.75" customHeight="1">
      <c r="A1507" s="107"/>
      <c r="B1507" s="1305" t="s">
        <v>208</v>
      </c>
      <c r="C1507" s="1305"/>
      <c r="D1507" s="1305"/>
      <c r="E1507" s="1305"/>
      <c r="F1507" s="1305"/>
      <c r="G1507" s="1305"/>
      <c r="H1507" s="114">
        <f t="shared" ref="H1507:O1508" si="447">H1508</f>
        <v>340.3</v>
      </c>
      <c r="I1507" s="114">
        <f t="shared" si="447"/>
        <v>310</v>
      </c>
      <c r="J1507" s="114">
        <f t="shared" si="447"/>
        <v>310</v>
      </c>
      <c r="K1507" s="112">
        <f t="shared" si="447"/>
        <v>14</v>
      </c>
      <c r="L1507" s="113">
        <f t="shared" si="447"/>
        <v>512860</v>
      </c>
      <c r="M1507" s="113">
        <f t="shared" si="447"/>
        <v>0</v>
      </c>
      <c r="N1507" s="113">
        <f t="shared" si="447"/>
        <v>0</v>
      </c>
      <c r="O1507" s="113">
        <f t="shared" si="447"/>
        <v>512860</v>
      </c>
      <c r="P1507" s="113">
        <f>P1508</f>
        <v>0</v>
      </c>
      <c r="Q1507" s="106" t="s">
        <v>40</v>
      </c>
      <c r="R1507" s="114" t="s">
        <v>40</v>
      </c>
      <c r="S1507" s="335">
        <v>43830</v>
      </c>
    </row>
    <row r="1508" spans="1:19" s="53" customFormat="1" ht="15.75">
      <c r="A1508" s="107"/>
      <c r="B1508" s="1292" t="s">
        <v>209</v>
      </c>
      <c r="C1508" s="1292"/>
      <c r="D1508" s="1292"/>
      <c r="E1508" s="1292"/>
      <c r="F1508" s="1292"/>
      <c r="G1508" s="1292"/>
      <c r="H1508" s="114">
        <f t="shared" si="447"/>
        <v>340.3</v>
      </c>
      <c r="I1508" s="114">
        <f t="shared" si="447"/>
        <v>310</v>
      </c>
      <c r="J1508" s="114">
        <f t="shared" si="447"/>
        <v>310</v>
      </c>
      <c r="K1508" s="112">
        <f t="shared" si="447"/>
        <v>14</v>
      </c>
      <c r="L1508" s="113">
        <f t="shared" si="447"/>
        <v>512860</v>
      </c>
      <c r="M1508" s="113">
        <f t="shared" si="447"/>
        <v>0</v>
      </c>
      <c r="N1508" s="113">
        <f t="shared" si="447"/>
        <v>0</v>
      </c>
      <c r="O1508" s="113">
        <f t="shared" si="447"/>
        <v>512860</v>
      </c>
      <c r="P1508" s="113">
        <f>P1509</f>
        <v>0</v>
      </c>
      <c r="Q1508" s="106" t="s">
        <v>40</v>
      </c>
      <c r="R1508" s="106" t="s">
        <v>40</v>
      </c>
      <c r="S1508" s="335">
        <v>43830</v>
      </c>
    </row>
    <row r="1509" spans="1:19" s="53" customFormat="1" ht="31.5">
      <c r="A1509" s="327">
        <f>A1506+1</f>
        <v>15</v>
      </c>
      <c r="B1509" s="338" t="s">
        <v>480</v>
      </c>
      <c r="C1509" s="329">
        <v>1959</v>
      </c>
      <c r="D1509" s="329"/>
      <c r="E1509" s="330" t="s">
        <v>218</v>
      </c>
      <c r="F1509" s="329">
        <v>2</v>
      </c>
      <c r="G1509" s="329">
        <v>1</v>
      </c>
      <c r="H1509" s="331">
        <v>340.3</v>
      </c>
      <c r="I1509" s="329">
        <v>310</v>
      </c>
      <c r="J1509" s="329">
        <v>310</v>
      </c>
      <c r="K1509" s="332">
        <v>14</v>
      </c>
      <c r="L1509" s="333">
        <v>512860</v>
      </c>
      <c r="M1509" s="333">
        <v>0</v>
      </c>
      <c r="N1509" s="333">
        <v>0</v>
      </c>
      <c r="O1509" s="333">
        <v>512860</v>
      </c>
      <c r="P1509" s="333">
        <v>0</v>
      </c>
      <c r="Q1509" s="334">
        <f>L1509/I1509</f>
        <v>1654.3870967741937</v>
      </c>
      <c r="R1509" s="334">
        <v>7920</v>
      </c>
      <c r="S1509" s="335">
        <v>43830</v>
      </c>
    </row>
    <row r="1510" spans="1:19" s="1" customFormat="1" ht="15.75">
      <c r="A1510" s="107"/>
      <c r="B1510" s="1292" t="s">
        <v>61</v>
      </c>
      <c r="C1510" s="1292"/>
      <c r="D1510" s="1292"/>
      <c r="E1510" s="1292"/>
      <c r="F1510" s="1292"/>
      <c r="G1510" s="1292"/>
      <c r="H1510" s="128">
        <f>H1511</f>
        <v>2833.2999999999997</v>
      </c>
      <c r="I1510" s="106">
        <f t="shared" ref="I1510:P1510" si="448">I1511</f>
        <v>2631.4</v>
      </c>
      <c r="J1510" s="106">
        <f t="shared" si="448"/>
        <v>2598.2999999999997</v>
      </c>
      <c r="K1510" s="119">
        <f t="shared" si="448"/>
        <v>119</v>
      </c>
      <c r="L1510" s="113">
        <f t="shared" si="448"/>
        <v>4336309</v>
      </c>
      <c r="M1510" s="113">
        <f t="shared" si="448"/>
        <v>0</v>
      </c>
      <c r="N1510" s="113">
        <f t="shared" si="448"/>
        <v>0</v>
      </c>
      <c r="O1510" s="317">
        <f t="shared" si="448"/>
        <v>4336309</v>
      </c>
      <c r="P1510" s="317">
        <f t="shared" si="448"/>
        <v>0</v>
      </c>
      <c r="Q1510" s="114" t="s">
        <v>40</v>
      </c>
      <c r="R1510" s="114" t="s">
        <v>40</v>
      </c>
      <c r="S1510" s="335">
        <v>43830</v>
      </c>
    </row>
    <row r="1511" spans="1:19" s="1" customFormat="1" ht="15.75">
      <c r="A1511" s="107"/>
      <c r="B1511" s="1292" t="s">
        <v>118</v>
      </c>
      <c r="C1511" s="1292"/>
      <c r="D1511" s="1292"/>
      <c r="E1511" s="1292"/>
      <c r="F1511" s="1292"/>
      <c r="G1511" s="1292"/>
      <c r="H1511" s="128">
        <f>H1512+H1513+H1514+H1515</f>
        <v>2833.2999999999997</v>
      </c>
      <c r="I1511" s="128">
        <f t="shared" ref="I1511:P1511" si="449">I1512+I1513+I1514+I1515</f>
        <v>2631.4</v>
      </c>
      <c r="J1511" s="128">
        <f t="shared" si="449"/>
        <v>2598.2999999999997</v>
      </c>
      <c r="K1511" s="128">
        <f t="shared" si="449"/>
        <v>119</v>
      </c>
      <c r="L1511" s="366">
        <f t="shared" si="449"/>
        <v>4336309</v>
      </c>
      <c r="M1511" s="128">
        <f t="shared" si="449"/>
        <v>0</v>
      </c>
      <c r="N1511" s="128">
        <f t="shared" si="449"/>
        <v>0</v>
      </c>
      <c r="O1511" s="128">
        <f t="shared" si="449"/>
        <v>4336309</v>
      </c>
      <c r="P1511" s="128">
        <f t="shared" si="449"/>
        <v>0</v>
      </c>
      <c r="Q1511" s="114" t="s">
        <v>40</v>
      </c>
      <c r="R1511" s="106" t="s">
        <v>40</v>
      </c>
      <c r="S1511" s="335">
        <v>43830</v>
      </c>
    </row>
    <row r="1512" spans="1:19" s="1" customFormat="1" ht="31.5">
      <c r="A1512" s="327"/>
      <c r="B1512" s="365" t="s">
        <v>489</v>
      </c>
      <c r="C1512" s="352">
        <v>1973</v>
      </c>
      <c r="D1512" s="365"/>
      <c r="E1512" s="330" t="s">
        <v>218</v>
      </c>
      <c r="F1512" s="352">
        <v>2</v>
      </c>
      <c r="G1512" s="352">
        <v>2</v>
      </c>
      <c r="H1512" s="353">
        <v>366.6</v>
      </c>
      <c r="I1512" s="356">
        <v>338.2</v>
      </c>
      <c r="J1512" s="356">
        <v>338.2</v>
      </c>
      <c r="K1512" s="355">
        <v>16</v>
      </c>
      <c r="L1512" s="333">
        <v>1231974</v>
      </c>
      <c r="M1512" s="333">
        <v>0</v>
      </c>
      <c r="N1512" s="333">
        <v>0</v>
      </c>
      <c r="O1512" s="333">
        <v>1231974</v>
      </c>
      <c r="P1512" s="333">
        <f t="shared" ref="P1512:P1514" si="450">P1519</f>
        <v>0</v>
      </c>
      <c r="Q1512" s="334">
        <f t="shared" ref="Q1512:Q1514" si="451">L1512/I1512</f>
        <v>3642.7380248373743</v>
      </c>
      <c r="R1512" s="356">
        <v>7920</v>
      </c>
      <c r="S1512" s="335">
        <v>43830</v>
      </c>
    </row>
    <row r="1513" spans="1:19" s="1" customFormat="1" ht="15.75">
      <c r="A1513" s="327"/>
      <c r="B1513" s="365" t="s">
        <v>225</v>
      </c>
      <c r="C1513" s="352">
        <v>1990</v>
      </c>
      <c r="D1513" s="365"/>
      <c r="E1513" s="330" t="s">
        <v>219</v>
      </c>
      <c r="F1513" s="352">
        <v>3</v>
      </c>
      <c r="G1513" s="352">
        <v>3</v>
      </c>
      <c r="H1513" s="353">
        <v>1344.1</v>
      </c>
      <c r="I1513" s="356">
        <v>1284.0999999999999</v>
      </c>
      <c r="J1513" s="356">
        <v>1284.0999999999999</v>
      </c>
      <c r="K1513" s="355">
        <v>61</v>
      </c>
      <c r="L1513" s="333">
        <v>1299802</v>
      </c>
      <c r="M1513" s="333">
        <v>0</v>
      </c>
      <c r="N1513" s="333">
        <v>0</v>
      </c>
      <c r="O1513" s="333">
        <v>1299802</v>
      </c>
      <c r="P1513" s="333">
        <f t="shared" si="450"/>
        <v>0</v>
      </c>
      <c r="Q1513" s="334">
        <f t="shared" si="451"/>
        <v>1012.2280196246398</v>
      </c>
      <c r="R1513" s="356">
        <v>7920</v>
      </c>
      <c r="S1513" s="335">
        <v>43830</v>
      </c>
    </row>
    <row r="1514" spans="1:19" s="1" customFormat="1" ht="31.5">
      <c r="A1514" s="327"/>
      <c r="B1514" s="365" t="s">
        <v>490</v>
      </c>
      <c r="C1514" s="352">
        <v>1973</v>
      </c>
      <c r="D1514" s="365"/>
      <c r="E1514" s="330" t="s">
        <v>218</v>
      </c>
      <c r="F1514" s="352">
        <v>2</v>
      </c>
      <c r="G1514" s="352">
        <v>2</v>
      </c>
      <c r="H1514" s="353">
        <v>567</v>
      </c>
      <c r="I1514" s="356">
        <v>519.5</v>
      </c>
      <c r="J1514" s="356">
        <v>486.4</v>
      </c>
      <c r="K1514" s="355">
        <v>28</v>
      </c>
      <c r="L1514" s="333">
        <v>1450861</v>
      </c>
      <c r="M1514" s="333">
        <v>0</v>
      </c>
      <c r="N1514" s="333">
        <v>0</v>
      </c>
      <c r="O1514" s="333">
        <v>1450861</v>
      </c>
      <c r="P1514" s="333">
        <f t="shared" si="450"/>
        <v>0</v>
      </c>
      <c r="Q1514" s="334">
        <f t="shared" si="451"/>
        <v>2792.8026948989414</v>
      </c>
      <c r="R1514" s="356">
        <v>7920</v>
      </c>
      <c r="S1514" s="335">
        <v>43830</v>
      </c>
    </row>
    <row r="1515" spans="1:19" s="1" customFormat="1" ht="31.5">
      <c r="A1515" s="327">
        <f>A1509+1</f>
        <v>16</v>
      </c>
      <c r="B1515" s="351" t="s">
        <v>491</v>
      </c>
      <c r="C1515" s="329">
        <v>1960</v>
      </c>
      <c r="D1515" s="329"/>
      <c r="E1515" s="330" t="s">
        <v>218</v>
      </c>
      <c r="F1515" s="329">
        <v>2</v>
      </c>
      <c r="G1515" s="329">
        <v>2</v>
      </c>
      <c r="H1515" s="331">
        <v>555.6</v>
      </c>
      <c r="I1515" s="334">
        <v>489.6</v>
      </c>
      <c r="J1515" s="334">
        <v>489.6</v>
      </c>
      <c r="K1515" s="332">
        <v>14</v>
      </c>
      <c r="L1515" s="333">
        <v>353672</v>
      </c>
      <c r="M1515" s="333">
        <v>0</v>
      </c>
      <c r="N1515" s="333">
        <v>0</v>
      </c>
      <c r="O1515" s="333">
        <v>353672</v>
      </c>
      <c r="P1515" s="333">
        <v>0</v>
      </c>
      <c r="Q1515" s="356">
        <f>L1515/I1515</f>
        <v>722.36928104575156</v>
      </c>
      <c r="R1515" s="334">
        <v>7920</v>
      </c>
      <c r="S1515" s="335">
        <v>43830</v>
      </c>
    </row>
    <row r="1516" spans="1:19" s="1" customFormat="1" ht="23.45" customHeight="1">
      <c r="B1516" s="1292" t="s">
        <v>649</v>
      </c>
      <c r="C1516" s="1292"/>
      <c r="D1516" s="1292"/>
      <c r="E1516" s="1292"/>
      <c r="F1516" s="1292"/>
      <c r="G1516" s="1292"/>
      <c r="H1516" s="111">
        <f>H1517</f>
        <v>952.2</v>
      </c>
      <c r="I1516" s="111">
        <f t="shared" ref="I1516:P1516" si="452">I1517</f>
        <v>814</v>
      </c>
      <c r="J1516" s="111">
        <f t="shared" si="452"/>
        <v>630.1</v>
      </c>
      <c r="K1516" s="111">
        <f t="shared" si="452"/>
        <v>41</v>
      </c>
      <c r="L1516" s="566">
        <f t="shared" si="452"/>
        <v>1490380</v>
      </c>
      <c r="M1516" s="566">
        <f t="shared" si="452"/>
        <v>0</v>
      </c>
      <c r="N1516" s="566">
        <f t="shared" si="452"/>
        <v>0</v>
      </c>
      <c r="O1516" s="566">
        <f t="shared" si="452"/>
        <v>1490380</v>
      </c>
      <c r="P1516" s="566">
        <f t="shared" si="452"/>
        <v>0</v>
      </c>
      <c r="Q1516" s="106" t="s">
        <v>40</v>
      </c>
      <c r="R1516" s="114" t="s">
        <v>40</v>
      </c>
      <c r="S1516" s="335">
        <v>43830</v>
      </c>
    </row>
    <row r="1517" spans="1:19" s="1" customFormat="1" ht="21.6" customHeight="1">
      <c r="A1517" s="107"/>
      <c r="B1517" s="1292" t="s">
        <v>655</v>
      </c>
      <c r="C1517" s="1292"/>
      <c r="D1517" s="1292"/>
      <c r="E1517" s="1292"/>
      <c r="F1517" s="1292"/>
      <c r="G1517" s="1292"/>
      <c r="H1517" s="111">
        <f>H1518</f>
        <v>952.2</v>
      </c>
      <c r="I1517" s="111">
        <f t="shared" ref="I1517:P1517" si="453">I1518</f>
        <v>814</v>
      </c>
      <c r="J1517" s="111">
        <f t="shared" si="453"/>
        <v>630.1</v>
      </c>
      <c r="K1517" s="111">
        <f t="shared" si="453"/>
        <v>41</v>
      </c>
      <c r="L1517" s="566">
        <f t="shared" si="453"/>
        <v>1490380</v>
      </c>
      <c r="M1517" s="566">
        <f t="shared" si="453"/>
        <v>0</v>
      </c>
      <c r="N1517" s="566">
        <f t="shared" si="453"/>
        <v>0</v>
      </c>
      <c r="O1517" s="566">
        <f t="shared" si="453"/>
        <v>1490380</v>
      </c>
      <c r="P1517" s="566">
        <f t="shared" si="453"/>
        <v>0</v>
      </c>
      <c r="Q1517" s="106" t="s">
        <v>40</v>
      </c>
      <c r="R1517" s="106" t="s">
        <v>40</v>
      </c>
      <c r="S1517" s="335">
        <v>43830</v>
      </c>
    </row>
    <row r="1518" spans="1:19" s="1" customFormat="1" ht="39" customHeight="1">
      <c r="A1518" s="107"/>
      <c r="B1518" s="568" t="s">
        <v>657</v>
      </c>
      <c r="C1518" s="108">
        <v>1983</v>
      </c>
      <c r="D1518" s="108"/>
      <c r="E1518" s="99" t="s">
        <v>220</v>
      </c>
      <c r="F1518" s="108">
        <v>2</v>
      </c>
      <c r="G1518" s="108">
        <v>3</v>
      </c>
      <c r="H1518" s="111">
        <v>952.2</v>
      </c>
      <c r="I1518" s="114">
        <v>814</v>
      </c>
      <c r="J1518" s="114">
        <v>630.1</v>
      </c>
      <c r="K1518" s="112">
        <v>41</v>
      </c>
      <c r="L1518" s="113">
        <v>1490380</v>
      </c>
      <c r="M1518" s="113">
        <v>0</v>
      </c>
      <c r="N1518" s="113">
        <v>0</v>
      </c>
      <c r="O1518" s="113">
        <v>1490380</v>
      </c>
      <c r="P1518" s="113">
        <v>0</v>
      </c>
      <c r="Q1518" s="106">
        <f>L1518/I1518</f>
        <v>1830.933660933661</v>
      </c>
      <c r="R1518" s="107">
        <v>7920</v>
      </c>
      <c r="S1518" s="335">
        <v>43830</v>
      </c>
    </row>
    <row r="1519" spans="1:19" s="1" customFormat="1" ht="15.75">
      <c r="A1519" s="107"/>
      <c r="B1519" s="1292" t="s">
        <v>62</v>
      </c>
      <c r="C1519" s="1292"/>
      <c r="D1519" s="1292"/>
      <c r="E1519" s="1292"/>
      <c r="F1519" s="1292"/>
      <c r="G1519" s="1292"/>
      <c r="H1519" s="128">
        <f>H1520</f>
        <v>445.14</v>
      </c>
      <c r="I1519" s="106">
        <f t="shared" ref="I1519:P1520" si="454">I1520</f>
        <v>380.18</v>
      </c>
      <c r="J1519" s="106">
        <f t="shared" si="454"/>
        <v>380.18</v>
      </c>
      <c r="K1519" s="119">
        <f t="shared" si="454"/>
        <v>18</v>
      </c>
      <c r="L1519" s="113">
        <f t="shared" si="454"/>
        <v>1175875</v>
      </c>
      <c r="M1519" s="113">
        <f t="shared" si="454"/>
        <v>0</v>
      </c>
      <c r="N1519" s="113">
        <f t="shared" si="454"/>
        <v>0</v>
      </c>
      <c r="O1519" s="113">
        <f t="shared" si="454"/>
        <v>1175875</v>
      </c>
      <c r="P1519" s="113">
        <f t="shared" si="454"/>
        <v>0</v>
      </c>
      <c r="Q1519" s="106" t="s">
        <v>40</v>
      </c>
      <c r="R1519" s="106" t="s">
        <v>40</v>
      </c>
      <c r="S1519" s="335">
        <v>43830</v>
      </c>
    </row>
    <row r="1520" spans="1:19" s="1" customFormat="1" ht="15.75">
      <c r="A1520" s="107"/>
      <c r="B1520" s="1292" t="s">
        <v>117</v>
      </c>
      <c r="C1520" s="1292"/>
      <c r="D1520" s="1292"/>
      <c r="E1520" s="1292"/>
      <c r="F1520" s="1292"/>
      <c r="G1520" s="1292"/>
      <c r="H1520" s="128">
        <f>H1521</f>
        <v>445.14</v>
      </c>
      <c r="I1520" s="106">
        <f t="shared" si="454"/>
        <v>380.18</v>
      </c>
      <c r="J1520" s="106">
        <f t="shared" si="454"/>
        <v>380.18</v>
      </c>
      <c r="K1520" s="119">
        <f t="shared" si="454"/>
        <v>18</v>
      </c>
      <c r="L1520" s="113">
        <f t="shared" si="454"/>
        <v>1175875</v>
      </c>
      <c r="M1520" s="113">
        <f t="shared" si="454"/>
        <v>0</v>
      </c>
      <c r="N1520" s="113">
        <f t="shared" si="454"/>
        <v>0</v>
      </c>
      <c r="O1520" s="113">
        <f t="shared" si="454"/>
        <v>1175875</v>
      </c>
      <c r="P1520" s="113">
        <f t="shared" si="454"/>
        <v>0</v>
      </c>
      <c r="Q1520" s="106" t="s">
        <v>40</v>
      </c>
      <c r="R1520" s="106" t="s">
        <v>40</v>
      </c>
      <c r="S1520" s="335">
        <v>43830</v>
      </c>
    </row>
    <row r="1521" spans="1:19" s="1" customFormat="1" ht="31.5">
      <c r="A1521" s="327">
        <f>A1515+1</f>
        <v>17</v>
      </c>
      <c r="B1521" s="365" t="s">
        <v>488</v>
      </c>
      <c r="C1521" s="352">
        <v>1967</v>
      </c>
      <c r="D1521" s="352"/>
      <c r="E1521" s="330" t="s">
        <v>218</v>
      </c>
      <c r="F1521" s="352">
        <v>2</v>
      </c>
      <c r="G1521" s="352">
        <v>2</v>
      </c>
      <c r="H1521" s="353">
        <v>445.14</v>
      </c>
      <c r="I1521" s="356">
        <v>380.18</v>
      </c>
      <c r="J1521" s="356">
        <v>380.18</v>
      </c>
      <c r="K1521" s="355">
        <v>18</v>
      </c>
      <c r="L1521" s="333">
        <v>1175875</v>
      </c>
      <c r="M1521" s="333">
        <v>0</v>
      </c>
      <c r="N1521" s="333">
        <v>0</v>
      </c>
      <c r="O1521" s="333">
        <f>L1521</f>
        <v>1175875</v>
      </c>
      <c r="P1521" s="333">
        <v>0</v>
      </c>
      <c r="Q1521" s="356">
        <f>L1521/I1521</f>
        <v>3092.9428165605764</v>
      </c>
      <c r="R1521" s="334">
        <v>7920</v>
      </c>
      <c r="S1521" s="335">
        <v>43830</v>
      </c>
    </row>
    <row r="1522" spans="1:19" s="1" customFormat="1" ht="15.75">
      <c r="A1522" s="327"/>
      <c r="B1522" s="1369" t="s">
        <v>63</v>
      </c>
      <c r="C1522" s="1369"/>
      <c r="D1522" s="1369"/>
      <c r="E1522" s="1369"/>
      <c r="F1522" s="1369"/>
      <c r="G1522" s="1369"/>
      <c r="H1522" s="353">
        <f>H1523</f>
        <v>571.1</v>
      </c>
      <c r="I1522" s="356">
        <f t="shared" ref="I1522:P1522" si="455">I1523</f>
        <v>516.70000000000005</v>
      </c>
      <c r="J1522" s="356">
        <f t="shared" si="455"/>
        <v>516.70000000000005</v>
      </c>
      <c r="K1522" s="355">
        <f t="shared" si="455"/>
        <v>28</v>
      </c>
      <c r="L1522" s="333">
        <f t="shared" si="455"/>
        <v>1608623</v>
      </c>
      <c r="M1522" s="333">
        <f t="shared" si="455"/>
        <v>0</v>
      </c>
      <c r="N1522" s="333">
        <f t="shared" si="455"/>
        <v>0</v>
      </c>
      <c r="O1522" s="333">
        <f t="shared" si="455"/>
        <v>1608623</v>
      </c>
      <c r="P1522" s="333">
        <f t="shared" si="455"/>
        <v>0</v>
      </c>
      <c r="Q1522" s="356" t="s">
        <v>40</v>
      </c>
      <c r="R1522" s="356" t="s">
        <v>40</v>
      </c>
      <c r="S1522" s="335">
        <v>43830</v>
      </c>
    </row>
    <row r="1523" spans="1:19" s="1" customFormat="1" ht="15.75" customHeight="1">
      <c r="A1523" s="327"/>
      <c r="B1523" s="1371" t="s">
        <v>116</v>
      </c>
      <c r="C1523" s="1371"/>
      <c r="D1523" s="1371"/>
      <c r="E1523" s="1371"/>
      <c r="F1523" s="1371"/>
      <c r="G1523" s="1371"/>
      <c r="H1523" s="353">
        <f>H1524</f>
        <v>571.1</v>
      </c>
      <c r="I1523" s="353">
        <f t="shared" ref="I1523:P1523" si="456">I1524</f>
        <v>516.70000000000005</v>
      </c>
      <c r="J1523" s="353">
        <f t="shared" si="456"/>
        <v>516.70000000000005</v>
      </c>
      <c r="K1523" s="353">
        <f t="shared" si="456"/>
        <v>28</v>
      </c>
      <c r="L1523" s="708">
        <f t="shared" si="456"/>
        <v>1608623</v>
      </c>
      <c r="M1523" s="708">
        <f t="shared" si="456"/>
        <v>0</v>
      </c>
      <c r="N1523" s="708">
        <f t="shared" si="456"/>
        <v>0</v>
      </c>
      <c r="O1523" s="708">
        <f t="shared" si="456"/>
        <v>1608623</v>
      </c>
      <c r="P1523" s="708">
        <f t="shared" si="456"/>
        <v>0</v>
      </c>
      <c r="Q1523" s="356" t="s">
        <v>40</v>
      </c>
      <c r="R1523" s="356" t="s">
        <v>40</v>
      </c>
      <c r="S1523" s="335">
        <v>43830</v>
      </c>
    </row>
    <row r="1524" spans="1:19" s="1" customFormat="1" ht="31.5">
      <c r="A1524" s="327"/>
      <c r="B1524" s="723" t="s">
        <v>678</v>
      </c>
      <c r="C1524" s="724">
        <v>1969</v>
      </c>
      <c r="D1524" s="725"/>
      <c r="E1524" s="330" t="s">
        <v>218</v>
      </c>
      <c r="F1524" s="726">
        <v>2</v>
      </c>
      <c r="G1524" s="726">
        <v>2</v>
      </c>
      <c r="H1524" s="368">
        <v>571.1</v>
      </c>
      <c r="I1524" s="369">
        <v>516.70000000000005</v>
      </c>
      <c r="J1524" s="369">
        <v>516.70000000000005</v>
      </c>
      <c r="K1524" s="370">
        <v>28</v>
      </c>
      <c r="L1524" s="333">
        <v>1608623</v>
      </c>
      <c r="M1524" s="333">
        <v>0</v>
      </c>
      <c r="N1524" s="333">
        <v>0</v>
      </c>
      <c r="O1524" s="333">
        <v>1608623</v>
      </c>
      <c r="P1524" s="333">
        <v>0</v>
      </c>
      <c r="Q1524" s="371">
        <f>L1524/I1524</f>
        <v>3113.2630152893357</v>
      </c>
      <c r="R1524" s="334">
        <v>7920</v>
      </c>
      <c r="S1524" s="335">
        <v>43830</v>
      </c>
    </row>
    <row r="1525" spans="1:19" s="1" customFormat="1" ht="15.75">
      <c r="A1525" s="327"/>
      <c r="B1525" s="1374" t="s">
        <v>663</v>
      </c>
      <c r="C1525" s="1375"/>
      <c r="D1525" s="1375"/>
      <c r="E1525" s="1375"/>
      <c r="F1525" s="1375"/>
      <c r="G1525" s="1376"/>
      <c r="H1525" s="371">
        <f>H1526</f>
        <v>783.2</v>
      </c>
      <c r="I1525" s="371">
        <f t="shared" ref="I1525:P1525" si="457">I1526</f>
        <v>734.8</v>
      </c>
      <c r="J1525" s="371">
        <f t="shared" si="457"/>
        <v>552.79999999999995</v>
      </c>
      <c r="K1525" s="371">
        <f t="shared" si="457"/>
        <v>32</v>
      </c>
      <c r="L1525" s="697">
        <f t="shared" si="457"/>
        <v>1457324</v>
      </c>
      <c r="M1525" s="697">
        <f t="shared" si="457"/>
        <v>0</v>
      </c>
      <c r="N1525" s="697">
        <f t="shared" si="457"/>
        <v>0</v>
      </c>
      <c r="O1525" s="697">
        <f t="shared" si="457"/>
        <v>1457324</v>
      </c>
      <c r="P1525" s="697">
        <f t="shared" si="457"/>
        <v>0</v>
      </c>
      <c r="Q1525" s="356" t="s">
        <v>40</v>
      </c>
      <c r="R1525" s="356" t="s">
        <v>40</v>
      </c>
      <c r="S1525" s="335">
        <v>43830</v>
      </c>
    </row>
    <row r="1526" spans="1:19" s="1" customFormat="1" ht="31.5">
      <c r="A1526" s="327"/>
      <c r="B1526" s="723" t="s">
        <v>666</v>
      </c>
      <c r="C1526" s="724">
        <v>1978</v>
      </c>
      <c r="D1526" s="725"/>
      <c r="E1526" s="330" t="s">
        <v>218</v>
      </c>
      <c r="F1526" s="726">
        <v>2</v>
      </c>
      <c r="G1526" s="726">
        <v>2</v>
      </c>
      <c r="H1526" s="368">
        <v>783.2</v>
      </c>
      <c r="I1526" s="369">
        <v>734.8</v>
      </c>
      <c r="J1526" s="369">
        <v>552.79999999999995</v>
      </c>
      <c r="K1526" s="370">
        <v>32</v>
      </c>
      <c r="L1526" s="333">
        <v>1457324</v>
      </c>
      <c r="M1526" s="333">
        <v>0</v>
      </c>
      <c r="N1526" s="333">
        <v>0</v>
      </c>
      <c r="O1526" s="333">
        <v>1457324</v>
      </c>
      <c r="P1526" s="333">
        <v>0</v>
      </c>
      <c r="Q1526" s="371">
        <f t="shared" ref="Q1526" si="458">L1526/I1526</f>
        <v>1983.2934131736529</v>
      </c>
      <c r="R1526" s="334">
        <v>7920</v>
      </c>
      <c r="S1526" s="335">
        <v>43830</v>
      </c>
    </row>
    <row r="1527" spans="1:19" s="1" customFormat="1" ht="15.75">
      <c r="A1527" s="107"/>
      <c r="B1527" s="1292" t="s">
        <v>64</v>
      </c>
      <c r="C1527" s="1292"/>
      <c r="D1527" s="1292"/>
      <c r="E1527" s="1292"/>
      <c r="F1527" s="1292"/>
      <c r="G1527" s="1292"/>
      <c r="H1527" s="128">
        <f>H1528</f>
        <v>3434.5</v>
      </c>
      <c r="I1527" s="106">
        <f t="shared" ref="I1527:P1527" si="459">I1528</f>
        <v>3176.9</v>
      </c>
      <c r="J1527" s="106">
        <f t="shared" si="459"/>
        <v>3176.9</v>
      </c>
      <c r="K1527" s="119">
        <f t="shared" si="459"/>
        <v>113</v>
      </c>
      <c r="L1527" s="113">
        <f t="shared" si="459"/>
        <v>5448472</v>
      </c>
      <c r="M1527" s="113">
        <f t="shared" si="459"/>
        <v>0</v>
      </c>
      <c r="N1527" s="113">
        <f t="shared" si="459"/>
        <v>0</v>
      </c>
      <c r="O1527" s="113">
        <f t="shared" si="459"/>
        <v>5448472</v>
      </c>
      <c r="P1527" s="113">
        <f t="shared" si="459"/>
        <v>0</v>
      </c>
      <c r="Q1527" s="106" t="s">
        <v>40</v>
      </c>
      <c r="R1527" s="106" t="s">
        <v>40</v>
      </c>
      <c r="S1527" s="335">
        <v>43830</v>
      </c>
    </row>
    <row r="1528" spans="1:19" s="1" customFormat="1" ht="15.75">
      <c r="A1528" s="107"/>
      <c r="B1528" s="1292" t="s">
        <v>115</v>
      </c>
      <c r="C1528" s="1292"/>
      <c r="D1528" s="1292"/>
      <c r="E1528" s="1292"/>
      <c r="F1528" s="1292"/>
      <c r="G1528" s="1292"/>
      <c r="H1528" s="128">
        <f>SUM(H1529:H1530)</f>
        <v>3434.5</v>
      </c>
      <c r="I1528" s="128">
        <f t="shared" ref="I1528:P1528" si="460">SUM(I1529:I1530)</f>
        <v>3176.9</v>
      </c>
      <c r="J1528" s="128">
        <f t="shared" si="460"/>
        <v>3176.9</v>
      </c>
      <c r="K1528" s="128">
        <f t="shared" si="460"/>
        <v>113</v>
      </c>
      <c r="L1528" s="366">
        <f t="shared" si="460"/>
        <v>5448472</v>
      </c>
      <c r="M1528" s="366">
        <f t="shared" si="460"/>
        <v>0</v>
      </c>
      <c r="N1528" s="366">
        <f t="shared" si="460"/>
        <v>0</v>
      </c>
      <c r="O1528" s="366">
        <f t="shared" si="460"/>
        <v>5448472</v>
      </c>
      <c r="P1528" s="366">
        <f t="shared" si="460"/>
        <v>0</v>
      </c>
      <c r="Q1528" s="106" t="s">
        <v>40</v>
      </c>
      <c r="R1528" s="106" t="s">
        <v>40</v>
      </c>
      <c r="S1528" s="335">
        <v>43830</v>
      </c>
    </row>
    <row r="1529" spans="1:19" s="1" customFormat="1" ht="31.5">
      <c r="A1529" s="327">
        <f>A1524+1</f>
        <v>1</v>
      </c>
      <c r="B1529" s="365" t="s">
        <v>616</v>
      </c>
      <c r="C1529" s="352">
        <v>1970</v>
      </c>
      <c r="D1529" s="352"/>
      <c r="E1529" s="330" t="s">
        <v>218</v>
      </c>
      <c r="F1529" s="352">
        <v>2</v>
      </c>
      <c r="G1529" s="352">
        <v>2</v>
      </c>
      <c r="H1529" s="353">
        <v>795.4</v>
      </c>
      <c r="I1529" s="356">
        <v>735.1</v>
      </c>
      <c r="J1529" s="356">
        <v>735.1</v>
      </c>
      <c r="K1529" s="355">
        <v>30</v>
      </c>
      <c r="L1529" s="333">
        <v>1902273</v>
      </c>
      <c r="M1529" s="333">
        <v>0</v>
      </c>
      <c r="N1529" s="333">
        <v>0</v>
      </c>
      <c r="O1529" s="333">
        <f>L1529</f>
        <v>1902273</v>
      </c>
      <c r="P1529" s="333">
        <v>0</v>
      </c>
      <c r="Q1529" s="356">
        <f>L1529/I1529</f>
        <v>2587.7744524554482</v>
      </c>
      <c r="R1529" s="334">
        <v>7920</v>
      </c>
      <c r="S1529" s="335">
        <v>43830</v>
      </c>
    </row>
    <row r="1530" spans="1:19" s="1" customFormat="1" ht="31.5">
      <c r="A1530" s="327">
        <f t="shared" ref="A1530:A1552" si="461">A1529+1</f>
        <v>2</v>
      </c>
      <c r="B1530" s="365" t="s">
        <v>617</v>
      </c>
      <c r="C1530" s="352">
        <v>1985</v>
      </c>
      <c r="D1530" s="352"/>
      <c r="E1530" s="330" t="s">
        <v>218</v>
      </c>
      <c r="F1530" s="352">
        <v>3</v>
      </c>
      <c r="G1530" s="352">
        <v>4</v>
      </c>
      <c r="H1530" s="353">
        <v>2639.1</v>
      </c>
      <c r="I1530" s="356">
        <v>2441.8000000000002</v>
      </c>
      <c r="J1530" s="356">
        <v>2441.8000000000002</v>
      </c>
      <c r="K1530" s="355">
        <v>83</v>
      </c>
      <c r="L1530" s="333">
        <v>3546199</v>
      </c>
      <c r="M1530" s="333">
        <v>0</v>
      </c>
      <c r="N1530" s="333">
        <v>0</v>
      </c>
      <c r="O1530" s="333">
        <f>L1530</f>
        <v>3546199</v>
      </c>
      <c r="P1530" s="333">
        <v>0</v>
      </c>
      <c r="Q1530" s="356">
        <f>L1530/I1530</f>
        <v>1452.2888852485869</v>
      </c>
      <c r="R1530" s="334">
        <v>7920</v>
      </c>
      <c r="S1530" s="335">
        <v>43830</v>
      </c>
    </row>
    <row r="1531" spans="1:19" s="1" customFormat="1" ht="15.75">
      <c r="A1531" s="327"/>
      <c r="B1531" s="365"/>
      <c r="C1531" s="352"/>
      <c r="D1531" s="352"/>
      <c r="E1531" s="330"/>
      <c r="F1531" s="352"/>
      <c r="G1531" s="352"/>
      <c r="H1531" s="353"/>
      <c r="I1531" s="356"/>
      <c r="J1531" s="356"/>
      <c r="K1531" s="355"/>
      <c r="L1531" s="333"/>
      <c r="M1531" s="333"/>
      <c r="N1531" s="333"/>
      <c r="O1531" s="333"/>
      <c r="P1531" s="333"/>
      <c r="Q1531" s="356"/>
      <c r="R1531" s="334"/>
      <c r="S1531" s="335"/>
    </row>
    <row r="1532" spans="1:19" s="1" customFormat="1" ht="15.75">
      <c r="A1532" s="327"/>
      <c r="B1532" s="365"/>
      <c r="C1532" s="352"/>
      <c r="D1532" s="352"/>
      <c r="E1532" s="330"/>
      <c r="F1532" s="352"/>
      <c r="G1532" s="352"/>
      <c r="H1532" s="353"/>
      <c r="I1532" s="356"/>
      <c r="J1532" s="356"/>
      <c r="K1532" s="355"/>
      <c r="L1532" s="333"/>
      <c r="M1532" s="333"/>
      <c r="N1532" s="333"/>
      <c r="O1532" s="333"/>
      <c r="P1532" s="333"/>
      <c r="Q1532" s="356"/>
      <c r="R1532" s="334"/>
      <c r="S1532" s="335"/>
    </row>
    <row r="1533" spans="1:19" s="1" customFormat="1" ht="15.75">
      <c r="A1533" s="107"/>
      <c r="B1533" s="1292" t="s">
        <v>211</v>
      </c>
      <c r="C1533" s="1292"/>
      <c r="D1533" s="1292"/>
      <c r="E1533" s="1292"/>
      <c r="F1533" s="1292"/>
      <c r="G1533" s="1292"/>
      <c r="H1533" s="128">
        <f>H1534+H1536</f>
        <v>2953.2000000000003</v>
      </c>
      <c r="I1533" s="128">
        <f t="shared" ref="I1533:P1533" si="462">I1534+I1536</f>
        <v>2191.4</v>
      </c>
      <c r="J1533" s="128">
        <f t="shared" si="462"/>
        <v>2191.4</v>
      </c>
      <c r="K1533" s="119">
        <f t="shared" si="462"/>
        <v>85</v>
      </c>
      <c r="L1533" s="113">
        <f t="shared" si="462"/>
        <v>3398521</v>
      </c>
      <c r="M1533" s="113">
        <f t="shared" si="462"/>
        <v>0</v>
      </c>
      <c r="N1533" s="113">
        <f t="shared" si="462"/>
        <v>0</v>
      </c>
      <c r="O1533" s="113">
        <f t="shared" si="462"/>
        <v>3398521</v>
      </c>
      <c r="P1533" s="113">
        <f t="shared" si="462"/>
        <v>0</v>
      </c>
      <c r="Q1533" s="106" t="s">
        <v>40</v>
      </c>
      <c r="R1533" s="106" t="s">
        <v>40</v>
      </c>
      <c r="S1533" s="335">
        <v>43830</v>
      </c>
    </row>
    <row r="1534" spans="1:19" s="1" customFormat="1" ht="15.75">
      <c r="A1534" s="107"/>
      <c r="B1534" s="1292" t="s">
        <v>637</v>
      </c>
      <c r="C1534" s="1292"/>
      <c r="D1534" s="1292"/>
      <c r="E1534" s="1292"/>
      <c r="F1534" s="1292"/>
      <c r="G1534" s="1292"/>
      <c r="H1534" s="128">
        <f>H1535</f>
        <v>2145.8000000000002</v>
      </c>
      <c r="I1534" s="128">
        <f t="shared" ref="I1534:P1534" si="463">I1535</f>
        <v>1475.9</v>
      </c>
      <c r="J1534" s="128">
        <f t="shared" si="463"/>
        <v>1475.9</v>
      </c>
      <c r="K1534" s="119">
        <f t="shared" si="463"/>
        <v>60</v>
      </c>
      <c r="L1534" s="113">
        <f t="shared" si="463"/>
        <v>1889892</v>
      </c>
      <c r="M1534" s="113">
        <f t="shared" si="463"/>
        <v>0</v>
      </c>
      <c r="N1534" s="113">
        <f t="shared" si="463"/>
        <v>0</v>
      </c>
      <c r="O1534" s="113">
        <f t="shared" si="463"/>
        <v>1889892</v>
      </c>
      <c r="P1534" s="113">
        <f t="shared" si="463"/>
        <v>0</v>
      </c>
      <c r="Q1534" s="106" t="s">
        <v>40</v>
      </c>
      <c r="R1534" s="114" t="s">
        <v>40</v>
      </c>
      <c r="S1534" s="335">
        <v>43830</v>
      </c>
    </row>
    <row r="1535" spans="1:19" s="1" customFormat="1" ht="31.5">
      <c r="A1535" s="107">
        <f>A1532+1</f>
        <v>1</v>
      </c>
      <c r="B1535" s="564" t="s">
        <v>638</v>
      </c>
      <c r="C1535" s="118">
        <v>1967</v>
      </c>
      <c r="D1535" s="118"/>
      <c r="E1535" s="109" t="s">
        <v>218</v>
      </c>
      <c r="F1535" s="118">
        <v>4</v>
      </c>
      <c r="G1535" s="118">
        <v>3</v>
      </c>
      <c r="H1535" s="128">
        <v>2145.8000000000002</v>
      </c>
      <c r="I1535" s="106">
        <v>1475.9</v>
      </c>
      <c r="J1535" s="106">
        <v>1475.9</v>
      </c>
      <c r="K1535" s="119">
        <v>60</v>
      </c>
      <c r="L1535" s="113">
        <v>1889892</v>
      </c>
      <c r="M1535" s="113">
        <v>0</v>
      </c>
      <c r="N1535" s="113">
        <v>0</v>
      </c>
      <c r="O1535" s="113">
        <v>1889892</v>
      </c>
      <c r="P1535" s="113">
        <v>0</v>
      </c>
      <c r="Q1535" s="106">
        <f>L1535/I1535</f>
        <v>1280.5013889829934</v>
      </c>
      <c r="R1535" s="114">
        <v>7920</v>
      </c>
      <c r="S1535" s="335">
        <v>43830</v>
      </c>
    </row>
    <row r="1536" spans="1:19" s="1" customFormat="1" ht="15.75">
      <c r="A1536" s="107"/>
      <c r="B1536" s="1292" t="s">
        <v>639</v>
      </c>
      <c r="C1536" s="1292"/>
      <c r="D1536" s="1292"/>
      <c r="E1536" s="1292"/>
      <c r="F1536" s="1292"/>
      <c r="G1536" s="1292"/>
      <c r="H1536" s="128">
        <f>H1537</f>
        <v>807.4</v>
      </c>
      <c r="I1536" s="128">
        <f t="shared" ref="I1536:P1536" si="464">I1537</f>
        <v>715.5</v>
      </c>
      <c r="J1536" s="128">
        <f t="shared" si="464"/>
        <v>715.5</v>
      </c>
      <c r="K1536" s="119">
        <f t="shared" si="464"/>
        <v>25</v>
      </c>
      <c r="L1536" s="113">
        <f t="shared" si="464"/>
        <v>1508629</v>
      </c>
      <c r="M1536" s="113">
        <f t="shared" si="464"/>
        <v>0</v>
      </c>
      <c r="N1536" s="113">
        <f t="shared" si="464"/>
        <v>0</v>
      </c>
      <c r="O1536" s="113">
        <f t="shared" si="464"/>
        <v>1508629</v>
      </c>
      <c r="P1536" s="113">
        <f t="shared" si="464"/>
        <v>0</v>
      </c>
      <c r="Q1536" s="106" t="s">
        <v>40</v>
      </c>
      <c r="R1536" s="114" t="s">
        <v>40</v>
      </c>
      <c r="S1536" s="335">
        <v>43830</v>
      </c>
    </row>
    <row r="1537" spans="1:19" s="1" customFormat="1" ht="31.5">
      <c r="A1537" s="107">
        <f>A1535+1</f>
        <v>2</v>
      </c>
      <c r="B1537" s="564" t="s">
        <v>640</v>
      </c>
      <c r="C1537" s="118">
        <v>1981</v>
      </c>
      <c r="D1537" s="118"/>
      <c r="E1537" s="109" t="s">
        <v>218</v>
      </c>
      <c r="F1537" s="118">
        <v>2</v>
      </c>
      <c r="G1537" s="118">
        <v>2</v>
      </c>
      <c r="H1537" s="128">
        <v>807.4</v>
      </c>
      <c r="I1537" s="106">
        <v>715.5</v>
      </c>
      <c r="J1537" s="106">
        <v>715.5</v>
      </c>
      <c r="K1537" s="119">
        <v>25</v>
      </c>
      <c r="L1537" s="113">
        <v>1508629</v>
      </c>
      <c r="M1537" s="113">
        <v>0</v>
      </c>
      <c r="N1537" s="113">
        <v>0</v>
      </c>
      <c r="O1537" s="113">
        <v>1508629</v>
      </c>
      <c r="P1537" s="113">
        <v>0</v>
      </c>
      <c r="Q1537" s="106">
        <f>L1537/I1537</f>
        <v>2108.4961565338922</v>
      </c>
      <c r="R1537" s="114">
        <v>7920</v>
      </c>
      <c r="S1537" s="335">
        <v>43830</v>
      </c>
    </row>
    <row r="1538" spans="1:19" s="1" customFormat="1" ht="15.75">
      <c r="A1538" s="107"/>
      <c r="B1538" s="1292" t="s">
        <v>66</v>
      </c>
      <c r="C1538" s="1292"/>
      <c r="D1538" s="1292"/>
      <c r="E1538" s="1292"/>
      <c r="F1538" s="1292"/>
      <c r="G1538" s="1292"/>
      <c r="H1538" s="128">
        <f>H1541+H1539</f>
        <v>1902.9</v>
      </c>
      <c r="I1538" s="128">
        <f t="shared" ref="I1538:P1538" si="465">I1541+I1539</f>
        <v>1758.6999999999998</v>
      </c>
      <c r="J1538" s="128">
        <f t="shared" si="465"/>
        <v>1631.9</v>
      </c>
      <c r="K1538" s="128">
        <f t="shared" si="465"/>
        <v>48</v>
      </c>
      <c r="L1538" s="366">
        <f t="shared" si="465"/>
        <v>4103443</v>
      </c>
      <c r="M1538" s="366">
        <f t="shared" si="465"/>
        <v>0</v>
      </c>
      <c r="N1538" s="366">
        <f t="shared" si="465"/>
        <v>0</v>
      </c>
      <c r="O1538" s="366">
        <f t="shared" si="465"/>
        <v>4103443</v>
      </c>
      <c r="P1538" s="366">
        <f t="shared" si="465"/>
        <v>0</v>
      </c>
      <c r="Q1538" s="106" t="s">
        <v>40</v>
      </c>
      <c r="R1538" s="106" t="s">
        <v>40</v>
      </c>
      <c r="S1538" s="335">
        <v>43830</v>
      </c>
    </row>
    <row r="1539" spans="1:19" s="1" customFormat="1" ht="22.9" customHeight="1">
      <c r="A1539" s="327"/>
      <c r="B1539" s="867" t="s">
        <v>641</v>
      </c>
      <c r="C1539" s="867"/>
      <c r="D1539" s="867"/>
      <c r="E1539" s="867"/>
      <c r="F1539" s="867"/>
      <c r="G1539" s="867"/>
      <c r="H1539" s="353">
        <f>H1540</f>
        <v>689.6</v>
      </c>
      <c r="I1539" s="353">
        <f t="shared" ref="I1539:P1539" si="466">I1540</f>
        <v>641.1</v>
      </c>
      <c r="J1539" s="353">
        <f t="shared" si="466"/>
        <v>555.5</v>
      </c>
      <c r="K1539" s="353">
        <f t="shared" si="466"/>
        <v>19</v>
      </c>
      <c r="L1539" s="680">
        <f t="shared" si="466"/>
        <v>357985</v>
      </c>
      <c r="M1539" s="680">
        <f t="shared" si="466"/>
        <v>0</v>
      </c>
      <c r="N1539" s="680">
        <f t="shared" si="466"/>
        <v>0</v>
      </c>
      <c r="O1539" s="680">
        <f t="shared" si="466"/>
        <v>357985</v>
      </c>
      <c r="P1539" s="680">
        <f t="shared" si="466"/>
        <v>0</v>
      </c>
      <c r="Q1539" s="356" t="s">
        <v>40</v>
      </c>
      <c r="R1539" s="356" t="s">
        <v>40</v>
      </c>
      <c r="S1539" s="335">
        <v>43830</v>
      </c>
    </row>
    <row r="1540" spans="1:19" s="1" customFormat="1" ht="31.5">
      <c r="A1540" s="327"/>
      <c r="B1540" s="867" t="s">
        <v>643</v>
      </c>
      <c r="C1540" s="352">
        <v>1972</v>
      </c>
      <c r="D1540" s="867"/>
      <c r="E1540" s="330" t="s">
        <v>218</v>
      </c>
      <c r="F1540" s="352">
        <v>2</v>
      </c>
      <c r="G1540" s="352">
        <v>2</v>
      </c>
      <c r="H1540" s="353">
        <v>689.6</v>
      </c>
      <c r="I1540" s="356">
        <v>641.1</v>
      </c>
      <c r="J1540" s="356">
        <v>555.5</v>
      </c>
      <c r="K1540" s="355">
        <v>19</v>
      </c>
      <c r="L1540" s="333">
        <v>357985</v>
      </c>
      <c r="M1540" s="333">
        <v>0</v>
      </c>
      <c r="N1540" s="333">
        <v>0</v>
      </c>
      <c r="O1540" s="333">
        <v>357985</v>
      </c>
      <c r="P1540" s="333">
        <v>0</v>
      </c>
      <c r="Q1540" s="356">
        <f>L1540/I1540</f>
        <v>558.39182654812043</v>
      </c>
      <c r="R1540" s="356">
        <v>7920</v>
      </c>
      <c r="S1540" s="335">
        <v>43830</v>
      </c>
    </row>
    <row r="1541" spans="1:19" s="1" customFormat="1" ht="15.75">
      <c r="A1541" s="107"/>
      <c r="B1541" s="1292" t="s">
        <v>114</v>
      </c>
      <c r="C1541" s="1292"/>
      <c r="D1541" s="1292"/>
      <c r="E1541" s="1292"/>
      <c r="F1541" s="1292"/>
      <c r="G1541" s="1292"/>
      <c r="H1541" s="128">
        <f>H1542+H1543</f>
        <v>1213.3</v>
      </c>
      <c r="I1541" s="128">
        <f t="shared" ref="I1541:P1541" si="467">I1542+I1543</f>
        <v>1117.5999999999999</v>
      </c>
      <c r="J1541" s="128">
        <f t="shared" si="467"/>
        <v>1076.4000000000001</v>
      </c>
      <c r="K1541" s="128">
        <f t="shared" si="467"/>
        <v>29</v>
      </c>
      <c r="L1541" s="366">
        <f t="shared" si="467"/>
        <v>3745458</v>
      </c>
      <c r="M1541" s="366">
        <f t="shared" si="467"/>
        <v>0</v>
      </c>
      <c r="N1541" s="366">
        <f t="shared" si="467"/>
        <v>0</v>
      </c>
      <c r="O1541" s="366">
        <f t="shared" si="467"/>
        <v>3745458</v>
      </c>
      <c r="P1541" s="366">
        <f t="shared" si="467"/>
        <v>0</v>
      </c>
      <c r="Q1541" s="106" t="s">
        <v>40</v>
      </c>
      <c r="R1541" s="114" t="s">
        <v>40</v>
      </c>
      <c r="S1541" s="335">
        <v>43830</v>
      </c>
    </row>
    <row r="1542" spans="1:19" s="1" customFormat="1" ht="31.5">
      <c r="A1542" s="327">
        <f>A1537+1</f>
        <v>3</v>
      </c>
      <c r="B1542" s="365" t="s">
        <v>501</v>
      </c>
      <c r="C1542" s="352">
        <v>1980</v>
      </c>
      <c r="D1542" s="352"/>
      <c r="E1542" s="330" t="s">
        <v>218</v>
      </c>
      <c r="F1542" s="352">
        <v>2</v>
      </c>
      <c r="G1542" s="352">
        <v>2</v>
      </c>
      <c r="H1542" s="353">
        <v>793.8</v>
      </c>
      <c r="I1542" s="356">
        <v>730.4</v>
      </c>
      <c r="J1542" s="356">
        <v>730.4</v>
      </c>
      <c r="K1542" s="355">
        <v>20</v>
      </c>
      <c r="L1542" s="333">
        <v>2305927</v>
      </c>
      <c r="M1542" s="333">
        <v>0</v>
      </c>
      <c r="N1542" s="333">
        <v>0</v>
      </c>
      <c r="O1542" s="333">
        <v>2305927</v>
      </c>
      <c r="P1542" s="333">
        <v>0</v>
      </c>
      <c r="Q1542" s="356">
        <f>L1542/I1542</f>
        <v>3157.0742059145673</v>
      </c>
      <c r="R1542" s="334">
        <v>7920</v>
      </c>
      <c r="S1542" s="335">
        <v>43830</v>
      </c>
    </row>
    <row r="1543" spans="1:19" s="1" customFormat="1" ht="31.5">
      <c r="A1543" s="327">
        <f t="shared" si="461"/>
        <v>4</v>
      </c>
      <c r="B1543" s="365" t="s">
        <v>502</v>
      </c>
      <c r="C1543" s="352">
        <v>1953</v>
      </c>
      <c r="D1543" s="352"/>
      <c r="E1543" s="330" t="s">
        <v>218</v>
      </c>
      <c r="F1543" s="352">
        <v>2</v>
      </c>
      <c r="G1543" s="352">
        <v>1</v>
      </c>
      <c r="H1543" s="353">
        <v>419.5</v>
      </c>
      <c r="I1543" s="356">
        <v>387.2</v>
      </c>
      <c r="J1543" s="356">
        <v>346</v>
      </c>
      <c r="K1543" s="355">
        <v>9</v>
      </c>
      <c r="L1543" s="333">
        <v>1439531</v>
      </c>
      <c r="M1543" s="333">
        <v>0</v>
      </c>
      <c r="N1543" s="333">
        <v>0</v>
      </c>
      <c r="O1543" s="333">
        <v>1439531</v>
      </c>
      <c r="P1543" s="333">
        <v>0</v>
      </c>
      <c r="Q1543" s="356">
        <f>L1543/I1543</f>
        <v>3717.7970041322315</v>
      </c>
      <c r="R1543" s="334">
        <v>7920</v>
      </c>
      <c r="S1543" s="335">
        <v>43830</v>
      </c>
    </row>
    <row r="1544" spans="1:19" s="1" customFormat="1" ht="15.75">
      <c r="A1544" s="107"/>
      <c r="B1544" s="304"/>
      <c r="C1544" s="118"/>
      <c r="D1544" s="118"/>
      <c r="E1544" s="109"/>
      <c r="F1544" s="118"/>
      <c r="G1544" s="118"/>
      <c r="H1544" s="128"/>
      <c r="I1544" s="106"/>
      <c r="J1544" s="106"/>
      <c r="K1544" s="119"/>
      <c r="L1544" s="113"/>
      <c r="M1544" s="113"/>
      <c r="N1544" s="113"/>
      <c r="O1544" s="113"/>
      <c r="P1544" s="113"/>
      <c r="Q1544" s="106"/>
      <c r="R1544" s="114"/>
      <c r="S1544" s="335"/>
    </row>
    <row r="1545" spans="1:19" s="1" customFormat="1" ht="15.75">
      <c r="A1545" s="107"/>
      <c r="B1545" s="1292" t="s">
        <v>207</v>
      </c>
      <c r="C1545" s="1292"/>
      <c r="D1545" s="1292"/>
      <c r="E1545" s="1292"/>
      <c r="F1545" s="1292"/>
      <c r="G1545" s="1292"/>
      <c r="H1545" s="128">
        <f>SUM(H1546:H1552)</f>
        <v>53715.519999999997</v>
      </c>
      <c r="I1545" s="128">
        <f t="shared" ref="I1545:P1545" si="468">SUM(I1546:I1552)</f>
        <v>46423.12</v>
      </c>
      <c r="J1545" s="128">
        <f t="shared" si="468"/>
        <v>45450.12</v>
      </c>
      <c r="K1545" s="128">
        <f t="shared" si="468"/>
        <v>2022</v>
      </c>
      <c r="L1545" s="366">
        <f t="shared" si="468"/>
        <v>21360482</v>
      </c>
      <c r="M1545" s="366">
        <f t="shared" si="468"/>
        <v>0</v>
      </c>
      <c r="N1545" s="366">
        <f t="shared" si="468"/>
        <v>0</v>
      </c>
      <c r="O1545" s="366">
        <f t="shared" si="468"/>
        <v>21360482</v>
      </c>
      <c r="P1545" s="366">
        <f t="shared" si="468"/>
        <v>0</v>
      </c>
      <c r="Q1545" s="106" t="s">
        <v>40</v>
      </c>
      <c r="R1545" s="106" t="s">
        <v>40</v>
      </c>
      <c r="S1545" s="335">
        <v>43830</v>
      </c>
    </row>
    <row r="1546" spans="1:19" s="21" customFormat="1" ht="15.75">
      <c r="A1546" s="327">
        <f>A1544+1</f>
        <v>1</v>
      </c>
      <c r="B1546" s="351" t="s">
        <v>506</v>
      </c>
      <c r="C1546" s="367">
        <v>1982</v>
      </c>
      <c r="D1546" s="367"/>
      <c r="E1546" s="330" t="s">
        <v>219</v>
      </c>
      <c r="F1546" s="352">
        <v>9</v>
      </c>
      <c r="G1546" s="352">
        <v>2</v>
      </c>
      <c r="H1546" s="368">
        <v>5115.57</v>
      </c>
      <c r="I1546" s="369">
        <v>4456.17</v>
      </c>
      <c r="J1546" s="369">
        <v>4337.2700000000004</v>
      </c>
      <c r="K1546" s="370">
        <v>180</v>
      </c>
      <c r="L1546" s="333">
        <v>1823609</v>
      </c>
      <c r="M1546" s="333">
        <v>0</v>
      </c>
      <c r="N1546" s="333">
        <v>0</v>
      </c>
      <c r="O1546" s="333">
        <f t="shared" ref="O1546:O1552" si="469">L1546</f>
        <v>1823609</v>
      </c>
      <c r="P1546" s="333">
        <v>0</v>
      </c>
      <c r="Q1546" s="371">
        <f t="shared" ref="Q1546:Q1552" si="470">L1546/I1546</f>
        <v>409.23236770589989</v>
      </c>
      <c r="R1546" s="334">
        <v>7920</v>
      </c>
      <c r="S1546" s="335">
        <v>43830</v>
      </c>
    </row>
    <row r="1547" spans="1:19" s="21" customFormat="1" ht="15.75">
      <c r="A1547" s="327">
        <f t="shared" si="461"/>
        <v>2</v>
      </c>
      <c r="B1547" s="351" t="s">
        <v>507</v>
      </c>
      <c r="C1547" s="367">
        <v>1984</v>
      </c>
      <c r="D1547" s="367"/>
      <c r="E1547" s="330" t="s">
        <v>219</v>
      </c>
      <c r="F1547" s="352">
        <v>9</v>
      </c>
      <c r="G1547" s="352">
        <v>7</v>
      </c>
      <c r="H1547" s="368">
        <v>16499.849999999999</v>
      </c>
      <c r="I1547" s="369">
        <v>14068.3</v>
      </c>
      <c r="J1547" s="369">
        <v>13909.7</v>
      </c>
      <c r="K1547" s="370">
        <v>589</v>
      </c>
      <c r="L1547" s="333">
        <v>5329850</v>
      </c>
      <c r="M1547" s="333">
        <v>0</v>
      </c>
      <c r="N1547" s="333">
        <v>0</v>
      </c>
      <c r="O1547" s="333">
        <f t="shared" si="469"/>
        <v>5329850</v>
      </c>
      <c r="P1547" s="333">
        <v>0</v>
      </c>
      <c r="Q1547" s="371">
        <f t="shared" si="470"/>
        <v>378.85529879232035</v>
      </c>
      <c r="R1547" s="334">
        <v>7920</v>
      </c>
      <c r="S1547" s="335">
        <v>43830</v>
      </c>
    </row>
    <row r="1548" spans="1:19" s="21" customFormat="1" ht="15.75">
      <c r="A1548" s="327">
        <f t="shared" si="461"/>
        <v>3</v>
      </c>
      <c r="B1548" s="351" t="s">
        <v>508</v>
      </c>
      <c r="C1548" s="367">
        <v>1988</v>
      </c>
      <c r="D1548" s="367"/>
      <c r="E1548" s="330" t="s">
        <v>219</v>
      </c>
      <c r="F1548" s="352">
        <v>9</v>
      </c>
      <c r="G1548" s="352">
        <v>1</v>
      </c>
      <c r="H1548" s="368">
        <v>2532.1999999999998</v>
      </c>
      <c r="I1548" s="369">
        <v>2227</v>
      </c>
      <c r="J1548" s="369">
        <v>2150.1999999999998</v>
      </c>
      <c r="K1548" s="370">
        <v>94</v>
      </c>
      <c r="L1548" s="333">
        <v>1176993</v>
      </c>
      <c r="M1548" s="333">
        <v>0</v>
      </c>
      <c r="N1548" s="333">
        <v>0</v>
      </c>
      <c r="O1548" s="333">
        <f t="shared" si="469"/>
        <v>1176993</v>
      </c>
      <c r="P1548" s="333">
        <v>0</v>
      </c>
      <c r="Q1548" s="371">
        <f t="shared" si="470"/>
        <v>528.51055231252803</v>
      </c>
      <c r="R1548" s="334">
        <v>7920</v>
      </c>
      <c r="S1548" s="335">
        <v>43830</v>
      </c>
    </row>
    <row r="1549" spans="1:19" s="21" customFormat="1" ht="15.75">
      <c r="A1549" s="327">
        <f t="shared" si="461"/>
        <v>4</v>
      </c>
      <c r="B1549" s="351" t="s">
        <v>509</v>
      </c>
      <c r="C1549" s="367">
        <v>1984</v>
      </c>
      <c r="D1549" s="367"/>
      <c r="E1549" s="330" t="s">
        <v>219</v>
      </c>
      <c r="F1549" s="352">
        <v>9</v>
      </c>
      <c r="G1549" s="352">
        <v>3</v>
      </c>
      <c r="H1549" s="368">
        <v>7816.7</v>
      </c>
      <c r="I1549" s="369">
        <v>6789.35</v>
      </c>
      <c r="J1549" s="369">
        <v>6608.25</v>
      </c>
      <c r="K1549" s="370">
        <v>323</v>
      </c>
      <c r="L1549" s="333">
        <v>2684544</v>
      </c>
      <c r="M1549" s="333">
        <v>0</v>
      </c>
      <c r="N1549" s="333">
        <v>0</v>
      </c>
      <c r="O1549" s="333">
        <f t="shared" si="469"/>
        <v>2684544</v>
      </c>
      <c r="P1549" s="333">
        <v>0</v>
      </c>
      <c r="Q1549" s="371">
        <f t="shared" si="470"/>
        <v>395.40515660556605</v>
      </c>
      <c r="R1549" s="334">
        <v>7920</v>
      </c>
      <c r="S1549" s="335">
        <v>43830</v>
      </c>
    </row>
    <row r="1550" spans="1:19" s="21" customFormat="1" ht="15.75">
      <c r="A1550" s="327">
        <f t="shared" si="461"/>
        <v>5</v>
      </c>
      <c r="B1550" s="351" t="s">
        <v>510</v>
      </c>
      <c r="C1550" s="367">
        <v>1977</v>
      </c>
      <c r="D1550" s="367"/>
      <c r="E1550" s="330" t="s">
        <v>219</v>
      </c>
      <c r="F1550" s="352">
        <v>5</v>
      </c>
      <c r="G1550" s="352">
        <v>18</v>
      </c>
      <c r="H1550" s="368">
        <v>10645.8</v>
      </c>
      <c r="I1550" s="369">
        <v>9514.4</v>
      </c>
      <c r="J1550" s="369">
        <v>9336.2999999999993</v>
      </c>
      <c r="K1550" s="370">
        <v>431</v>
      </c>
      <c r="L1550" s="333">
        <v>6294002</v>
      </c>
      <c r="M1550" s="333">
        <v>0</v>
      </c>
      <c r="N1550" s="333">
        <v>0</v>
      </c>
      <c r="O1550" s="333">
        <f t="shared" si="469"/>
        <v>6294002</v>
      </c>
      <c r="P1550" s="333">
        <v>0</v>
      </c>
      <c r="Q1550" s="371">
        <f t="shared" si="470"/>
        <v>661.52379550996386</v>
      </c>
      <c r="R1550" s="334">
        <v>7920</v>
      </c>
      <c r="S1550" s="335">
        <v>43830</v>
      </c>
    </row>
    <row r="1551" spans="1:19" s="21" customFormat="1" ht="31.5">
      <c r="A1551" s="327">
        <f t="shared" si="461"/>
        <v>6</v>
      </c>
      <c r="B1551" s="351" t="s">
        <v>428</v>
      </c>
      <c r="C1551" s="367">
        <v>1983</v>
      </c>
      <c r="D1551" s="367"/>
      <c r="E1551" s="330" t="s">
        <v>218</v>
      </c>
      <c r="F1551" s="352">
        <v>9</v>
      </c>
      <c r="G1551" s="352">
        <v>1</v>
      </c>
      <c r="H1551" s="368">
        <v>5874.5</v>
      </c>
      <c r="I1551" s="369">
        <v>4804</v>
      </c>
      <c r="J1551" s="369">
        <v>4544.5</v>
      </c>
      <c r="K1551" s="370">
        <v>182</v>
      </c>
      <c r="L1551" s="333">
        <v>2199863</v>
      </c>
      <c r="M1551" s="333">
        <v>0</v>
      </c>
      <c r="N1551" s="333">
        <v>0</v>
      </c>
      <c r="O1551" s="333">
        <f t="shared" si="469"/>
        <v>2199863</v>
      </c>
      <c r="P1551" s="333">
        <v>0</v>
      </c>
      <c r="Q1551" s="371">
        <f t="shared" si="470"/>
        <v>457.92318900915905</v>
      </c>
      <c r="R1551" s="334">
        <v>7920</v>
      </c>
      <c r="S1551" s="335">
        <v>43830</v>
      </c>
    </row>
    <row r="1552" spans="1:19" s="21" customFormat="1" ht="15.75">
      <c r="A1552" s="327">
        <f t="shared" si="461"/>
        <v>7</v>
      </c>
      <c r="B1552" s="351" t="s">
        <v>511</v>
      </c>
      <c r="C1552" s="367">
        <v>1990</v>
      </c>
      <c r="D1552" s="367"/>
      <c r="E1552" s="330" t="s">
        <v>219</v>
      </c>
      <c r="F1552" s="352">
        <v>9</v>
      </c>
      <c r="G1552" s="352">
        <v>2</v>
      </c>
      <c r="H1552" s="368">
        <v>5230.8999999999996</v>
      </c>
      <c r="I1552" s="369">
        <v>4563.8999999999996</v>
      </c>
      <c r="J1552" s="369">
        <v>4563.8999999999996</v>
      </c>
      <c r="K1552" s="370">
        <v>223</v>
      </c>
      <c r="L1552" s="333">
        <v>1851621</v>
      </c>
      <c r="M1552" s="333">
        <v>0</v>
      </c>
      <c r="N1552" s="333">
        <v>0</v>
      </c>
      <c r="O1552" s="333">
        <f t="shared" si="469"/>
        <v>1851621</v>
      </c>
      <c r="P1552" s="333">
        <v>0</v>
      </c>
      <c r="Q1552" s="371">
        <f t="shared" si="470"/>
        <v>405.71024781436932</v>
      </c>
      <c r="R1552" s="334">
        <v>7920</v>
      </c>
      <c r="S1552" s="335">
        <v>43830</v>
      </c>
    </row>
    <row r="1553" spans="1:19" s="21" customFormat="1" ht="15.75">
      <c r="A1553" s="327"/>
      <c r="B1553" s="351"/>
      <c r="C1553" s="367"/>
      <c r="D1553" s="367"/>
      <c r="E1553" s="330"/>
      <c r="F1553" s="352"/>
      <c r="G1553" s="352"/>
      <c r="H1553" s="368"/>
      <c r="I1553" s="369"/>
      <c r="J1553" s="369"/>
      <c r="K1553" s="370"/>
      <c r="L1553" s="333"/>
      <c r="M1553" s="333"/>
      <c r="N1553" s="333"/>
      <c r="O1553" s="333"/>
      <c r="P1553" s="333"/>
      <c r="Q1553" s="371"/>
      <c r="R1553" s="334"/>
      <c r="S1553" s="335"/>
    </row>
    <row r="1554" spans="1:19" s="21" customFormat="1" ht="15.75">
      <c r="A1554" s="327"/>
      <c r="B1554" s="351"/>
      <c r="C1554" s="367"/>
      <c r="D1554" s="367"/>
      <c r="E1554" s="330"/>
      <c r="F1554" s="352"/>
      <c r="G1554" s="352"/>
      <c r="H1554" s="368"/>
      <c r="I1554" s="369"/>
      <c r="J1554" s="369"/>
      <c r="K1554" s="370"/>
      <c r="L1554" s="333"/>
      <c r="M1554" s="333"/>
      <c r="N1554" s="333"/>
      <c r="O1554" s="333"/>
      <c r="P1554" s="333"/>
      <c r="Q1554" s="371"/>
      <c r="R1554" s="334"/>
      <c r="S1554" s="335"/>
    </row>
    <row r="1555" spans="1:19" s="21" customFormat="1" ht="15.75">
      <c r="A1555" s="327"/>
      <c r="B1555" s="351"/>
      <c r="C1555" s="352"/>
      <c r="D1555" s="352"/>
      <c r="E1555" s="330"/>
      <c r="F1555" s="352"/>
      <c r="G1555" s="352"/>
      <c r="H1555" s="353"/>
      <c r="I1555" s="372"/>
      <c r="J1555" s="372"/>
      <c r="K1555" s="355"/>
      <c r="L1555" s="333"/>
      <c r="M1555" s="333"/>
      <c r="N1555" s="333"/>
      <c r="O1555" s="333"/>
      <c r="P1555" s="333"/>
      <c r="Q1555" s="371"/>
      <c r="R1555" s="334"/>
      <c r="S1555" s="335"/>
    </row>
    <row r="1556" spans="1:19" s="21" customFormat="1" ht="15.75">
      <c r="A1556" s="327"/>
      <c r="B1556" s="351"/>
      <c r="C1556" s="367"/>
      <c r="D1556" s="367"/>
      <c r="E1556" s="330"/>
      <c r="F1556" s="367"/>
      <c r="G1556" s="367"/>
      <c r="H1556" s="368"/>
      <c r="I1556" s="369"/>
      <c r="J1556" s="369"/>
      <c r="K1556" s="370"/>
      <c r="L1556" s="333"/>
      <c r="M1556" s="333"/>
      <c r="N1556" s="333"/>
      <c r="O1556" s="333"/>
      <c r="P1556" s="333"/>
      <c r="Q1556" s="371"/>
      <c r="R1556" s="334"/>
      <c r="S1556" s="335"/>
    </row>
    <row r="1557" spans="1:19" s="36" customFormat="1" ht="15.75">
      <c r="A1557" s="107"/>
      <c r="B1557" s="1292" t="s">
        <v>67</v>
      </c>
      <c r="C1557" s="1292"/>
      <c r="D1557" s="1292"/>
      <c r="E1557" s="1292"/>
      <c r="F1557" s="1292"/>
      <c r="G1557" s="1292"/>
      <c r="H1557" s="128">
        <f>H1558+H1560</f>
        <v>4895.2</v>
      </c>
      <c r="I1557" s="162">
        <f t="shared" ref="I1557" si="471">I1558+I1560</f>
        <v>4785.5</v>
      </c>
      <c r="J1557" s="106">
        <f>J1558+J1560</f>
        <v>3916</v>
      </c>
      <c r="K1557" s="119">
        <f>K1558+K1560</f>
        <v>167</v>
      </c>
      <c r="L1557" s="113">
        <f>L1558+L1560</f>
        <v>2982495.07</v>
      </c>
      <c r="M1557" s="113">
        <f t="shared" ref="M1557:N1557" si="472">M1558+M1560</f>
        <v>0</v>
      </c>
      <c r="N1557" s="113">
        <f t="shared" si="472"/>
        <v>260236.27</v>
      </c>
      <c r="O1557" s="113">
        <f>O1558+O1560</f>
        <v>2722258.8</v>
      </c>
      <c r="P1557" s="113">
        <f t="shared" ref="P1557" si="473">P1558+P1560</f>
        <v>0</v>
      </c>
      <c r="Q1557" s="114" t="s">
        <v>40</v>
      </c>
      <c r="R1557" s="108" t="s">
        <v>40</v>
      </c>
      <c r="S1557" s="335">
        <v>43830</v>
      </c>
    </row>
    <row r="1558" spans="1:19" s="1" customFormat="1" ht="15.75">
      <c r="A1558" s="107"/>
      <c r="B1558" s="1292" t="s">
        <v>90</v>
      </c>
      <c r="C1558" s="1292"/>
      <c r="D1558" s="1292"/>
      <c r="E1558" s="1292"/>
      <c r="F1558" s="1292"/>
      <c r="G1558" s="1292"/>
      <c r="H1558" s="128">
        <f>H1559</f>
        <v>1507.8</v>
      </c>
      <c r="I1558" s="106">
        <f t="shared" ref="I1558:P1558" si="474">I1559</f>
        <v>1398.1</v>
      </c>
      <c r="J1558" s="106">
        <f t="shared" si="474"/>
        <v>1200.7</v>
      </c>
      <c r="K1558" s="119">
        <f t="shared" si="474"/>
        <v>62</v>
      </c>
      <c r="L1558" s="113">
        <f>L1559</f>
        <v>728197.07</v>
      </c>
      <c r="M1558" s="113">
        <f t="shared" si="474"/>
        <v>0</v>
      </c>
      <c r="N1558" s="113">
        <f t="shared" si="474"/>
        <v>260236.27</v>
      </c>
      <c r="O1558" s="113">
        <f t="shared" si="474"/>
        <v>467960.8</v>
      </c>
      <c r="P1558" s="113">
        <f t="shared" si="474"/>
        <v>0</v>
      </c>
      <c r="Q1558" s="114" t="s">
        <v>40</v>
      </c>
      <c r="R1558" s="108" t="s">
        <v>40</v>
      </c>
      <c r="S1558" s="335">
        <v>43830</v>
      </c>
    </row>
    <row r="1559" spans="1:19" s="23" customFormat="1" ht="15.75">
      <c r="A1559" s="107">
        <f>A1556+1</f>
        <v>1</v>
      </c>
      <c r="B1559" s="307" t="s">
        <v>429</v>
      </c>
      <c r="C1559" s="118">
        <v>1983</v>
      </c>
      <c r="D1559" s="182"/>
      <c r="E1559" s="109" t="s">
        <v>219</v>
      </c>
      <c r="F1559" s="118">
        <v>3</v>
      </c>
      <c r="G1559" s="118">
        <v>3</v>
      </c>
      <c r="H1559" s="128">
        <v>1507.8</v>
      </c>
      <c r="I1559" s="106">
        <v>1398.1</v>
      </c>
      <c r="J1559" s="106">
        <v>1200.7</v>
      </c>
      <c r="K1559" s="119">
        <v>62</v>
      </c>
      <c r="L1559" s="113">
        <v>728197.07</v>
      </c>
      <c r="M1559" s="113">
        <v>0</v>
      </c>
      <c r="N1559" s="113">
        <v>260236.27</v>
      </c>
      <c r="O1559" s="113">
        <v>467960.8</v>
      </c>
      <c r="P1559" s="113">
        <v>0</v>
      </c>
      <c r="Q1559" s="106">
        <f>L1559/I1559</f>
        <v>520.84762892496963</v>
      </c>
      <c r="R1559" s="114">
        <v>6774</v>
      </c>
      <c r="S1559" s="335">
        <v>43830</v>
      </c>
    </row>
    <row r="1560" spans="1:19" s="23" customFormat="1" ht="15.75">
      <c r="A1560" s="327"/>
      <c r="B1560" s="1377" t="s">
        <v>127</v>
      </c>
      <c r="C1560" s="1377"/>
      <c r="D1560" s="1377"/>
      <c r="E1560" s="1377"/>
      <c r="F1560" s="1377"/>
      <c r="G1560" s="1377"/>
      <c r="H1560" s="353">
        <f t="shared" ref="H1560:P1560" si="475">H1561</f>
        <v>3387.4</v>
      </c>
      <c r="I1560" s="356">
        <f t="shared" si="475"/>
        <v>3387.4</v>
      </c>
      <c r="J1560" s="356">
        <f t="shared" si="475"/>
        <v>2715.3</v>
      </c>
      <c r="K1560" s="355">
        <f t="shared" si="475"/>
        <v>105</v>
      </c>
      <c r="L1560" s="333">
        <f t="shared" si="475"/>
        <v>2254298</v>
      </c>
      <c r="M1560" s="333">
        <f t="shared" si="475"/>
        <v>0</v>
      </c>
      <c r="N1560" s="333">
        <f t="shared" si="475"/>
        <v>0</v>
      </c>
      <c r="O1560" s="333">
        <f t="shared" si="475"/>
        <v>2254298</v>
      </c>
      <c r="P1560" s="333">
        <f t="shared" si="475"/>
        <v>0</v>
      </c>
      <c r="Q1560" s="356" t="s">
        <v>40</v>
      </c>
      <c r="R1560" s="329" t="s">
        <v>40</v>
      </c>
      <c r="S1560" s="335">
        <v>43830</v>
      </c>
    </row>
    <row r="1561" spans="1:19" s="23" customFormat="1" ht="45" customHeight="1">
      <c r="A1561" s="327">
        <f>A1559+1</f>
        <v>2</v>
      </c>
      <c r="B1561" s="912" t="s">
        <v>687</v>
      </c>
      <c r="C1561" s="327">
        <v>1970</v>
      </c>
      <c r="D1561" s="327"/>
      <c r="E1561" s="330" t="s">
        <v>218</v>
      </c>
      <c r="F1561" s="327">
        <v>5</v>
      </c>
      <c r="G1561" s="327">
        <v>4</v>
      </c>
      <c r="H1561" s="758">
        <v>3387.4</v>
      </c>
      <c r="I1561" s="327">
        <v>3387.4</v>
      </c>
      <c r="J1561" s="327">
        <v>2715.3</v>
      </c>
      <c r="K1561" s="580">
        <v>105</v>
      </c>
      <c r="L1561" s="333">
        <v>2254298</v>
      </c>
      <c r="M1561" s="333">
        <v>0</v>
      </c>
      <c r="N1561" s="333">
        <v>0</v>
      </c>
      <c r="O1561" s="333">
        <f>L1561</f>
        <v>2254298</v>
      </c>
      <c r="P1561" s="333">
        <v>0</v>
      </c>
      <c r="Q1561" s="620">
        <f>L1561/I1561</f>
        <v>665.49506996516504</v>
      </c>
      <c r="R1561" s="334">
        <v>7920</v>
      </c>
      <c r="S1561" s="335">
        <v>43830</v>
      </c>
    </row>
    <row r="1562" spans="1:19" s="23" customFormat="1" ht="21.75" customHeight="1">
      <c r="A1562" s="1306" t="s">
        <v>206</v>
      </c>
      <c r="B1562" s="1306"/>
      <c r="C1562" s="1306"/>
      <c r="D1562" s="1306"/>
      <c r="E1562" s="1306"/>
      <c r="F1562" s="1306"/>
      <c r="G1562" s="1306"/>
      <c r="H1562" s="1306"/>
      <c r="I1562" s="1306"/>
      <c r="J1562" s="1306"/>
      <c r="K1562" s="1306"/>
      <c r="L1562" s="1306"/>
      <c r="M1562" s="1306"/>
      <c r="N1562" s="1306"/>
      <c r="O1562" s="1306"/>
      <c r="P1562" s="1306"/>
      <c r="Q1562" s="1306"/>
      <c r="R1562" s="1306"/>
      <c r="S1562" s="1306"/>
    </row>
    <row r="1563" spans="1:19" s="23" customFormat="1" ht="19.5" customHeight="1">
      <c r="A1563" s="107"/>
      <c r="B1563" s="1305" t="s">
        <v>205</v>
      </c>
      <c r="C1563" s="1305"/>
      <c r="D1563" s="1305"/>
      <c r="E1563" s="1305"/>
      <c r="F1563" s="1305"/>
      <c r="G1563" s="1305"/>
      <c r="H1563" s="181">
        <f>H1565+H1574</f>
        <v>25922.6</v>
      </c>
      <c r="I1563" s="181">
        <f t="shared" ref="I1563:P1563" si="476">I1565+I1574</f>
        <v>21873.7</v>
      </c>
      <c r="J1563" s="181">
        <f t="shared" si="476"/>
        <v>21404.3</v>
      </c>
      <c r="K1563" s="154">
        <f t="shared" si="476"/>
        <v>750</v>
      </c>
      <c r="L1563" s="113">
        <f t="shared" si="476"/>
        <v>2663060.64</v>
      </c>
      <c r="M1563" s="113">
        <f t="shared" si="476"/>
        <v>0</v>
      </c>
      <c r="N1563" s="113">
        <f t="shared" si="476"/>
        <v>0</v>
      </c>
      <c r="O1563" s="113">
        <f t="shared" si="476"/>
        <v>2663060.64</v>
      </c>
      <c r="P1563" s="113">
        <f t="shared" si="476"/>
        <v>0</v>
      </c>
      <c r="Q1563" s="114" t="s">
        <v>40</v>
      </c>
      <c r="R1563" s="108" t="s">
        <v>40</v>
      </c>
      <c r="S1563" s="108" t="s">
        <v>40</v>
      </c>
    </row>
    <row r="1564" spans="1:19" s="1" customFormat="1" ht="21.75" customHeight="1">
      <c r="A1564" s="1306" t="s">
        <v>35</v>
      </c>
      <c r="B1564" s="1306"/>
      <c r="C1564" s="1306"/>
      <c r="D1564" s="1306"/>
      <c r="E1564" s="1306"/>
      <c r="F1564" s="1306"/>
      <c r="G1564" s="1306"/>
      <c r="H1564" s="1306"/>
      <c r="I1564" s="1306"/>
      <c r="J1564" s="1306"/>
      <c r="K1564" s="1306"/>
      <c r="L1564" s="1306"/>
      <c r="M1564" s="1306"/>
      <c r="N1564" s="1306"/>
      <c r="O1564" s="1306"/>
      <c r="P1564" s="1306"/>
      <c r="Q1564" s="1306"/>
      <c r="R1564" s="1306"/>
      <c r="S1564" s="1306"/>
    </row>
    <row r="1565" spans="1:19" s="1" customFormat="1" ht="21.75" customHeight="1">
      <c r="A1565" s="302"/>
      <c r="B1565" s="1305" t="s">
        <v>20</v>
      </c>
      <c r="C1565" s="1305"/>
      <c r="D1565" s="1305"/>
      <c r="E1565" s="1305"/>
      <c r="F1565" s="1305"/>
      <c r="G1565" s="1305"/>
      <c r="H1565" s="111">
        <f>H1566</f>
        <v>23801.1</v>
      </c>
      <c r="I1565" s="111">
        <f t="shared" ref="I1565:P1566" si="477">I1566</f>
        <v>20069.3</v>
      </c>
      <c r="J1565" s="111">
        <f t="shared" si="477"/>
        <v>20069.3</v>
      </c>
      <c r="K1565" s="112">
        <f>K1566</f>
        <v>702</v>
      </c>
      <c r="L1565" s="113">
        <f>L1566</f>
        <v>2447351.64</v>
      </c>
      <c r="M1565" s="113">
        <f t="shared" ref="M1565:P1565" si="478">M1566</f>
        <v>0</v>
      </c>
      <c r="N1565" s="113">
        <f t="shared" si="478"/>
        <v>0</v>
      </c>
      <c r="O1565" s="113">
        <f t="shared" si="478"/>
        <v>2447351.64</v>
      </c>
      <c r="P1565" s="113">
        <f t="shared" si="478"/>
        <v>0</v>
      </c>
      <c r="Q1565" s="114" t="s">
        <v>40</v>
      </c>
      <c r="R1565" s="108" t="s">
        <v>40</v>
      </c>
      <c r="S1565" s="335">
        <v>43830</v>
      </c>
    </row>
    <row r="1566" spans="1:19" s="37" customFormat="1" ht="15.75" customHeight="1">
      <c r="A1566" s="99"/>
      <c r="B1566" s="1305" t="s">
        <v>53</v>
      </c>
      <c r="C1566" s="1305"/>
      <c r="D1566" s="1305"/>
      <c r="E1566" s="1305"/>
      <c r="F1566" s="1305"/>
      <c r="G1566" s="1305"/>
      <c r="H1566" s="111">
        <f>H1567</f>
        <v>23801.1</v>
      </c>
      <c r="I1566" s="114">
        <f t="shared" si="477"/>
        <v>20069.3</v>
      </c>
      <c r="J1566" s="114">
        <f t="shared" si="477"/>
        <v>20069.3</v>
      </c>
      <c r="K1566" s="112">
        <f t="shared" si="477"/>
        <v>702</v>
      </c>
      <c r="L1566" s="113">
        <f t="shared" si="477"/>
        <v>2447351.64</v>
      </c>
      <c r="M1566" s="113">
        <f t="shared" si="477"/>
        <v>0</v>
      </c>
      <c r="N1566" s="113">
        <f t="shared" si="477"/>
        <v>0</v>
      </c>
      <c r="O1566" s="113">
        <f t="shared" si="477"/>
        <v>2447351.64</v>
      </c>
      <c r="P1566" s="113">
        <f t="shared" si="477"/>
        <v>0</v>
      </c>
      <c r="Q1566" s="114" t="s">
        <v>40</v>
      </c>
      <c r="R1566" s="108" t="s">
        <v>40</v>
      </c>
      <c r="S1566" s="335">
        <v>43830</v>
      </c>
    </row>
    <row r="1567" spans="1:19" s="37" customFormat="1" ht="15.75" customHeight="1">
      <c r="A1567" s="99"/>
      <c r="B1567" s="1305" t="s">
        <v>88</v>
      </c>
      <c r="C1567" s="1305"/>
      <c r="D1567" s="1305"/>
      <c r="E1567" s="1305"/>
      <c r="F1567" s="1305"/>
      <c r="G1567" s="1305"/>
      <c r="H1567" s="111">
        <f t="shared" ref="H1567:P1567" si="479">SUM(H1568:H1572)</f>
        <v>23801.1</v>
      </c>
      <c r="I1567" s="114">
        <f t="shared" si="479"/>
        <v>20069.3</v>
      </c>
      <c r="J1567" s="114">
        <f t="shared" si="479"/>
        <v>20069.3</v>
      </c>
      <c r="K1567" s="112">
        <f t="shared" si="479"/>
        <v>702</v>
      </c>
      <c r="L1567" s="113">
        <f t="shared" si="479"/>
        <v>2447351.64</v>
      </c>
      <c r="M1567" s="113">
        <f t="shared" si="479"/>
        <v>0</v>
      </c>
      <c r="N1567" s="113">
        <f t="shared" si="479"/>
        <v>0</v>
      </c>
      <c r="O1567" s="113">
        <f t="shared" si="479"/>
        <v>2447351.64</v>
      </c>
      <c r="P1567" s="113">
        <f t="shared" si="479"/>
        <v>0</v>
      </c>
      <c r="Q1567" s="114" t="s">
        <v>40</v>
      </c>
      <c r="R1567" s="108" t="s">
        <v>40</v>
      </c>
      <c r="S1567" s="335">
        <v>43830</v>
      </c>
    </row>
    <row r="1568" spans="1:19" s="33" customFormat="1" ht="15.75">
      <c r="A1568" s="302">
        <f>A1561+1</f>
        <v>3</v>
      </c>
      <c r="B1568" s="183" t="s">
        <v>359</v>
      </c>
      <c r="C1568" s="184">
        <v>1975</v>
      </c>
      <c r="D1568" s="129"/>
      <c r="E1568" s="109" t="s">
        <v>219</v>
      </c>
      <c r="F1568" s="99">
        <v>5</v>
      </c>
      <c r="G1568" s="99">
        <v>4</v>
      </c>
      <c r="H1568" s="180">
        <f>2075.9+150</f>
        <v>2225.9</v>
      </c>
      <c r="I1568" s="100">
        <v>2075.9</v>
      </c>
      <c r="J1568" s="100">
        <v>2075.9</v>
      </c>
      <c r="K1568" s="101">
        <v>112</v>
      </c>
      <c r="L1568" s="113">
        <v>203849</v>
      </c>
      <c r="M1568" s="113">
        <v>0</v>
      </c>
      <c r="N1568" s="113">
        <v>0</v>
      </c>
      <c r="O1568" s="113">
        <f>L1568</f>
        <v>203849</v>
      </c>
      <c r="P1568" s="113">
        <v>0</v>
      </c>
      <c r="Q1568" s="114">
        <f>L1568/I1568</f>
        <v>98.197890071776087</v>
      </c>
      <c r="R1568" s="114">
        <v>6774</v>
      </c>
      <c r="S1568" s="335">
        <v>43830</v>
      </c>
    </row>
    <row r="1569" spans="1:19" s="33" customFormat="1" ht="15.75">
      <c r="A1569" s="302">
        <f>A1568+1</f>
        <v>4</v>
      </c>
      <c r="B1569" s="183" t="s">
        <v>360</v>
      </c>
      <c r="C1569" s="184">
        <v>1991</v>
      </c>
      <c r="D1569" s="129"/>
      <c r="E1569" s="109" t="s">
        <v>219</v>
      </c>
      <c r="F1569" s="99">
        <v>9</v>
      </c>
      <c r="G1569" s="99">
        <v>2</v>
      </c>
      <c r="H1569" s="180">
        <f>4259.3+1200.8</f>
        <v>5460.1</v>
      </c>
      <c r="I1569" s="100">
        <v>4259.3</v>
      </c>
      <c r="J1569" s="100">
        <v>4259.3</v>
      </c>
      <c r="K1569" s="101">
        <v>132</v>
      </c>
      <c r="L1569" s="113">
        <v>489343.64</v>
      </c>
      <c r="M1569" s="113">
        <v>0</v>
      </c>
      <c r="N1569" s="113">
        <v>0</v>
      </c>
      <c r="O1569" s="113">
        <f>L1569</f>
        <v>489343.64</v>
      </c>
      <c r="P1569" s="113">
        <v>0</v>
      </c>
      <c r="Q1569" s="114">
        <f>L1569/I1569</f>
        <v>114.88827741647688</v>
      </c>
      <c r="R1569" s="114">
        <v>6774</v>
      </c>
      <c r="S1569" s="335">
        <v>43830</v>
      </c>
    </row>
    <row r="1570" spans="1:19" s="33" customFormat="1" ht="15.75">
      <c r="A1570" s="302">
        <f t="shared" ref="A1570:A1572" si="480">A1569+1</f>
        <v>5</v>
      </c>
      <c r="B1570" s="183" t="s">
        <v>432</v>
      </c>
      <c r="C1570" s="184">
        <v>1978</v>
      </c>
      <c r="D1570" s="129"/>
      <c r="E1570" s="109" t="s">
        <v>219</v>
      </c>
      <c r="F1570" s="99">
        <v>5</v>
      </c>
      <c r="G1570" s="99">
        <v>6</v>
      </c>
      <c r="H1570" s="180">
        <v>6071.5</v>
      </c>
      <c r="I1570" s="100">
        <v>4592.3</v>
      </c>
      <c r="J1570" s="100">
        <v>4592.3</v>
      </c>
      <c r="K1570" s="101">
        <v>181</v>
      </c>
      <c r="L1570" s="113">
        <v>395010</v>
      </c>
      <c r="M1570" s="113">
        <v>0</v>
      </c>
      <c r="N1570" s="113">
        <v>0</v>
      </c>
      <c r="O1570" s="113">
        <f>L1570</f>
        <v>395010</v>
      </c>
      <c r="P1570" s="113">
        <v>0</v>
      </c>
      <c r="Q1570" s="114">
        <f>L1570/I1570</f>
        <v>86.015721969383534</v>
      </c>
      <c r="R1570" s="114">
        <v>6774</v>
      </c>
      <c r="S1570" s="335">
        <v>43830</v>
      </c>
    </row>
    <row r="1571" spans="1:19" s="33" customFormat="1" ht="15.75">
      <c r="A1571" s="302">
        <f t="shared" si="480"/>
        <v>6</v>
      </c>
      <c r="B1571" s="183" t="s">
        <v>431</v>
      </c>
      <c r="C1571" s="184">
        <v>1980</v>
      </c>
      <c r="D1571" s="129"/>
      <c r="E1571" s="109" t="s">
        <v>219</v>
      </c>
      <c r="F1571" s="99">
        <v>5</v>
      </c>
      <c r="G1571" s="99">
        <v>6</v>
      </c>
      <c r="H1571" s="180">
        <f>493.2+4644.3</f>
        <v>5137.5</v>
      </c>
      <c r="I1571" s="100">
        <v>4644.3</v>
      </c>
      <c r="J1571" s="100">
        <v>4644.3</v>
      </c>
      <c r="K1571" s="101">
        <v>177</v>
      </c>
      <c r="L1571" s="113">
        <v>285326</v>
      </c>
      <c r="M1571" s="113">
        <v>0</v>
      </c>
      <c r="N1571" s="113">
        <v>0</v>
      </c>
      <c r="O1571" s="113">
        <f>L1571</f>
        <v>285326</v>
      </c>
      <c r="P1571" s="113">
        <v>0</v>
      </c>
      <c r="Q1571" s="114">
        <f>L1571/I1571</f>
        <v>61.435738432056496</v>
      </c>
      <c r="R1571" s="114">
        <v>6774</v>
      </c>
      <c r="S1571" s="335">
        <v>43830</v>
      </c>
    </row>
    <row r="1572" spans="1:19" s="33" customFormat="1" ht="31.5">
      <c r="A1572" s="302">
        <f t="shared" si="480"/>
        <v>7</v>
      </c>
      <c r="B1572" s="183" t="s">
        <v>358</v>
      </c>
      <c r="C1572" s="184">
        <v>1973</v>
      </c>
      <c r="D1572" s="129"/>
      <c r="E1572" s="109" t="s">
        <v>218</v>
      </c>
      <c r="F1572" s="99">
        <v>5</v>
      </c>
      <c r="G1572" s="99">
        <v>6</v>
      </c>
      <c r="H1572" s="180">
        <v>4906.1000000000004</v>
      </c>
      <c r="I1572" s="100">
        <v>4497.5</v>
      </c>
      <c r="J1572" s="100">
        <v>4497.5</v>
      </c>
      <c r="K1572" s="101">
        <v>100</v>
      </c>
      <c r="L1572" s="113">
        <v>1073823</v>
      </c>
      <c r="M1572" s="113">
        <v>0</v>
      </c>
      <c r="N1572" s="113">
        <v>0</v>
      </c>
      <c r="O1572" s="113">
        <f>L1572</f>
        <v>1073823</v>
      </c>
      <c r="P1572" s="113">
        <v>0</v>
      </c>
      <c r="Q1572" s="114">
        <f>L1572/I1572</f>
        <v>238.75997776542525</v>
      </c>
      <c r="R1572" s="114">
        <v>6774</v>
      </c>
      <c r="S1572" s="335">
        <v>43830</v>
      </c>
    </row>
    <row r="1573" spans="1:19" s="1" customFormat="1" ht="34.5" customHeight="1">
      <c r="A1573" s="1306" t="s">
        <v>37</v>
      </c>
      <c r="B1573" s="1306"/>
      <c r="C1573" s="1306"/>
      <c r="D1573" s="1306"/>
      <c r="E1573" s="1306"/>
      <c r="F1573" s="1306"/>
      <c r="G1573" s="1306"/>
      <c r="H1573" s="1306"/>
      <c r="I1573" s="1306"/>
      <c r="J1573" s="1306"/>
      <c r="K1573" s="1306"/>
      <c r="L1573" s="1306"/>
      <c r="M1573" s="1306"/>
      <c r="N1573" s="1306"/>
      <c r="O1573" s="1306"/>
      <c r="P1573" s="1306"/>
      <c r="Q1573" s="1306"/>
      <c r="R1573" s="1306"/>
      <c r="S1573" s="1306"/>
    </row>
    <row r="1574" spans="1:19" s="1" customFormat="1" ht="15.75">
      <c r="A1574" s="302"/>
      <c r="B1574" s="1305" t="s">
        <v>20</v>
      </c>
      <c r="C1574" s="1305"/>
      <c r="D1574" s="1305"/>
      <c r="E1574" s="1305"/>
      <c r="F1574" s="1305"/>
      <c r="G1574" s="1305"/>
      <c r="H1574" s="111">
        <f>H1575+H1578</f>
        <v>2121.5</v>
      </c>
      <c r="I1574" s="111">
        <f t="shared" ref="I1574:J1574" si="481">I1575+I1578</f>
        <v>1804.4</v>
      </c>
      <c r="J1574" s="111">
        <f t="shared" si="481"/>
        <v>1335</v>
      </c>
      <c r="K1574" s="112">
        <f>K1575+K1578</f>
        <v>48</v>
      </c>
      <c r="L1574" s="113">
        <f t="shared" ref="L1574:P1574" si="482">L1575+L1578</f>
        <v>215709</v>
      </c>
      <c r="M1574" s="113">
        <f t="shared" si="482"/>
        <v>0</v>
      </c>
      <c r="N1574" s="113">
        <f t="shared" si="482"/>
        <v>0</v>
      </c>
      <c r="O1574" s="113">
        <f t="shared" si="482"/>
        <v>215709</v>
      </c>
      <c r="P1574" s="113">
        <f t="shared" si="482"/>
        <v>0</v>
      </c>
      <c r="Q1574" s="114" t="s">
        <v>40</v>
      </c>
      <c r="R1574" s="108" t="s">
        <v>40</v>
      </c>
      <c r="S1574" s="335">
        <v>43830</v>
      </c>
    </row>
    <row r="1575" spans="1:19" s="1" customFormat="1" ht="15.75" customHeight="1">
      <c r="A1575" s="302"/>
      <c r="B1575" s="1328" t="s">
        <v>58</v>
      </c>
      <c r="C1575" s="1328"/>
      <c r="D1575" s="1328"/>
      <c r="E1575" s="1328"/>
      <c r="F1575" s="1328"/>
      <c r="G1575" s="1328"/>
      <c r="H1575" s="127">
        <f>H1576</f>
        <v>2121.5</v>
      </c>
      <c r="I1575" s="104">
        <f t="shared" ref="I1575:P1576" si="483">I1576</f>
        <v>1804.4</v>
      </c>
      <c r="J1575" s="104">
        <f t="shared" si="483"/>
        <v>1335</v>
      </c>
      <c r="K1575" s="105">
        <f t="shared" si="483"/>
        <v>48</v>
      </c>
      <c r="L1575" s="113">
        <f t="shared" si="483"/>
        <v>215709</v>
      </c>
      <c r="M1575" s="113">
        <f t="shared" si="483"/>
        <v>0</v>
      </c>
      <c r="N1575" s="113">
        <f t="shared" si="483"/>
        <v>0</v>
      </c>
      <c r="O1575" s="113">
        <f t="shared" si="483"/>
        <v>215709</v>
      </c>
      <c r="P1575" s="113">
        <f t="shared" si="483"/>
        <v>0</v>
      </c>
      <c r="Q1575" s="104" t="str">
        <f>Q1576</f>
        <v>Х</v>
      </c>
      <c r="R1575" s="104" t="str">
        <f t="shared" ref="R1575" si="484">R1576</f>
        <v>Х</v>
      </c>
      <c r="S1575" s="335">
        <v>43830</v>
      </c>
    </row>
    <row r="1576" spans="1:19" s="1" customFormat="1" ht="15.75" customHeight="1">
      <c r="A1576" s="302"/>
      <c r="B1576" s="1328" t="s">
        <v>87</v>
      </c>
      <c r="C1576" s="1328"/>
      <c r="D1576" s="1328"/>
      <c r="E1576" s="1328"/>
      <c r="F1576" s="1328"/>
      <c r="G1576" s="1328"/>
      <c r="H1576" s="127">
        <f>H1577</f>
        <v>2121.5</v>
      </c>
      <c r="I1576" s="104">
        <f t="shared" si="483"/>
        <v>1804.4</v>
      </c>
      <c r="J1576" s="104">
        <f t="shared" si="483"/>
        <v>1335</v>
      </c>
      <c r="K1576" s="105">
        <f t="shared" si="483"/>
        <v>48</v>
      </c>
      <c r="L1576" s="113">
        <f>L1577</f>
        <v>215709</v>
      </c>
      <c r="M1576" s="113">
        <f t="shared" si="483"/>
        <v>0</v>
      </c>
      <c r="N1576" s="113">
        <f t="shared" si="483"/>
        <v>0</v>
      </c>
      <c r="O1576" s="113">
        <f>L1576</f>
        <v>215709</v>
      </c>
      <c r="P1576" s="113">
        <v>0</v>
      </c>
      <c r="Q1576" s="104" t="s">
        <v>40</v>
      </c>
      <c r="R1576" s="302" t="s">
        <v>40</v>
      </c>
      <c r="S1576" s="335">
        <v>43830</v>
      </c>
    </row>
    <row r="1577" spans="1:19" s="1" customFormat="1" ht="31.5">
      <c r="A1577" s="302">
        <f>A1572+1</f>
        <v>8</v>
      </c>
      <c r="B1577" s="300" t="s">
        <v>433</v>
      </c>
      <c r="C1577" s="99">
        <v>1959</v>
      </c>
      <c r="D1577" s="109"/>
      <c r="E1577" s="109" t="s">
        <v>218</v>
      </c>
      <c r="F1577" s="185" t="s">
        <v>73</v>
      </c>
      <c r="G1577" s="185" t="s">
        <v>74</v>
      </c>
      <c r="H1577" s="180">
        <v>2121.5</v>
      </c>
      <c r="I1577" s="100">
        <v>1804.4</v>
      </c>
      <c r="J1577" s="100">
        <f>1379-44</f>
        <v>1335</v>
      </c>
      <c r="K1577" s="101">
        <v>48</v>
      </c>
      <c r="L1577" s="113">
        <v>215709</v>
      </c>
      <c r="M1577" s="113">
        <v>0</v>
      </c>
      <c r="N1577" s="113">
        <v>0</v>
      </c>
      <c r="O1577" s="113">
        <f>L1577</f>
        <v>215709</v>
      </c>
      <c r="P1577" s="113">
        <v>0</v>
      </c>
      <c r="Q1577" s="100">
        <f>L1577/I1577</f>
        <v>119.54610951008645</v>
      </c>
      <c r="R1577" s="114">
        <v>6774</v>
      </c>
      <c r="S1577" s="335">
        <v>43830</v>
      </c>
    </row>
    <row r="1578" spans="1:19" s="1" customFormat="1" ht="25.9" customHeight="1">
      <c r="A1578" s="367"/>
      <c r="B1578" s="1364" t="s">
        <v>59</v>
      </c>
      <c r="C1578" s="1364"/>
      <c r="D1578" s="1364"/>
      <c r="E1578" s="1364"/>
      <c r="F1578" s="1364"/>
      <c r="G1578" s="1364"/>
      <c r="H1578" s="368">
        <f t="shared" ref="H1578:P1578" si="485">H1579+H1580</f>
        <v>0</v>
      </c>
      <c r="I1578" s="371">
        <f t="shared" si="485"/>
        <v>0</v>
      </c>
      <c r="J1578" s="371">
        <f t="shared" si="485"/>
        <v>0</v>
      </c>
      <c r="K1578" s="370">
        <f t="shared" si="485"/>
        <v>0</v>
      </c>
      <c r="L1578" s="333">
        <f t="shared" si="485"/>
        <v>0</v>
      </c>
      <c r="M1578" s="333">
        <f t="shared" si="485"/>
        <v>0</v>
      </c>
      <c r="N1578" s="333">
        <f t="shared" si="485"/>
        <v>0</v>
      </c>
      <c r="O1578" s="333">
        <f t="shared" si="485"/>
        <v>0</v>
      </c>
      <c r="P1578" s="333">
        <f t="shared" si="485"/>
        <v>0</v>
      </c>
      <c r="Q1578" s="371" t="str">
        <f>Q1579</f>
        <v>Х</v>
      </c>
      <c r="R1578" s="371" t="str">
        <f t="shared" ref="R1578" si="486">R1579</f>
        <v>Х</v>
      </c>
      <c r="S1578" s="335">
        <v>43830</v>
      </c>
    </row>
    <row r="1579" spans="1:19" s="1" customFormat="1" ht="43.15" customHeight="1">
      <c r="A1579" s="327"/>
      <c r="B1579" s="1366" t="s">
        <v>86</v>
      </c>
      <c r="C1579" s="1366"/>
      <c r="D1579" s="1366"/>
      <c r="E1579" s="1366"/>
      <c r="F1579" s="1366"/>
      <c r="G1579" s="1366"/>
      <c r="H1579" s="371">
        <v>0</v>
      </c>
      <c r="I1579" s="371">
        <v>0</v>
      </c>
      <c r="J1579" s="371">
        <v>0</v>
      </c>
      <c r="K1579" s="332">
        <v>0</v>
      </c>
      <c r="L1579" s="333">
        <v>0</v>
      </c>
      <c r="M1579" s="333">
        <v>0</v>
      </c>
      <c r="N1579" s="333">
        <v>0</v>
      </c>
      <c r="O1579" s="333">
        <v>0</v>
      </c>
      <c r="P1579" s="333">
        <v>0</v>
      </c>
      <c r="Q1579" s="371" t="s">
        <v>40</v>
      </c>
      <c r="R1579" s="367" t="s">
        <v>40</v>
      </c>
      <c r="S1579" s="335">
        <v>43830</v>
      </c>
    </row>
    <row r="1580" spans="1:19" s="1" customFormat="1" ht="36.6" customHeight="1">
      <c r="A1580" s="367"/>
      <c r="B1580" s="1366" t="s">
        <v>85</v>
      </c>
      <c r="C1580" s="1366"/>
      <c r="D1580" s="1366"/>
      <c r="E1580" s="1366"/>
      <c r="F1580" s="1366"/>
      <c r="G1580" s="1366"/>
      <c r="H1580" s="331">
        <v>0</v>
      </c>
      <c r="I1580" s="329">
        <v>0</v>
      </c>
      <c r="J1580" s="329">
        <v>0</v>
      </c>
      <c r="K1580" s="332">
        <v>0</v>
      </c>
      <c r="L1580" s="333">
        <v>0</v>
      </c>
      <c r="M1580" s="333">
        <v>0</v>
      </c>
      <c r="N1580" s="333">
        <v>0</v>
      </c>
      <c r="O1580" s="333">
        <v>0</v>
      </c>
      <c r="P1580" s="333">
        <v>0</v>
      </c>
      <c r="Q1580" s="334" t="s">
        <v>40</v>
      </c>
      <c r="R1580" s="329" t="s">
        <v>40</v>
      </c>
      <c r="S1580" s="335">
        <v>43830</v>
      </c>
    </row>
  </sheetData>
  <autoFilter ref="A14:BJ772"/>
  <sortState ref="B20:AZ187">
    <sortCondition ref="B20:B187"/>
  </sortState>
  <customSheetViews>
    <customSheetView guid="{971AA6D5-B469-4A54-816C-1252CCB6D265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"/>
      <headerFooter>
        <oddHeader>&amp;C&amp;14&amp;P</oddHeader>
      </headerFooter>
      <autoFilter ref="A14:BJ772"/>
    </customSheetView>
    <customSheetView guid="{DFE5B545-478C-4B86-847C-1FEE882C6F69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2"/>
      <headerFooter>
        <oddHeader>&amp;C&amp;14&amp;P</oddHeader>
      </headerFooter>
      <autoFilter ref="A14:BJ772"/>
    </customSheetView>
    <customSheetView guid="{4C44C113-DA02-468D-99C5-83FA6693F42F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3"/>
      <headerFooter>
        <oddHeader>&amp;C&amp;14&amp;P</oddHeader>
      </headerFooter>
      <autoFilter ref="A14:BJ772"/>
    </customSheetView>
    <customSheetView guid="{570403C4-1D93-4175-B4D8-BD47D46CE99C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4"/>
      <headerFooter>
        <oddHeader>&amp;C&amp;14&amp;P</oddHeader>
      </headerFooter>
      <autoFilter ref="A14:BJ772"/>
    </customSheetView>
    <customSheetView guid="{B1841E62-04AF-4786-8B2B-B1F42C88E6D1}" scale="62" showPageBreaks="1" fitToPage="1" showAutoFilter="1" state="hidden" view="pageBreakPreview" topLeftCell="A10">
      <pane xSplit="2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5"/>
      <headerFooter>
        <oddHeader>&amp;C&amp;14&amp;P</oddHeader>
      </headerFooter>
      <autoFilter ref="A14:BJ580"/>
    </customSheetView>
    <customSheetView guid="{A28C0ADC-4E0C-4A0A-ACB1-DA409183476D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6"/>
      <headerFooter>
        <oddHeader>&amp;C&amp;14&amp;P</oddHeader>
      </headerFooter>
      <autoFilter ref="A14:BJ772"/>
    </customSheetView>
    <customSheetView guid="{144E5A37-1CF2-41F0-BEF8-CB5D4D392E2A}" scale="62" showPageBreaks="1" fitToPage="1" showAutoFilter="1" state="hidden" view="pageBreakPreview" topLeftCell="A10">
      <pane xSplit="1.6092715231788079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7"/>
      <headerFooter>
        <oddHeader>&amp;C&amp;14&amp;P</oddHeader>
      </headerFooter>
      <autoFilter ref="A14:BJ772"/>
    </customSheetView>
    <customSheetView guid="{7A75CCE7-0E84-47E6-A162-5AC0354F296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8"/>
      <headerFooter>
        <oddHeader>&amp;C&amp;14&amp;P</oddHeader>
      </headerFooter>
      <autoFilter ref="A14:BJ772"/>
    </customSheetView>
    <customSheetView guid="{A6187BD3-0BA4-497C-8924-4FA3D77530F0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9"/>
      <headerFooter>
        <oddHeader>&amp;C&amp;14&amp;P</oddHeader>
      </headerFooter>
      <autoFilter ref="A14:BJ772"/>
    </customSheetView>
    <customSheetView guid="{DC88C499-913F-4D15-846E-E5B9D5E047D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0"/>
      <headerFooter>
        <oddHeader>&amp;C&amp;14&amp;P</oddHeader>
      </headerFooter>
      <autoFilter ref="A14:BJ772"/>
    </customSheetView>
  </customSheetViews>
  <mergeCells count="352">
    <mergeCell ref="B341:G341"/>
    <mergeCell ref="B1377:G1377"/>
    <mergeCell ref="B1579:G1579"/>
    <mergeCell ref="B1580:G1580"/>
    <mergeCell ref="A1564:S1564"/>
    <mergeCell ref="B1565:G1565"/>
    <mergeCell ref="B1566:G1566"/>
    <mergeCell ref="B1567:G1567"/>
    <mergeCell ref="A1573:S1573"/>
    <mergeCell ref="B1574:G1574"/>
    <mergeCell ref="B1575:G1575"/>
    <mergeCell ref="B1576:G1576"/>
    <mergeCell ref="B1578:G1578"/>
    <mergeCell ref="B1536:G1536"/>
    <mergeCell ref="B1538:G1538"/>
    <mergeCell ref="B1541:G1541"/>
    <mergeCell ref="B1545:G1545"/>
    <mergeCell ref="B1557:G1557"/>
    <mergeCell ref="B1558:G1558"/>
    <mergeCell ref="B1560:G1560"/>
    <mergeCell ref="A1562:S1562"/>
    <mergeCell ref="B1563:G1563"/>
    <mergeCell ref="B1511:G1511"/>
    <mergeCell ref="B1519:G1519"/>
    <mergeCell ref="B1520:G1520"/>
    <mergeCell ref="B1522:G1522"/>
    <mergeCell ref="B1523:G1523"/>
    <mergeCell ref="B1527:G1527"/>
    <mergeCell ref="B1528:G1528"/>
    <mergeCell ref="B1533:G1533"/>
    <mergeCell ref="B1534:G1534"/>
    <mergeCell ref="B1516:G1516"/>
    <mergeCell ref="B1517:G1517"/>
    <mergeCell ref="B1525:G1525"/>
    <mergeCell ref="B1487:G1487"/>
    <mergeCell ref="B1488:G1488"/>
    <mergeCell ref="B1490:G1490"/>
    <mergeCell ref="B1491:G1491"/>
    <mergeCell ref="B1501:G1501"/>
    <mergeCell ref="B1502:G1502"/>
    <mergeCell ref="B1507:G1507"/>
    <mergeCell ref="B1508:G1508"/>
    <mergeCell ref="B1510:G1510"/>
    <mergeCell ref="B1461:G1461"/>
    <mergeCell ref="B1466:G1466"/>
    <mergeCell ref="B1467:G1467"/>
    <mergeCell ref="B1471:G1471"/>
    <mergeCell ref="B1472:G1472"/>
    <mergeCell ref="B1476:G1476"/>
    <mergeCell ref="B1477:G1477"/>
    <mergeCell ref="B1483:G1483"/>
    <mergeCell ref="B1485:G1485"/>
    <mergeCell ref="B1430:G1430"/>
    <mergeCell ref="B1432:G1432"/>
    <mergeCell ref="B1434:G1434"/>
    <mergeCell ref="B1435:G1435"/>
    <mergeCell ref="B1447:G1447"/>
    <mergeCell ref="B1449:G1449"/>
    <mergeCell ref="B1451:G1451"/>
    <mergeCell ref="B1458:G1458"/>
    <mergeCell ref="B1459:G1459"/>
    <mergeCell ref="B1395:G1395"/>
    <mergeCell ref="B1398:G1398"/>
    <mergeCell ref="B1400:G1400"/>
    <mergeCell ref="B1403:G1403"/>
    <mergeCell ref="B1404:G1404"/>
    <mergeCell ref="B1414:G1414"/>
    <mergeCell ref="B1415:G1415"/>
    <mergeCell ref="B1426:G1426"/>
    <mergeCell ref="B1427:G1427"/>
    <mergeCell ref="B1423:G1423"/>
    <mergeCell ref="B1379:G1379"/>
    <mergeCell ref="B1380:G1380"/>
    <mergeCell ref="B1383:G1383"/>
    <mergeCell ref="B1384:G1384"/>
    <mergeCell ref="B1386:G1386"/>
    <mergeCell ref="B1387:G1387"/>
    <mergeCell ref="B1389:G1389"/>
    <mergeCell ref="B1391:G1391"/>
    <mergeCell ref="B1392:G1392"/>
    <mergeCell ref="B1357:G1357"/>
    <mergeCell ref="B1360:G1360"/>
    <mergeCell ref="B1361:G1361"/>
    <mergeCell ref="B1364:G1364"/>
    <mergeCell ref="B1365:G1365"/>
    <mergeCell ref="B1369:G1369"/>
    <mergeCell ref="B1372:G1372"/>
    <mergeCell ref="B1373:G1373"/>
    <mergeCell ref="B1375:G1375"/>
    <mergeCell ref="B1367:G1367"/>
    <mergeCell ref="B1308:G1308"/>
    <mergeCell ref="B1322:G1322"/>
    <mergeCell ref="B1323:G1323"/>
    <mergeCell ref="B1331:G1331"/>
    <mergeCell ref="B1332:G1332"/>
    <mergeCell ref="B1338:G1338"/>
    <mergeCell ref="B1339:G1339"/>
    <mergeCell ref="B1341:G1341"/>
    <mergeCell ref="B1342:G1342"/>
    <mergeCell ref="B1320:G1320"/>
    <mergeCell ref="A1083:S1083"/>
    <mergeCell ref="A1084:S1084"/>
    <mergeCell ref="B1085:G1085"/>
    <mergeCell ref="B1086:G1086"/>
    <mergeCell ref="B1255:G1255"/>
    <mergeCell ref="B1267:G1267"/>
    <mergeCell ref="B1269:G1269"/>
    <mergeCell ref="B1295:G1295"/>
    <mergeCell ref="B1068:G1068"/>
    <mergeCell ref="B1069:G1069"/>
    <mergeCell ref="A1075:S1075"/>
    <mergeCell ref="B1076:G1076"/>
    <mergeCell ref="B1077:G1077"/>
    <mergeCell ref="B1078:G1078"/>
    <mergeCell ref="B1080:G1080"/>
    <mergeCell ref="B1081:G1081"/>
    <mergeCell ref="B1082:G1082"/>
    <mergeCell ref="B1017:G1017"/>
    <mergeCell ref="B1025:G1025"/>
    <mergeCell ref="B1021:G1021"/>
    <mergeCell ref="B1022:G1022"/>
    <mergeCell ref="B1065:G1065"/>
    <mergeCell ref="A1066:S1066"/>
    <mergeCell ref="B1067:G1067"/>
    <mergeCell ref="B1026:G1026"/>
    <mergeCell ref="B1028:G1028"/>
    <mergeCell ref="B1029:G1029"/>
    <mergeCell ref="B1032:G1032"/>
    <mergeCell ref="B1033:G1033"/>
    <mergeCell ref="B1038:G1038"/>
    <mergeCell ref="B1039:G1039"/>
    <mergeCell ref="B1041:G1041"/>
    <mergeCell ref="B1043:G1043"/>
    <mergeCell ref="B1044:G1044"/>
    <mergeCell ref="B1048:G1048"/>
    <mergeCell ref="B1060:G1060"/>
    <mergeCell ref="B1061:G1061"/>
    <mergeCell ref="B1063:G1063"/>
    <mergeCell ref="A1064:S1064"/>
    <mergeCell ref="B992:G992"/>
    <mergeCell ref="B993:G993"/>
    <mergeCell ref="B996:G996"/>
    <mergeCell ref="B997:G997"/>
    <mergeCell ref="B1007:G1007"/>
    <mergeCell ref="B1008:G1008"/>
    <mergeCell ref="B1013:G1013"/>
    <mergeCell ref="B1014:G1014"/>
    <mergeCell ref="B1016:G1016"/>
    <mergeCell ref="B968:G968"/>
    <mergeCell ref="B956:G956"/>
    <mergeCell ref="B969:G969"/>
    <mergeCell ref="B973:G973"/>
    <mergeCell ref="B974:G974"/>
    <mergeCell ref="B978:G978"/>
    <mergeCell ref="B979:G979"/>
    <mergeCell ref="B986:G986"/>
    <mergeCell ref="B990:G990"/>
    <mergeCell ref="B935:G935"/>
    <mergeCell ref="B937:G937"/>
    <mergeCell ref="B938:G938"/>
    <mergeCell ref="B945:G945"/>
    <mergeCell ref="B947:G947"/>
    <mergeCell ref="B949:G949"/>
    <mergeCell ref="B958:G958"/>
    <mergeCell ref="B961:G961"/>
    <mergeCell ref="B963:G963"/>
    <mergeCell ref="B905:G905"/>
    <mergeCell ref="B908:G908"/>
    <mergeCell ref="B909:G909"/>
    <mergeCell ref="B916:G916"/>
    <mergeCell ref="B917:G917"/>
    <mergeCell ref="B929:G929"/>
    <mergeCell ref="B930:G930"/>
    <mergeCell ref="B926:G926"/>
    <mergeCell ref="B933:G933"/>
    <mergeCell ref="B886:G886"/>
    <mergeCell ref="B887:G887"/>
    <mergeCell ref="B889:G889"/>
    <mergeCell ref="B890:G890"/>
    <mergeCell ref="B894:G894"/>
    <mergeCell ref="B896:G896"/>
    <mergeCell ref="B897:G897"/>
    <mergeCell ref="B900:G900"/>
    <mergeCell ref="B903:G903"/>
    <mergeCell ref="B864:G864"/>
    <mergeCell ref="B867:G867"/>
    <mergeCell ref="B868:G868"/>
    <mergeCell ref="B874:G874"/>
    <mergeCell ref="B876:G876"/>
    <mergeCell ref="B878:G878"/>
    <mergeCell ref="B880:G880"/>
    <mergeCell ref="B882:G882"/>
    <mergeCell ref="B883:G883"/>
    <mergeCell ref="B872:G872"/>
    <mergeCell ref="B545:G545"/>
    <mergeCell ref="B476:G476"/>
    <mergeCell ref="B583:G583"/>
    <mergeCell ref="B584:G584"/>
    <mergeCell ref="B753:G753"/>
    <mergeCell ref="B767:G767"/>
    <mergeCell ref="B770:G770"/>
    <mergeCell ref="A581:S581"/>
    <mergeCell ref="B863:G863"/>
    <mergeCell ref="B842:G842"/>
    <mergeCell ref="B844:G844"/>
    <mergeCell ref="B822:G822"/>
    <mergeCell ref="B845:G845"/>
    <mergeCell ref="B860:G860"/>
    <mergeCell ref="B796:G796"/>
    <mergeCell ref="B809:G809"/>
    <mergeCell ref="B825:G825"/>
    <mergeCell ref="B826:G826"/>
    <mergeCell ref="B834:G834"/>
    <mergeCell ref="B835:G835"/>
    <mergeCell ref="B841:G841"/>
    <mergeCell ref="B486:G486"/>
    <mergeCell ref="A582:S582"/>
    <mergeCell ref="B534:G534"/>
    <mergeCell ref="B344:G344"/>
    <mergeCell ref="B347:G347"/>
    <mergeCell ref="B349:G349"/>
    <mergeCell ref="B353:G353"/>
    <mergeCell ref="B352:G352"/>
    <mergeCell ref="B412:G412"/>
    <mergeCell ref="B537:G537"/>
    <mergeCell ref="B499:G499"/>
    <mergeCell ref="B503:G503"/>
    <mergeCell ref="B469:G469"/>
    <mergeCell ref="B364:G364"/>
    <mergeCell ref="B405:G405"/>
    <mergeCell ref="B382:G382"/>
    <mergeCell ref="B384:G384"/>
    <mergeCell ref="B446:G446"/>
    <mergeCell ref="B373:G373"/>
    <mergeCell ref="B536:G536"/>
    <mergeCell ref="B521:G521"/>
    <mergeCell ref="B523:G523"/>
    <mergeCell ref="B516:G516"/>
    <mergeCell ref="B518:G518"/>
    <mergeCell ref="B429:G429"/>
    <mergeCell ref="B443:G443"/>
    <mergeCell ref="B380:G380"/>
    <mergeCell ref="O2:S2"/>
    <mergeCell ref="C12:C14"/>
    <mergeCell ref="A531:S531"/>
    <mergeCell ref="B532:G532"/>
    <mergeCell ref="B533:G533"/>
    <mergeCell ref="O3:S3"/>
    <mergeCell ref="B300:G300"/>
    <mergeCell ref="B261:G261"/>
    <mergeCell ref="B269:G269"/>
    <mergeCell ref="B270:G270"/>
    <mergeCell ref="B281:G281"/>
    <mergeCell ref="B282:G282"/>
    <mergeCell ref="B284:G284"/>
    <mergeCell ref="B285:G285"/>
    <mergeCell ref="A520:S520"/>
    <mergeCell ref="B244:G244"/>
    <mergeCell ref="B16:G16"/>
    <mergeCell ref="B19:G19"/>
    <mergeCell ref="B207:G207"/>
    <mergeCell ref="B231:G231"/>
    <mergeCell ref="B260:G260"/>
    <mergeCell ref="B303:G303"/>
    <mergeCell ref="B336:G336"/>
    <mergeCell ref="B304:G304"/>
    <mergeCell ref="L12:L13"/>
    <mergeCell ref="K11:K13"/>
    <mergeCell ref="A17:S17"/>
    <mergeCell ref="B188:G188"/>
    <mergeCell ref="O1:S1"/>
    <mergeCell ref="O4:S4"/>
    <mergeCell ref="O5:S5"/>
    <mergeCell ref="J12:J13"/>
    <mergeCell ref="E11:E14"/>
    <mergeCell ref="F11:F14"/>
    <mergeCell ref="L11:P11"/>
    <mergeCell ref="M12:P12"/>
    <mergeCell ref="Q11:Q13"/>
    <mergeCell ref="S11:S14"/>
    <mergeCell ref="A6:S6"/>
    <mergeCell ref="R11:R13"/>
    <mergeCell ref="A7:S7"/>
    <mergeCell ref="H11:H13"/>
    <mergeCell ref="A8:S8"/>
    <mergeCell ref="A11:A14"/>
    <mergeCell ref="A9:S9"/>
    <mergeCell ref="I12:I13"/>
    <mergeCell ref="B18:G18"/>
    <mergeCell ref="A10:S10"/>
    <mergeCell ref="G11:G14"/>
    <mergeCell ref="C11:D11"/>
    <mergeCell ref="D12:D14"/>
    <mergeCell ref="I11:J11"/>
    <mergeCell ref="B11:B14"/>
    <mergeCell ref="B339:G339"/>
    <mergeCell ref="B338:G338"/>
    <mergeCell ref="B312:G312"/>
    <mergeCell ref="B314:G314"/>
    <mergeCell ref="B316:G316"/>
    <mergeCell ref="B317:G317"/>
    <mergeCell ref="B321:G321"/>
    <mergeCell ref="B320:G320"/>
    <mergeCell ref="B325:G325"/>
    <mergeCell ref="B324:G324"/>
    <mergeCell ref="B205:G205"/>
    <mergeCell ref="B308:G308"/>
    <mergeCell ref="B307:G307"/>
    <mergeCell ref="B310:G310"/>
    <mergeCell ref="B318:G318"/>
    <mergeCell ref="B257:G257"/>
    <mergeCell ref="B332:G332"/>
    <mergeCell ref="B331:G331"/>
    <mergeCell ref="B524:G524"/>
    <mergeCell ref="B525:G525"/>
    <mergeCell ref="A522:S522"/>
    <mergeCell ref="B425:G425"/>
    <mergeCell ref="B430:G430"/>
    <mergeCell ref="B435:G435"/>
    <mergeCell ref="B434:G434"/>
    <mergeCell ref="B441:G441"/>
    <mergeCell ref="B445:G445"/>
    <mergeCell ref="B449:G449"/>
    <mergeCell ref="B470:G470"/>
    <mergeCell ref="B477:G477"/>
    <mergeCell ref="B515:G515"/>
    <mergeCell ref="B480:G480"/>
    <mergeCell ref="B479:G479"/>
    <mergeCell ref="B485:G485"/>
    <mergeCell ref="B492:G492"/>
    <mergeCell ref="B491:G491"/>
    <mergeCell ref="B494:G494"/>
    <mergeCell ref="B450:G450"/>
    <mergeCell ref="B460:G460"/>
    <mergeCell ref="B461:G461"/>
    <mergeCell ref="B466:G466"/>
    <mergeCell ref="B467:G467"/>
    <mergeCell ref="B363:G363"/>
    <mergeCell ref="B397:G397"/>
    <mergeCell ref="B496:G496"/>
    <mergeCell ref="B377:G377"/>
    <mergeCell ref="B376:G376"/>
    <mergeCell ref="B403:G403"/>
    <mergeCell ref="B474:G474"/>
    <mergeCell ref="B473:G473"/>
    <mergeCell ref="B483:G483"/>
    <mergeCell ref="B415:G415"/>
    <mergeCell ref="B417:G417"/>
    <mergeCell ref="B401:G401"/>
    <mergeCell ref="B419:G419"/>
    <mergeCell ref="B385:G385"/>
    <mergeCell ref="B424:G424"/>
  </mergeCells>
  <printOptions horizontalCentered="1"/>
  <pageMargins left="0.19685039370078741" right="0.19685039370078741" top="0.98425196850393704" bottom="0.39370078740157483" header="0.78740157480314965" footer="0"/>
  <pageSetup paperSize="9" scale="22" firstPageNumber="2" fitToHeight="0" orientation="landscape" useFirstPageNumber="1" r:id="rId11"/>
  <headerFooter>
    <oddHeader>&amp;C&amp;14&amp;P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A1537"/>
  <sheetViews>
    <sheetView view="pageBreakPreview" zoomScale="68" zoomScaleSheetLayoutView="68" workbookViewId="0">
      <pane xSplit="2" ySplit="6" topLeftCell="C514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8.85546875" defaultRowHeight="15"/>
  <cols>
    <col min="1" max="1" width="4.85546875" style="13" customWidth="1"/>
    <col min="2" max="2" width="30.7109375" style="1" customWidth="1"/>
    <col min="3" max="3" width="14.7109375" style="1" customWidth="1"/>
    <col min="4" max="4" width="13.5703125" style="1" customWidth="1"/>
    <col min="5" max="5" width="13.7109375" style="1" customWidth="1"/>
    <col min="6" max="6" width="14.7109375" style="1" customWidth="1"/>
    <col min="7" max="7" width="11.7109375" style="1" customWidth="1"/>
    <col min="8" max="8" width="11.85546875" style="1" customWidth="1"/>
    <col min="9" max="9" width="12.7109375" style="1" customWidth="1"/>
    <col min="10" max="10" width="12.140625" style="1" customWidth="1"/>
    <col min="11" max="11" width="14.42578125" style="25" customWidth="1"/>
    <col min="12" max="12" width="11.42578125" style="22" customWidth="1"/>
    <col min="13" max="13" width="16.140625" style="1" customWidth="1"/>
    <col min="14" max="14" width="11.5703125" style="22" customWidth="1"/>
    <col min="15" max="15" width="14.85546875" style="25" customWidth="1"/>
    <col min="16" max="16" width="8.28515625" style="22" customWidth="1"/>
    <col min="17" max="17" width="12.85546875" style="25" customWidth="1"/>
    <col min="18" max="18" width="11.5703125" style="22" customWidth="1"/>
    <col min="19" max="19" width="12.7109375" style="1" customWidth="1"/>
    <col min="20" max="20" width="7.5703125" style="22" customWidth="1"/>
    <col min="21" max="21" width="10.28515625" style="1" customWidth="1"/>
    <col min="22" max="22" width="13.140625" style="283" hidden="1" customWidth="1"/>
    <col min="23" max="24" width="12.28515625" style="283" customWidth="1"/>
    <col min="25" max="26" width="12.5703125" style="1" customWidth="1"/>
    <col min="27" max="28" width="11.140625" style="1" customWidth="1"/>
    <col min="29" max="30" width="11.28515625" style="1" customWidth="1"/>
    <col min="31" max="32" width="14" style="1" customWidth="1"/>
    <col min="33" max="35" width="10.7109375" style="1" customWidth="1"/>
    <col min="36" max="16384" width="8.85546875" style="1"/>
  </cols>
  <sheetData>
    <row r="1" spans="1:49" s="17" customFormat="1" ht="15.75">
      <c r="A1" s="1379" t="s">
        <v>39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379"/>
      <c r="M1" s="1379"/>
      <c r="N1" s="1379"/>
      <c r="O1" s="1379"/>
      <c r="P1" s="1379"/>
      <c r="Q1" s="1379"/>
      <c r="R1" s="1379"/>
      <c r="S1" s="1379"/>
      <c r="T1" s="1379"/>
      <c r="U1" s="1379"/>
      <c r="V1" s="279"/>
      <c r="W1" s="279"/>
      <c r="X1" s="279"/>
    </row>
    <row r="2" spans="1:49" s="17" customFormat="1" ht="17.45" customHeight="1">
      <c r="A2" s="1380" t="s">
        <v>0</v>
      </c>
      <c r="B2" s="1380" t="s">
        <v>22</v>
      </c>
      <c r="C2" s="1380" t="s">
        <v>459</v>
      </c>
      <c r="D2" s="1381" t="s">
        <v>558</v>
      </c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3"/>
      <c r="V2" s="280"/>
      <c r="W2" s="280"/>
      <c r="X2" s="280"/>
    </row>
    <row r="3" spans="1:49" s="17" customFormat="1">
      <c r="A3" s="1380"/>
      <c r="B3" s="1380"/>
      <c r="C3" s="1380"/>
      <c r="D3" s="1380" t="s">
        <v>559</v>
      </c>
      <c r="E3" s="1380"/>
      <c r="F3" s="1380"/>
      <c r="G3" s="1380"/>
      <c r="H3" s="1380"/>
      <c r="I3" s="1380"/>
      <c r="J3" s="1380"/>
      <c r="K3" s="1380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280"/>
      <c r="W3" s="280"/>
      <c r="X3" s="280"/>
    </row>
    <row r="4" spans="1:49" s="17" customFormat="1" ht="102" customHeight="1">
      <c r="A4" s="1380"/>
      <c r="B4" s="1380"/>
      <c r="C4" s="1380"/>
      <c r="D4" s="444" t="s">
        <v>556</v>
      </c>
      <c r="E4" s="445" t="s">
        <v>549</v>
      </c>
      <c r="F4" s="445" t="s">
        <v>550</v>
      </c>
      <c r="G4" s="445" t="s">
        <v>551</v>
      </c>
      <c r="H4" s="445" t="s">
        <v>552</v>
      </c>
      <c r="I4" s="445" t="s">
        <v>553</v>
      </c>
      <c r="J4" s="445" t="s">
        <v>554</v>
      </c>
      <c r="K4" s="444" t="s">
        <v>555</v>
      </c>
      <c r="L4" s="1378" t="s">
        <v>215</v>
      </c>
      <c r="M4" s="1378"/>
      <c r="N4" s="1378" t="s">
        <v>216</v>
      </c>
      <c r="O4" s="1378"/>
      <c r="P4" s="1378" t="s">
        <v>217</v>
      </c>
      <c r="Q4" s="1378"/>
      <c r="R4" s="1378" t="s">
        <v>436</v>
      </c>
      <c r="S4" s="1378"/>
      <c r="T4" s="1378" t="s">
        <v>557</v>
      </c>
      <c r="U4" s="1378"/>
      <c r="V4" s="280"/>
      <c r="W4" s="280" t="s">
        <v>576</v>
      </c>
      <c r="X4" s="280" t="s">
        <v>591</v>
      </c>
      <c r="Y4" s="272" t="s">
        <v>69</v>
      </c>
      <c r="Z4" s="273" t="s">
        <v>605</v>
      </c>
      <c r="AA4" s="273" t="s">
        <v>606</v>
      </c>
      <c r="AB4" s="273" t="s">
        <v>467</v>
      </c>
      <c r="AC4" s="272" t="s">
        <v>468</v>
      </c>
      <c r="AD4" s="273" t="s">
        <v>607</v>
      </c>
      <c r="AE4" s="627" t="s">
        <v>720</v>
      </c>
      <c r="AF4" s="273"/>
      <c r="AG4" s="272"/>
      <c r="AH4" s="273"/>
    </row>
    <row r="5" spans="1:49">
      <c r="A5" s="1380"/>
      <c r="B5" s="1380"/>
      <c r="C5" s="393" t="s">
        <v>17</v>
      </c>
      <c r="D5" s="393"/>
      <c r="E5" s="393"/>
      <c r="F5" s="393"/>
      <c r="G5" s="393"/>
      <c r="H5" s="393"/>
      <c r="I5" s="393"/>
      <c r="J5" s="393"/>
      <c r="K5" s="187" t="s">
        <v>17</v>
      </c>
      <c r="L5" s="395" t="s">
        <v>23</v>
      </c>
      <c r="M5" s="393" t="s">
        <v>17</v>
      </c>
      <c r="N5" s="395" t="s">
        <v>21</v>
      </c>
      <c r="O5" s="187" t="s">
        <v>17</v>
      </c>
      <c r="P5" s="395" t="s">
        <v>21</v>
      </c>
      <c r="Q5" s="187" t="s">
        <v>17</v>
      </c>
      <c r="R5" s="395" t="s">
        <v>21</v>
      </c>
      <c r="S5" s="393" t="s">
        <v>17</v>
      </c>
      <c r="T5" s="395" t="s">
        <v>24</v>
      </c>
      <c r="U5" s="285" t="s">
        <v>17</v>
      </c>
      <c r="V5" s="280"/>
      <c r="W5" s="280"/>
      <c r="X5" s="280"/>
      <c r="AD5" s="3"/>
      <c r="AF5" s="861" t="s">
        <v>858</v>
      </c>
      <c r="AG5" s="3" t="s">
        <v>975</v>
      </c>
    </row>
    <row r="6" spans="1:49">
      <c r="A6" s="189">
        <v>1</v>
      </c>
      <c r="B6" s="189">
        <v>2</v>
      </c>
      <c r="C6" s="189">
        <v>3</v>
      </c>
      <c r="D6" s="189">
        <v>4</v>
      </c>
      <c r="E6" s="189">
        <v>5</v>
      </c>
      <c r="F6" s="189">
        <v>6</v>
      </c>
      <c r="G6" s="189">
        <v>7</v>
      </c>
      <c r="H6" s="189">
        <v>8</v>
      </c>
      <c r="I6" s="189">
        <v>9</v>
      </c>
      <c r="J6" s="189">
        <v>10</v>
      </c>
      <c r="K6" s="190">
        <v>11</v>
      </c>
      <c r="L6" s="190">
        <v>12</v>
      </c>
      <c r="M6" s="190">
        <v>13</v>
      </c>
      <c r="N6" s="190">
        <v>14</v>
      </c>
      <c r="O6" s="190">
        <v>15</v>
      </c>
      <c r="P6" s="190">
        <v>16</v>
      </c>
      <c r="Q6" s="190">
        <v>17</v>
      </c>
      <c r="R6" s="190">
        <v>18</v>
      </c>
      <c r="S6" s="190">
        <v>19</v>
      </c>
      <c r="T6" s="190">
        <v>20</v>
      </c>
      <c r="U6" s="286">
        <v>21</v>
      </c>
      <c r="V6" s="281"/>
      <c r="W6" s="281"/>
      <c r="X6" s="281"/>
    </row>
    <row r="7" spans="1:49">
      <c r="A7" s="191"/>
      <c r="B7" s="191" t="s">
        <v>42</v>
      </c>
      <c r="C7" s="192">
        <f>C8+C177+C194+C196+C222+C235+C251+C260+C272+C275+C294+C298+C311+C315+C322+C328+C342+C353+C366+C374+C419+C424+C429+C440+C444+C456+C501+C506+C509+C516+C519+C526+C532+C537+C544+C556</f>
        <v>688029148.84000003</v>
      </c>
      <c r="D7" s="192"/>
      <c r="E7" s="192"/>
      <c r="F7" s="192"/>
      <c r="G7" s="192"/>
      <c r="H7" s="192"/>
      <c r="I7" s="192"/>
      <c r="J7" s="192"/>
      <c r="K7" s="192" t="e">
        <f>K8+K177+K194+K196+K222+K235+K251+K260+K272+K275+K294+K298+K311+K315+K322+K328+K342+K353+K366+K374+K419+K424+K429+K440+K444+K456+K501+K506+K509+K516+K519+K526+K532+K537+K544+K556</f>
        <v>#REF!</v>
      </c>
      <c r="L7" s="193">
        <v>79</v>
      </c>
      <c r="M7" s="192">
        <f>M8+M177+M194+M196+M222+M235+M251+M260+M272+M275+M294+M298+M311+M315+M322+M328+M342+M353+M366+M374+M419+M424+M429+M440+M444+M456+M501+M506+M509+M516+M519+M526+M532+M537+M544+M556</f>
        <v>109722398</v>
      </c>
      <c r="N7" s="192">
        <f>N8+N177+N194+N196+N222+N235+N251+N260+N272+N275+N294+N298+N311+N315+N322+N328+N342+N353+N366+N374+N419+N424+N429+N440+N444+N456+N501+N506+N509+N516+N519+N526+N532+N537+N544+N556</f>
        <v>181088.71</v>
      </c>
      <c r="O7" s="192">
        <f>O8+O177+O194+O196+O222+O235+O251+O260+O272+O275+O294+O298+O311+O315+O322+O328+O342+O353+O366+O374+O419+O424+O429+O440+O444+O456+O501+O506+O509+O516+O519+O526+O532+O537+O544+O556</f>
        <v>407329726.71000004</v>
      </c>
      <c r="P7" s="192">
        <v>682</v>
      </c>
      <c r="Q7" s="192">
        <f>Q8+Q177+Q194+Q196+Q222+Q235+Q251+Q260+Q272+Q275+Q294+Q298+Q311+Q315+Q322+Q328+Q342+Q353+Q366+Q374+Q419+Q424+Q429+Q440+Q444+Q456+Q501+Q506+Q509+Q516+Q519+Q526+Q532+Q537+Q544+Q556</f>
        <v>662518</v>
      </c>
      <c r="R7" s="192">
        <v>41826.129999999997</v>
      </c>
      <c r="S7" s="192">
        <f>S8+S177+S194+S196+S222+S235+S251+S260+S272+S275+S294+S298+S311+S315+S322+S328+S342+S353+S366+S374+S419+S424+S429+S440+S444+S456+S501+S506+S509+S516+S519+S526+S532+S537+S544+S556</f>
        <v>57577828.790000007</v>
      </c>
      <c r="T7" s="259">
        <v>212</v>
      </c>
      <c r="U7" s="287">
        <f>U8+U177+U194+U196+U222+U235+U251+U260+U272+U275+U294+U298+U311+U315+U322+U328+U342+U353+U366+U374+U419+U424+U429+U440+U444+U456+U501+U506+U509+U516+U519+U526+U532+U537+U544+U556</f>
        <v>728274</v>
      </c>
      <c r="V7" s="282"/>
      <c r="W7" s="282"/>
      <c r="X7" s="282"/>
    </row>
    <row r="8" spans="1:49" ht="18.75" customHeight="1">
      <c r="A8" s="430"/>
      <c r="B8" s="431" t="s">
        <v>89</v>
      </c>
      <c r="C8" s="432">
        <f>SUM(C9:C176)</f>
        <v>336230870.63</v>
      </c>
      <c r="D8" s="432"/>
      <c r="E8" s="432"/>
      <c r="F8" s="432"/>
      <c r="G8" s="432"/>
      <c r="H8" s="432"/>
      <c r="I8" s="432"/>
      <c r="J8" s="432"/>
      <c r="K8" s="432" t="e">
        <f>SUM(K9:K176)</f>
        <v>#REF!</v>
      </c>
      <c r="L8" s="433">
        <v>45</v>
      </c>
      <c r="M8" s="432">
        <f>SUM(M9:M176)</f>
        <v>84665172</v>
      </c>
      <c r="N8" s="432">
        <f t="shared" ref="N8:R8" si="0">SUM(N9:N176)</f>
        <v>64824.649999999994</v>
      </c>
      <c r="O8" s="432">
        <f>SUM(O9:O176)</f>
        <v>127943364.07000001</v>
      </c>
      <c r="P8" s="432">
        <f t="shared" si="0"/>
        <v>682</v>
      </c>
      <c r="Q8" s="432">
        <f>SUM(Q9:Q176)</f>
        <v>662518</v>
      </c>
      <c r="R8" s="432">
        <f t="shared" si="0"/>
        <v>29106.850000000002</v>
      </c>
      <c r="S8" s="432">
        <f>SUM(S9:S176)</f>
        <v>38255949.950000003</v>
      </c>
      <c r="T8" s="433">
        <v>0</v>
      </c>
      <c r="U8" s="434">
        <v>0</v>
      </c>
      <c r="V8" s="436"/>
      <c r="W8" s="436"/>
      <c r="X8" s="436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</row>
    <row r="9" spans="1:49" s="59" customFormat="1">
      <c r="A9" s="198">
        <v>1</v>
      </c>
      <c r="B9" s="195" t="s">
        <v>324</v>
      </c>
      <c r="C9" s="196">
        <v>5982216</v>
      </c>
      <c r="D9" s="196"/>
      <c r="E9" s="196"/>
      <c r="F9" s="196"/>
      <c r="G9" s="196"/>
      <c r="H9" s="196"/>
      <c r="I9" s="196"/>
      <c r="J9" s="196"/>
      <c r="K9" s="196">
        <v>0</v>
      </c>
      <c r="L9" s="194">
        <v>0</v>
      </c>
      <c r="M9" s="196">
        <v>0</v>
      </c>
      <c r="N9" s="196">
        <v>0</v>
      </c>
      <c r="O9" s="196">
        <v>0</v>
      </c>
      <c r="P9" s="194">
        <v>0</v>
      </c>
      <c r="Q9" s="196">
        <v>0</v>
      </c>
      <c r="R9" s="199">
        <v>4158.84</v>
      </c>
      <c r="S9" s="196">
        <v>5982216</v>
      </c>
      <c r="T9" s="197">
        <v>0</v>
      </c>
      <c r="U9" s="288">
        <v>0</v>
      </c>
      <c r="V9" s="282">
        <f>C9-'часть 1'!L20</f>
        <v>0</v>
      </c>
      <c r="W9" s="282"/>
      <c r="X9" s="28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296"/>
    </row>
    <row r="10" spans="1:49" s="89" customFormat="1">
      <c r="A10" s="198">
        <v>2</v>
      </c>
      <c r="B10" s="195" t="s">
        <v>325</v>
      </c>
      <c r="C10" s="196">
        <v>9379653</v>
      </c>
      <c r="D10" s="196"/>
      <c r="E10" s="196"/>
      <c r="F10" s="196"/>
      <c r="G10" s="196"/>
      <c r="H10" s="196"/>
      <c r="I10" s="196"/>
      <c r="J10" s="196"/>
      <c r="K10" s="196">
        <v>0</v>
      </c>
      <c r="L10" s="194">
        <v>5</v>
      </c>
      <c r="M10" s="196">
        <v>9379653</v>
      </c>
      <c r="N10" s="196">
        <v>0</v>
      </c>
      <c r="O10" s="196">
        <v>0</v>
      </c>
      <c r="P10" s="194">
        <v>0</v>
      </c>
      <c r="Q10" s="196">
        <v>0</v>
      </c>
      <c r="R10" s="197">
        <v>0</v>
      </c>
      <c r="S10" s="196">
        <v>0</v>
      </c>
      <c r="T10" s="197">
        <v>0</v>
      </c>
      <c r="U10" s="288">
        <v>0</v>
      </c>
      <c r="V10" s="282">
        <f>C10-'часть 1'!L21</f>
        <v>0</v>
      </c>
      <c r="W10" s="282"/>
      <c r="X10" s="28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296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</row>
    <row r="11" spans="1:49" s="59" customFormat="1">
      <c r="A11" s="198">
        <v>3</v>
      </c>
      <c r="B11" s="195" t="s">
        <v>321</v>
      </c>
      <c r="C11" s="196">
        <v>3763756</v>
      </c>
      <c r="D11" s="196"/>
      <c r="E11" s="196"/>
      <c r="F11" s="196"/>
      <c r="G11" s="196"/>
      <c r="H11" s="196"/>
      <c r="I11" s="196"/>
      <c r="J11" s="196"/>
      <c r="K11" s="196">
        <v>0</v>
      </c>
      <c r="L11" s="194">
        <v>2</v>
      </c>
      <c r="M11" s="196">
        <v>3763756</v>
      </c>
      <c r="N11" s="196">
        <v>0</v>
      </c>
      <c r="O11" s="196">
        <v>0</v>
      </c>
      <c r="P11" s="194">
        <v>0</v>
      </c>
      <c r="Q11" s="196">
        <v>0</v>
      </c>
      <c r="R11" s="200">
        <v>0</v>
      </c>
      <c r="S11" s="196">
        <v>0</v>
      </c>
      <c r="T11" s="197">
        <v>0</v>
      </c>
      <c r="U11" s="288">
        <v>0</v>
      </c>
      <c r="V11" s="282">
        <f>C11-'часть 1'!L22</f>
        <v>0</v>
      </c>
      <c r="W11" s="282"/>
      <c r="X11" s="28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296"/>
    </row>
    <row r="12" spans="1:49" s="59" customFormat="1">
      <c r="A12" s="198">
        <v>4</v>
      </c>
      <c r="B12" s="195" t="s">
        <v>346</v>
      </c>
      <c r="C12" s="196">
        <v>1095812</v>
      </c>
      <c r="D12" s="196"/>
      <c r="E12" s="196"/>
      <c r="F12" s="196"/>
      <c r="G12" s="196"/>
      <c r="H12" s="196"/>
      <c r="I12" s="196"/>
      <c r="J12" s="196"/>
      <c r="K12" s="196">
        <v>1095812</v>
      </c>
      <c r="L12" s="194">
        <v>0</v>
      </c>
      <c r="M12" s="196">
        <v>0</v>
      </c>
      <c r="N12" s="196">
        <v>0</v>
      </c>
      <c r="O12" s="196">
        <v>0</v>
      </c>
      <c r="P12" s="194">
        <v>0</v>
      </c>
      <c r="Q12" s="196">
        <v>0</v>
      </c>
      <c r="R12" s="200">
        <v>0</v>
      </c>
      <c r="S12" s="196">
        <v>0</v>
      </c>
      <c r="T12" s="197">
        <v>0</v>
      </c>
      <c r="U12" s="288">
        <v>0</v>
      </c>
      <c r="V12" s="282">
        <f>C12-'часть 1'!L23</f>
        <v>0</v>
      </c>
      <c r="W12" s="282"/>
      <c r="X12" s="28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296"/>
    </row>
    <row r="13" spans="1:49" s="59" customFormat="1">
      <c r="A13" s="198">
        <v>5</v>
      </c>
      <c r="B13" s="195" t="s">
        <v>322</v>
      </c>
      <c r="C13" s="196">
        <v>5619141</v>
      </c>
      <c r="D13" s="196"/>
      <c r="E13" s="196"/>
      <c r="F13" s="196"/>
      <c r="G13" s="196"/>
      <c r="H13" s="196"/>
      <c r="I13" s="196"/>
      <c r="J13" s="196"/>
      <c r="K13" s="196">
        <v>0</v>
      </c>
      <c r="L13" s="194">
        <v>3</v>
      </c>
      <c r="M13" s="196">
        <v>5619141</v>
      </c>
      <c r="N13" s="196">
        <v>0</v>
      </c>
      <c r="O13" s="196">
        <v>0</v>
      </c>
      <c r="P13" s="194">
        <v>0</v>
      </c>
      <c r="Q13" s="196">
        <v>0</v>
      </c>
      <c r="R13" s="200">
        <v>0</v>
      </c>
      <c r="S13" s="196">
        <v>0</v>
      </c>
      <c r="T13" s="197">
        <v>0</v>
      </c>
      <c r="U13" s="288">
        <v>0</v>
      </c>
      <c r="V13" s="282">
        <f>C13-'часть 1'!L24</f>
        <v>0</v>
      </c>
      <c r="W13" s="282"/>
      <c r="X13" s="28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296"/>
    </row>
    <row r="14" spans="1:49" s="59" customFormat="1">
      <c r="A14" s="198">
        <v>6</v>
      </c>
      <c r="B14" s="195" t="s">
        <v>320</v>
      </c>
      <c r="C14" s="196">
        <v>3748388</v>
      </c>
      <c r="D14" s="196"/>
      <c r="E14" s="196"/>
      <c r="F14" s="196"/>
      <c r="G14" s="196"/>
      <c r="H14" s="196"/>
      <c r="I14" s="196"/>
      <c r="J14" s="196"/>
      <c r="K14" s="196">
        <v>0</v>
      </c>
      <c r="L14" s="194">
        <v>2</v>
      </c>
      <c r="M14" s="196">
        <v>3748388</v>
      </c>
      <c r="N14" s="196">
        <v>0</v>
      </c>
      <c r="O14" s="196">
        <v>0</v>
      </c>
      <c r="P14" s="194">
        <v>0</v>
      </c>
      <c r="Q14" s="196">
        <v>0</v>
      </c>
      <c r="R14" s="197">
        <v>0</v>
      </c>
      <c r="S14" s="196">
        <v>0</v>
      </c>
      <c r="T14" s="197">
        <v>0</v>
      </c>
      <c r="U14" s="288">
        <v>0</v>
      </c>
      <c r="V14" s="282">
        <f>C14-'часть 1'!L25</f>
        <v>0</v>
      </c>
      <c r="W14" s="282"/>
      <c r="X14" s="28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296"/>
    </row>
    <row r="15" spans="1:49" s="59" customFormat="1">
      <c r="A15" s="198">
        <v>7</v>
      </c>
      <c r="B15" s="195" t="s">
        <v>327</v>
      </c>
      <c r="C15" s="196">
        <v>15157748</v>
      </c>
      <c r="D15" s="196"/>
      <c r="E15" s="196"/>
      <c r="F15" s="196"/>
      <c r="G15" s="196"/>
      <c r="H15" s="196"/>
      <c r="I15" s="196"/>
      <c r="J15" s="196"/>
      <c r="K15" s="196">
        <v>0</v>
      </c>
      <c r="L15" s="194">
        <v>8</v>
      </c>
      <c r="M15" s="196">
        <f>C15</f>
        <v>15157748</v>
      </c>
      <c r="N15" s="196">
        <v>0</v>
      </c>
      <c r="O15" s="196">
        <v>0</v>
      </c>
      <c r="P15" s="194">
        <v>0</v>
      </c>
      <c r="Q15" s="196">
        <v>0</v>
      </c>
      <c r="R15" s="197">
        <v>0</v>
      </c>
      <c r="S15" s="196">
        <v>0</v>
      </c>
      <c r="T15" s="197">
        <v>0</v>
      </c>
      <c r="U15" s="288">
        <v>0</v>
      </c>
      <c r="V15" s="282">
        <f>C15-'часть 1'!L26</f>
        <v>0</v>
      </c>
      <c r="W15" s="282"/>
      <c r="X15" s="28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296"/>
    </row>
    <row r="16" spans="1:49" s="59" customFormat="1">
      <c r="A16" s="198">
        <v>8</v>
      </c>
      <c r="B16" s="195" t="s">
        <v>323</v>
      </c>
      <c r="C16" s="196">
        <v>1030213</v>
      </c>
      <c r="D16" s="196"/>
      <c r="E16" s="196"/>
      <c r="F16" s="196"/>
      <c r="G16" s="196"/>
      <c r="H16" s="196"/>
      <c r="I16" s="196"/>
      <c r="J16" s="196"/>
      <c r="K16" s="196">
        <v>0</v>
      </c>
      <c r="L16" s="194">
        <v>0</v>
      </c>
      <c r="M16" s="196">
        <v>0</v>
      </c>
      <c r="N16" s="196">
        <v>513.79999999999995</v>
      </c>
      <c r="O16" s="199">
        <f>C16</f>
        <v>1030213</v>
      </c>
      <c r="P16" s="194">
        <v>0</v>
      </c>
      <c r="Q16" s="196">
        <v>0</v>
      </c>
      <c r="R16" s="200">
        <v>0</v>
      </c>
      <c r="S16" s="196">
        <v>0</v>
      </c>
      <c r="T16" s="197">
        <v>0</v>
      </c>
      <c r="U16" s="288">
        <v>0</v>
      </c>
      <c r="V16" s="282">
        <f>C16-'часть 1'!L27</f>
        <v>0</v>
      </c>
      <c r="W16" s="282"/>
      <c r="X16" s="28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296"/>
    </row>
    <row r="17" spans="1:49" s="59" customFormat="1">
      <c r="A17" s="198">
        <v>9</v>
      </c>
      <c r="B17" s="195" t="s">
        <v>319</v>
      </c>
      <c r="C17" s="196">
        <v>530465</v>
      </c>
      <c r="D17" s="196"/>
      <c r="E17" s="196"/>
      <c r="F17" s="196"/>
      <c r="G17" s="196"/>
      <c r="H17" s="196"/>
      <c r="I17" s="196"/>
      <c r="J17" s="196"/>
      <c r="K17" s="196" t="e">
        <f>#REF!</f>
        <v>#REF!</v>
      </c>
      <c r="L17" s="194">
        <v>0</v>
      </c>
      <c r="M17" s="196">
        <v>0</v>
      </c>
      <c r="N17" s="199">
        <v>0</v>
      </c>
      <c r="O17" s="196">
        <v>0</v>
      </c>
      <c r="P17" s="194">
        <v>0</v>
      </c>
      <c r="Q17" s="196">
        <v>0</v>
      </c>
      <c r="R17" s="200">
        <v>0</v>
      </c>
      <c r="S17" s="196">
        <v>0</v>
      </c>
      <c r="T17" s="197">
        <v>0</v>
      </c>
      <c r="U17" s="288">
        <v>0</v>
      </c>
      <c r="V17" s="282">
        <f>C17-'часть 1'!L28</f>
        <v>0</v>
      </c>
      <c r="W17" s="282"/>
      <c r="X17" s="28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296"/>
    </row>
    <row r="18" spans="1:49" s="59" customFormat="1">
      <c r="A18" s="198">
        <v>10</v>
      </c>
      <c r="B18" s="195" t="s">
        <v>326</v>
      </c>
      <c r="C18" s="196">
        <v>1983854</v>
      </c>
      <c r="D18" s="196"/>
      <c r="E18" s="196"/>
      <c r="F18" s="196"/>
      <c r="G18" s="196"/>
      <c r="H18" s="196"/>
      <c r="I18" s="196"/>
      <c r="J18" s="196"/>
      <c r="K18" s="196">
        <v>0</v>
      </c>
      <c r="L18" s="194">
        <v>0</v>
      </c>
      <c r="M18" s="196">
        <v>0</v>
      </c>
      <c r="N18" s="196">
        <v>1000</v>
      </c>
      <c r="O18" s="196">
        <v>1983854</v>
      </c>
      <c r="P18" s="194">
        <v>0</v>
      </c>
      <c r="Q18" s="196">
        <v>0</v>
      </c>
      <c r="R18" s="197">
        <v>0</v>
      </c>
      <c r="S18" s="196">
        <v>0</v>
      </c>
      <c r="T18" s="197">
        <v>0</v>
      </c>
      <c r="U18" s="288">
        <v>0</v>
      </c>
      <c r="V18" s="282">
        <f>C18-'часть 1'!L29</f>
        <v>0</v>
      </c>
      <c r="W18" s="282"/>
      <c r="X18" s="28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296"/>
    </row>
    <row r="19" spans="1:49" s="59" customFormat="1">
      <c r="A19" s="198">
        <v>11</v>
      </c>
      <c r="B19" s="195" t="s">
        <v>388</v>
      </c>
      <c r="C19" s="196">
        <v>1206304</v>
      </c>
      <c r="D19" s="196"/>
      <c r="E19" s="196"/>
      <c r="F19" s="196"/>
      <c r="G19" s="196"/>
      <c r="H19" s="196"/>
      <c r="I19" s="196"/>
      <c r="J19" s="196"/>
      <c r="K19" s="196">
        <v>0</v>
      </c>
      <c r="L19" s="194">
        <v>0</v>
      </c>
      <c r="M19" s="196">
        <v>0</v>
      </c>
      <c r="N19" s="196">
        <v>576</v>
      </c>
      <c r="O19" s="196">
        <v>1206304</v>
      </c>
      <c r="P19" s="194">
        <v>0</v>
      </c>
      <c r="Q19" s="196">
        <v>0</v>
      </c>
      <c r="R19" s="197">
        <v>0</v>
      </c>
      <c r="S19" s="196">
        <v>0</v>
      </c>
      <c r="T19" s="197">
        <v>0</v>
      </c>
      <c r="U19" s="288">
        <v>0</v>
      </c>
      <c r="V19" s="282">
        <f>C19-'часть 1'!L30</f>
        <v>0</v>
      </c>
      <c r="W19" s="282"/>
      <c r="X19" s="28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296"/>
    </row>
    <row r="20" spans="1:49" s="59" customFormat="1" ht="30">
      <c r="A20" s="198">
        <v>12</v>
      </c>
      <c r="B20" s="195" t="s">
        <v>419</v>
      </c>
      <c r="C20" s="196">
        <v>402530.2</v>
      </c>
      <c r="D20" s="196"/>
      <c r="E20" s="196"/>
      <c r="F20" s="196"/>
      <c r="G20" s="196"/>
      <c r="H20" s="196"/>
      <c r="I20" s="196"/>
      <c r="J20" s="196"/>
      <c r="K20" s="196">
        <v>402530.2</v>
      </c>
      <c r="L20" s="194">
        <v>0</v>
      </c>
      <c r="M20" s="196">
        <v>0</v>
      </c>
      <c r="N20" s="196">
        <v>0</v>
      </c>
      <c r="O20" s="196">
        <v>0</v>
      </c>
      <c r="P20" s="194">
        <v>0</v>
      </c>
      <c r="Q20" s="196">
        <v>0</v>
      </c>
      <c r="R20" s="197">
        <v>0</v>
      </c>
      <c r="S20" s="196">
        <v>0</v>
      </c>
      <c r="T20" s="197">
        <v>0</v>
      </c>
      <c r="U20" s="288">
        <v>0</v>
      </c>
      <c r="V20" s="282">
        <f>C20-'часть 1'!L31</f>
        <v>0</v>
      </c>
      <c r="W20" s="282"/>
      <c r="X20" s="28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296"/>
    </row>
    <row r="21" spans="1:49" s="59" customFormat="1">
      <c r="A21" s="198">
        <v>13</v>
      </c>
      <c r="B21" s="195" t="s">
        <v>387</v>
      </c>
      <c r="C21" s="196">
        <v>2861497</v>
      </c>
      <c r="D21" s="196"/>
      <c r="E21" s="196"/>
      <c r="F21" s="196"/>
      <c r="G21" s="196"/>
      <c r="H21" s="196"/>
      <c r="I21" s="196"/>
      <c r="J21" s="196"/>
      <c r="K21" s="196">
        <v>0</v>
      </c>
      <c r="L21" s="194">
        <v>0</v>
      </c>
      <c r="M21" s="196">
        <v>0</v>
      </c>
      <c r="N21" s="196">
        <v>1450</v>
      </c>
      <c r="O21" s="196">
        <v>2861497</v>
      </c>
      <c r="P21" s="194">
        <v>0</v>
      </c>
      <c r="Q21" s="196">
        <v>0</v>
      </c>
      <c r="R21" s="197">
        <v>0</v>
      </c>
      <c r="S21" s="196">
        <v>0</v>
      </c>
      <c r="T21" s="197">
        <v>0</v>
      </c>
      <c r="U21" s="288">
        <v>0</v>
      </c>
      <c r="V21" s="282">
        <f>C21-'часть 1'!L32</f>
        <v>0</v>
      </c>
      <c r="W21" s="282"/>
      <c r="X21" s="28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296"/>
    </row>
    <row r="22" spans="1:49" s="59" customFormat="1">
      <c r="A22" s="198">
        <v>14</v>
      </c>
      <c r="B22" s="195" t="s">
        <v>334</v>
      </c>
      <c r="C22" s="196">
        <v>1535065.47</v>
      </c>
      <c r="D22" s="196"/>
      <c r="E22" s="196"/>
      <c r="F22" s="196"/>
      <c r="G22" s="196"/>
      <c r="H22" s="196"/>
      <c r="I22" s="196"/>
      <c r="J22" s="196"/>
      <c r="K22" s="196">
        <v>0</v>
      </c>
      <c r="L22" s="194">
        <v>0</v>
      </c>
      <c r="M22" s="196">
        <v>0</v>
      </c>
      <c r="N22" s="196">
        <v>0</v>
      </c>
      <c r="O22" s="196">
        <v>0</v>
      </c>
      <c r="P22" s="194">
        <v>0</v>
      </c>
      <c r="Q22" s="196">
        <v>0</v>
      </c>
      <c r="R22" s="196">
        <v>1641</v>
      </c>
      <c r="S22" s="196">
        <v>1535065.47</v>
      </c>
      <c r="T22" s="197">
        <v>0</v>
      </c>
      <c r="U22" s="288">
        <v>0</v>
      </c>
      <c r="V22" s="282">
        <f>C22-'часть 1'!L33</f>
        <v>0</v>
      </c>
      <c r="W22" s="282"/>
      <c r="X22" s="28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296"/>
    </row>
    <row r="23" spans="1:49" s="59" customFormat="1">
      <c r="A23" s="198">
        <v>15</v>
      </c>
      <c r="B23" s="195" t="s">
        <v>330</v>
      </c>
      <c r="C23" s="196">
        <v>930534</v>
      </c>
      <c r="D23" s="196"/>
      <c r="E23" s="196"/>
      <c r="F23" s="196"/>
      <c r="G23" s="196"/>
      <c r="H23" s="196"/>
      <c r="I23" s="196"/>
      <c r="J23" s="196"/>
      <c r="K23" s="196">
        <v>930534</v>
      </c>
      <c r="L23" s="194">
        <v>0</v>
      </c>
      <c r="M23" s="196">
        <v>0</v>
      </c>
      <c r="N23" s="196">
        <v>0</v>
      </c>
      <c r="O23" s="196">
        <v>0</v>
      </c>
      <c r="P23" s="194">
        <v>0</v>
      </c>
      <c r="Q23" s="196">
        <v>0</v>
      </c>
      <c r="R23" s="200">
        <v>0</v>
      </c>
      <c r="S23" s="196">
        <v>0</v>
      </c>
      <c r="T23" s="197">
        <v>0</v>
      </c>
      <c r="U23" s="288">
        <v>0</v>
      </c>
      <c r="V23" s="282">
        <f>C23-'часть 1'!L34</f>
        <v>0</v>
      </c>
      <c r="W23" s="282"/>
      <c r="X23" s="282"/>
      <c r="Y23" s="4"/>
      <c r="Z23" s="12"/>
      <c r="AA23" s="12"/>
      <c r="AB23" s="12"/>
      <c r="AC23" s="12"/>
      <c r="AD23" s="12"/>
      <c r="AE23" s="12"/>
      <c r="AF23" s="12"/>
      <c r="AG23" s="12"/>
      <c r="AH23" s="12"/>
      <c r="AI23" s="296"/>
    </row>
    <row r="24" spans="1:49" s="59" customFormat="1">
      <c r="A24" s="198">
        <v>16</v>
      </c>
      <c r="B24" s="195" t="s">
        <v>328</v>
      </c>
      <c r="C24" s="196">
        <v>662518</v>
      </c>
      <c r="D24" s="196"/>
      <c r="E24" s="196"/>
      <c r="F24" s="196"/>
      <c r="G24" s="196"/>
      <c r="H24" s="196"/>
      <c r="I24" s="196"/>
      <c r="J24" s="196"/>
      <c r="K24" s="196">
        <v>0</v>
      </c>
      <c r="L24" s="194">
        <v>0</v>
      </c>
      <c r="M24" s="196">
        <v>0</v>
      </c>
      <c r="N24" s="196">
        <v>0</v>
      </c>
      <c r="O24" s="196">
        <v>0</v>
      </c>
      <c r="P24" s="196">
        <v>682</v>
      </c>
      <c r="Q24" s="196">
        <f>C24</f>
        <v>662518</v>
      </c>
      <c r="R24" s="197">
        <v>0</v>
      </c>
      <c r="S24" s="196">
        <v>0</v>
      </c>
      <c r="T24" s="197">
        <v>0</v>
      </c>
      <c r="U24" s="288">
        <v>0</v>
      </c>
      <c r="V24" s="282">
        <f>C24-'часть 1'!L35</f>
        <v>0</v>
      </c>
      <c r="W24" s="282"/>
      <c r="X24" s="28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296"/>
    </row>
    <row r="25" spans="1:49" s="59" customFormat="1">
      <c r="A25" s="198">
        <v>17</v>
      </c>
      <c r="B25" s="195" t="s">
        <v>333</v>
      </c>
      <c r="C25" s="196">
        <v>2346663</v>
      </c>
      <c r="D25" s="196"/>
      <c r="E25" s="196"/>
      <c r="F25" s="196"/>
      <c r="G25" s="196"/>
      <c r="H25" s="196"/>
      <c r="I25" s="196"/>
      <c r="J25" s="196"/>
      <c r="K25" s="196">
        <v>2346663</v>
      </c>
      <c r="L25" s="194">
        <v>0</v>
      </c>
      <c r="M25" s="196">
        <v>0</v>
      </c>
      <c r="N25" s="199">
        <v>0</v>
      </c>
      <c r="O25" s="196">
        <v>0</v>
      </c>
      <c r="P25" s="194">
        <v>0</v>
      </c>
      <c r="Q25" s="196">
        <v>0</v>
      </c>
      <c r="R25" s="200">
        <v>0</v>
      </c>
      <c r="S25" s="196">
        <v>0</v>
      </c>
      <c r="T25" s="197">
        <v>0</v>
      </c>
      <c r="U25" s="288">
        <v>0</v>
      </c>
      <c r="V25" s="282">
        <f>C25-'часть 1'!L36</f>
        <v>0</v>
      </c>
      <c r="W25" s="282"/>
      <c r="X25" s="282"/>
      <c r="Y25" s="12"/>
      <c r="Z25" s="12"/>
      <c r="AA25" s="12"/>
      <c r="AB25" s="12"/>
      <c r="AC25" s="12"/>
      <c r="AD25" s="12"/>
      <c r="AE25" s="15"/>
      <c r="AF25" s="12"/>
      <c r="AG25" s="12"/>
      <c r="AH25" s="12"/>
      <c r="AI25" s="296"/>
    </row>
    <row r="26" spans="1:49" s="59" customFormat="1">
      <c r="A26" s="198">
        <v>18</v>
      </c>
      <c r="B26" s="195" t="s">
        <v>331</v>
      </c>
      <c r="C26" s="196">
        <v>727019</v>
      </c>
      <c r="D26" s="196"/>
      <c r="E26" s="196"/>
      <c r="F26" s="196"/>
      <c r="G26" s="196"/>
      <c r="H26" s="196"/>
      <c r="I26" s="196"/>
      <c r="J26" s="196"/>
      <c r="K26" s="196">
        <v>727019</v>
      </c>
      <c r="L26" s="194">
        <v>0</v>
      </c>
      <c r="M26" s="196">
        <v>0</v>
      </c>
      <c r="N26" s="196">
        <v>0</v>
      </c>
      <c r="O26" s="196">
        <v>0</v>
      </c>
      <c r="P26" s="194">
        <v>0</v>
      </c>
      <c r="Q26" s="196">
        <v>0</v>
      </c>
      <c r="R26" s="200">
        <v>0</v>
      </c>
      <c r="S26" s="196">
        <v>0</v>
      </c>
      <c r="T26" s="197">
        <v>0</v>
      </c>
      <c r="U26" s="288">
        <v>0</v>
      </c>
      <c r="V26" s="282">
        <f>C26-'часть 1'!L37</f>
        <v>0</v>
      </c>
      <c r="W26" s="282"/>
      <c r="X26" s="28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96"/>
    </row>
    <row r="27" spans="1:49" s="59" customFormat="1">
      <c r="A27" s="198">
        <v>19</v>
      </c>
      <c r="B27" s="195" t="s">
        <v>329</v>
      </c>
      <c r="C27" s="196">
        <v>538121</v>
      </c>
      <c r="D27" s="196"/>
      <c r="E27" s="196"/>
      <c r="F27" s="196"/>
      <c r="G27" s="196"/>
      <c r="H27" s="196"/>
      <c r="I27" s="196"/>
      <c r="J27" s="196"/>
      <c r="K27" s="196">
        <v>538121</v>
      </c>
      <c r="L27" s="194">
        <v>0</v>
      </c>
      <c r="M27" s="196">
        <v>0</v>
      </c>
      <c r="N27" s="196">
        <v>0</v>
      </c>
      <c r="O27" s="196">
        <v>0</v>
      </c>
      <c r="P27" s="194">
        <v>0</v>
      </c>
      <c r="Q27" s="196">
        <v>0</v>
      </c>
      <c r="R27" s="197">
        <v>0</v>
      </c>
      <c r="S27" s="196">
        <v>0</v>
      </c>
      <c r="T27" s="197">
        <v>0</v>
      </c>
      <c r="U27" s="288">
        <v>0</v>
      </c>
      <c r="V27" s="282">
        <f>C27-'часть 1'!L38</f>
        <v>0</v>
      </c>
      <c r="W27" s="282"/>
      <c r="X27" s="282"/>
      <c r="Y27" s="4"/>
      <c r="Z27" s="12"/>
      <c r="AA27" s="12"/>
      <c r="AB27" s="12"/>
      <c r="AC27" s="12"/>
      <c r="AD27" s="12"/>
      <c r="AE27" s="12"/>
      <c r="AF27" s="12"/>
      <c r="AG27" s="12"/>
      <c r="AH27" s="12"/>
      <c r="AI27" s="296"/>
    </row>
    <row r="28" spans="1:49" s="59" customFormat="1">
      <c r="A28" s="198">
        <v>20</v>
      </c>
      <c r="B28" s="195" t="s">
        <v>332</v>
      </c>
      <c r="C28" s="196">
        <v>1756852</v>
      </c>
      <c r="D28" s="196"/>
      <c r="E28" s="196"/>
      <c r="F28" s="196"/>
      <c r="G28" s="196"/>
      <c r="H28" s="196"/>
      <c r="I28" s="196"/>
      <c r="J28" s="196"/>
      <c r="K28" s="196">
        <v>0</v>
      </c>
      <c r="L28" s="194">
        <v>0</v>
      </c>
      <c r="M28" s="196">
        <v>0</v>
      </c>
      <c r="N28" s="196">
        <v>891</v>
      </c>
      <c r="O28" s="196">
        <v>1756852</v>
      </c>
      <c r="P28" s="194">
        <v>0</v>
      </c>
      <c r="Q28" s="196">
        <v>0</v>
      </c>
      <c r="R28" s="197">
        <v>0</v>
      </c>
      <c r="S28" s="196">
        <v>0</v>
      </c>
      <c r="T28" s="197">
        <v>0</v>
      </c>
      <c r="U28" s="288">
        <v>0</v>
      </c>
      <c r="V28" s="282">
        <f>C28-'часть 1'!L39</f>
        <v>0</v>
      </c>
      <c r="W28" s="282"/>
      <c r="X28" s="28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296"/>
    </row>
    <row r="29" spans="1:49" s="59" customFormat="1">
      <c r="A29" s="198">
        <v>21</v>
      </c>
      <c r="B29" s="195" t="s">
        <v>316</v>
      </c>
      <c r="C29" s="196">
        <v>676398.28</v>
      </c>
      <c r="D29" s="196"/>
      <c r="E29" s="196"/>
      <c r="F29" s="196"/>
      <c r="G29" s="196"/>
      <c r="H29" s="196"/>
      <c r="I29" s="196"/>
      <c r="J29" s="196"/>
      <c r="K29" s="196">
        <v>0</v>
      </c>
      <c r="L29" s="194">
        <v>0</v>
      </c>
      <c r="M29" s="196">
        <v>0</v>
      </c>
      <c r="N29" s="196">
        <v>0</v>
      </c>
      <c r="O29" s="196">
        <v>0</v>
      </c>
      <c r="P29" s="194">
        <v>0</v>
      </c>
      <c r="Q29" s="196">
        <v>0</v>
      </c>
      <c r="R29" s="196">
        <v>1444</v>
      </c>
      <c r="S29" s="196">
        <v>676398.28</v>
      </c>
      <c r="T29" s="197">
        <v>0</v>
      </c>
      <c r="U29" s="288">
        <v>0</v>
      </c>
      <c r="V29" s="282">
        <f>C29-'часть 1'!L40</f>
        <v>0</v>
      </c>
      <c r="W29" s="282"/>
      <c r="X29" s="28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296"/>
    </row>
    <row r="30" spans="1:49" s="59" customFormat="1">
      <c r="A30" s="198">
        <v>22</v>
      </c>
      <c r="B30" s="195" t="s">
        <v>313</v>
      </c>
      <c r="C30" s="196">
        <v>766539</v>
      </c>
      <c r="D30" s="196"/>
      <c r="E30" s="196"/>
      <c r="F30" s="196"/>
      <c r="G30" s="196"/>
      <c r="H30" s="196"/>
      <c r="I30" s="196"/>
      <c r="J30" s="196"/>
      <c r="K30" s="196">
        <v>0</v>
      </c>
      <c r="L30" s="194">
        <v>0</v>
      </c>
      <c r="M30" s="196">
        <v>0</v>
      </c>
      <c r="N30" s="196">
        <v>378.5</v>
      </c>
      <c r="O30" s="196">
        <v>766539</v>
      </c>
      <c r="P30" s="194">
        <v>0</v>
      </c>
      <c r="Q30" s="196">
        <v>0</v>
      </c>
      <c r="R30" s="197">
        <v>0</v>
      </c>
      <c r="S30" s="196">
        <v>0</v>
      </c>
      <c r="T30" s="197">
        <v>0</v>
      </c>
      <c r="U30" s="288">
        <v>0</v>
      </c>
      <c r="V30" s="282">
        <f>C30-'часть 1'!L41</f>
        <v>0</v>
      </c>
      <c r="W30" s="282"/>
      <c r="X30" s="28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296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</row>
    <row r="31" spans="1:49" s="59" customFormat="1">
      <c r="A31" s="198">
        <v>23</v>
      </c>
      <c r="B31" s="195" t="s">
        <v>312</v>
      </c>
      <c r="C31" s="196">
        <v>1186114</v>
      </c>
      <c r="D31" s="196"/>
      <c r="E31" s="196"/>
      <c r="F31" s="196"/>
      <c r="G31" s="196"/>
      <c r="H31" s="196"/>
      <c r="I31" s="196"/>
      <c r="J31" s="196"/>
      <c r="K31" s="196">
        <v>0</v>
      </c>
      <c r="L31" s="194">
        <v>0</v>
      </c>
      <c r="M31" s="196">
        <v>0</v>
      </c>
      <c r="N31" s="196">
        <v>586.29999999999995</v>
      </c>
      <c r="O31" s="196">
        <v>1186114</v>
      </c>
      <c r="P31" s="194">
        <v>0</v>
      </c>
      <c r="Q31" s="196">
        <v>0</v>
      </c>
      <c r="R31" s="197">
        <v>0</v>
      </c>
      <c r="S31" s="196">
        <v>0</v>
      </c>
      <c r="T31" s="197">
        <v>0</v>
      </c>
      <c r="U31" s="288">
        <v>0</v>
      </c>
      <c r="V31" s="282">
        <f>C31-'часть 1'!L42</f>
        <v>0</v>
      </c>
      <c r="W31" s="282"/>
      <c r="X31" s="28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296"/>
    </row>
    <row r="32" spans="1:49" s="89" customFormat="1">
      <c r="A32" s="198">
        <v>24</v>
      </c>
      <c r="B32" s="195" t="s">
        <v>311</v>
      </c>
      <c r="C32" s="196">
        <v>178272.59</v>
      </c>
      <c r="D32" s="196"/>
      <c r="E32" s="196"/>
      <c r="F32" s="196"/>
      <c r="G32" s="196"/>
      <c r="H32" s="196"/>
      <c r="I32" s="196"/>
      <c r="J32" s="196"/>
      <c r="K32" s="196">
        <v>178272.59</v>
      </c>
      <c r="L32" s="194">
        <v>0</v>
      </c>
      <c r="M32" s="196">
        <v>0</v>
      </c>
      <c r="N32" s="199">
        <v>0</v>
      </c>
      <c r="O32" s="196">
        <v>0</v>
      </c>
      <c r="P32" s="194">
        <v>0</v>
      </c>
      <c r="Q32" s="196">
        <v>0</v>
      </c>
      <c r="R32" s="200">
        <v>0</v>
      </c>
      <c r="S32" s="196">
        <v>0</v>
      </c>
      <c r="T32" s="197">
        <v>0</v>
      </c>
      <c r="U32" s="288">
        <v>0</v>
      </c>
      <c r="V32" s="282">
        <f>C32-'часть 1'!L43</f>
        <v>0</v>
      </c>
      <c r="W32" s="282"/>
      <c r="X32" s="28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296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</row>
    <row r="33" spans="1:49" s="59" customFormat="1">
      <c r="A33" s="198">
        <v>25</v>
      </c>
      <c r="B33" s="195" t="s">
        <v>315</v>
      </c>
      <c r="C33" s="196">
        <v>1087116</v>
      </c>
      <c r="D33" s="196"/>
      <c r="E33" s="196"/>
      <c r="F33" s="196"/>
      <c r="G33" s="196"/>
      <c r="H33" s="196"/>
      <c r="I33" s="196"/>
      <c r="J33" s="196"/>
      <c r="K33" s="196" t="e">
        <f>#REF!</f>
        <v>#REF!</v>
      </c>
      <c r="L33" s="194">
        <v>0</v>
      </c>
      <c r="M33" s="196">
        <v>0</v>
      </c>
      <c r="N33" s="196">
        <v>0</v>
      </c>
      <c r="O33" s="196">
        <v>0</v>
      </c>
      <c r="P33" s="194">
        <v>0</v>
      </c>
      <c r="Q33" s="196">
        <v>0</v>
      </c>
      <c r="R33" s="197">
        <v>0</v>
      </c>
      <c r="S33" s="196">
        <v>0</v>
      </c>
      <c r="T33" s="197">
        <v>0</v>
      </c>
      <c r="U33" s="288">
        <v>0</v>
      </c>
      <c r="V33" s="282">
        <f>C33-'часть 1'!L44</f>
        <v>0</v>
      </c>
      <c r="W33" s="282"/>
      <c r="X33" s="28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296"/>
    </row>
    <row r="34" spans="1:49" s="59" customFormat="1">
      <c r="A34" s="198">
        <v>26</v>
      </c>
      <c r="B34" s="195" t="s">
        <v>351</v>
      </c>
      <c r="C34" s="196">
        <v>1411363</v>
      </c>
      <c r="D34" s="196"/>
      <c r="E34" s="196"/>
      <c r="F34" s="196"/>
      <c r="G34" s="196"/>
      <c r="H34" s="196"/>
      <c r="I34" s="196"/>
      <c r="J34" s="196"/>
      <c r="K34" s="196">
        <v>0</v>
      </c>
      <c r="L34" s="194">
        <v>0</v>
      </c>
      <c r="M34" s="196">
        <v>0</v>
      </c>
      <c r="N34" s="196">
        <v>702</v>
      </c>
      <c r="O34" s="196">
        <v>1411363</v>
      </c>
      <c r="P34" s="194">
        <v>0</v>
      </c>
      <c r="Q34" s="196">
        <v>0</v>
      </c>
      <c r="R34" s="197">
        <v>0</v>
      </c>
      <c r="S34" s="196">
        <v>0</v>
      </c>
      <c r="T34" s="197">
        <v>0</v>
      </c>
      <c r="U34" s="288">
        <v>0</v>
      </c>
      <c r="V34" s="282">
        <f>C34-'часть 1'!L45</f>
        <v>0</v>
      </c>
      <c r="W34" s="282"/>
      <c r="X34" s="28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296"/>
    </row>
    <row r="35" spans="1:49" s="59" customFormat="1">
      <c r="A35" s="198">
        <v>27</v>
      </c>
      <c r="B35" s="195" t="s">
        <v>314</v>
      </c>
      <c r="C35" s="196">
        <v>1136666</v>
      </c>
      <c r="D35" s="196"/>
      <c r="E35" s="196"/>
      <c r="F35" s="196"/>
      <c r="G35" s="196"/>
      <c r="H35" s="196"/>
      <c r="I35" s="196"/>
      <c r="J35" s="196"/>
      <c r="K35" s="196">
        <v>0</v>
      </c>
      <c r="L35" s="194">
        <v>0</v>
      </c>
      <c r="M35" s="196">
        <v>0</v>
      </c>
      <c r="N35" s="196">
        <v>552</v>
      </c>
      <c r="O35" s="196">
        <v>1136666</v>
      </c>
      <c r="P35" s="194">
        <v>0</v>
      </c>
      <c r="Q35" s="196">
        <v>0</v>
      </c>
      <c r="R35" s="200">
        <v>0</v>
      </c>
      <c r="S35" s="196">
        <v>0</v>
      </c>
      <c r="T35" s="197">
        <v>0</v>
      </c>
      <c r="U35" s="288">
        <v>0</v>
      </c>
      <c r="V35" s="282">
        <f>C35-'часть 1'!L46</f>
        <v>0</v>
      </c>
      <c r="W35" s="282"/>
      <c r="X35" s="28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296"/>
    </row>
    <row r="36" spans="1:49" s="59" customFormat="1">
      <c r="A36" s="198">
        <v>28</v>
      </c>
      <c r="B36" s="195" t="s">
        <v>369</v>
      </c>
      <c r="C36" s="196">
        <v>1385674</v>
      </c>
      <c r="D36" s="196"/>
      <c r="E36" s="196"/>
      <c r="F36" s="196"/>
      <c r="G36" s="196"/>
      <c r="H36" s="196"/>
      <c r="I36" s="196"/>
      <c r="J36" s="196"/>
      <c r="K36" s="196">
        <v>1385674</v>
      </c>
      <c r="L36" s="194">
        <v>0</v>
      </c>
      <c r="M36" s="196">
        <v>0</v>
      </c>
      <c r="N36" s="196">
        <v>0</v>
      </c>
      <c r="O36" s="196">
        <v>0</v>
      </c>
      <c r="P36" s="194">
        <v>0</v>
      </c>
      <c r="Q36" s="196">
        <v>0</v>
      </c>
      <c r="R36" s="197">
        <v>0</v>
      </c>
      <c r="S36" s="196">
        <v>0</v>
      </c>
      <c r="T36" s="197">
        <v>0</v>
      </c>
      <c r="U36" s="288">
        <v>0</v>
      </c>
      <c r="V36" s="282">
        <f>C36-'часть 1'!L47</f>
        <v>0</v>
      </c>
      <c r="W36" s="282"/>
      <c r="X36" s="28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296"/>
    </row>
    <row r="37" spans="1:49" s="59" customFormat="1">
      <c r="A37" s="198">
        <v>29</v>
      </c>
      <c r="B37" s="195" t="s">
        <v>370</v>
      </c>
      <c r="C37" s="196">
        <v>4619990</v>
      </c>
      <c r="D37" s="196"/>
      <c r="E37" s="196"/>
      <c r="F37" s="196"/>
      <c r="G37" s="196"/>
      <c r="H37" s="196"/>
      <c r="I37" s="196"/>
      <c r="J37" s="196"/>
      <c r="K37" s="196">
        <v>0</v>
      </c>
      <c r="L37" s="194">
        <v>0</v>
      </c>
      <c r="M37" s="196">
        <v>0</v>
      </c>
      <c r="N37" s="196">
        <v>2319</v>
      </c>
      <c r="O37" s="196">
        <v>4619990</v>
      </c>
      <c r="P37" s="194">
        <v>0</v>
      </c>
      <c r="Q37" s="196">
        <v>0</v>
      </c>
      <c r="R37" s="200">
        <v>0</v>
      </c>
      <c r="S37" s="196">
        <v>0</v>
      </c>
      <c r="T37" s="197">
        <v>0</v>
      </c>
      <c r="U37" s="288">
        <v>0</v>
      </c>
      <c r="V37" s="282">
        <f>C37-'часть 1'!L48</f>
        <v>0</v>
      </c>
      <c r="W37" s="282"/>
      <c r="X37" s="28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296"/>
    </row>
    <row r="38" spans="1:49" s="59" customFormat="1">
      <c r="A38" s="198">
        <v>30</v>
      </c>
      <c r="B38" s="195" t="s">
        <v>373</v>
      </c>
      <c r="C38" s="196">
        <v>1865304</v>
      </c>
      <c r="D38" s="196"/>
      <c r="E38" s="196"/>
      <c r="F38" s="196"/>
      <c r="G38" s="196"/>
      <c r="H38" s="196"/>
      <c r="I38" s="196"/>
      <c r="J38" s="196"/>
      <c r="K38" s="196">
        <v>0</v>
      </c>
      <c r="L38" s="194">
        <v>0</v>
      </c>
      <c r="M38" s="196">
        <v>0</v>
      </c>
      <c r="N38" s="196">
        <v>924</v>
      </c>
      <c r="O38" s="196">
        <v>1865304</v>
      </c>
      <c r="P38" s="194">
        <v>0</v>
      </c>
      <c r="Q38" s="196">
        <v>0</v>
      </c>
      <c r="R38" s="197">
        <v>0</v>
      </c>
      <c r="S38" s="196">
        <v>0</v>
      </c>
      <c r="T38" s="197">
        <v>0</v>
      </c>
      <c r="U38" s="288">
        <v>0</v>
      </c>
      <c r="V38" s="282">
        <f>C38-'часть 1'!L49</f>
        <v>0</v>
      </c>
      <c r="W38" s="282"/>
      <c r="X38" s="28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296"/>
    </row>
    <row r="39" spans="1:49" s="59" customFormat="1">
      <c r="A39" s="198">
        <v>31</v>
      </c>
      <c r="B39" s="195" t="s">
        <v>381</v>
      </c>
      <c r="C39" s="196">
        <v>1870910</v>
      </c>
      <c r="D39" s="196"/>
      <c r="E39" s="196"/>
      <c r="F39" s="196"/>
      <c r="G39" s="196"/>
      <c r="H39" s="196"/>
      <c r="I39" s="196"/>
      <c r="J39" s="196"/>
      <c r="K39" s="196">
        <v>0</v>
      </c>
      <c r="L39" s="194">
        <v>0</v>
      </c>
      <c r="M39" s="196">
        <v>0</v>
      </c>
      <c r="N39" s="196">
        <v>946.3</v>
      </c>
      <c r="O39" s="196">
        <v>1870910</v>
      </c>
      <c r="P39" s="194">
        <v>0</v>
      </c>
      <c r="Q39" s="196">
        <v>0</v>
      </c>
      <c r="R39" s="197">
        <v>0</v>
      </c>
      <c r="S39" s="196">
        <v>0</v>
      </c>
      <c r="T39" s="197">
        <v>0</v>
      </c>
      <c r="U39" s="288">
        <v>0</v>
      </c>
      <c r="V39" s="282">
        <f>C39-'часть 1'!L50</f>
        <v>0</v>
      </c>
      <c r="W39" s="282"/>
      <c r="X39" s="28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296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s="59" customFormat="1">
      <c r="A40" s="198">
        <v>32</v>
      </c>
      <c r="B40" s="195" t="s">
        <v>382</v>
      </c>
      <c r="C40" s="196">
        <v>1533757</v>
      </c>
      <c r="D40" s="196"/>
      <c r="E40" s="196"/>
      <c r="F40" s="196"/>
      <c r="G40" s="196"/>
      <c r="H40" s="196"/>
      <c r="I40" s="196"/>
      <c r="J40" s="196"/>
      <c r="K40" s="196">
        <v>0</v>
      </c>
      <c r="L40" s="194">
        <v>0</v>
      </c>
      <c r="M40" s="196">
        <v>0</v>
      </c>
      <c r="N40" s="196">
        <v>772.9</v>
      </c>
      <c r="O40" s="196">
        <v>1533757</v>
      </c>
      <c r="P40" s="194">
        <v>0</v>
      </c>
      <c r="Q40" s="196">
        <v>0</v>
      </c>
      <c r="R40" s="197">
        <v>0</v>
      </c>
      <c r="S40" s="196">
        <v>0</v>
      </c>
      <c r="T40" s="197">
        <v>0</v>
      </c>
      <c r="U40" s="288">
        <v>0</v>
      </c>
      <c r="V40" s="282">
        <f>C40-'часть 1'!L51</f>
        <v>0</v>
      </c>
      <c r="W40" s="282"/>
      <c r="X40" s="28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296"/>
    </row>
    <row r="41" spans="1:49">
      <c r="A41" s="194">
        <v>33</v>
      </c>
      <c r="B41" s="195" t="s">
        <v>371</v>
      </c>
      <c r="C41" s="196">
        <v>939858</v>
      </c>
      <c r="D41" s="196"/>
      <c r="E41" s="196"/>
      <c r="F41" s="196"/>
      <c r="G41" s="196"/>
      <c r="H41" s="196"/>
      <c r="I41" s="196"/>
      <c r="J41" s="196"/>
      <c r="K41" s="196">
        <v>939858</v>
      </c>
      <c r="L41" s="194">
        <v>0</v>
      </c>
      <c r="M41" s="196">
        <v>0</v>
      </c>
      <c r="N41" s="196">
        <v>0</v>
      </c>
      <c r="O41" s="196">
        <v>0</v>
      </c>
      <c r="P41" s="194">
        <v>0</v>
      </c>
      <c r="Q41" s="196">
        <v>0</v>
      </c>
      <c r="R41" s="200">
        <v>0</v>
      </c>
      <c r="S41" s="196">
        <v>0</v>
      </c>
      <c r="T41" s="197">
        <v>0</v>
      </c>
      <c r="U41" s="288">
        <v>0</v>
      </c>
      <c r="V41" s="282">
        <f>C41-'часть 1'!L52</f>
        <v>0</v>
      </c>
      <c r="W41" s="282"/>
      <c r="X41" s="28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296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</row>
    <row r="42" spans="1:49" s="59" customFormat="1">
      <c r="A42" s="198">
        <v>34</v>
      </c>
      <c r="B42" s="195" t="s">
        <v>377</v>
      </c>
      <c r="C42" s="196">
        <v>2368392</v>
      </c>
      <c r="D42" s="196"/>
      <c r="E42" s="196"/>
      <c r="F42" s="196"/>
      <c r="G42" s="196"/>
      <c r="H42" s="196"/>
      <c r="I42" s="196"/>
      <c r="J42" s="196"/>
      <c r="K42" s="196">
        <v>0</v>
      </c>
      <c r="L42" s="194">
        <v>0</v>
      </c>
      <c r="M42" s="196">
        <v>0</v>
      </c>
      <c r="N42" s="196">
        <v>1200</v>
      </c>
      <c r="O42" s="199">
        <v>2368392</v>
      </c>
      <c r="P42" s="194">
        <v>0</v>
      </c>
      <c r="Q42" s="196">
        <v>0</v>
      </c>
      <c r="R42" s="197">
        <v>0</v>
      </c>
      <c r="S42" s="196">
        <v>0</v>
      </c>
      <c r="T42" s="197">
        <v>0</v>
      </c>
      <c r="U42" s="288">
        <v>0</v>
      </c>
      <c r="V42" s="282">
        <f>C42-'часть 1'!L53</f>
        <v>0</v>
      </c>
      <c r="W42" s="282"/>
      <c r="X42" s="28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296"/>
    </row>
    <row r="43" spans="1:49" s="89" customFormat="1">
      <c r="A43" s="198">
        <v>35</v>
      </c>
      <c r="B43" s="195" t="s">
        <v>378</v>
      </c>
      <c r="C43" s="196">
        <v>2433930.91</v>
      </c>
      <c r="D43" s="196"/>
      <c r="E43" s="196"/>
      <c r="F43" s="196"/>
      <c r="G43" s="196"/>
      <c r="H43" s="196"/>
      <c r="I43" s="196"/>
      <c r="J43" s="196"/>
      <c r="K43" s="196">
        <v>1478520.9100000001</v>
      </c>
      <c r="L43" s="194">
        <v>0</v>
      </c>
      <c r="M43" s="196">
        <v>0</v>
      </c>
      <c r="N43" s="196">
        <v>526.79999999999995</v>
      </c>
      <c r="O43" s="196">
        <v>955410</v>
      </c>
      <c r="P43" s="194">
        <v>0</v>
      </c>
      <c r="Q43" s="196">
        <v>0</v>
      </c>
      <c r="R43" s="200">
        <v>0</v>
      </c>
      <c r="S43" s="196">
        <v>0</v>
      </c>
      <c r="T43" s="197">
        <v>0</v>
      </c>
      <c r="U43" s="288">
        <v>0</v>
      </c>
      <c r="V43" s="282">
        <f>C43-'часть 1'!L54</f>
        <v>0</v>
      </c>
      <c r="W43" s="282"/>
      <c r="X43" s="28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296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</row>
    <row r="44" spans="1:49" s="59" customFormat="1">
      <c r="A44" s="198">
        <v>36</v>
      </c>
      <c r="B44" s="195" t="s">
        <v>383</v>
      </c>
      <c r="C44" s="196">
        <v>1721850</v>
      </c>
      <c r="D44" s="196"/>
      <c r="E44" s="196"/>
      <c r="F44" s="196"/>
      <c r="G44" s="196"/>
      <c r="H44" s="196"/>
      <c r="I44" s="196"/>
      <c r="J44" s="196"/>
      <c r="K44" s="196">
        <v>0</v>
      </c>
      <c r="L44" s="194">
        <v>0</v>
      </c>
      <c r="M44" s="196">
        <v>0</v>
      </c>
      <c r="N44" s="196">
        <v>868.68</v>
      </c>
      <c r="O44" s="196">
        <v>1721850</v>
      </c>
      <c r="P44" s="194">
        <v>0</v>
      </c>
      <c r="Q44" s="196">
        <v>0</v>
      </c>
      <c r="R44" s="197">
        <v>0</v>
      </c>
      <c r="S44" s="196">
        <v>0</v>
      </c>
      <c r="T44" s="197">
        <v>0</v>
      </c>
      <c r="U44" s="288">
        <v>0</v>
      </c>
      <c r="V44" s="282">
        <f>C44-'часть 1'!L55</f>
        <v>0</v>
      </c>
      <c r="W44" s="282"/>
      <c r="X44" s="28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296"/>
    </row>
    <row r="45" spans="1:49" s="59" customFormat="1">
      <c r="A45" s="198">
        <v>37</v>
      </c>
      <c r="B45" s="195" t="s">
        <v>368</v>
      </c>
      <c r="C45" s="196">
        <v>814117</v>
      </c>
      <c r="D45" s="196"/>
      <c r="E45" s="196"/>
      <c r="F45" s="196"/>
      <c r="G45" s="196"/>
      <c r="H45" s="196"/>
      <c r="I45" s="196"/>
      <c r="J45" s="196"/>
      <c r="K45" s="196">
        <v>814117</v>
      </c>
      <c r="L45" s="194">
        <v>0</v>
      </c>
      <c r="M45" s="196">
        <v>0</v>
      </c>
      <c r="N45" s="196">
        <v>0</v>
      </c>
      <c r="O45" s="196">
        <v>0</v>
      </c>
      <c r="P45" s="194">
        <v>0</v>
      </c>
      <c r="Q45" s="196">
        <v>0</v>
      </c>
      <c r="R45" s="197">
        <v>0</v>
      </c>
      <c r="S45" s="196">
        <v>0</v>
      </c>
      <c r="T45" s="197">
        <v>0</v>
      </c>
      <c r="U45" s="288">
        <v>0</v>
      </c>
      <c r="V45" s="282">
        <f>C45-'часть 1'!L56</f>
        <v>0</v>
      </c>
      <c r="W45" s="282"/>
      <c r="X45" s="28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296"/>
    </row>
    <row r="46" spans="1:49" s="59" customFormat="1">
      <c r="A46" s="198">
        <v>38</v>
      </c>
      <c r="B46" s="195" t="s">
        <v>375</v>
      </c>
      <c r="C46" s="196">
        <v>3045081</v>
      </c>
      <c r="D46" s="196"/>
      <c r="E46" s="196"/>
      <c r="F46" s="196"/>
      <c r="G46" s="196"/>
      <c r="H46" s="196"/>
      <c r="I46" s="196"/>
      <c r="J46" s="196"/>
      <c r="K46" s="196">
        <v>0</v>
      </c>
      <c r="L46" s="194">
        <v>0</v>
      </c>
      <c r="M46" s="196">
        <v>0</v>
      </c>
      <c r="N46" s="196">
        <v>0</v>
      </c>
      <c r="O46" s="196">
        <v>0</v>
      </c>
      <c r="P46" s="194">
        <v>0</v>
      </c>
      <c r="Q46" s="196">
        <v>0</v>
      </c>
      <c r="R46" s="196">
        <v>2108</v>
      </c>
      <c r="S46" s="196">
        <v>3045081</v>
      </c>
      <c r="T46" s="197">
        <v>0</v>
      </c>
      <c r="U46" s="288">
        <v>0</v>
      </c>
      <c r="V46" s="282">
        <f>C46-'часть 1'!L57</f>
        <v>0</v>
      </c>
      <c r="W46" s="282"/>
      <c r="X46" s="28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296"/>
    </row>
    <row r="47" spans="1:49" s="59" customFormat="1">
      <c r="A47" s="198">
        <v>39</v>
      </c>
      <c r="B47" s="195" t="s">
        <v>380</v>
      </c>
      <c r="C47" s="196">
        <v>2244806</v>
      </c>
      <c r="D47" s="196"/>
      <c r="E47" s="196"/>
      <c r="F47" s="196"/>
      <c r="G47" s="196"/>
      <c r="H47" s="196"/>
      <c r="I47" s="196"/>
      <c r="J47" s="196"/>
      <c r="K47" s="196">
        <v>0</v>
      </c>
      <c r="L47" s="194">
        <v>0</v>
      </c>
      <c r="M47" s="196">
        <v>0</v>
      </c>
      <c r="N47" s="199">
        <v>1120</v>
      </c>
      <c r="O47" s="196">
        <v>2244806</v>
      </c>
      <c r="P47" s="194">
        <v>0</v>
      </c>
      <c r="Q47" s="196">
        <v>0</v>
      </c>
      <c r="R47" s="200">
        <v>0</v>
      </c>
      <c r="S47" s="196">
        <v>0</v>
      </c>
      <c r="T47" s="197">
        <v>0</v>
      </c>
      <c r="U47" s="288">
        <v>0</v>
      </c>
      <c r="V47" s="282">
        <f>C47-'часть 1'!L58</f>
        <v>0</v>
      </c>
      <c r="W47" s="282"/>
      <c r="X47" s="28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296"/>
    </row>
    <row r="48" spans="1:49" s="59" customFormat="1">
      <c r="A48" s="198">
        <v>40</v>
      </c>
      <c r="B48" s="195" t="s">
        <v>374</v>
      </c>
      <c r="C48" s="196">
        <v>1361273</v>
      </c>
      <c r="D48" s="196"/>
      <c r="E48" s="196"/>
      <c r="F48" s="196"/>
      <c r="G48" s="196"/>
      <c r="H48" s="196"/>
      <c r="I48" s="196"/>
      <c r="J48" s="196"/>
      <c r="K48" s="196">
        <v>347471</v>
      </c>
      <c r="L48" s="194">
        <v>0</v>
      </c>
      <c r="M48" s="196">
        <v>0</v>
      </c>
      <c r="N48" s="196">
        <v>0</v>
      </c>
      <c r="O48" s="196">
        <v>0</v>
      </c>
      <c r="P48" s="194">
        <v>0</v>
      </c>
      <c r="Q48" s="196">
        <v>0</v>
      </c>
      <c r="R48" s="196">
        <v>1105</v>
      </c>
      <c r="S48" s="196">
        <v>1013802</v>
      </c>
      <c r="T48" s="197">
        <v>0</v>
      </c>
      <c r="U48" s="288">
        <v>0</v>
      </c>
      <c r="V48" s="282">
        <f>C48-'часть 1'!L59</f>
        <v>0</v>
      </c>
      <c r="W48" s="282"/>
      <c r="X48" s="28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296"/>
    </row>
    <row r="49" spans="1:49" s="59" customFormat="1">
      <c r="A49" s="198">
        <v>41</v>
      </c>
      <c r="B49" s="195" t="s">
        <v>376</v>
      </c>
      <c r="C49" s="196">
        <v>2421596</v>
      </c>
      <c r="D49" s="196"/>
      <c r="E49" s="196"/>
      <c r="F49" s="196"/>
      <c r="G49" s="196"/>
      <c r="H49" s="196"/>
      <c r="I49" s="196"/>
      <c r="J49" s="196"/>
      <c r="K49" s="196">
        <v>0</v>
      </c>
      <c r="L49" s="194">
        <v>0</v>
      </c>
      <c r="M49" s="196">
        <v>0</v>
      </c>
      <c r="N49" s="196">
        <v>1230.72</v>
      </c>
      <c r="O49" s="199">
        <v>2421596</v>
      </c>
      <c r="P49" s="194">
        <v>0</v>
      </c>
      <c r="Q49" s="196">
        <v>0</v>
      </c>
      <c r="R49" s="197">
        <v>0</v>
      </c>
      <c r="S49" s="196">
        <v>0</v>
      </c>
      <c r="T49" s="197">
        <v>0</v>
      </c>
      <c r="U49" s="288">
        <v>0</v>
      </c>
      <c r="V49" s="282">
        <f>C49-'часть 1'!L60</f>
        <v>0</v>
      </c>
      <c r="W49" s="282"/>
      <c r="X49" s="28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296"/>
    </row>
    <row r="50" spans="1:49" s="59" customFormat="1">
      <c r="A50" s="198">
        <v>42</v>
      </c>
      <c r="B50" s="195" t="s">
        <v>379</v>
      </c>
      <c r="C50" s="196">
        <v>2056315</v>
      </c>
      <c r="D50" s="196"/>
      <c r="E50" s="196"/>
      <c r="F50" s="196"/>
      <c r="G50" s="196"/>
      <c r="H50" s="196"/>
      <c r="I50" s="196"/>
      <c r="J50" s="196"/>
      <c r="K50" s="196">
        <v>0</v>
      </c>
      <c r="L50" s="194">
        <v>0</v>
      </c>
      <c r="M50" s="196">
        <v>0</v>
      </c>
      <c r="N50" s="196">
        <v>978</v>
      </c>
      <c r="O50" s="196">
        <v>2056315</v>
      </c>
      <c r="P50" s="194">
        <v>0</v>
      </c>
      <c r="Q50" s="196">
        <v>0</v>
      </c>
      <c r="R50" s="200">
        <v>0</v>
      </c>
      <c r="S50" s="196">
        <v>0</v>
      </c>
      <c r="T50" s="197">
        <v>0</v>
      </c>
      <c r="U50" s="288">
        <v>0</v>
      </c>
      <c r="V50" s="282">
        <f>C50-'часть 1'!L61</f>
        <v>0</v>
      </c>
      <c r="W50" s="282"/>
      <c r="X50" s="28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296"/>
    </row>
    <row r="51" spans="1:49" s="59" customFormat="1">
      <c r="A51" s="198">
        <v>43</v>
      </c>
      <c r="B51" s="195" t="s">
        <v>372</v>
      </c>
      <c r="C51" s="196">
        <v>9473593</v>
      </c>
      <c r="D51" s="196"/>
      <c r="E51" s="196"/>
      <c r="F51" s="196"/>
      <c r="G51" s="196"/>
      <c r="H51" s="196"/>
      <c r="I51" s="196"/>
      <c r="J51" s="196"/>
      <c r="K51" s="196">
        <v>0</v>
      </c>
      <c r="L51" s="194">
        <v>5</v>
      </c>
      <c r="M51" s="196">
        <v>9473593</v>
      </c>
      <c r="N51" s="196">
        <v>0</v>
      </c>
      <c r="O51" s="196">
        <v>0</v>
      </c>
      <c r="P51" s="194">
        <v>0</v>
      </c>
      <c r="Q51" s="196">
        <v>0</v>
      </c>
      <c r="R51" s="197">
        <v>0</v>
      </c>
      <c r="S51" s="196">
        <v>0</v>
      </c>
      <c r="T51" s="197">
        <v>0</v>
      </c>
      <c r="U51" s="288">
        <v>0</v>
      </c>
      <c r="V51" s="282">
        <f>C51-'часть 1'!L62</f>
        <v>0</v>
      </c>
      <c r="W51" s="282"/>
      <c r="X51" s="28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296"/>
    </row>
    <row r="52" spans="1:49" s="59" customFormat="1">
      <c r="A52" s="198">
        <v>44</v>
      </c>
      <c r="B52" s="195" t="s">
        <v>344</v>
      </c>
      <c r="C52" s="196">
        <v>4441828</v>
      </c>
      <c r="D52" s="196"/>
      <c r="E52" s="196"/>
      <c r="F52" s="196"/>
      <c r="G52" s="196"/>
      <c r="H52" s="196"/>
      <c r="I52" s="196"/>
      <c r="J52" s="196"/>
      <c r="K52" s="196">
        <v>0</v>
      </c>
      <c r="L52" s="194">
        <v>0</v>
      </c>
      <c r="M52" s="196">
        <v>0</v>
      </c>
      <c r="N52" s="196">
        <v>0</v>
      </c>
      <c r="O52" s="196">
        <v>0</v>
      </c>
      <c r="P52" s="194">
        <v>0</v>
      </c>
      <c r="Q52" s="196">
        <v>0</v>
      </c>
      <c r="R52" s="196">
        <v>3081.4</v>
      </c>
      <c r="S52" s="196">
        <v>4441828</v>
      </c>
      <c r="T52" s="197">
        <v>0</v>
      </c>
      <c r="U52" s="288">
        <v>0</v>
      </c>
      <c r="V52" s="282">
        <f>C52-'часть 1'!L63</f>
        <v>0</v>
      </c>
      <c r="W52" s="282"/>
      <c r="X52" s="28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296"/>
    </row>
    <row r="53" spans="1:49" s="59" customFormat="1">
      <c r="A53" s="198">
        <v>45</v>
      </c>
      <c r="B53" s="195" t="s">
        <v>348</v>
      </c>
      <c r="C53" s="196">
        <v>3051089</v>
      </c>
      <c r="D53" s="196"/>
      <c r="E53" s="196"/>
      <c r="F53" s="196"/>
      <c r="G53" s="196"/>
      <c r="H53" s="196"/>
      <c r="I53" s="196"/>
      <c r="J53" s="196"/>
      <c r="K53" s="196">
        <v>0</v>
      </c>
      <c r="L53" s="194">
        <v>0</v>
      </c>
      <c r="M53" s="196">
        <v>0</v>
      </c>
      <c r="N53" s="196">
        <v>1549</v>
      </c>
      <c r="O53" s="196">
        <v>3051089</v>
      </c>
      <c r="P53" s="194">
        <v>0</v>
      </c>
      <c r="Q53" s="196">
        <v>0</v>
      </c>
      <c r="R53" s="197">
        <v>0</v>
      </c>
      <c r="S53" s="196">
        <v>0</v>
      </c>
      <c r="T53" s="197">
        <v>0</v>
      </c>
      <c r="U53" s="288">
        <v>0</v>
      </c>
      <c r="V53" s="282">
        <f>C53-'часть 1'!L64</f>
        <v>0</v>
      </c>
      <c r="W53" s="282"/>
      <c r="X53" s="28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296"/>
    </row>
    <row r="54" spans="1:49" s="59" customFormat="1">
      <c r="A54" s="198">
        <v>46</v>
      </c>
      <c r="B54" s="195" t="s">
        <v>386</v>
      </c>
      <c r="C54" s="196">
        <v>869749</v>
      </c>
      <c r="D54" s="196"/>
      <c r="E54" s="196"/>
      <c r="F54" s="196"/>
      <c r="G54" s="196"/>
      <c r="H54" s="196"/>
      <c r="I54" s="196"/>
      <c r="J54" s="196"/>
      <c r="K54" s="196">
        <v>0</v>
      </c>
      <c r="L54" s="194">
        <v>0</v>
      </c>
      <c r="M54" s="196">
        <v>0</v>
      </c>
      <c r="N54" s="196">
        <v>431.5</v>
      </c>
      <c r="O54" s="196">
        <f>C54</f>
        <v>869749</v>
      </c>
      <c r="P54" s="194">
        <v>0</v>
      </c>
      <c r="Q54" s="196">
        <v>0</v>
      </c>
      <c r="R54" s="197">
        <v>0</v>
      </c>
      <c r="S54" s="196">
        <v>0</v>
      </c>
      <c r="T54" s="197">
        <v>0</v>
      </c>
      <c r="U54" s="288">
        <v>0</v>
      </c>
      <c r="V54" s="282">
        <f>C54-'часть 1'!L65</f>
        <v>0</v>
      </c>
      <c r="W54" s="282"/>
      <c r="X54" s="28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296"/>
    </row>
    <row r="55" spans="1:49" s="59" customFormat="1">
      <c r="A55" s="198">
        <v>47</v>
      </c>
      <c r="B55" s="195" t="s">
        <v>461</v>
      </c>
      <c r="C55" s="196">
        <v>869880</v>
      </c>
      <c r="D55" s="196"/>
      <c r="E55" s="196"/>
      <c r="F55" s="196"/>
      <c r="G55" s="196"/>
      <c r="H55" s="196"/>
      <c r="I55" s="196"/>
      <c r="J55" s="196"/>
      <c r="K55" s="196">
        <v>0</v>
      </c>
      <c r="L55" s="194">
        <v>0</v>
      </c>
      <c r="M55" s="196">
        <v>0</v>
      </c>
      <c r="N55" s="196">
        <v>431.5</v>
      </c>
      <c r="O55" s="199">
        <f>C55</f>
        <v>869880</v>
      </c>
      <c r="P55" s="194">
        <v>0</v>
      </c>
      <c r="Q55" s="196">
        <v>0</v>
      </c>
      <c r="R55" s="200">
        <v>0</v>
      </c>
      <c r="S55" s="196">
        <v>0</v>
      </c>
      <c r="T55" s="197">
        <v>0</v>
      </c>
      <c r="U55" s="288">
        <v>0</v>
      </c>
      <c r="V55" s="282">
        <f>C55-'часть 1'!L66</f>
        <v>0</v>
      </c>
      <c r="W55" s="282"/>
      <c r="X55" s="28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296"/>
    </row>
    <row r="56" spans="1:49" s="59" customFormat="1" ht="30">
      <c r="A56" s="198">
        <v>48</v>
      </c>
      <c r="B56" s="195" t="s">
        <v>462</v>
      </c>
      <c r="C56" s="196">
        <v>172302</v>
      </c>
      <c r="D56" s="196"/>
      <c r="E56" s="196"/>
      <c r="F56" s="196"/>
      <c r="G56" s="196"/>
      <c r="H56" s="196"/>
      <c r="I56" s="196"/>
      <c r="J56" s="196"/>
      <c r="K56" s="196">
        <v>172302</v>
      </c>
      <c r="L56" s="194">
        <v>0</v>
      </c>
      <c r="M56" s="196">
        <v>0</v>
      </c>
      <c r="N56" s="196">
        <v>0</v>
      </c>
      <c r="O56" s="196">
        <v>0</v>
      </c>
      <c r="P56" s="194">
        <v>0</v>
      </c>
      <c r="Q56" s="196">
        <v>0</v>
      </c>
      <c r="R56" s="197">
        <v>0</v>
      </c>
      <c r="S56" s="196">
        <v>0</v>
      </c>
      <c r="T56" s="197">
        <v>0</v>
      </c>
      <c r="U56" s="288">
        <v>0</v>
      </c>
      <c r="V56" s="282">
        <f>C56-'часть 1'!L67</f>
        <v>0</v>
      </c>
      <c r="W56" s="282"/>
      <c r="X56" s="28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296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</row>
    <row r="57" spans="1:49" s="59" customFormat="1">
      <c r="A57" s="198">
        <v>49</v>
      </c>
      <c r="B57" s="195" t="s">
        <v>389</v>
      </c>
      <c r="C57" s="196">
        <v>3706393</v>
      </c>
      <c r="D57" s="196"/>
      <c r="E57" s="196"/>
      <c r="F57" s="196"/>
      <c r="G57" s="196"/>
      <c r="H57" s="196"/>
      <c r="I57" s="196"/>
      <c r="J57" s="196"/>
      <c r="K57" s="196" t="e">
        <f>#REF!</f>
        <v>#REF!</v>
      </c>
      <c r="L57" s="194">
        <v>0</v>
      </c>
      <c r="M57" s="196">
        <v>0</v>
      </c>
      <c r="N57" s="196">
        <v>0</v>
      </c>
      <c r="O57" s="196">
        <v>0</v>
      </c>
      <c r="P57" s="194">
        <v>0</v>
      </c>
      <c r="Q57" s="196">
        <v>0</v>
      </c>
      <c r="R57" s="197">
        <v>0</v>
      </c>
      <c r="S57" s="196">
        <v>0</v>
      </c>
      <c r="T57" s="197">
        <v>0</v>
      </c>
      <c r="U57" s="288">
        <v>0</v>
      </c>
      <c r="V57" s="282">
        <f>C57-'часть 1'!L68</f>
        <v>0</v>
      </c>
      <c r="W57" s="282"/>
      <c r="X57" s="28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296"/>
    </row>
    <row r="58" spans="1:49" s="59" customFormat="1">
      <c r="A58" s="198">
        <v>50</v>
      </c>
      <c r="B58" s="195" t="s">
        <v>317</v>
      </c>
      <c r="C58" s="196">
        <v>698585</v>
      </c>
      <c r="D58" s="196"/>
      <c r="E58" s="196"/>
      <c r="F58" s="196"/>
      <c r="G58" s="196"/>
      <c r="H58" s="196"/>
      <c r="I58" s="196"/>
      <c r="J58" s="196"/>
      <c r="K58" s="196">
        <v>698585</v>
      </c>
      <c r="L58" s="194">
        <v>0</v>
      </c>
      <c r="M58" s="196">
        <v>0</v>
      </c>
      <c r="N58" s="199">
        <v>0</v>
      </c>
      <c r="O58" s="196">
        <v>0</v>
      </c>
      <c r="P58" s="194">
        <v>0</v>
      </c>
      <c r="Q58" s="196">
        <v>0</v>
      </c>
      <c r="R58" s="200">
        <v>0</v>
      </c>
      <c r="S58" s="196">
        <v>0</v>
      </c>
      <c r="T58" s="197">
        <v>0</v>
      </c>
      <c r="U58" s="288">
        <v>0</v>
      </c>
      <c r="V58" s="282">
        <f>C58-'часть 1'!L69</f>
        <v>0</v>
      </c>
      <c r="W58" s="282"/>
      <c r="X58" s="28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296"/>
    </row>
    <row r="59" spans="1:49" s="59" customFormat="1">
      <c r="A59" s="198">
        <v>51</v>
      </c>
      <c r="B59" s="195" t="s">
        <v>384</v>
      </c>
      <c r="C59" s="196">
        <v>951740</v>
      </c>
      <c r="D59" s="196"/>
      <c r="E59" s="196"/>
      <c r="F59" s="196"/>
      <c r="G59" s="196"/>
      <c r="H59" s="196"/>
      <c r="I59" s="196"/>
      <c r="J59" s="196"/>
      <c r="K59" s="196">
        <v>0</v>
      </c>
      <c r="L59" s="194">
        <v>0</v>
      </c>
      <c r="M59" s="196">
        <v>0</v>
      </c>
      <c r="N59" s="196">
        <v>471.1</v>
      </c>
      <c r="O59" s="196">
        <v>951740</v>
      </c>
      <c r="P59" s="194">
        <v>0</v>
      </c>
      <c r="Q59" s="196">
        <v>0</v>
      </c>
      <c r="R59" s="197">
        <v>0</v>
      </c>
      <c r="S59" s="196">
        <v>0</v>
      </c>
      <c r="T59" s="197">
        <v>0</v>
      </c>
      <c r="U59" s="288">
        <v>0</v>
      </c>
      <c r="V59" s="282">
        <f>C59-'часть 1'!L70</f>
        <v>0</v>
      </c>
      <c r="W59" s="282"/>
      <c r="X59" s="28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296"/>
    </row>
    <row r="60" spans="1:49">
      <c r="A60" s="198">
        <v>52</v>
      </c>
      <c r="B60" s="195" t="s">
        <v>247</v>
      </c>
      <c r="C60" s="196">
        <v>2056139</v>
      </c>
      <c r="D60" s="196"/>
      <c r="E60" s="196"/>
      <c r="F60" s="196"/>
      <c r="G60" s="196"/>
      <c r="H60" s="196"/>
      <c r="I60" s="196"/>
      <c r="J60" s="196"/>
      <c r="K60" s="196">
        <v>0</v>
      </c>
      <c r="L60" s="194">
        <v>0</v>
      </c>
      <c r="M60" s="196">
        <v>0</v>
      </c>
      <c r="N60" s="196">
        <v>1020</v>
      </c>
      <c r="O60" s="196">
        <v>2056139</v>
      </c>
      <c r="P60" s="194">
        <v>0</v>
      </c>
      <c r="Q60" s="196">
        <v>0</v>
      </c>
      <c r="R60" s="200">
        <v>0</v>
      </c>
      <c r="S60" s="196">
        <v>0</v>
      </c>
      <c r="T60" s="197">
        <v>0</v>
      </c>
      <c r="U60" s="288">
        <v>0</v>
      </c>
      <c r="V60" s="282">
        <f>C60-'часть 1'!L71</f>
        <v>0</v>
      </c>
      <c r="W60" s="282"/>
      <c r="X60" s="28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296"/>
    </row>
    <row r="61" spans="1:49">
      <c r="A61" s="198">
        <v>53</v>
      </c>
      <c r="B61" s="195" t="s">
        <v>274</v>
      </c>
      <c r="C61" s="196">
        <v>1321356</v>
      </c>
      <c r="D61" s="196"/>
      <c r="E61" s="196"/>
      <c r="F61" s="196"/>
      <c r="G61" s="196"/>
      <c r="H61" s="196"/>
      <c r="I61" s="196"/>
      <c r="J61" s="196"/>
      <c r="K61" s="196">
        <v>0</v>
      </c>
      <c r="L61" s="194">
        <v>0</v>
      </c>
      <c r="M61" s="196">
        <v>0</v>
      </c>
      <c r="N61" s="196">
        <v>662</v>
      </c>
      <c r="O61" s="199">
        <v>1321356</v>
      </c>
      <c r="P61" s="194">
        <v>0</v>
      </c>
      <c r="Q61" s="196">
        <v>0</v>
      </c>
      <c r="R61" s="197">
        <v>0</v>
      </c>
      <c r="S61" s="196">
        <v>0</v>
      </c>
      <c r="T61" s="197">
        <v>0</v>
      </c>
      <c r="U61" s="288">
        <v>0</v>
      </c>
      <c r="V61" s="282">
        <f>C61-'часть 1'!L72</f>
        <v>0</v>
      </c>
      <c r="W61" s="282"/>
      <c r="X61" s="28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296"/>
    </row>
    <row r="62" spans="1:49" ht="30">
      <c r="A62" s="198">
        <v>54</v>
      </c>
      <c r="B62" s="195" t="s">
        <v>338</v>
      </c>
      <c r="C62" s="196">
        <v>1679278</v>
      </c>
      <c r="D62" s="196"/>
      <c r="E62" s="196"/>
      <c r="F62" s="196"/>
      <c r="G62" s="196"/>
      <c r="H62" s="196"/>
      <c r="I62" s="196"/>
      <c r="J62" s="196"/>
      <c r="K62" s="196">
        <v>355519</v>
      </c>
      <c r="L62" s="194">
        <v>0</v>
      </c>
      <c r="M62" s="196">
        <v>0</v>
      </c>
      <c r="N62" s="196">
        <v>663.3</v>
      </c>
      <c r="O62" s="196">
        <v>1323759</v>
      </c>
      <c r="P62" s="194">
        <v>0</v>
      </c>
      <c r="Q62" s="196">
        <v>0</v>
      </c>
      <c r="R62" s="197">
        <v>0</v>
      </c>
      <c r="S62" s="196">
        <v>0</v>
      </c>
      <c r="T62" s="197">
        <v>0</v>
      </c>
      <c r="U62" s="288">
        <v>0</v>
      </c>
      <c r="V62" s="282">
        <f>C62-'часть 1'!L73</f>
        <v>0</v>
      </c>
      <c r="W62" s="282"/>
      <c r="X62" s="282"/>
      <c r="Y62" s="12"/>
      <c r="Z62" s="12"/>
      <c r="AA62" s="12"/>
      <c r="AB62" s="12"/>
      <c r="AC62" s="12"/>
      <c r="AD62" s="12"/>
      <c r="AE62" s="12"/>
      <c r="AF62" s="12"/>
      <c r="AG62" s="4"/>
      <c r="AH62" s="12"/>
      <c r="AI62" s="296"/>
    </row>
    <row r="63" spans="1:49" s="11" customFormat="1">
      <c r="A63" s="198">
        <v>55</v>
      </c>
      <c r="B63" s="195" t="s">
        <v>272</v>
      </c>
      <c r="C63" s="196">
        <v>1100896</v>
      </c>
      <c r="D63" s="196"/>
      <c r="E63" s="196"/>
      <c r="F63" s="196"/>
      <c r="G63" s="196"/>
      <c r="H63" s="196"/>
      <c r="I63" s="196"/>
      <c r="J63" s="196"/>
      <c r="K63" s="196">
        <v>0</v>
      </c>
      <c r="L63" s="194">
        <v>0</v>
      </c>
      <c r="M63" s="196">
        <v>0</v>
      </c>
      <c r="N63" s="196">
        <v>549</v>
      </c>
      <c r="O63" s="199">
        <v>1100896</v>
      </c>
      <c r="P63" s="194">
        <v>0</v>
      </c>
      <c r="Q63" s="196">
        <v>0</v>
      </c>
      <c r="R63" s="197">
        <v>0</v>
      </c>
      <c r="S63" s="196">
        <v>0</v>
      </c>
      <c r="T63" s="197">
        <v>0</v>
      </c>
      <c r="U63" s="288">
        <v>0</v>
      </c>
      <c r="V63" s="282">
        <f>C63-'часть 1'!L74</f>
        <v>0</v>
      </c>
      <c r="W63" s="282"/>
      <c r="X63" s="28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296"/>
    </row>
    <row r="64" spans="1:49" ht="30">
      <c r="A64" s="198">
        <v>56</v>
      </c>
      <c r="B64" s="195" t="s">
        <v>337</v>
      </c>
      <c r="C64" s="196">
        <v>1729707</v>
      </c>
      <c r="D64" s="196"/>
      <c r="E64" s="196"/>
      <c r="F64" s="196"/>
      <c r="G64" s="196"/>
      <c r="H64" s="196"/>
      <c r="I64" s="196"/>
      <c r="J64" s="196"/>
      <c r="K64" s="196">
        <v>630140</v>
      </c>
      <c r="L64" s="194">
        <v>0</v>
      </c>
      <c r="M64" s="196">
        <v>0</v>
      </c>
      <c r="N64" s="196">
        <v>0</v>
      </c>
      <c r="O64" s="196">
        <v>0</v>
      </c>
      <c r="P64" s="194">
        <v>0</v>
      </c>
      <c r="Q64" s="196">
        <v>0</v>
      </c>
      <c r="R64" s="196">
        <v>760.3</v>
      </c>
      <c r="S64" s="196">
        <v>1099567</v>
      </c>
      <c r="T64" s="197">
        <v>0</v>
      </c>
      <c r="U64" s="288">
        <v>0</v>
      </c>
      <c r="V64" s="282">
        <f>C64-'часть 1'!L75</f>
        <v>0</v>
      </c>
      <c r="W64" s="282"/>
      <c r="X64" s="28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296"/>
    </row>
    <row r="65" spans="1:38" s="59" customFormat="1">
      <c r="A65" s="198">
        <v>57</v>
      </c>
      <c r="B65" s="195" t="s">
        <v>257</v>
      </c>
      <c r="C65" s="196">
        <v>451222.57</v>
      </c>
      <c r="D65" s="196"/>
      <c r="E65" s="196"/>
      <c r="F65" s="196"/>
      <c r="G65" s="196"/>
      <c r="H65" s="196"/>
      <c r="I65" s="196"/>
      <c r="J65" s="196"/>
      <c r="K65" s="196">
        <v>451222.57</v>
      </c>
      <c r="L65" s="194">
        <v>0</v>
      </c>
      <c r="M65" s="196">
        <v>0</v>
      </c>
      <c r="N65" s="196">
        <v>0</v>
      </c>
      <c r="O65" s="196">
        <v>0</v>
      </c>
      <c r="P65" s="194">
        <v>0</v>
      </c>
      <c r="Q65" s="196">
        <v>0</v>
      </c>
      <c r="R65" s="197">
        <v>0</v>
      </c>
      <c r="S65" s="196">
        <v>0</v>
      </c>
      <c r="T65" s="197">
        <v>0</v>
      </c>
      <c r="U65" s="288">
        <v>0</v>
      </c>
      <c r="V65" s="282">
        <f>C65-'часть 1'!L76</f>
        <v>0</v>
      </c>
      <c r="W65" s="282"/>
      <c r="X65" s="282"/>
      <c r="Y65" s="12"/>
      <c r="Z65" s="12"/>
      <c r="AA65" s="4"/>
      <c r="AB65" s="12"/>
      <c r="AC65" s="12"/>
      <c r="AD65" s="12"/>
      <c r="AE65" s="12"/>
      <c r="AF65" s="12"/>
      <c r="AG65" s="12"/>
      <c r="AH65" s="12"/>
      <c r="AI65" s="296"/>
    </row>
    <row r="66" spans="1:38" ht="30">
      <c r="A66" s="198">
        <v>58</v>
      </c>
      <c r="B66" s="195" t="s">
        <v>307</v>
      </c>
      <c r="C66" s="196">
        <v>703675.57</v>
      </c>
      <c r="D66" s="196"/>
      <c r="E66" s="196"/>
      <c r="F66" s="196"/>
      <c r="G66" s="196"/>
      <c r="H66" s="196"/>
      <c r="I66" s="196"/>
      <c r="J66" s="196"/>
      <c r="K66" s="196">
        <v>0</v>
      </c>
      <c r="L66" s="194">
        <v>0</v>
      </c>
      <c r="M66" s="196">
        <v>0</v>
      </c>
      <c r="N66" s="196">
        <v>378</v>
      </c>
      <c r="O66" s="196">
        <v>703675.57</v>
      </c>
      <c r="P66" s="194">
        <v>0</v>
      </c>
      <c r="Q66" s="196">
        <v>0</v>
      </c>
      <c r="R66" s="197">
        <v>0</v>
      </c>
      <c r="S66" s="196">
        <v>0</v>
      </c>
      <c r="T66" s="197">
        <v>0</v>
      </c>
      <c r="U66" s="288">
        <v>0</v>
      </c>
      <c r="V66" s="282">
        <f>C66-'часть 1'!L77</f>
        <v>0</v>
      </c>
      <c r="W66" s="282"/>
      <c r="X66" s="28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296"/>
    </row>
    <row r="67" spans="1:38">
      <c r="A67" s="198">
        <v>59</v>
      </c>
      <c r="B67" s="195" t="s">
        <v>268</v>
      </c>
      <c r="C67" s="196">
        <v>1053533.22</v>
      </c>
      <c r="D67" s="196"/>
      <c r="E67" s="196"/>
      <c r="F67" s="196"/>
      <c r="G67" s="196"/>
      <c r="H67" s="196"/>
      <c r="I67" s="196"/>
      <c r="J67" s="196"/>
      <c r="K67" s="196">
        <v>1053533.22</v>
      </c>
      <c r="L67" s="194">
        <v>0</v>
      </c>
      <c r="M67" s="196">
        <v>0</v>
      </c>
      <c r="N67" s="196">
        <v>0</v>
      </c>
      <c r="O67" s="196">
        <v>0</v>
      </c>
      <c r="P67" s="194">
        <v>0</v>
      </c>
      <c r="Q67" s="196">
        <v>0</v>
      </c>
      <c r="R67" s="197">
        <v>0</v>
      </c>
      <c r="S67" s="196">
        <v>0</v>
      </c>
      <c r="T67" s="197">
        <v>0</v>
      </c>
      <c r="U67" s="288">
        <v>0</v>
      </c>
      <c r="V67" s="282">
        <f>C67-'часть 1'!L78</f>
        <v>0</v>
      </c>
      <c r="W67" s="282"/>
      <c r="X67" s="28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296"/>
      <c r="AJ67" s="11"/>
      <c r="AK67" s="11"/>
      <c r="AL67" s="11"/>
    </row>
    <row r="68" spans="1:38">
      <c r="A68" s="198">
        <v>60</v>
      </c>
      <c r="B68" s="195" t="s">
        <v>246</v>
      </c>
      <c r="C68" s="196">
        <v>1253738</v>
      </c>
      <c r="D68" s="196"/>
      <c r="E68" s="196"/>
      <c r="F68" s="196"/>
      <c r="G68" s="196"/>
      <c r="H68" s="196"/>
      <c r="I68" s="196"/>
      <c r="J68" s="196"/>
      <c r="K68" s="196">
        <v>0</v>
      </c>
      <c r="L68" s="194">
        <v>0</v>
      </c>
      <c r="M68" s="196">
        <v>0</v>
      </c>
      <c r="N68" s="196">
        <v>622</v>
      </c>
      <c r="O68" s="196">
        <v>1253738</v>
      </c>
      <c r="P68" s="194">
        <v>0</v>
      </c>
      <c r="Q68" s="196">
        <v>0</v>
      </c>
      <c r="R68" s="200">
        <v>0</v>
      </c>
      <c r="S68" s="196">
        <v>0</v>
      </c>
      <c r="T68" s="197">
        <v>0</v>
      </c>
      <c r="U68" s="288">
        <v>0</v>
      </c>
      <c r="V68" s="282">
        <f>C68-'часть 1'!L79</f>
        <v>0</v>
      </c>
      <c r="W68" s="282"/>
      <c r="X68" s="28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296"/>
    </row>
    <row r="69" spans="1:38" s="11" customFormat="1">
      <c r="A69" s="198">
        <v>61</v>
      </c>
      <c r="B69" s="195" t="s">
        <v>470</v>
      </c>
      <c r="C69" s="196">
        <v>1870046</v>
      </c>
      <c r="D69" s="196"/>
      <c r="E69" s="196"/>
      <c r="F69" s="196"/>
      <c r="G69" s="196"/>
      <c r="H69" s="196"/>
      <c r="I69" s="196"/>
      <c r="J69" s="196"/>
      <c r="K69" s="196">
        <v>0</v>
      </c>
      <c r="L69" s="194">
        <v>1</v>
      </c>
      <c r="M69" s="196">
        <v>1870046</v>
      </c>
      <c r="N69" s="196">
        <v>0</v>
      </c>
      <c r="O69" s="196">
        <v>0</v>
      </c>
      <c r="P69" s="194">
        <v>0</v>
      </c>
      <c r="Q69" s="196">
        <v>0</v>
      </c>
      <c r="R69" s="197">
        <v>0</v>
      </c>
      <c r="S69" s="196">
        <v>0</v>
      </c>
      <c r="T69" s="197">
        <v>0</v>
      </c>
      <c r="U69" s="288">
        <v>0</v>
      </c>
      <c r="V69" s="282">
        <f>C69-'часть 1'!L80</f>
        <v>0</v>
      </c>
      <c r="W69" s="282"/>
      <c r="X69" s="28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296"/>
      <c r="AJ69" s="1"/>
      <c r="AK69" s="1"/>
      <c r="AL69" s="1"/>
    </row>
    <row r="70" spans="1:38">
      <c r="A70" s="198">
        <v>62</v>
      </c>
      <c r="B70" s="195" t="s">
        <v>350</v>
      </c>
      <c r="C70" s="196">
        <v>3720676</v>
      </c>
      <c r="D70" s="196"/>
      <c r="E70" s="196"/>
      <c r="F70" s="196"/>
      <c r="G70" s="196"/>
      <c r="H70" s="196"/>
      <c r="I70" s="196"/>
      <c r="J70" s="196"/>
      <c r="K70" s="196">
        <v>0</v>
      </c>
      <c r="L70" s="194">
        <v>2</v>
      </c>
      <c r="M70" s="196">
        <v>3720676</v>
      </c>
      <c r="N70" s="196">
        <v>0</v>
      </c>
      <c r="O70" s="196">
        <v>0</v>
      </c>
      <c r="P70" s="194">
        <v>0</v>
      </c>
      <c r="Q70" s="196">
        <v>0</v>
      </c>
      <c r="R70" s="197">
        <v>0</v>
      </c>
      <c r="S70" s="196">
        <v>0</v>
      </c>
      <c r="T70" s="197">
        <v>0</v>
      </c>
      <c r="U70" s="288">
        <v>0</v>
      </c>
      <c r="V70" s="282">
        <f>C70-'часть 1'!L81</f>
        <v>0</v>
      </c>
      <c r="W70" s="282"/>
      <c r="X70" s="28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296"/>
    </row>
    <row r="71" spans="1:38">
      <c r="A71" s="198">
        <v>63</v>
      </c>
      <c r="B71" s="195" t="s">
        <v>251</v>
      </c>
      <c r="C71" s="196">
        <v>3687908</v>
      </c>
      <c r="D71" s="196"/>
      <c r="E71" s="196"/>
      <c r="F71" s="196"/>
      <c r="G71" s="196"/>
      <c r="H71" s="196"/>
      <c r="I71" s="196"/>
      <c r="J71" s="196"/>
      <c r="K71" s="196">
        <v>3687908</v>
      </c>
      <c r="L71" s="194">
        <v>0</v>
      </c>
      <c r="M71" s="196">
        <v>0</v>
      </c>
      <c r="N71" s="196">
        <v>0</v>
      </c>
      <c r="O71" s="196">
        <v>0</v>
      </c>
      <c r="P71" s="194">
        <v>0</v>
      </c>
      <c r="Q71" s="196">
        <v>0</v>
      </c>
      <c r="R71" s="200">
        <v>0</v>
      </c>
      <c r="S71" s="196">
        <v>0</v>
      </c>
      <c r="T71" s="197">
        <v>0</v>
      </c>
      <c r="U71" s="288">
        <v>0</v>
      </c>
      <c r="V71" s="282">
        <f>C71-'часть 1'!L82</f>
        <v>0</v>
      </c>
      <c r="W71" s="282"/>
      <c r="X71" s="282"/>
      <c r="Y71" s="12"/>
      <c r="Z71" s="12"/>
      <c r="AA71" s="12"/>
      <c r="AB71" s="12"/>
      <c r="AC71" s="12"/>
      <c r="AD71" s="12"/>
      <c r="AE71" s="64"/>
      <c r="AF71" s="12"/>
      <c r="AG71" s="12"/>
      <c r="AH71" s="12"/>
      <c r="AI71" s="296"/>
    </row>
    <row r="72" spans="1:38">
      <c r="A72" s="198">
        <v>64</v>
      </c>
      <c r="B72" s="195" t="s">
        <v>226</v>
      </c>
      <c r="C72" s="196">
        <v>1760967.35</v>
      </c>
      <c r="D72" s="196"/>
      <c r="E72" s="196"/>
      <c r="F72" s="196"/>
      <c r="G72" s="196"/>
      <c r="H72" s="196"/>
      <c r="I72" s="196"/>
      <c r="J72" s="196"/>
      <c r="K72" s="196">
        <v>0</v>
      </c>
      <c r="L72" s="194">
        <v>0</v>
      </c>
      <c r="M72" s="196">
        <v>0</v>
      </c>
      <c r="N72" s="196">
        <v>881</v>
      </c>
      <c r="O72" s="196">
        <v>1760967.35</v>
      </c>
      <c r="P72" s="194">
        <v>0</v>
      </c>
      <c r="Q72" s="196">
        <v>0</v>
      </c>
      <c r="R72" s="200">
        <v>0</v>
      </c>
      <c r="S72" s="196">
        <v>0</v>
      </c>
      <c r="T72" s="197">
        <v>0</v>
      </c>
      <c r="U72" s="288">
        <v>0</v>
      </c>
      <c r="V72" s="282">
        <f>C72-'часть 1'!L83</f>
        <v>0</v>
      </c>
      <c r="W72" s="282"/>
      <c r="X72" s="28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296"/>
    </row>
    <row r="73" spans="1:38">
      <c r="A73" s="198">
        <v>65</v>
      </c>
      <c r="B73" s="195" t="s">
        <v>271</v>
      </c>
      <c r="C73" s="196">
        <v>881947</v>
      </c>
      <c r="D73" s="196"/>
      <c r="E73" s="196"/>
      <c r="F73" s="196"/>
      <c r="G73" s="196"/>
      <c r="H73" s="196"/>
      <c r="I73" s="196"/>
      <c r="J73" s="196"/>
      <c r="K73" s="196">
        <v>881947</v>
      </c>
      <c r="L73" s="194">
        <v>0</v>
      </c>
      <c r="M73" s="196">
        <v>0</v>
      </c>
      <c r="N73" s="196">
        <v>0</v>
      </c>
      <c r="O73" s="196">
        <v>0</v>
      </c>
      <c r="P73" s="194">
        <v>0</v>
      </c>
      <c r="Q73" s="196">
        <v>0</v>
      </c>
      <c r="R73" s="197">
        <v>0</v>
      </c>
      <c r="S73" s="196">
        <v>0</v>
      </c>
      <c r="T73" s="197">
        <v>0</v>
      </c>
      <c r="U73" s="288">
        <v>0</v>
      </c>
      <c r="V73" s="282">
        <f>C73-'часть 1'!L84</f>
        <v>0</v>
      </c>
      <c r="W73" s="282"/>
      <c r="X73" s="282"/>
      <c r="Y73" s="4"/>
      <c r="Z73" s="12"/>
      <c r="AA73" s="12"/>
      <c r="AB73" s="12"/>
      <c r="AC73" s="12"/>
      <c r="AD73" s="12"/>
      <c r="AE73" s="12"/>
      <c r="AF73" s="12"/>
      <c r="AG73" s="12"/>
      <c r="AH73" s="12"/>
      <c r="AI73" s="296"/>
    </row>
    <row r="74" spans="1:38">
      <c r="A74" s="198">
        <v>66</v>
      </c>
      <c r="B74" s="195" t="s">
        <v>287</v>
      </c>
      <c r="C74" s="196">
        <v>517739</v>
      </c>
      <c r="D74" s="196"/>
      <c r="E74" s="196"/>
      <c r="F74" s="196"/>
      <c r="G74" s="196"/>
      <c r="H74" s="196"/>
      <c r="I74" s="196"/>
      <c r="J74" s="196"/>
      <c r="K74" s="196">
        <v>0</v>
      </c>
      <c r="L74" s="194">
        <v>0</v>
      </c>
      <c r="M74" s="196">
        <v>0</v>
      </c>
      <c r="N74" s="196">
        <v>252</v>
      </c>
      <c r="O74" s="199">
        <v>517739</v>
      </c>
      <c r="P74" s="194">
        <v>0</v>
      </c>
      <c r="Q74" s="196">
        <v>0</v>
      </c>
      <c r="R74" s="197">
        <v>0</v>
      </c>
      <c r="S74" s="196">
        <v>0</v>
      </c>
      <c r="T74" s="197">
        <v>0</v>
      </c>
      <c r="U74" s="288">
        <v>0</v>
      </c>
      <c r="V74" s="282">
        <f>C74-'часть 1'!L85</f>
        <v>0</v>
      </c>
      <c r="W74" s="282"/>
      <c r="X74" s="28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296"/>
    </row>
    <row r="75" spans="1:38">
      <c r="A75" s="198">
        <v>67</v>
      </c>
      <c r="B75" s="195" t="s">
        <v>289</v>
      </c>
      <c r="C75" s="196">
        <v>1728895</v>
      </c>
      <c r="D75" s="196"/>
      <c r="E75" s="196"/>
      <c r="F75" s="196"/>
      <c r="G75" s="196"/>
      <c r="H75" s="196"/>
      <c r="I75" s="196"/>
      <c r="J75" s="196"/>
      <c r="K75" s="196">
        <v>0</v>
      </c>
      <c r="L75" s="194">
        <v>0</v>
      </c>
      <c r="M75" s="196">
        <v>0</v>
      </c>
      <c r="N75" s="196">
        <v>873.06</v>
      </c>
      <c r="O75" s="196">
        <v>1728895</v>
      </c>
      <c r="P75" s="201">
        <v>0</v>
      </c>
      <c r="Q75" s="196">
        <v>0</v>
      </c>
      <c r="R75" s="200">
        <v>0</v>
      </c>
      <c r="S75" s="196">
        <v>0</v>
      </c>
      <c r="T75" s="197">
        <v>0</v>
      </c>
      <c r="U75" s="288">
        <v>0</v>
      </c>
      <c r="V75" s="282">
        <f>C75-'часть 1'!L86</f>
        <v>0</v>
      </c>
      <c r="W75" s="282"/>
      <c r="X75" s="28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296"/>
    </row>
    <row r="76" spans="1:38">
      <c r="A76" s="198">
        <v>68</v>
      </c>
      <c r="B76" s="195" t="s">
        <v>259</v>
      </c>
      <c r="C76" s="196">
        <v>682529</v>
      </c>
      <c r="D76" s="196"/>
      <c r="E76" s="196"/>
      <c r="F76" s="196"/>
      <c r="G76" s="196"/>
      <c r="H76" s="196"/>
      <c r="I76" s="196"/>
      <c r="J76" s="196"/>
      <c r="K76" s="196">
        <v>0</v>
      </c>
      <c r="L76" s="194">
        <v>0</v>
      </c>
      <c r="M76" s="196">
        <v>0</v>
      </c>
      <c r="N76" s="196">
        <v>335.6</v>
      </c>
      <c r="O76" s="196">
        <v>682529</v>
      </c>
      <c r="P76" s="194">
        <v>0</v>
      </c>
      <c r="Q76" s="196">
        <v>0</v>
      </c>
      <c r="R76" s="197">
        <v>0</v>
      </c>
      <c r="S76" s="196">
        <v>0</v>
      </c>
      <c r="T76" s="197">
        <v>0</v>
      </c>
      <c r="U76" s="288">
        <v>0</v>
      </c>
      <c r="V76" s="282">
        <f>C76-'часть 1'!L87</f>
        <v>0</v>
      </c>
      <c r="W76" s="282"/>
      <c r="X76" s="28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296"/>
    </row>
    <row r="77" spans="1:38">
      <c r="A77" s="198">
        <v>69</v>
      </c>
      <c r="B77" s="195" t="s">
        <v>291</v>
      </c>
      <c r="C77" s="196">
        <v>582157</v>
      </c>
      <c r="D77" s="196"/>
      <c r="E77" s="196"/>
      <c r="F77" s="196"/>
      <c r="G77" s="196"/>
      <c r="H77" s="196"/>
      <c r="I77" s="196"/>
      <c r="J77" s="196"/>
      <c r="K77" s="196">
        <v>0</v>
      </c>
      <c r="L77" s="194">
        <v>0</v>
      </c>
      <c r="M77" s="196">
        <v>0</v>
      </c>
      <c r="N77" s="196">
        <v>285</v>
      </c>
      <c r="O77" s="196">
        <v>582157</v>
      </c>
      <c r="P77" s="194">
        <v>0</v>
      </c>
      <c r="Q77" s="196">
        <v>0</v>
      </c>
      <c r="R77" s="200">
        <v>0</v>
      </c>
      <c r="S77" s="196">
        <v>0</v>
      </c>
      <c r="T77" s="197">
        <v>0</v>
      </c>
      <c r="U77" s="288">
        <v>0</v>
      </c>
      <c r="V77" s="282">
        <f>C77-'часть 1'!L88</f>
        <v>0</v>
      </c>
      <c r="W77" s="282"/>
      <c r="X77" s="28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296"/>
    </row>
    <row r="78" spans="1:38">
      <c r="A78" s="198">
        <v>70</v>
      </c>
      <c r="B78" s="195" t="s">
        <v>224</v>
      </c>
      <c r="C78" s="196">
        <v>701704</v>
      </c>
      <c r="D78" s="196"/>
      <c r="E78" s="196"/>
      <c r="F78" s="196"/>
      <c r="G78" s="196"/>
      <c r="H78" s="196"/>
      <c r="I78" s="196"/>
      <c r="J78" s="196"/>
      <c r="K78" s="196">
        <v>701704</v>
      </c>
      <c r="L78" s="194">
        <v>0</v>
      </c>
      <c r="M78" s="196">
        <v>0</v>
      </c>
      <c r="N78" s="199">
        <v>0</v>
      </c>
      <c r="O78" s="196">
        <v>0</v>
      </c>
      <c r="P78" s="194">
        <v>0</v>
      </c>
      <c r="Q78" s="196">
        <v>0</v>
      </c>
      <c r="R78" s="200">
        <v>0</v>
      </c>
      <c r="S78" s="196">
        <v>0</v>
      </c>
      <c r="T78" s="197">
        <v>0</v>
      </c>
      <c r="U78" s="288">
        <v>0</v>
      </c>
      <c r="V78" s="282">
        <f>C78-'часть 1'!L89</f>
        <v>0</v>
      </c>
      <c r="W78" s="282"/>
      <c r="X78" s="282"/>
      <c r="Y78" s="4"/>
      <c r="Z78" s="12"/>
      <c r="AA78" s="12"/>
      <c r="AB78" s="12"/>
      <c r="AC78" s="12"/>
      <c r="AD78" s="12"/>
      <c r="AE78" s="12"/>
      <c r="AF78" s="12"/>
      <c r="AG78" s="12"/>
      <c r="AH78" s="12"/>
      <c r="AI78" s="296"/>
    </row>
    <row r="79" spans="1:38">
      <c r="A79" s="198">
        <v>71</v>
      </c>
      <c r="B79" s="195" t="s">
        <v>261</v>
      </c>
      <c r="C79" s="196">
        <v>1969149</v>
      </c>
      <c r="D79" s="196"/>
      <c r="E79" s="196"/>
      <c r="F79" s="196"/>
      <c r="G79" s="196"/>
      <c r="H79" s="196"/>
      <c r="I79" s="196"/>
      <c r="J79" s="196"/>
      <c r="K79" s="196">
        <v>0</v>
      </c>
      <c r="L79" s="194">
        <v>0</v>
      </c>
      <c r="M79" s="196">
        <v>0</v>
      </c>
      <c r="N79" s="196">
        <v>995.8</v>
      </c>
      <c r="O79" s="196">
        <v>1969149</v>
      </c>
      <c r="P79" s="194">
        <v>0</v>
      </c>
      <c r="Q79" s="196">
        <v>0</v>
      </c>
      <c r="R79" s="197">
        <v>0</v>
      </c>
      <c r="S79" s="196">
        <v>0</v>
      </c>
      <c r="T79" s="197">
        <v>0</v>
      </c>
      <c r="U79" s="288">
        <v>0</v>
      </c>
      <c r="V79" s="282">
        <f>C79-'часть 1'!L90</f>
        <v>0</v>
      </c>
      <c r="W79" s="282"/>
      <c r="X79" s="28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296"/>
    </row>
    <row r="80" spans="1:38">
      <c r="A80" s="198">
        <v>72</v>
      </c>
      <c r="B80" s="195" t="s">
        <v>239</v>
      </c>
      <c r="C80" s="196">
        <v>1023088</v>
      </c>
      <c r="D80" s="196"/>
      <c r="E80" s="196"/>
      <c r="F80" s="196"/>
      <c r="G80" s="196"/>
      <c r="H80" s="196"/>
      <c r="I80" s="196"/>
      <c r="J80" s="196"/>
      <c r="K80" s="196">
        <v>0</v>
      </c>
      <c r="L80" s="194">
        <v>0</v>
      </c>
      <c r="M80" s="196">
        <v>0</v>
      </c>
      <c r="N80" s="196">
        <v>0</v>
      </c>
      <c r="O80" s="196">
        <v>0</v>
      </c>
      <c r="P80" s="194">
        <v>0</v>
      </c>
      <c r="Q80" s="196">
        <v>0</v>
      </c>
      <c r="R80" s="196">
        <v>694</v>
      </c>
      <c r="S80" s="199">
        <v>1023088</v>
      </c>
      <c r="T80" s="197">
        <v>0</v>
      </c>
      <c r="U80" s="288">
        <v>0</v>
      </c>
      <c r="V80" s="282">
        <f>C80-'часть 1'!L91</f>
        <v>0</v>
      </c>
      <c r="W80" s="282"/>
      <c r="X80" s="28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296"/>
    </row>
    <row r="81" spans="1:35">
      <c r="A81" s="198">
        <v>73</v>
      </c>
      <c r="B81" s="195" t="s">
        <v>336</v>
      </c>
      <c r="C81" s="196">
        <v>3334570</v>
      </c>
      <c r="D81" s="196"/>
      <c r="E81" s="196"/>
      <c r="F81" s="196"/>
      <c r="G81" s="196"/>
      <c r="H81" s="196"/>
      <c r="I81" s="196"/>
      <c r="J81" s="196"/>
      <c r="K81" s="196" t="e">
        <f>#REF!</f>
        <v>#REF!</v>
      </c>
      <c r="L81" s="194">
        <v>0</v>
      </c>
      <c r="M81" s="196">
        <v>0</v>
      </c>
      <c r="N81" s="199">
        <v>0</v>
      </c>
      <c r="O81" s="196">
        <v>0</v>
      </c>
      <c r="P81" s="194">
        <v>0</v>
      </c>
      <c r="Q81" s="196">
        <v>0</v>
      </c>
      <c r="R81" s="197">
        <v>0</v>
      </c>
      <c r="S81" s="196">
        <v>0</v>
      </c>
      <c r="T81" s="197">
        <v>0</v>
      </c>
      <c r="U81" s="288">
        <v>0</v>
      </c>
      <c r="V81" s="282">
        <f>C81-'часть 1'!L92</f>
        <v>0</v>
      </c>
      <c r="W81" s="282"/>
      <c r="X81" s="282"/>
      <c r="Y81" s="12"/>
      <c r="Z81" s="12"/>
      <c r="AA81" s="12"/>
      <c r="AB81" s="12"/>
      <c r="AC81" s="12"/>
      <c r="AD81" s="12"/>
      <c r="AE81" s="15"/>
      <c r="AF81" s="12"/>
      <c r="AG81" s="12"/>
      <c r="AH81" s="12"/>
      <c r="AI81" s="296"/>
    </row>
    <row r="82" spans="1:35">
      <c r="A82" s="198">
        <v>74</v>
      </c>
      <c r="B82" s="195" t="s">
        <v>306</v>
      </c>
      <c r="C82" s="196">
        <v>1127374.33</v>
      </c>
      <c r="D82" s="196"/>
      <c r="E82" s="196"/>
      <c r="F82" s="196"/>
      <c r="G82" s="196"/>
      <c r="H82" s="196"/>
      <c r="I82" s="196"/>
      <c r="J82" s="196"/>
      <c r="K82" s="196">
        <v>1127374.33</v>
      </c>
      <c r="L82" s="194">
        <v>0</v>
      </c>
      <c r="M82" s="196">
        <v>0</v>
      </c>
      <c r="N82" s="196">
        <v>0</v>
      </c>
      <c r="O82" s="196">
        <v>0</v>
      </c>
      <c r="P82" s="194">
        <v>0</v>
      </c>
      <c r="Q82" s="196">
        <v>0</v>
      </c>
      <c r="R82" s="197">
        <v>0</v>
      </c>
      <c r="S82" s="196">
        <v>0</v>
      </c>
      <c r="T82" s="197">
        <v>0</v>
      </c>
      <c r="U82" s="288">
        <v>0</v>
      </c>
      <c r="V82" s="282">
        <f>C82-'часть 1'!L93</f>
        <v>0</v>
      </c>
      <c r="W82" s="282"/>
      <c r="X82" s="28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296"/>
    </row>
    <row r="83" spans="1:35">
      <c r="A83" s="198">
        <v>75</v>
      </c>
      <c r="B83" s="195" t="s">
        <v>234</v>
      </c>
      <c r="C83" s="196">
        <v>1161456</v>
      </c>
      <c r="D83" s="196"/>
      <c r="E83" s="196"/>
      <c r="F83" s="196"/>
      <c r="G83" s="196"/>
      <c r="H83" s="196"/>
      <c r="I83" s="196"/>
      <c r="J83" s="196"/>
      <c r="K83" s="196">
        <v>1161456</v>
      </c>
      <c r="L83" s="194">
        <v>0</v>
      </c>
      <c r="M83" s="196">
        <v>0</v>
      </c>
      <c r="N83" s="196">
        <v>0</v>
      </c>
      <c r="O83" s="196">
        <v>0</v>
      </c>
      <c r="P83" s="194">
        <v>0</v>
      </c>
      <c r="Q83" s="196">
        <v>0</v>
      </c>
      <c r="R83" s="197">
        <v>0</v>
      </c>
      <c r="S83" s="196">
        <v>0</v>
      </c>
      <c r="T83" s="197">
        <v>0</v>
      </c>
      <c r="U83" s="288">
        <v>0</v>
      </c>
      <c r="V83" s="282">
        <f>C83-'часть 1'!L94</f>
        <v>0</v>
      </c>
      <c r="W83" s="282"/>
      <c r="X83" s="28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296"/>
    </row>
    <row r="84" spans="1:35">
      <c r="A84" s="198">
        <v>76</v>
      </c>
      <c r="B84" s="195" t="s">
        <v>277</v>
      </c>
      <c r="C84" s="196">
        <v>1197250.23</v>
      </c>
      <c r="D84" s="196"/>
      <c r="E84" s="196"/>
      <c r="F84" s="196"/>
      <c r="G84" s="196"/>
      <c r="H84" s="196"/>
      <c r="I84" s="196"/>
      <c r="J84" s="196"/>
      <c r="K84" s="196">
        <v>1197250.23</v>
      </c>
      <c r="L84" s="194">
        <v>0</v>
      </c>
      <c r="M84" s="196">
        <v>0</v>
      </c>
      <c r="N84" s="199">
        <v>0</v>
      </c>
      <c r="O84" s="196">
        <v>0</v>
      </c>
      <c r="P84" s="194">
        <v>0</v>
      </c>
      <c r="Q84" s="196">
        <v>0</v>
      </c>
      <c r="R84" s="197">
        <v>0</v>
      </c>
      <c r="S84" s="196">
        <v>0</v>
      </c>
      <c r="T84" s="197">
        <v>0</v>
      </c>
      <c r="U84" s="288">
        <v>0</v>
      </c>
      <c r="V84" s="282">
        <f>C84-'часть 1'!L95</f>
        <v>0</v>
      </c>
      <c r="W84" s="282"/>
      <c r="X84" s="28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296"/>
    </row>
    <row r="85" spans="1:35">
      <c r="A85" s="198">
        <v>77</v>
      </c>
      <c r="B85" s="195" t="s">
        <v>303</v>
      </c>
      <c r="C85" s="196">
        <v>2784233</v>
      </c>
      <c r="D85" s="196"/>
      <c r="E85" s="196"/>
      <c r="F85" s="196"/>
      <c r="G85" s="196"/>
      <c r="H85" s="196"/>
      <c r="I85" s="196"/>
      <c r="J85" s="196"/>
      <c r="K85" s="196">
        <v>0</v>
      </c>
      <c r="L85" s="194">
        <v>0</v>
      </c>
      <c r="M85" s="196">
        <v>0</v>
      </c>
      <c r="N85" s="196">
        <v>1391</v>
      </c>
      <c r="O85" s="196">
        <v>2784233</v>
      </c>
      <c r="P85" s="194">
        <v>0</v>
      </c>
      <c r="Q85" s="196">
        <v>0</v>
      </c>
      <c r="R85" s="197">
        <v>0</v>
      </c>
      <c r="S85" s="196">
        <v>0</v>
      </c>
      <c r="T85" s="197">
        <v>0</v>
      </c>
      <c r="U85" s="288">
        <v>0</v>
      </c>
      <c r="V85" s="282">
        <f>C85-'часть 1'!L96</f>
        <v>0</v>
      </c>
      <c r="W85" s="282"/>
      <c r="X85" s="28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296"/>
    </row>
    <row r="86" spans="1:35">
      <c r="A86" s="198">
        <v>78</v>
      </c>
      <c r="B86" s="195" t="s">
        <v>293</v>
      </c>
      <c r="C86" s="196">
        <v>2369961</v>
      </c>
      <c r="D86" s="196"/>
      <c r="E86" s="196"/>
      <c r="F86" s="196"/>
      <c r="G86" s="196"/>
      <c r="H86" s="196"/>
      <c r="I86" s="196"/>
      <c r="J86" s="196"/>
      <c r="K86" s="196">
        <v>2369961</v>
      </c>
      <c r="L86" s="194">
        <v>0</v>
      </c>
      <c r="M86" s="196">
        <v>0</v>
      </c>
      <c r="N86" s="196">
        <v>0</v>
      </c>
      <c r="O86" s="196">
        <v>0</v>
      </c>
      <c r="P86" s="194">
        <v>0</v>
      </c>
      <c r="Q86" s="196">
        <v>0</v>
      </c>
      <c r="R86" s="200">
        <v>0</v>
      </c>
      <c r="S86" s="196">
        <v>0</v>
      </c>
      <c r="T86" s="197">
        <v>0</v>
      </c>
      <c r="U86" s="288">
        <v>0</v>
      </c>
      <c r="V86" s="282">
        <f>C86-'часть 1'!L97</f>
        <v>0</v>
      </c>
      <c r="W86" s="282"/>
      <c r="X86" s="28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296"/>
    </row>
    <row r="87" spans="1:35">
      <c r="A87" s="198">
        <v>79</v>
      </c>
      <c r="B87" s="195" t="s">
        <v>463</v>
      </c>
      <c r="C87" s="196">
        <v>672819</v>
      </c>
      <c r="D87" s="196"/>
      <c r="E87" s="196"/>
      <c r="F87" s="196"/>
      <c r="G87" s="196"/>
      <c r="H87" s="196"/>
      <c r="I87" s="196"/>
      <c r="J87" s="196"/>
      <c r="K87" s="196">
        <v>0</v>
      </c>
      <c r="L87" s="194">
        <v>0</v>
      </c>
      <c r="M87" s="196">
        <v>0</v>
      </c>
      <c r="N87" s="196">
        <v>331.4</v>
      </c>
      <c r="O87" s="196">
        <v>672819</v>
      </c>
      <c r="P87" s="194">
        <v>0</v>
      </c>
      <c r="Q87" s="196">
        <v>0</v>
      </c>
      <c r="R87" s="200">
        <v>0</v>
      </c>
      <c r="S87" s="196">
        <v>0</v>
      </c>
      <c r="T87" s="197">
        <v>0</v>
      </c>
      <c r="U87" s="288">
        <v>0</v>
      </c>
      <c r="V87" s="282">
        <f>C87-'часть 1'!L98</f>
        <v>0</v>
      </c>
      <c r="W87" s="282"/>
      <c r="X87" s="28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296"/>
    </row>
    <row r="88" spans="1:35">
      <c r="A88" s="198">
        <v>80</v>
      </c>
      <c r="B88" s="195" t="s">
        <v>340</v>
      </c>
      <c r="C88" s="196">
        <v>1651491</v>
      </c>
      <c r="D88" s="196"/>
      <c r="E88" s="196"/>
      <c r="F88" s="196"/>
      <c r="G88" s="196"/>
      <c r="H88" s="196"/>
      <c r="I88" s="196"/>
      <c r="J88" s="196"/>
      <c r="K88" s="196">
        <v>1651491</v>
      </c>
      <c r="L88" s="194">
        <v>0</v>
      </c>
      <c r="M88" s="196">
        <v>0</v>
      </c>
      <c r="N88" s="196">
        <v>0</v>
      </c>
      <c r="O88" s="196">
        <v>0</v>
      </c>
      <c r="P88" s="194">
        <v>0</v>
      </c>
      <c r="Q88" s="196">
        <v>0</v>
      </c>
      <c r="R88" s="197">
        <v>0</v>
      </c>
      <c r="S88" s="196">
        <v>0</v>
      </c>
      <c r="T88" s="197">
        <v>0</v>
      </c>
      <c r="U88" s="288">
        <v>0</v>
      </c>
      <c r="V88" s="282">
        <f>C88-'часть 1'!L99</f>
        <v>0</v>
      </c>
      <c r="W88" s="282"/>
      <c r="X88" s="28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296"/>
    </row>
    <row r="89" spans="1:35">
      <c r="A89" s="198">
        <v>81</v>
      </c>
      <c r="B89" s="195" t="s">
        <v>254</v>
      </c>
      <c r="C89" s="196">
        <v>1432926</v>
      </c>
      <c r="D89" s="196"/>
      <c r="E89" s="196"/>
      <c r="F89" s="196"/>
      <c r="G89" s="196"/>
      <c r="H89" s="196"/>
      <c r="I89" s="196"/>
      <c r="J89" s="196"/>
      <c r="K89" s="196">
        <v>0</v>
      </c>
      <c r="L89" s="194">
        <v>0</v>
      </c>
      <c r="M89" s="196">
        <v>0</v>
      </c>
      <c r="N89" s="196">
        <v>710.73</v>
      </c>
      <c r="O89" s="196">
        <v>1432926</v>
      </c>
      <c r="P89" s="194">
        <v>0</v>
      </c>
      <c r="Q89" s="196">
        <v>0</v>
      </c>
      <c r="R89" s="200">
        <v>0</v>
      </c>
      <c r="S89" s="196">
        <v>0</v>
      </c>
      <c r="T89" s="197">
        <v>0</v>
      </c>
      <c r="U89" s="288">
        <v>0</v>
      </c>
      <c r="V89" s="282">
        <f>C89-'часть 1'!L100</f>
        <v>0</v>
      </c>
      <c r="W89" s="282"/>
      <c r="X89" s="28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296"/>
    </row>
    <row r="90" spans="1:35">
      <c r="A90" s="198">
        <v>82</v>
      </c>
      <c r="B90" s="195" t="s">
        <v>343</v>
      </c>
      <c r="C90" s="196">
        <v>1137886</v>
      </c>
      <c r="D90" s="196"/>
      <c r="E90" s="196"/>
      <c r="F90" s="196"/>
      <c r="G90" s="196"/>
      <c r="H90" s="196"/>
      <c r="I90" s="196"/>
      <c r="J90" s="196"/>
      <c r="K90" s="196">
        <v>0</v>
      </c>
      <c r="L90" s="194">
        <v>0</v>
      </c>
      <c r="M90" s="196">
        <v>0</v>
      </c>
      <c r="N90" s="196">
        <v>0</v>
      </c>
      <c r="O90" s="196">
        <v>0</v>
      </c>
      <c r="P90" s="194">
        <v>0</v>
      </c>
      <c r="Q90" s="196">
        <v>0</v>
      </c>
      <c r="R90" s="199">
        <v>785.5</v>
      </c>
      <c r="S90" s="196">
        <v>1137886</v>
      </c>
      <c r="T90" s="197">
        <v>0</v>
      </c>
      <c r="U90" s="288">
        <v>0</v>
      </c>
      <c r="V90" s="282">
        <f>C90-'часть 1'!L101</f>
        <v>0</v>
      </c>
      <c r="W90" s="282"/>
      <c r="X90" s="28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296"/>
    </row>
    <row r="91" spans="1:35">
      <c r="A91" s="198">
        <v>83</v>
      </c>
      <c r="B91" s="195" t="s">
        <v>305</v>
      </c>
      <c r="C91" s="196">
        <v>1814838</v>
      </c>
      <c r="D91" s="196"/>
      <c r="E91" s="196"/>
      <c r="F91" s="196"/>
      <c r="G91" s="196"/>
      <c r="H91" s="196"/>
      <c r="I91" s="196"/>
      <c r="J91" s="196"/>
      <c r="K91" s="196">
        <v>0</v>
      </c>
      <c r="L91" s="194">
        <v>0</v>
      </c>
      <c r="M91" s="196">
        <v>0</v>
      </c>
      <c r="N91" s="196">
        <v>917</v>
      </c>
      <c r="O91" s="196">
        <v>1814838</v>
      </c>
      <c r="P91" s="194">
        <v>0</v>
      </c>
      <c r="Q91" s="196">
        <v>0</v>
      </c>
      <c r="R91" s="197">
        <v>0</v>
      </c>
      <c r="S91" s="196">
        <v>0</v>
      </c>
      <c r="T91" s="197">
        <v>0</v>
      </c>
      <c r="U91" s="288">
        <v>0</v>
      </c>
      <c r="V91" s="282">
        <f>C91-'часть 1'!L102</f>
        <v>0</v>
      </c>
      <c r="W91" s="282"/>
      <c r="X91" s="28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296"/>
    </row>
    <row r="92" spans="1:35">
      <c r="A92" s="198">
        <v>84</v>
      </c>
      <c r="B92" s="195" t="s">
        <v>345</v>
      </c>
      <c r="C92" s="196">
        <v>1544359.54</v>
      </c>
      <c r="D92" s="196"/>
      <c r="E92" s="196"/>
      <c r="F92" s="196"/>
      <c r="G92" s="196"/>
      <c r="H92" s="196"/>
      <c r="I92" s="196"/>
      <c r="J92" s="196"/>
      <c r="K92" s="196">
        <v>1544359.54</v>
      </c>
      <c r="L92" s="194">
        <v>0</v>
      </c>
      <c r="M92" s="196">
        <v>0</v>
      </c>
      <c r="N92" s="196">
        <v>0</v>
      </c>
      <c r="O92" s="196">
        <v>0</v>
      </c>
      <c r="P92" s="194">
        <v>0</v>
      </c>
      <c r="Q92" s="196">
        <v>0</v>
      </c>
      <c r="R92" s="197">
        <v>0</v>
      </c>
      <c r="S92" s="196">
        <v>0</v>
      </c>
      <c r="T92" s="197">
        <v>0</v>
      </c>
      <c r="U92" s="288">
        <v>0</v>
      </c>
      <c r="V92" s="282">
        <f>C92-'часть 1'!L103</f>
        <v>0</v>
      </c>
      <c r="W92" s="282"/>
      <c r="X92" s="28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297"/>
    </row>
    <row r="93" spans="1:35" ht="30">
      <c r="A93" s="198">
        <v>85</v>
      </c>
      <c r="B93" s="195" t="s">
        <v>454</v>
      </c>
      <c r="C93" s="196">
        <v>1787034</v>
      </c>
      <c r="D93" s="196"/>
      <c r="E93" s="196"/>
      <c r="F93" s="196"/>
      <c r="G93" s="196"/>
      <c r="H93" s="196"/>
      <c r="I93" s="196"/>
      <c r="J93" s="196"/>
      <c r="K93" s="196">
        <v>0</v>
      </c>
      <c r="L93" s="194">
        <v>1</v>
      </c>
      <c r="M93" s="196">
        <v>1787034</v>
      </c>
      <c r="N93" s="196">
        <v>0</v>
      </c>
      <c r="O93" s="196">
        <v>0</v>
      </c>
      <c r="P93" s="194">
        <v>0</v>
      </c>
      <c r="Q93" s="196">
        <v>0</v>
      </c>
      <c r="R93" s="200">
        <v>0</v>
      </c>
      <c r="S93" s="196">
        <v>0</v>
      </c>
      <c r="T93" s="197">
        <v>0</v>
      </c>
      <c r="U93" s="288">
        <v>0</v>
      </c>
      <c r="V93" s="282">
        <f>C93-'часть 1'!L104</f>
        <v>0</v>
      </c>
      <c r="W93" s="282"/>
      <c r="X93" s="28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296"/>
    </row>
    <row r="94" spans="1:35" ht="30">
      <c r="A94" s="198">
        <v>86</v>
      </c>
      <c r="B94" s="195" t="s">
        <v>455</v>
      </c>
      <c r="C94" s="196">
        <v>437998.57</v>
      </c>
      <c r="D94" s="196"/>
      <c r="E94" s="196"/>
      <c r="F94" s="196"/>
      <c r="G94" s="196"/>
      <c r="H94" s="196"/>
      <c r="I94" s="196"/>
      <c r="J94" s="196"/>
      <c r="K94" s="196">
        <v>437998.57</v>
      </c>
      <c r="L94" s="194">
        <v>0</v>
      </c>
      <c r="M94" s="196">
        <v>0</v>
      </c>
      <c r="N94" s="199">
        <v>0</v>
      </c>
      <c r="O94" s="196">
        <v>0</v>
      </c>
      <c r="P94" s="194">
        <v>0</v>
      </c>
      <c r="Q94" s="196">
        <v>0</v>
      </c>
      <c r="R94" s="200">
        <v>0</v>
      </c>
      <c r="S94" s="196">
        <v>0</v>
      </c>
      <c r="T94" s="197">
        <v>0</v>
      </c>
      <c r="U94" s="288">
        <v>0</v>
      </c>
      <c r="V94" s="282">
        <f>C94-'часть 1'!L105</f>
        <v>0</v>
      </c>
      <c r="W94" s="282"/>
      <c r="X94" s="28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296"/>
    </row>
    <row r="95" spans="1:35" ht="30">
      <c r="A95" s="198">
        <v>87</v>
      </c>
      <c r="B95" s="195" t="s">
        <v>456</v>
      </c>
      <c r="C95" s="196">
        <v>1116228</v>
      </c>
      <c r="D95" s="196"/>
      <c r="E95" s="196"/>
      <c r="F95" s="196"/>
      <c r="G95" s="196"/>
      <c r="H95" s="196"/>
      <c r="I95" s="196"/>
      <c r="J95" s="196"/>
      <c r="K95" s="196">
        <v>0</v>
      </c>
      <c r="L95" s="194">
        <v>0</v>
      </c>
      <c r="M95" s="196">
        <v>0</v>
      </c>
      <c r="N95" s="196">
        <v>734</v>
      </c>
      <c r="O95" s="196">
        <v>1116228</v>
      </c>
      <c r="P95" s="194">
        <v>0</v>
      </c>
      <c r="Q95" s="196">
        <v>0</v>
      </c>
      <c r="R95" s="200">
        <v>0</v>
      </c>
      <c r="S95" s="196">
        <v>0</v>
      </c>
      <c r="T95" s="197">
        <v>0</v>
      </c>
      <c r="U95" s="288">
        <v>0</v>
      </c>
      <c r="V95" s="282">
        <f>C95-'часть 1'!L106</f>
        <v>0</v>
      </c>
      <c r="W95" s="282"/>
      <c r="X95" s="28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296"/>
    </row>
    <row r="96" spans="1:35" ht="30">
      <c r="A96" s="198">
        <v>88</v>
      </c>
      <c r="B96" s="195" t="s">
        <v>457</v>
      </c>
      <c r="C96" s="196">
        <v>1313728</v>
      </c>
      <c r="D96" s="196"/>
      <c r="E96" s="196"/>
      <c r="F96" s="196"/>
      <c r="G96" s="196"/>
      <c r="H96" s="196"/>
      <c r="I96" s="196"/>
      <c r="J96" s="196"/>
      <c r="K96" s="196">
        <v>0</v>
      </c>
      <c r="L96" s="194">
        <v>0</v>
      </c>
      <c r="M96" s="196">
        <v>0</v>
      </c>
      <c r="N96" s="199">
        <v>660.7</v>
      </c>
      <c r="O96" s="196">
        <v>1313728</v>
      </c>
      <c r="P96" s="194">
        <v>0</v>
      </c>
      <c r="Q96" s="196">
        <v>0</v>
      </c>
      <c r="R96" s="197">
        <v>0</v>
      </c>
      <c r="S96" s="196">
        <v>0</v>
      </c>
      <c r="T96" s="197">
        <v>0</v>
      </c>
      <c r="U96" s="288">
        <v>0</v>
      </c>
      <c r="V96" s="282">
        <f>C96-'часть 1'!L107</f>
        <v>0</v>
      </c>
      <c r="W96" s="282"/>
      <c r="X96" s="28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296"/>
    </row>
    <row r="97" spans="1:35">
      <c r="A97" s="198">
        <v>89</v>
      </c>
      <c r="B97" s="195" t="s">
        <v>241</v>
      </c>
      <c r="C97" s="196">
        <v>359651</v>
      </c>
      <c r="D97" s="196"/>
      <c r="E97" s="196"/>
      <c r="F97" s="196"/>
      <c r="G97" s="196"/>
      <c r="H97" s="196"/>
      <c r="I97" s="196"/>
      <c r="J97" s="196"/>
      <c r="K97" s="196">
        <v>359651</v>
      </c>
      <c r="L97" s="194">
        <v>0</v>
      </c>
      <c r="M97" s="196">
        <v>0</v>
      </c>
      <c r="N97" s="196">
        <v>0</v>
      </c>
      <c r="O97" s="196">
        <v>0</v>
      </c>
      <c r="P97" s="194">
        <v>0</v>
      </c>
      <c r="Q97" s="196">
        <v>0</v>
      </c>
      <c r="R97" s="197">
        <v>0</v>
      </c>
      <c r="S97" s="196">
        <v>0</v>
      </c>
      <c r="T97" s="197">
        <v>0</v>
      </c>
      <c r="U97" s="288">
        <v>0</v>
      </c>
      <c r="V97" s="282">
        <f>C97-'часть 1'!L108</f>
        <v>0</v>
      </c>
      <c r="W97" s="282"/>
      <c r="X97" s="282"/>
      <c r="Y97" s="12"/>
      <c r="Z97" s="12"/>
      <c r="AA97" s="12"/>
      <c r="AB97" s="12"/>
      <c r="AC97" s="4"/>
      <c r="AD97" s="12"/>
      <c r="AE97" s="12"/>
      <c r="AF97" s="12"/>
      <c r="AG97" s="12"/>
      <c r="AH97" s="12"/>
      <c r="AI97" s="296"/>
    </row>
    <row r="98" spans="1:35">
      <c r="A98" s="198">
        <v>90</v>
      </c>
      <c r="B98" s="195" t="s">
        <v>233</v>
      </c>
      <c r="C98" s="196">
        <v>906779</v>
      </c>
      <c r="D98" s="196"/>
      <c r="E98" s="196"/>
      <c r="F98" s="196"/>
      <c r="G98" s="196"/>
      <c r="H98" s="196"/>
      <c r="I98" s="196"/>
      <c r="J98" s="196"/>
      <c r="K98" s="196">
        <v>906779</v>
      </c>
      <c r="L98" s="194">
        <v>0</v>
      </c>
      <c r="M98" s="196">
        <v>0</v>
      </c>
      <c r="N98" s="196">
        <v>0</v>
      </c>
      <c r="O98" s="196">
        <v>0</v>
      </c>
      <c r="P98" s="194">
        <v>0</v>
      </c>
      <c r="Q98" s="196">
        <v>0</v>
      </c>
      <c r="R98" s="197">
        <v>0</v>
      </c>
      <c r="S98" s="196">
        <v>0</v>
      </c>
      <c r="T98" s="197">
        <v>0</v>
      </c>
      <c r="U98" s="288">
        <v>0</v>
      </c>
      <c r="V98" s="282">
        <f>C98-'часть 1'!L109</f>
        <v>0</v>
      </c>
      <c r="W98" s="282"/>
      <c r="X98" s="28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296"/>
    </row>
    <row r="99" spans="1:35">
      <c r="A99" s="198">
        <v>91</v>
      </c>
      <c r="B99" s="195" t="s">
        <v>278</v>
      </c>
      <c r="C99" s="196">
        <v>886559</v>
      </c>
      <c r="D99" s="196"/>
      <c r="E99" s="196"/>
      <c r="F99" s="196"/>
      <c r="G99" s="196"/>
      <c r="H99" s="196"/>
      <c r="I99" s="196"/>
      <c r="J99" s="196"/>
      <c r="K99" s="196">
        <v>0</v>
      </c>
      <c r="L99" s="194">
        <v>0</v>
      </c>
      <c r="M99" s="196">
        <v>0</v>
      </c>
      <c r="N99" s="196">
        <v>440</v>
      </c>
      <c r="O99" s="199">
        <v>886559</v>
      </c>
      <c r="P99" s="194">
        <v>0</v>
      </c>
      <c r="Q99" s="196">
        <v>0</v>
      </c>
      <c r="R99" s="197">
        <v>0</v>
      </c>
      <c r="S99" s="196">
        <v>0</v>
      </c>
      <c r="T99" s="197">
        <v>0</v>
      </c>
      <c r="U99" s="288">
        <v>0</v>
      </c>
      <c r="V99" s="282">
        <f>C99-'часть 1'!L110</f>
        <v>0</v>
      </c>
      <c r="W99" s="282"/>
      <c r="X99" s="28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296"/>
    </row>
    <row r="100" spans="1:35">
      <c r="A100" s="198">
        <v>92</v>
      </c>
      <c r="B100" s="195" t="s">
        <v>347</v>
      </c>
      <c r="C100" s="196">
        <v>642210</v>
      </c>
      <c r="D100" s="196"/>
      <c r="E100" s="196"/>
      <c r="F100" s="196"/>
      <c r="G100" s="196"/>
      <c r="H100" s="196"/>
      <c r="I100" s="196"/>
      <c r="J100" s="196"/>
      <c r="K100" s="196">
        <v>0</v>
      </c>
      <c r="L100" s="194">
        <v>0</v>
      </c>
      <c r="M100" s="196">
        <v>0</v>
      </c>
      <c r="N100" s="196">
        <v>0</v>
      </c>
      <c r="O100" s="196">
        <v>0</v>
      </c>
      <c r="P100" s="194">
        <v>0</v>
      </c>
      <c r="Q100" s="196">
        <v>0</v>
      </c>
      <c r="R100" s="196">
        <v>440</v>
      </c>
      <c r="S100" s="196">
        <v>642210</v>
      </c>
      <c r="T100" s="197">
        <v>0</v>
      </c>
      <c r="U100" s="288">
        <v>0</v>
      </c>
      <c r="V100" s="282">
        <f>C100-'часть 1'!L111</f>
        <v>0</v>
      </c>
      <c r="W100" s="282"/>
      <c r="X100" s="28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296"/>
    </row>
    <row r="101" spans="1:35">
      <c r="A101" s="198">
        <v>93</v>
      </c>
      <c r="B101" s="195" t="s">
        <v>266</v>
      </c>
      <c r="C101" s="196">
        <v>1952489</v>
      </c>
      <c r="D101" s="196"/>
      <c r="E101" s="196"/>
      <c r="F101" s="196"/>
      <c r="G101" s="196"/>
      <c r="H101" s="196"/>
      <c r="I101" s="196"/>
      <c r="J101" s="196"/>
      <c r="K101" s="196">
        <v>0</v>
      </c>
      <c r="L101" s="194">
        <v>0</v>
      </c>
      <c r="M101" s="196">
        <v>0</v>
      </c>
      <c r="N101" s="196">
        <v>965</v>
      </c>
      <c r="O101" s="196">
        <v>1952489</v>
      </c>
      <c r="P101" s="194">
        <v>0</v>
      </c>
      <c r="Q101" s="196">
        <v>0</v>
      </c>
      <c r="R101" s="200">
        <v>0</v>
      </c>
      <c r="S101" s="196">
        <v>0</v>
      </c>
      <c r="T101" s="197">
        <v>0</v>
      </c>
      <c r="U101" s="288">
        <v>0</v>
      </c>
      <c r="V101" s="282">
        <f>C101-'часть 1'!L112</f>
        <v>0</v>
      </c>
      <c r="W101" s="282"/>
      <c r="X101" s="28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296"/>
    </row>
    <row r="102" spans="1:35">
      <c r="A102" s="198">
        <v>94</v>
      </c>
      <c r="B102" s="195" t="s">
        <v>310</v>
      </c>
      <c r="C102" s="196">
        <v>15157748</v>
      </c>
      <c r="D102" s="196"/>
      <c r="E102" s="196"/>
      <c r="F102" s="196"/>
      <c r="G102" s="196"/>
      <c r="H102" s="196"/>
      <c r="I102" s="196"/>
      <c r="J102" s="196"/>
      <c r="K102" s="196">
        <v>0</v>
      </c>
      <c r="L102" s="194">
        <v>8</v>
      </c>
      <c r="M102" s="196">
        <v>15157748</v>
      </c>
      <c r="N102" s="196">
        <v>0</v>
      </c>
      <c r="O102" s="196">
        <v>0</v>
      </c>
      <c r="P102" s="194">
        <v>0</v>
      </c>
      <c r="Q102" s="196">
        <v>0</v>
      </c>
      <c r="R102" s="197">
        <v>0</v>
      </c>
      <c r="S102" s="196">
        <v>0</v>
      </c>
      <c r="T102" s="197">
        <v>0</v>
      </c>
      <c r="U102" s="288">
        <v>0</v>
      </c>
      <c r="V102" s="282">
        <f>C102-'часть 1'!L113</f>
        <v>0</v>
      </c>
      <c r="W102" s="282"/>
      <c r="X102" s="28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296"/>
    </row>
    <row r="103" spans="1:35">
      <c r="A103" s="198">
        <v>95</v>
      </c>
      <c r="B103" s="195" t="s">
        <v>281</v>
      </c>
      <c r="C103" s="196">
        <v>2542298.37</v>
      </c>
      <c r="D103" s="196"/>
      <c r="E103" s="196"/>
      <c r="F103" s="196"/>
      <c r="G103" s="196"/>
      <c r="H103" s="196"/>
      <c r="I103" s="196"/>
      <c r="J103" s="196"/>
      <c r="K103" s="196">
        <v>0</v>
      </c>
      <c r="L103" s="194">
        <v>0</v>
      </c>
      <c r="M103" s="196">
        <v>0</v>
      </c>
      <c r="N103" s="196">
        <v>1350</v>
      </c>
      <c r="O103" s="196">
        <v>2542298.37</v>
      </c>
      <c r="P103" s="194">
        <v>0</v>
      </c>
      <c r="Q103" s="196">
        <v>0</v>
      </c>
      <c r="R103" s="197">
        <v>0</v>
      </c>
      <c r="S103" s="196">
        <v>0</v>
      </c>
      <c r="T103" s="197">
        <v>0</v>
      </c>
      <c r="U103" s="288">
        <v>0</v>
      </c>
      <c r="V103" s="282">
        <f>C103-'часть 1'!L114</f>
        <v>0</v>
      </c>
      <c r="W103" s="282"/>
      <c r="X103" s="28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296"/>
    </row>
    <row r="104" spans="1:35">
      <c r="A104" s="198">
        <v>96</v>
      </c>
      <c r="B104" s="195" t="s">
        <v>248</v>
      </c>
      <c r="C104" s="196">
        <v>1114586</v>
      </c>
      <c r="D104" s="196"/>
      <c r="E104" s="196"/>
      <c r="F104" s="196"/>
      <c r="G104" s="196"/>
      <c r="H104" s="196"/>
      <c r="I104" s="196"/>
      <c r="J104" s="196"/>
      <c r="K104" s="196">
        <v>0</v>
      </c>
      <c r="L104" s="194">
        <v>0</v>
      </c>
      <c r="M104" s="196">
        <v>0</v>
      </c>
      <c r="N104" s="196">
        <v>550</v>
      </c>
      <c r="O104" s="196">
        <v>1114586</v>
      </c>
      <c r="P104" s="194">
        <v>0</v>
      </c>
      <c r="Q104" s="196">
        <v>0</v>
      </c>
      <c r="R104" s="200">
        <v>0</v>
      </c>
      <c r="S104" s="196">
        <v>0</v>
      </c>
      <c r="T104" s="197">
        <v>0</v>
      </c>
      <c r="U104" s="288">
        <v>0</v>
      </c>
      <c r="V104" s="282">
        <f>C104-'часть 1'!L115</f>
        <v>0</v>
      </c>
      <c r="W104" s="282"/>
      <c r="X104" s="28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296"/>
    </row>
    <row r="105" spans="1:35">
      <c r="A105" s="198">
        <v>97</v>
      </c>
      <c r="B105" s="195" t="s">
        <v>301</v>
      </c>
      <c r="C105" s="196">
        <v>5623853</v>
      </c>
      <c r="D105" s="196"/>
      <c r="E105" s="196"/>
      <c r="F105" s="196"/>
      <c r="G105" s="196"/>
      <c r="H105" s="196"/>
      <c r="I105" s="196"/>
      <c r="J105" s="196"/>
      <c r="K105" s="196">
        <v>0</v>
      </c>
      <c r="L105" s="194">
        <v>3</v>
      </c>
      <c r="M105" s="202">
        <v>5623853</v>
      </c>
      <c r="N105" s="196">
        <v>0</v>
      </c>
      <c r="O105" s="196">
        <v>0</v>
      </c>
      <c r="P105" s="194">
        <v>0</v>
      </c>
      <c r="Q105" s="196">
        <v>0</v>
      </c>
      <c r="R105" s="200">
        <v>0</v>
      </c>
      <c r="S105" s="196">
        <v>0</v>
      </c>
      <c r="T105" s="197">
        <v>0</v>
      </c>
      <c r="U105" s="288">
        <v>0</v>
      </c>
      <c r="V105" s="282">
        <f>C105-'часть 1'!L116</f>
        <v>0</v>
      </c>
      <c r="W105" s="282"/>
      <c r="X105" s="28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296"/>
    </row>
    <row r="106" spans="1:35">
      <c r="A106" s="198">
        <v>98</v>
      </c>
      <c r="B106" s="195" t="s">
        <v>244</v>
      </c>
      <c r="C106" s="196">
        <v>2721106</v>
      </c>
      <c r="D106" s="196"/>
      <c r="E106" s="196"/>
      <c r="F106" s="196"/>
      <c r="G106" s="196"/>
      <c r="H106" s="196"/>
      <c r="I106" s="196"/>
      <c r="J106" s="196"/>
      <c r="K106" s="196">
        <v>0</v>
      </c>
      <c r="L106" s="194">
        <v>0</v>
      </c>
      <c r="M106" s="196">
        <v>0</v>
      </c>
      <c r="N106" s="196">
        <v>1371</v>
      </c>
      <c r="O106" s="196">
        <v>2721106</v>
      </c>
      <c r="P106" s="194">
        <v>0</v>
      </c>
      <c r="Q106" s="196">
        <v>0</v>
      </c>
      <c r="R106" s="197">
        <v>0</v>
      </c>
      <c r="S106" s="196">
        <v>0</v>
      </c>
      <c r="T106" s="197">
        <v>0</v>
      </c>
      <c r="U106" s="288">
        <v>0</v>
      </c>
      <c r="V106" s="282">
        <f>C106-'часть 1'!L117</f>
        <v>0</v>
      </c>
      <c r="W106" s="282"/>
      <c r="X106" s="28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296"/>
    </row>
    <row r="107" spans="1:35">
      <c r="A107" s="198">
        <v>99</v>
      </c>
      <c r="B107" s="195" t="s">
        <v>288</v>
      </c>
      <c r="C107" s="196">
        <v>9789326.5500000007</v>
      </c>
      <c r="D107" s="196"/>
      <c r="E107" s="196"/>
      <c r="F107" s="196"/>
      <c r="G107" s="196"/>
      <c r="H107" s="196"/>
      <c r="I107" s="196"/>
      <c r="J107" s="196"/>
      <c r="K107" s="196">
        <v>6592990.5599999996</v>
      </c>
      <c r="L107" s="194">
        <v>0</v>
      </c>
      <c r="M107" s="196">
        <v>0</v>
      </c>
      <c r="N107" s="196">
        <v>2090</v>
      </c>
      <c r="O107" s="196">
        <v>3196335.99</v>
      </c>
      <c r="P107" s="194">
        <v>0</v>
      </c>
      <c r="Q107" s="196">
        <v>0</v>
      </c>
      <c r="R107" s="197">
        <v>0</v>
      </c>
      <c r="S107" s="196">
        <v>0</v>
      </c>
      <c r="T107" s="197">
        <v>0</v>
      </c>
      <c r="U107" s="288">
        <v>0</v>
      </c>
      <c r="V107" s="282">
        <f>C107-'часть 1'!L118</f>
        <v>0</v>
      </c>
      <c r="W107" s="282"/>
      <c r="X107" s="28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296"/>
    </row>
    <row r="108" spans="1:35">
      <c r="A108" s="198">
        <v>100</v>
      </c>
      <c r="B108" s="195" t="s">
        <v>249</v>
      </c>
      <c r="C108" s="196">
        <v>1615074</v>
      </c>
      <c r="D108" s="196"/>
      <c r="E108" s="196"/>
      <c r="F108" s="196"/>
      <c r="G108" s="196"/>
      <c r="H108" s="196"/>
      <c r="I108" s="196"/>
      <c r="J108" s="196"/>
      <c r="K108" s="196" t="e">
        <f>#REF!</f>
        <v>#REF!</v>
      </c>
      <c r="L108" s="194">
        <v>0</v>
      </c>
      <c r="M108" s="196">
        <v>0</v>
      </c>
      <c r="N108" s="196">
        <v>0</v>
      </c>
      <c r="O108" s="196">
        <v>0</v>
      </c>
      <c r="P108" s="194">
        <v>0</v>
      </c>
      <c r="Q108" s="196">
        <v>0</v>
      </c>
      <c r="R108" s="200">
        <v>0</v>
      </c>
      <c r="S108" s="196">
        <v>0</v>
      </c>
      <c r="T108" s="197">
        <v>0</v>
      </c>
      <c r="U108" s="288">
        <v>0</v>
      </c>
      <c r="V108" s="282">
        <f>C108-'часть 1'!L119</f>
        <v>0</v>
      </c>
      <c r="W108" s="282"/>
      <c r="X108" s="28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296"/>
    </row>
    <row r="109" spans="1:35">
      <c r="A109" s="198">
        <v>101</v>
      </c>
      <c r="B109" s="195" t="s">
        <v>265</v>
      </c>
      <c r="C109" s="196">
        <v>824390</v>
      </c>
      <c r="D109" s="196"/>
      <c r="E109" s="196"/>
      <c r="F109" s="196"/>
      <c r="G109" s="196"/>
      <c r="H109" s="196"/>
      <c r="I109" s="196"/>
      <c r="J109" s="196"/>
      <c r="K109" s="196">
        <v>824390</v>
      </c>
      <c r="L109" s="194">
        <v>0</v>
      </c>
      <c r="M109" s="196">
        <v>0</v>
      </c>
      <c r="N109" s="196">
        <v>0</v>
      </c>
      <c r="O109" s="196">
        <v>0</v>
      </c>
      <c r="P109" s="194">
        <v>0</v>
      </c>
      <c r="Q109" s="196">
        <v>0</v>
      </c>
      <c r="R109" s="197">
        <v>0</v>
      </c>
      <c r="S109" s="196">
        <v>0</v>
      </c>
      <c r="T109" s="197">
        <v>0</v>
      </c>
      <c r="U109" s="288">
        <v>0</v>
      </c>
      <c r="V109" s="282">
        <f>C109-'часть 1'!L120</f>
        <v>0</v>
      </c>
      <c r="W109" s="282"/>
      <c r="X109" s="282"/>
      <c r="Y109" s="12"/>
      <c r="Z109" s="12"/>
      <c r="AA109" s="4"/>
      <c r="AB109" s="12"/>
      <c r="AC109" s="12"/>
      <c r="AD109" s="12"/>
      <c r="AE109" s="12"/>
      <c r="AF109" s="12"/>
      <c r="AG109" s="12"/>
      <c r="AH109" s="12"/>
      <c r="AI109" s="296"/>
    </row>
    <row r="110" spans="1:35">
      <c r="A110" s="198">
        <v>102</v>
      </c>
      <c r="B110" s="195" t="s">
        <v>292</v>
      </c>
      <c r="C110" s="196">
        <v>2661189</v>
      </c>
      <c r="D110" s="196"/>
      <c r="E110" s="196"/>
      <c r="F110" s="196"/>
      <c r="G110" s="196"/>
      <c r="H110" s="196"/>
      <c r="I110" s="196"/>
      <c r="J110" s="196"/>
      <c r="K110" s="196">
        <v>0</v>
      </c>
      <c r="L110" s="194">
        <v>0</v>
      </c>
      <c r="M110" s="196">
        <v>0</v>
      </c>
      <c r="N110" s="196">
        <v>1338.7</v>
      </c>
      <c r="O110" s="196">
        <v>2661189</v>
      </c>
      <c r="P110" s="194">
        <v>0</v>
      </c>
      <c r="Q110" s="196">
        <v>0</v>
      </c>
      <c r="R110" s="200">
        <v>0</v>
      </c>
      <c r="S110" s="196">
        <v>0</v>
      </c>
      <c r="T110" s="197">
        <v>0</v>
      </c>
      <c r="U110" s="288">
        <v>0</v>
      </c>
      <c r="V110" s="282">
        <f>C110-'часть 1'!L121</f>
        <v>0</v>
      </c>
      <c r="W110" s="282"/>
      <c r="X110" s="28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296"/>
    </row>
    <row r="111" spans="1:35">
      <c r="A111" s="198">
        <v>103</v>
      </c>
      <c r="B111" s="195" t="s">
        <v>276</v>
      </c>
      <c r="C111" s="196">
        <v>278220</v>
      </c>
      <c r="D111" s="196"/>
      <c r="E111" s="196"/>
      <c r="F111" s="196"/>
      <c r="G111" s="196"/>
      <c r="H111" s="196"/>
      <c r="I111" s="196"/>
      <c r="J111" s="196"/>
      <c r="K111" s="196">
        <v>278220</v>
      </c>
      <c r="L111" s="194">
        <v>0</v>
      </c>
      <c r="M111" s="196">
        <v>0</v>
      </c>
      <c r="N111" s="196">
        <v>0</v>
      </c>
      <c r="O111" s="196">
        <v>0</v>
      </c>
      <c r="P111" s="194">
        <v>0</v>
      </c>
      <c r="Q111" s="196">
        <v>0</v>
      </c>
      <c r="R111" s="197">
        <v>0</v>
      </c>
      <c r="S111" s="196">
        <v>0</v>
      </c>
      <c r="T111" s="197">
        <v>0</v>
      </c>
      <c r="U111" s="288">
        <v>0</v>
      </c>
      <c r="V111" s="282">
        <f>C111-'часть 1'!L122</f>
        <v>0</v>
      </c>
      <c r="W111" s="282"/>
      <c r="X111" s="28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296"/>
    </row>
    <row r="112" spans="1:35">
      <c r="A112" s="198">
        <v>104</v>
      </c>
      <c r="B112" s="195" t="s">
        <v>229</v>
      </c>
      <c r="C112" s="196">
        <v>2511472</v>
      </c>
      <c r="D112" s="196"/>
      <c r="E112" s="196"/>
      <c r="F112" s="196"/>
      <c r="G112" s="196"/>
      <c r="H112" s="196"/>
      <c r="I112" s="196"/>
      <c r="J112" s="196"/>
      <c r="K112" s="196">
        <v>2511472</v>
      </c>
      <c r="L112" s="194">
        <v>0</v>
      </c>
      <c r="M112" s="196">
        <v>0</v>
      </c>
      <c r="N112" s="196">
        <v>0</v>
      </c>
      <c r="O112" s="196">
        <v>0</v>
      </c>
      <c r="P112" s="194">
        <v>0</v>
      </c>
      <c r="Q112" s="196">
        <v>0</v>
      </c>
      <c r="R112" s="197">
        <v>0</v>
      </c>
      <c r="S112" s="196">
        <v>0</v>
      </c>
      <c r="T112" s="197">
        <v>0</v>
      </c>
      <c r="U112" s="288">
        <v>0</v>
      </c>
      <c r="V112" s="282">
        <f>C112-'часть 1'!L123</f>
        <v>0</v>
      </c>
      <c r="W112" s="282"/>
      <c r="X112" s="28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296"/>
    </row>
    <row r="113" spans="1:35" ht="30">
      <c r="A113" s="198">
        <v>105</v>
      </c>
      <c r="B113" s="195" t="s">
        <v>309</v>
      </c>
      <c r="C113" s="196">
        <v>871988</v>
      </c>
      <c r="D113" s="196"/>
      <c r="E113" s="196"/>
      <c r="F113" s="196"/>
      <c r="G113" s="196"/>
      <c r="H113" s="196"/>
      <c r="I113" s="196"/>
      <c r="J113" s="196"/>
      <c r="K113" s="196">
        <v>0</v>
      </c>
      <c r="L113" s="194">
        <v>0</v>
      </c>
      <c r="M113" s="196">
        <v>0</v>
      </c>
      <c r="N113" s="196">
        <v>438.23</v>
      </c>
      <c r="O113" s="196">
        <v>871988</v>
      </c>
      <c r="P113" s="194">
        <v>0</v>
      </c>
      <c r="Q113" s="196">
        <v>0</v>
      </c>
      <c r="R113" s="197">
        <v>0</v>
      </c>
      <c r="S113" s="196">
        <v>0</v>
      </c>
      <c r="T113" s="197">
        <v>0</v>
      </c>
      <c r="U113" s="288">
        <v>0</v>
      </c>
      <c r="V113" s="282">
        <f>C113-'часть 1'!L124</f>
        <v>0</v>
      </c>
      <c r="W113" s="282"/>
      <c r="X113" s="28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296"/>
    </row>
    <row r="114" spans="1:35" ht="30">
      <c r="A114" s="198">
        <v>106</v>
      </c>
      <c r="B114" s="195" t="s">
        <v>308</v>
      </c>
      <c r="C114" s="196">
        <v>2113335</v>
      </c>
      <c r="D114" s="196"/>
      <c r="E114" s="196"/>
      <c r="F114" s="196"/>
      <c r="G114" s="196"/>
      <c r="H114" s="196"/>
      <c r="I114" s="196"/>
      <c r="J114" s="196"/>
      <c r="K114" s="196" t="e">
        <f>#REF!</f>
        <v>#REF!</v>
      </c>
      <c r="L114" s="194">
        <v>0</v>
      </c>
      <c r="M114" s="196">
        <v>0</v>
      </c>
      <c r="N114" s="196">
        <v>0</v>
      </c>
      <c r="O114" s="196">
        <v>0</v>
      </c>
      <c r="P114" s="194">
        <v>0</v>
      </c>
      <c r="Q114" s="196">
        <v>0</v>
      </c>
      <c r="R114" s="197">
        <v>0</v>
      </c>
      <c r="S114" s="196">
        <v>0</v>
      </c>
      <c r="T114" s="197">
        <v>0</v>
      </c>
      <c r="U114" s="288">
        <v>0</v>
      </c>
      <c r="V114" s="282">
        <f>C114-'часть 1'!L125</f>
        <v>0</v>
      </c>
      <c r="W114" s="282"/>
      <c r="X114" s="28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296"/>
    </row>
    <row r="115" spans="1:35">
      <c r="A115" s="198">
        <v>107</v>
      </c>
      <c r="B115" s="195" t="s">
        <v>296</v>
      </c>
      <c r="C115" s="196">
        <v>996585</v>
      </c>
      <c r="D115" s="196"/>
      <c r="E115" s="196"/>
      <c r="F115" s="196"/>
      <c r="G115" s="196"/>
      <c r="H115" s="196"/>
      <c r="I115" s="196"/>
      <c r="J115" s="196"/>
      <c r="K115" s="196">
        <v>0</v>
      </c>
      <c r="L115" s="194">
        <v>0</v>
      </c>
      <c r="M115" s="196">
        <v>0</v>
      </c>
      <c r="N115" s="196">
        <v>496.2</v>
      </c>
      <c r="O115" s="196">
        <v>996585</v>
      </c>
      <c r="P115" s="194">
        <v>0</v>
      </c>
      <c r="Q115" s="196">
        <v>0</v>
      </c>
      <c r="R115" s="197">
        <v>0</v>
      </c>
      <c r="S115" s="196">
        <v>0</v>
      </c>
      <c r="T115" s="197">
        <v>0</v>
      </c>
      <c r="U115" s="288">
        <v>0</v>
      </c>
      <c r="V115" s="282">
        <f>C115-'часть 1'!L126</f>
        <v>0</v>
      </c>
      <c r="W115" s="282"/>
      <c r="X115" s="28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296"/>
    </row>
    <row r="116" spans="1:35">
      <c r="A116" s="198">
        <v>108</v>
      </c>
      <c r="B116" s="195" t="s">
        <v>240</v>
      </c>
      <c r="C116" s="196">
        <v>637739</v>
      </c>
      <c r="D116" s="196"/>
      <c r="E116" s="196"/>
      <c r="F116" s="196"/>
      <c r="G116" s="196"/>
      <c r="H116" s="196"/>
      <c r="I116" s="196"/>
      <c r="J116" s="196"/>
      <c r="K116" s="196">
        <v>637739</v>
      </c>
      <c r="L116" s="194">
        <v>0</v>
      </c>
      <c r="M116" s="196">
        <v>0</v>
      </c>
      <c r="N116" s="196">
        <v>0</v>
      </c>
      <c r="O116" s="196">
        <v>0</v>
      </c>
      <c r="P116" s="194">
        <v>0</v>
      </c>
      <c r="Q116" s="196">
        <v>0</v>
      </c>
      <c r="R116" s="197">
        <v>0</v>
      </c>
      <c r="S116" s="196">
        <v>0</v>
      </c>
      <c r="T116" s="197">
        <v>0</v>
      </c>
      <c r="U116" s="288">
        <v>0</v>
      </c>
      <c r="V116" s="282">
        <f>C116-'часть 1'!L127</f>
        <v>0</v>
      </c>
      <c r="W116" s="282"/>
      <c r="X116" s="28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296"/>
    </row>
    <row r="117" spans="1:35">
      <c r="A117" s="198">
        <v>109</v>
      </c>
      <c r="B117" s="195" t="s">
        <v>243</v>
      </c>
      <c r="C117" s="196">
        <v>1357217</v>
      </c>
      <c r="D117" s="196"/>
      <c r="E117" s="196"/>
      <c r="F117" s="196"/>
      <c r="G117" s="196"/>
      <c r="H117" s="196"/>
      <c r="I117" s="196"/>
      <c r="J117" s="196"/>
      <c r="K117" s="196">
        <v>0</v>
      </c>
      <c r="L117" s="194">
        <v>0</v>
      </c>
      <c r="M117" s="196">
        <v>0</v>
      </c>
      <c r="N117" s="196">
        <v>675</v>
      </c>
      <c r="O117" s="196">
        <v>1357217</v>
      </c>
      <c r="P117" s="194">
        <v>0</v>
      </c>
      <c r="Q117" s="196">
        <v>0</v>
      </c>
      <c r="R117" s="197">
        <v>0</v>
      </c>
      <c r="S117" s="196">
        <v>0</v>
      </c>
      <c r="T117" s="197">
        <v>0</v>
      </c>
      <c r="U117" s="288">
        <v>0</v>
      </c>
      <c r="V117" s="282">
        <f>C117-'часть 1'!L128</f>
        <v>0</v>
      </c>
      <c r="W117" s="282"/>
      <c r="X117" s="28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296"/>
    </row>
    <row r="118" spans="1:35">
      <c r="A118" s="198">
        <v>110</v>
      </c>
      <c r="B118" s="195" t="s">
        <v>269</v>
      </c>
      <c r="C118" s="196">
        <v>836226</v>
      </c>
      <c r="D118" s="196"/>
      <c r="E118" s="196"/>
      <c r="F118" s="196"/>
      <c r="G118" s="196"/>
      <c r="H118" s="196"/>
      <c r="I118" s="196"/>
      <c r="J118" s="196"/>
      <c r="K118" s="196">
        <v>0</v>
      </c>
      <c r="L118" s="194">
        <v>0</v>
      </c>
      <c r="M118" s="196">
        <v>0</v>
      </c>
      <c r="N118" s="196">
        <v>414.1</v>
      </c>
      <c r="O118" s="199">
        <v>836226</v>
      </c>
      <c r="P118" s="194">
        <v>0</v>
      </c>
      <c r="Q118" s="196">
        <v>0</v>
      </c>
      <c r="R118" s="197">
        <v>0</v>
      </c>
      <c r="S118" s="196">
        <v>0</v>
      </c>
      <c r="T118" s="197">
        <v>0</v>
      </c>
      <c r="U118" s="288">
        <v>0</v>
      </c>
      <c r="V118" s="282">
        <f>C118-'часть 1'!L129</f>
        <v>0</v>
      </c>
      <c r="W118" s="282"/>
      <c r="X118" s="28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296"/>
    </row>
    <row r="119" spans="1:35">
      <c r="A119" s="198">
        <v>111</v>
      </c>
      <c r="B119" s="195" t="s">
        <v>299</v>
      </c>
      <c r="C119" s="196">
        <v>640078</v>
      </c>
      <c r="D119" s="196"/>
      <c r="E119" s="196"/>
      <c r="F119" s="196"/>
      <c r="G119" s="196"/>
      <c r="H119" s="196"/>
      <c r="I119" s="196"/>
      <c r="J119" s="196"/>
      <c r="K119" s="196">
        <v>640078</v>
      </c>
      <c r="L119" s="194">
        <v>0</v>
      </c>
      <c r="M119" s="196">
        <v>0</v>
      </c>
      <c r="N119" s="196">
        <v>0</v>
      </c>
      <c r="O119" s="196">
        <v>0</v>
      </c>
      <c r="P119" s="194">
        <v>0</v>
      </c>
      <c r="Q119" s="196">
        <v>0</v>
      </c>
      <c r="R119" s="197">
        <v>0</v>
      </c>
      <c r="S119" s="196">
        <v>0</v>
      </c>
      <c r="T119" s="197">
        <v>0</v>
      </c>
      <c r="U119" s="288">
        <v>0</v>
      </c>
      <c r="V119" s="282">
        <f>C119-'часть 1'!L130</f>
        <v>0</v>
      </c>
      <c r="W119" s="282"/>
      <c r="X119" s="28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296"/>
    </row>
    <row r="120" spans="1:35">
      <c r="A120" s="198">
        <v>112</v>
      </c>
      <c r="B120" s="195" t="s">
        <v>236</v>
      </c>
      <c r="C120" s="196">
        <v>202649</v>
      </c>
      <c r="D120" s="196"/>
      <c r="E120" s="196"/>
      <c r="F120" s="196"/>
      <c r="G120" s="196"/>
      <c r="H120" s="196"/>
      <c r="I120" s="196"/>
      <c r="J120" s="196"/>
      <c r="K120" s="196" t="e">
        <f>#REF!</f>
        <v>#REF!</v>
      </c>
      <c r="L120" s="194">
        <v>0</v>
      </c>
      <c r="M120" s="196">
        <v>0</v>
      </c>
      <c r="N120" s="196">
        <v>0</v>
      </c>
      <c r="O120" s="196">
        <v>0</v>
      </c>
      <c r="P120" s="194">
        <v>0</v>
      </c>
      <c r="Q120" s="196">
        <v>0</v>
      </c>
      <c r="R120" s="200">
        <v>0</v>
      </c>
      <c r="S120" s="196">
        <v>0</v>
      </c>
      <c r="T120" s="197">
        <v>0</v>
      </c>
      <c r="U120" s="288">
        <v>0</v>
      </c>
      <c r="V120" s="282">
        <f>C120-'часть 1'!L131</f>
        <v>0</v>
      </c>
      <c r="W120" s="282"/>
      <c r="X120" s="28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296"/>
    </row>
    <row r="121" spans="1:35">
      <c r="A121" s="198">
        <v>113</v>
      </c>
      <c r="B121" s="195" t="s">
        <v>285</v>
      </c>
      <c r="C121" s="196">
        <v>7892437</v>
      </c>
      <c r="D121" s="196"/>
      <c r="E121" s="196"/>
      <c r="F121" s="196"/>
      <c r="G121" s="196"/>
      <c r="H121" s="196"/>
      <c r="I121" s="196"/>
      <c r="J121" s="196"/>
      <c r="K121" s="196">
        <v>7892437</v>
      </c>
      <c r="L121" s="194">
        <v>0</v>
      </c>
      <c r="M121" s="196">
        <v>0</v>
      </c>
      <c r="N121" s="196">
        <v>0</v>
      </c>
      <c r="O121" s="196">
        <v>0</v>
      </c>
      <c r="P121" s="194">
        <v>0</v>
      </c>
      <c r="Q121" s="196">
        <v>0</v>
      </c>
      <c r="R121" s="197">
        <v>0</v>
      </c>
      <c r="S121" s="196">
        <v>0</v>
      </c>
      <c r="T121" s="197">
        <v>0</v>
      </c>
      <c r="U121" s="288">
        <v>0</v>
      </c>
      <c r="V121" s="282">
        <f>C121-'часть 1'!L132</f>
        <v>0</v>
      </c>
      <c r="W121" s="282"/>
      <c r="X121" s="28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296"/>
    </row>
    <row r="122" spans="1:35">
      <c r="A122" s="198">
        <v>114</v>
      </c>
      <c r="B122" s="195" t="s">
        <v>237</v>
      </c>
      <c r="C122" s="196">
        <v>523389</v>
      </c>
      <c r="D122" s="196"/>
      <c r="E122" s="196"/>
      <c r="F122" s="196"/>
      <c r="G122" s="196"/>
      <c r="H122" s="196"/>
      <c r="I122" s="196"/>
      <c r="J122" s="196"/>
      <c r="K122" s="196">
        <v>0</v>
      </c>
      <c r="L122" s="194">
        <v>0</v>
      </c>
      <c r="M122" s="196">
        <v>0</v>
      </c>
      <c r="N122" s="196">
        <v>255</v>
      </c>
      <c r="O122" s="196">
        <v>523389</v>
      </c>
      <c r="P122" s="194">
        <v>0</v>
      </c>
      <c r="Q122" s="196">
        <v>0</v>
      </c>
      <c r="R122" s="200">
        <v>0</v>
      </c>
      <c r="S122" s="196">
        <v>0</v>
      </c>
      <c r="T122" s="197">
        <v>0</v>
      </c>
      <c r="U122" s="288">
        <v>0</v>
      </c>
      <c r="V122" s="282">
        <f>C122-'часть 1'!L133</f>
        <v>0</v>
      </c>
      <c r="W122" s="282"/>
      <c r="X122" s="28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296"/>
    </row>
    <row r="123" spans="1:35">
      <c r="A123" s="198">
        <v>115</v>
      </c>
      <c r="B123" s="195" t="s">
        <v>264</v>
      </c>
      <c r="C123" s="196">
        <v>1038920</v>
      </c>
      <c r="D123" s="196"/>
      <c r="E123" s="196"/>
      <c r="F123" s="196"/>
      <c r="G123" s="196"/>
      <c r="H123" s="196"/>
      <c r="I123" s="196"/>
      <c r="J123" s="196"/>
      <c r="K123" s="196">
        <v>1038920</v>
      </c>
      <c r="L123" s="194">
        <v>0</v>
      </c>
      <c r="M123" s="196">
        <v>0</v>
      </c>
      <c r="N123" s="196">
        <v>0</v>
      </c>
      <c r="O123" s="196">
        <v>0</v>
      </c>
      <c r="P123" s="194">
        <v>0</v>
      </c>
      <c r="Q123" s="196">
        <v>0</v>
      </c>
      <c r="R123" s="197">
        <v>0</v>
      </c>
      <c r="S123" s="196">
        <v>0</v>
      </c>
      <c r="T123" s="197">
        <v>0</v>
      </c>
      <c r="U123" s="288">
        <v>0</v>
      </c>
      <c r="V123" s="282">
        <f>C123-'часть 1'!L134</f>
        <v>0</v>
      </c>
      <c r="W123" s="282"/>
      <c r="X123" s="282"/>
      <c r="Y123" s="12"/>
      <c r="Z123" s="12"/>
      <c r="AA123" s="12"/>
      <c r="AB123" s="12"/>
      <c r="AC123" s="4"/>
      <c r="AD123" s="12"/>
      <c r="AE123" s="12"/>
      <c r="AF123" s="12"/>
      <c r="AG123" s="12"/>
      <c r="AH123" s="12"/>
      <c r="AI123" s="296"/>
    </row>
    <row r="124" spans="1:35">
      <c r="A124" s="194">
        <v>116</v>
      </c>
      <c r="B124" s="195" t="s">
        <v>258</v>
      </c>
      <c r="C124" s="196">
        <v>1742553</v>
      </c>
      <c r="D124" s="196"/>
      <c r="E124" s="196"/>
      <c r="F124" s="196"/>
      <c r="G124" s="196"/>
      <c r="H124" s="196"/>
      <c r="I124" s="196"/>
      <c r="J124" s="196"/>
      <c r="K124" s="196">
        <v>0</v>
      </c>
      <c r="L124" s="194">
        <v>0</v>
      </c>
      <c r="M124" s="196">
        <v>0</v>
      </c>
      <c r="N124" s="196">
        <v>874.22</v>
      </c>
      <c r="O124" s="199">
        <v>1742553</v>
      </c>
      <c r="P124" s="194">
        <v>0</v>
      </c>
      <c r="Q124" s="196">
        <v>0</v>
      </c>
      <c r="R124" s="197">
        <v>0</v>
      </c>
      <c r="S124" s="196">
        <v>0</v>
      </c>
      <c r="T124" s="197">
        <v>0</v>
      </c>
      <c r="U124" s="288">
        <v>0</v>
      </c>
      <c r="V124" s="282">
        <f>C124-'часть 1'!L135</f>
        <v>0</v>
      </c>
      <c r="W124" s="282"/>
      <c r="X124" s="28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296"/>
    </row>
    <row r="125" spans="1:35">
      <c r="A125" s="194">
        <v>117</v>
      </c>
      <c r="B125" s="195" t="s">
        <v>250</v>
      </c>
      <c r="C125" s="196">
        <v>2124581</v>
      </c>
      <c r="D125" s="196"/>
      <c r="E125" s="196"/>
      <c r="F125" s="196"/>
      <c r="G125" s="196"/>
      <c r="H125" s="196"/>
      <c r="I125" s="196"/>
      <c r="J125" s="196"/>
      <c r="K125" s="196">
        <v>0</v>
      </c>
      <c r="L125" s="194">
        <v>0</v>
      </c>
      <c r="M125" s="196">
        <v>0</v>
      </c>
      <c r="N125" s="196">
        <v>1070</v>
      </c>
      <c r="O125" s="199">
        <v>2124581</v>
      </c>
      <c r="P125" s="194">
        <v>0</v>
      </c>
      <c r="Q125" s="196">
        <v>0</v>
      </c>
      <c r="R125" s="200">
        <v>0</v>
      </c>
      <c r="S125" s="196">
        <v>0</v>
      </c>
      <c r="T125" s="197">
        <v>0</v>
      </c>
      <c r="U125" s="288">
        <v>0</v>
      </c>
      <c r="V125" s="282">
        <f>C125-'часть 1'!L136</f>
        <v>0</v>
      </c>
      <c r="W125" s="282"/>
      <c r="X125" s="28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296"/>
    </row>
    <row r="126" spans="1:35">
      <c r="A126" s="194">
        <v>118</v>
      </c>
      <c r="B126" s="195" t="s">
        <v>282</v>
      </c>
      <c r="C126" s="196">
        <v>2347478</v>
      </c>
      <c r="D126" s="196"/>
      <c r="E126" s="196"/>
      <c r="F126" s="196"/>
      <c r="G126" s="196"/>
      <c r="H126" s="196"/>
      <c r="I126" s="196"/>
      <c r="J126" s="196"/>
      <c r="K126" s="196">
        <v>0</v>
      </c>
      <c r="L126" s="194">
        <v>0</v>
      </c>
      <c r="M126" s="196">
        <v>0</v>
      </c>
      <c r="N126" s="196">
        <v>1185.07</v>
      </c>
      <c r="O126" s="196">
        <v>2347478</v>
      </c>
      <c r="P126" s="194">
        <v>0</v>
      </c>
      <c r="Q126" s="196">
        <v>0</v>
      </c>
      <c r="R126" s="197">
        <v>0</v>
      </c>
      <c r="S126" s="196">
        <v>0</v>
      </c>
      <c r="T126" s="197">
        <v>0</v>
      </c>
      <c r="U126" s="288">
        <v>0</v>
      </c>
      <c r="V126" s="282">
        <f>C126-'часть 1'!L137</f>
        <v>0</v>
      </c>
      <c r="W126" s="282"/>
      <c r="X126" s="28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296"/>
    </row>
    <row r="127" spans="1:35">
      <c r="A127" s="194">
        <v>119</v>
      </c>
      <c r="B127" s="195" t="s">
        <v>267</v>
      </c>
      <c r="C127" s="196">
        <v>2468472</v>
      </c>
      <c r="D127" s="196"/>
      <c r="E127" s="196"/>
      <c r="F127" s="196"/>
      <c r="G127" s="196"/>
      <c r="H127" s="196"/>
      <c r="I127" s="196"/>
      <c r="J127" s="196"/>
      <c r="K127" s="196">
        <v>0</v>
      </c>
      <c r="L127" s="194">
        <v>0</v>
      </c>
      <c r="M127" s="196">
        <v>0</v>
      </c>
      <c r="N127" s="199">
        <v>1246.5</v>
      </c>
      <c r="O127" s="196">
        <v>2468472</v>
      </c>
      <c r="P127" s="194">
        <v>0</v>
      </c>
      <c r="Q127" s="196">
        <v>0</v>
      </c>
      <c r="R127" s="197">
        <v>0</v>
      </c>
      <c r="S127" s="196">
        <v>0</v>
      </c>
      <c r="T127" s="197">
        <v>0</v>
      </c>
      <c r="U127" s="288">
        <v>0</v>
      </c>
      <c r="V127" s="282">
        <f>C127-'часть 1'!L138</f>
        <v>0</v>
      </c>
      <c r="W127" s="282"/>
      <c r="X127" s="28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296"/>
    </row>
    <row r="128" spans="1:35">
      <c r="A128" s="194">
        <v>120</v>
      </c>
      <c r="B128" s="195" t="s">
        <v>284</v>
      </c>
      <c r="C128" s="196">
        <v>1612780</v>
      </c>
      <c r="D128" s="196"/>
      <c r="E128" s="196"/>
      <c r="F128" s="196"/>
      <c r="G128" s="196"/>
      <c r="H128" s="196"/>
      <c r="I128" s="196"/>
      <c r="J128" s="196"/>
      <c r="K128" s="196">
        <v>0</v>
      </c>
      <c r="L128" s="194">
        <v>0</v>
      </c>
      <c r="M128" s="196">
        <v>0</v>
      </c>
      <c r="N128" s="196">
        <v>810.5</v>
      </c>
      <c r="O128" s="196">
        <v>1612780</v>
      </c>
      <c r="P128" s="194">
        <v>0</v>
      </c>
      <c r="Q128" s="196">
        <v>0</v>
      </c>
      <c r="R128" s="197">
        <v>0</v>
      </c>
      <c r="S128" s="196">
        <v>0</v>
      </c>
      <c r="T128" s="197">
        <v>0</v>
      </c>
      <c r="U128" s="288">
        <v>0</v>
      </c>
      <c r="V128" s="282">
        <f>C128-'часть 1'!L139</f>
        <v>0</v>
      </c>
      <c r="W128" s="282"/>
      <c r="X128" s="28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296"/>
    </row>
    <row r="129" spans="1:35">
      <c r="A129" s="194">
        <v>121</v>
      </c>
      <c r="B129" s="195" t="s">
        <v>256</v>
      </c>
      <c r="C129" s="196">
        <v>2580419</v>
      </c>
      <c r="D129" s="196"/>
      <c r="E129" s="196"/>
      <c r="F129" s="196"/>
      <c r="G129" s="196"/>
      <c r="H129" s="196"/>
      <c r="I129" s="196"/>
      <c r="J129" s="196"/>
      <c r="K129" s="196">
        <v>0</v>
      </c>
      <c r="L129" s="194">
        <v>0</v>
      </c>
      <c r="M129" s="196">
        <v>0</v>
      </c>
      <c r="N129" s="196">
        <v>786.3</v>
      </c>
      <c r="O129" s="196">
        <v>1565675</v>
      </c>
      <c r="P129" s="194">
        <v>0</v>
      </c>
      <c r="Q129" s="196">
        <v>0</v>
      </c>
      <c r="R129" s="196">
        <v>700</v>
      </c>
      <c r="S129" s="196">
        <v>1014744</v>
      </c>
      <c r="T129" s="197">
        <v>0</v>
      </c>
      <c r="U129" s="288">
        <v>0</v>
      </c>
      <c r="V129" s="282">
        <f>C129-'часть 1'!L140</f>
        <v>0</v>
      </c>
      <c r="W129" s="282"/>
      <c r="X129" s="28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296"/>
    </row>
    <row r="130" spans="1:35">
      <c r="A130" s="194">
        <v>122</v>
      </c>
      <c r="B130" s="195" t="s">
        <v>335</v>
      </c>
      <c r="C130" s="196">
        <v>1681645</v>
      </c>
      <c r="D130" s="196"/>
      <c r="E130" s="196"/>
      <c r="F130" s="196"/>
      <c r="G130" s="196"/>
      <c r="H130" s="196"/>
      <c r="I130" s="196"/>
      <c r="J130" s="196"/>
      <c r="K130" s="196">
        <v>0</v>
      </c>
      <c r="L130" s="194">
        <v>0</v>
      </c>
      <c r="M130" s="196">
        <v>0</v>
      </c>
      <c r="N130" s="196">
        <v>848.59</v>
      </c>
      <c r="O130" s="196">
        <v>1681645</v>
      </c>
      <c r="P130" s="194">
        <v>0</v>
      </c>
      <c r="Q130" s="196">
        <v>0</v>
      </c>
      <c r="R130" s="200">
        <v>0</v>
      </c>
      <c r="S130" s="196">
        <v>0</v>
      </c>
      <c r="T130" s="197">
        <v>0</v>
      </c>
      <c r="U130" s="288">
        <v>0</v>
      </c>
      <c r="V130" s="282">
        <f>C130-'часть 1'!L141</f>
        <v>0</v>
      </c>
      <c r="W130" s="282"/>
      <c r="X130" s="28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296"/>
    </row>
    <row r="131" spans="1:35">
      <c r="A131" s="194">
        <v>123</v>
      </c>
      <c r="B131" s="195" t="s">
        <v>255</v>
      </c>
      <c r="C131" s="196">
        <v>1318880</v>
      </c>
      <c r="D131" s="196"/>
      <c r="E131" s="196"/>
      <c r="F131" s="196"/>
      <c r="G131" s="196"/>
      <c r="H131" s="196"/>
      <c r="I131" s="196"/>
      <c r="J131" s="196"/>
      <c r="K131" s="196">
        <v>0</v>
      </c>
      <c r="L131" s="194">
        <v>0</v>
      </c>
      <c r="M131" s="196">
        <v>0</v>
      </c>
      <c r="N131" s="196">
        <v>660</v>
      </c>
      <c r="O131" s="196">
        <v>1318880</v>
      </c>
      <c r="P131" s="194">
        <v>0</v>
      </c>
      <c r="Q131" s="196">
        <v>0</v>
      </c>
      <c r="R131" s="200">
        <v>0</v>
      </c>
      <c r="S131" s="196">
        <v>0</v>
      </c>
      <c r="T131" s="197">
        <v>0</v>
      </c>
      <c r="U131" s="288">
        <v>0</v>
      </c>
      <c r="V131" s="282">
        <f>C131-'часть 1'!L142</f>
        <v>0</v>
      </c>
      <c r="W131" s="282"/>
      <c r="X131" s="28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296"/>
    </row>
    <row r="132" spans="1:35">
      <c r="A132" s="194">
        <v>124</v>
      </c>
      <c r="B132" s="195" t="s">
        <v>245</v>
      </c>
      <c r="C132" s="196">
        <v>1566345</v>
      </c>
      <c r="D132" s="196"/>
      <c r="E132" s="196"/>
      <c r="F132" s="196"/>
      <c r="G132" s="196"/>
      <c r="H132" s="196"/>
      <c r="I132" s="196"/>
      <c r="J132" s="196"/>
      <c r="K132" s="196">
        <v>0</v>
      </c>
      <c r="L132" s="194">
        <v>0</v>
      </c>
      <c r="M132" s="196">
        <v>0</v>
      </c>
      <c r="N132" s="196">
        <v>422</v>
      </c>
      <c r="O132" s="196">
        <v>850468</v>
      </c>
      <c r="P132" s="194">
        <v>0</v>
      </c>
      <c r="Q132" s="196">
        <v>0</v>
      </c>
      <c r="R132" s="196">
        <v>492</v>
      </c>
      <c r="S132" s="196">
        <v>715877</v>
      </c>
      <c r="T132" s="197">
        <v>0</v>
      </c>
      <c r="U132" s="288">
        <v>0</v>
      </c>
      <c r="V132" s="282">
        <f>C132-'часть 1'!L143</f>
        <v>0</v>
      </c>
      <c r="W132" s="282"/>
      <c r="X132" s="28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296"/>
    </row>
    <row r="133" spans="1:35" ht="30">
      <c r="A133" s="194">
        <v>125</v>
      </c>
      <c r="B133" s="195" t="s">
        <v>451</v>
      </c>
      <c r="C133" s="196">
        <v>1910088</v>
      </c>
      <c r="D133" s="196"/>
      <c r="E133" s="196"/>
      <c r="F133" s="196"/>
      <c r="G133" s="196"/>
      <c r="H133" s="196"/>
      <c r="I133" s="196"/>
      <c r="J133" s="196"/>
      <c r="K133" s="196">
        <v>1910088</v>
      </c>
      <c r="L133" s="194">
        <v>0</v>
      </c>
      <c r="M133" s="196">
        <v>0</v>
      </c>
      <c r="N133" s="196">
        <v>0</v>
      </c>
      <c r="O133" s="196">
        <v>0</v>
      </c>
      <c r="P133" s="194">
        <v>0</v>
      </c>
      <c r="Q133" s="196">
        <v>0</v>
      </c>
      <c r="R133" s="200">
        <v>0</v>
      </c>
      <c r="S133" s="196">
        <v>0</v>
      </c>
      <c r="T133" s="197">
        <v>0</v>
      </c>
      <c r="U133" s="288">
        <v>0</v>
      </c>
      <c r="V133" s="282">
        <f>C133-'часть 1'!L144</f>
        <v>0</v>
      </c>
      <c r="W133" s="282"/>
      <c r="X133" s="28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296"/>
    </row>
    <row r="134" spans="1:35">
      <c r="A134" s="194">
        <v>126</v>
      </c>
      <c r="B134" s="195" t="s">
        <v>280</v>
      </c>
      <c r="C134" s="196">
        <v>2694957</v>
      </c>
      <c r="D134" s="196"/>
      <c r="E134" s="196"/>
      <c r="F134" s="196"/>
      <c r="G134" s="196"/>
      <c r="H134" s="196"/>
      <c r="I134" s="196"/>
      <c r="J134" s="196"/>
      <c r="K134" s="196">
        <v>710638</v>
      </c>
      <c r="L134" s="194">
        <v>0</v>
      </c>
      <c r="M134" s="196">
        <v>0</v>
      </c>
      <c r="N134" s="196">
        <v>0</v>
      </c>
      <c r="O134" s="196">
        <v>0</v>
      </c>
      <c r="P134" s="194">
        <v>0</v>
      </c>
      <c r="Q134" s="196">
        <v>0</v>
      </c>
      <c r="R134" s="196">
        <v>1359.5</v>
      </c>
      <c r="S134" s="196">
        <v>1984319</v>
      </c>
      <c r="T134" s="197">
        <v>0</v>
      </c>
      <c r="U134" s="288">
        <v>0</v>
      </c>
      <c r="V134" s="282">
        <f>C134-'часть 1'!L145</f>
        <v>0</v>
      </c>
      <c r="W134" s="282"/>
      <c r="X134" s="28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296"/>
    </row>
    <row r="135" spans="1:35">
      <c r="A135" s="194">
        <v>127</v>
      </c>
      <c r="B135" s="195" t="s">
        <v>367</v>
      </c>
      <c r="C135" s="196">
        <v>580578</v>
      </c>
      <c r="D135" s="196"/>
      <c r="E135" s="196"/>
      <c r="F135" s="196"/>
      <c r="G135" s="196"/>
      <c r="H135" s="196"/>
      <c r="I135" s="196"/>
      <c r="J135" s="196"/>
      <c r="K135" s="196">
        <v>0</v>
      </c>
      <c r="L135" s="194">
        <v>0</v>
      </c>
      <c r="M135" s="196">
        <v>0</v>
      </c>
      <c r="N135" s="196">
        <v>293.5</v>
      </c>
      <c r="O135" s="196">
        <v>580578</v>
      </c>
      <c r="P135" s="194">
        <v>0</v>
      </c>
      <c r="Q135" s="196">
        <v>0</v>
      </c>
      <c r="R135" s="197">
        <v>0</v>
      </c>
      <c r="S135" s="196">
        <v>0</v>
      </c>
      <c r="T135" s="197">
        <v>0</v>
      </c>
      <c r="U135" s="288">
        <v>0</v>
      </c>
      <c r="V135" s="282">
        <f>C135-'часть 1'!L146</f>
        <v>0</v>
      </c>
      <c r="W135" s="282"/>
      <c r="X135" s="28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296"/>
    </row>
    <row r="136" spans="1:35">
      <c r="A136" s="194">
        <v>128</v>
      </c>
      <c r="B136" s="195" t="s">
        <v>464</v>
      </c>
      <c r="C136" s="196">
        <v>615357</v>
      </c>
      <c r="D136" s="196"/>
      <c r="E136" s="196"/>
      <c r="F136" s="196"/>
      <c r="G136" s="196"/>
      <c r="H136" s="196"/>
      <c r="I136" s="196"/>
      <c r="J136" s="196"/>
      <c r="K136" s="196">
        <v>0</v>
      </c>
      <c r="L136" s="194">
        <v>0</v>
      </c>
      <c r="M136" s="196">
        <v>0</v>
      </c>
      <c r="N136" s="196">
        <v>301</v>
      </c>
      <c r="O136" s="196">
        <v>615357</v>
      </c>
      <c r="P136" s="194">
        <v>0</v>
      </c>
      <c r="Q136" s="196">
        <v>0</v>
      </c>
      <c r="R136" s="197">
        <v>0</v>
      </c>
      <c r="S136" s="196">
        <v>0</v>
      </c>
      <c r="T136" s="197">
        <v>0</v>
      </c>
      <c r="U136" s="288">
        <v>0</v>
      </c>
      <c r="V136" s="282">
        <f>C136-'часть 1'!L147</f>
        <v>0</v>
      </c>
      <c r="W136" s="282"/>
      <c r="X136" s="28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296"/>
    </row>
    <row r="137" spans="1:35">
      <c r="A137" s="194">
        <v>129</v>
      </c>
      <c r="B137" s="195" t="s">
        <v>385</v>
      </c>
      <c r="C137" s="196">
        <v>269948.13</v>
      </c>
      <c r="D137" s="196"/>
      <c r="E137" s="196"/>
      <c r="F137" s="196"/>
      <c r="G137" s="196"/>
      <c r="H137" s="196"/>
      <c r="I137" s="196"/>
      <c r="J137" s="196"/>
      <c r="K137" s="196">
        <v>269948.13</v>
      </c>
      <c r="L137" s="194">
        <v>0</v>
      </c>
      <c r="M137" s="196">
        <v>0</v>
      </c>
      <c r="N137" s="196">
        <v>0</v>
      </c>
      <c r="O137" s="196">
        <v>0</v>
      </c>
      <c r="P137" s="194">
        <v>0</v>
      </c>
      <c r="Q137" s="196">
        <v>0</v>
      </c>
      <c r="R137" s="197">
        <v>0</v>
      </c>
      <c r="S137" s="196">
        <v>0</v>
      </c>
      <c r="T137" s="197">
        <v>0</v>
      </c>
      <c r="U137" s="288">
        <v>0</v>
      </c>
      <c r="V137" s="282">
        <f>C137-'часть 1'!L148</f>
        <v>0</v>
      </c>
      <c r="W137" s="282"/>
      <c r="X137" s="28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296"/>
    </row>
    <row r="138" spans="1:35">
      <c r="A138" s="194">
        <v>130</v>
      </c>
      <c r="B138" s="195" t="s">
        <v>238</v>
      </c>
      <c r="C138" s="196">
        <v>807980</v>
      </c>
      <c r="D138" s="196"/>
      <c r="E138" s="196"/>
      <c r="F138" s="196"/>
      <c r="G138" s="196"/>
      <c r="H138" s="196"/>
      <c r="I138" s="196"/>
      <c r="J138" s="196"/>
      <c r="K138" s="196">
        <v>0</v>
      </c>
      <c r="L138" s="194">
        <v>0</v>
      </c>
      <c r="M138" s="196">
        <v>0</v>
      </c>
      <c r="N138" s="196">
        <v>400</v>
      </c>
      <c r="O138" s="196">
        <v>807980</v>
      </c>
      <c r="P138" s="194">
        <v>0</v>
      </c>
      <c r="Q138" s="196">
        <v>0</v>
      </c>
      <c r="R138" s="200">
        <v>0</v>
      </c>
      <c r="S138" s="196">
        <v>0</v>
      </c>
      <c r="T138" s="197">
        <v>0</v>
      </c>
      <c r="U138" s="288">
        <v>0</v>
      </c>
      <c r="V138" s="282">
        <f>C138-'часть 1'!L149</f>
        <v>0</v>
      </c>
      <c r="W138" s="282"/>
      <c r="X138" s="28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296"/>
    </row>
    <row r="139" spans="1:35">
      <c r="A139" s="194">
        <v>131</v>
      </c>
      <c r="B139" s="195" t="s">
        <v>273</v>
      </c>
      <c r="C139" s="196">
        <v>661525</v>
      </c>
      <c r="D139" s="196"/>
      <c r="E139" s="196"/>
      <c r="F139" s="196"/>
      <c r="G139" s="196"/>
      <c r="H139" s="196"/>
      <c r="I139" s="196"/>
      <c r="J139" s="196"/>
      <c r="K139" s="196">
        <v>0</v>
      </c>
      <c r="L139" s="194">
        <v>0</v>
      </c>
      <c r="M139" s="196">
        <v>0</v>
      </c>
      <c r="N139" s="196">
        <v>325</v>
      </c>
      <c r="O139" s="199">
        <v>661525</v>
      </c>
      <c r="P139" s="194">
        <v>0</v>
      </c>
      <c r="Q139" s="196">
        <v>0</v>
      </c>
      <c r="R139" s="197">
        <v>0</v>
      </c>
      <c r="S139" s="196">
        <v>0</v>
      </c>
      <c r="T139" s="197">
        <v>0</v>
      </c>
      <c r="U139" s="288">
        <v>0</v>
      </c>
      <c r="V139" s="282">
        <f>C139-'часть 1'!L150</f>
        <v>0</v>
      </c>
      <c r="W139" s="282"/>
      <c r="X139" s="28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296"/>
    </row>
    <row r="140" spans="1:35">
      <c r="A140" s="198">
        <v>132</v>
      </c>
      <c r="B140" s="195" t="s">
        <v>297</v>
      </c>
      <c r="C140" s="196">
        <v>3719885</v>
      </c>
      <c r="D140" s="196"/>
      <c r="E140" s="196"/>
      <c r="F140" s="196"/>
      <c r="G140" s="196"/>
      <c r="H140" s="196"/>
      <c r="I140" s="196"/>
      <c r="J140" s="196"/>
      <c r="K140" s="196">
        <v>0</v>
      </c>
      <c r="L140" s="194">
        <v>2</v>
      </c>
      <c r="M140" s="196">
        <v>3719885</v>
      </c>
      <c r="N140" s="196">
        <v>0</v>
      </c>
      <c r="O140" s="196">
        <v>0</v>
      </c>
      <c r="P140" s="194">
        <v>0</v>
      </c>
      <c r="Q140" s="196">
        <v>0</v>
      </c>
      <c r="R140" s="197">
        <v>0</v>
      </c>
      <c r="S140" s="196">
        <v>0</v>
      </c>
      <c r="T140" s="197">
        <v>0</v>
      </c>
      <c r="U140" s="288">
        <v>0</v>
      </c>
      <c r="V140" s="282">
        <f>C140-'часть 1'!L151</f>
        <v>0</v>
      </c>
      <c r="W140" s="282"/>
      <c r="X140" s="28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296"/>
    </row>
    <row r="141" spans="1:35">
      <c r="A141" s="198">
        <v>133</v>
      </c>
      <c r="B141" s="195" t="s">
        <v>263</v>
      </c>
      <c r="C141" s="196">
        <v>1726391</v>
      </c>
      <c r="D141" s="196"/>
      <c r="E141" s="196"/>
      <c r="F141" s="196"/>
      <c r="G141" s="196"/>
      <c r="H141" s="196"/>
      <c r="I141" s="196"/>
      <c r="J141" s="196"/>
      <c r="K141" s="196">
        <v>0</v>
      </c>
      <c r="L141" s="194">
        <v>0</v>
      </c>
      <c r="M141" s="196">
        <v>0</v>
      </c>
      <c r="N141" s="196">
        <v>866.8</v>
      </c>
      <c r="O141" s="196">
        <v>1726391</v>
      </c>
      <c r="P141" s="194">
        <v>0</v>
      </c>
      <c r="Q141" s="196">
        <v>0</v>
      </c>
      <c r="R141" s="197">
        <v>0</v>
      </c>
      <c r="S141" s="196">
        <v>0</v>
      </c>
      <c r="T141" s="197">
        <v>0</v>
      </c>
      <c r="U141" s="288">
        <v>0</v>
      </c>
      <c r="V141" s="282">
        <f>C141-'часть 1'!L152</f>
        <v>0</v>
      </c>
      <c r="W141" s="282"/>
      <c r="X141" s="28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296"/>
    </row>
    <row r="142" spans="1:35">
      <c r="A142" s="198">
        <v>134</v>
      </c>
      <c r="B142" s="195" t="s">
        <v>235</v>
      </c>
      <c r="C142" s="196">
        <v>1521754</v>
      </c>
      <c r="D142" s="196"/>
      <c r="E142" s="196"/>
      <c r="F142" s="196"/>
      <c r="G142" s="196"/>
      <c r="H142" s="196"/>
      <c r="I142" s="196"/>
      <c r="J142" s="196"/>
      <c r="K142" s="196">
        <v>0</v>
      </c>
      <c r="L142" s="194">
        <v>0</v>
      </c>
      <c r="M142" s="196">
        <v>0</v>
      </c>
      <c r="N142" s="196">
        <v>430</v>
      </c>
      <c r="O142" s="196">
        <v>866735</v>
      </c>
      <c r="P142" s="194">
        <v>0</v>
      </c>
      <c r="Q142" s="196">
        <v>0</v>
      </c>
      <c r="R142" s="196">
        <v>449</v>
      </c>
      <c r="S142" s="196">
        <v>655019</v>
      </c>
      <c r="T142" s="197">
        <v>0</v>
      </c>
      <c r="U142" s="288">
        <v>0</v>
      </c>
      <c r="V142" s="282">
        <f>C142-'часть 1'!L153</f>
        <v>0</v>
      </c>
      <c r="W142" s="282"/>
      <c r="X142" s="28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296"/>
    </row>
    <row r="143" spans="1:35">
      <c r="A143" s="198">
        <v>135</v>
      </c>
      <c r="B143" s="195" t="s">
        <v>227</v>
      </c>
      <c r="C143" s="196">
        <v>671505</v>
      </c>
      <c r="D143" s="196"/>
      <c r="E143" s="196"/>
      <c r="F143" s="196"/>
      <c r="G143" s="196"/>
      <c r="H143" s="196"/>
      <c r="I143" s="196"/>
      <c r="J143" s="196"/>
      <c r="K143" s="196" t="e">
        <f>#REF!</f>
        <v>#REF!</v>
      </c>
      <c r="L143" s="194">
        <v>0</v>
      </c>
      <c r="M143" s="196">
        <v>0</v>
      </c>
      <c r="N143" s="196">
        <v>0</v>
      </c>
      <c r="O143" s="196">
        <v>0</v>
      </c>
      <c r="P143" s="194">
        <v>0</v>
      </c>
      <c r="Q143" s="196">
        <v>0</v>
      </c>
      <c r="R143" s="196">
        <v>404.5</v>
      </c>
      <c r="S143" s="196">
        <v>591227</v>
      </c>
      <c r="T143" s="197">
        <v>0</v>
      </c>
      <c r="U143" s="288">
        <v>0</v>
      </c>
      <c r="V143" s="282">
        <f>C143-'часть 1'!L154</f>
        <v>0</v>
      </c>
      <c r="W143" s="282"/>
      <c r="X143" s="282"/>
      <c r="Y143" s="12"/>
      <c r="Z143" s="274"/>
      <c r="AA143" s="12"/>
      <c r="AB143" s="12"/>
      <c r="AC143" s="12"/>
      <c r="AD143" s="12"/>
      <c r="AE143" s="12"/>
      <c r="AF143" s="12"/>
      <c r="AG143" s="12"/>
      <c r="AH143" s="12"/>
      <c r="AI143" s="296"/>
    </row>
    <row r="144" spans="1:35">
      <c r="A144" s="198">
        <v>136</v>
      </c>
      <c r="B144" s="195" t="s">
        <v>339</v>
      </c>
      <c r="C144" s="196">
        <v>1081718</v>
      </c>
      <c r="D144" s="196"/>
      <c r="E144" s="196"/>
      <c r="F144" s="196"/>
      <c r="G144" s="196"/>
      <c r="H144" s="196"/>
      <c r="I144" s="196"/>
      <c r="J144" s="196"/>
      <c r="K144" s="196">
        <v>0</v>
      </c>
      <c r="L144" s="194">
        <v>0</v>
      </c>
      <c r="M144" s="196">
        <v>0</v>
      </c>
      <c r="N144" s="196">
        <v>531.70000000000005</v>
      </c>
      <c r="O144" s="196">
        <v>1081718</v>
      </c>
      <c r="P144" s="194">
        <v>0</v>
      </c>
      <c r="Q144" s="196">
        <v>0</v>
      </c>
      <c r="R144" s="197">
        <v>0</v>
      </c>
      <c r="S144" s="196">
        <v>0</v>
      </c>
      <c r="T144" s="197">
        <v>0</v>
      </c>
      <c r="U144" s="288">
        <v>0</v>
      </c>
      <c r="V144" s="282">
        <f>C144-'часть 1'!L155</f>
        <v>0</v>
      </c>
      <c r="W144" s="282"/>
      <c r="X144" s="28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296"/>
    </row>
    <row r="145" spans="1:35">
      <c r="A145" s="198">
        <v>137</v>
      </c>
      <c r="B145" s="195" t="s">
        <v>231</v>
      </c>
      <c r="C145" s="196">
        <v>206635</v>
      </c>
      <c r="D145" s="196"/>
      <c r="E145" s="196"/>
      <c r="F145" s="196"/>
      <c r="G145" s="196"/>
      <c r="H145" s="196"/>
      <c r="I145" s="196"/>
      <c r="J145" s="196"/>
      <c r="K145" s="196">
        <v>206635</v>
      </c>
      <c r="L145" s="194">
        <v>0</v>
      </c>
      <c r="M145" s="196">
        <v>0</v>
      </c>
      <c r="N145" s="196">
        <v>0</v>
      </c>
      <c r="O145" s="196">
        <v>0</v>
      </c>
      <c r="P145" s="194">
        <v>0</v>
      </c>
      <c r="Q145" s="196">
        <v>0</v>
      </c>
      <c r="R145" s="197">
        <v>0</v>
      </c>
      <c r="S145" s="196">
        <v>0</v>
      </c>
      <c r="T145" s="197">
        <v>0</v>
      </c>
      <c r="U145" s="288">
        <v>0</v>
      </c>
      <c r="V145" s="282">
        <f>C145-'часть 1'!L156</f>
        <v>0</v>
      </c>
      <c r="W145" s="282"/>
      <c r="X145" s="28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296"/>
    </row>
    <row r="146" spans="1:35">
      <c r="A146" s="198">
        <v>138</v>
      </c>
      <c r="B146" s="195" t="s">
        <v>300</v>
      </c>
      <c r="C146" s="196">
        <v>1044081.04</v>
      </c>
      <c r="D146" s="196"/>
      <c r="E146" s="196"/>
      <c r="F146" s="196"/>
      <c r="G146" s="196"/>
      <c r="H146" s="196"/>
      <c r="I146" s="196"/>
      <c r="J146" s="196"/>
      <c r="K146" s="196">
        <v>0</v>
      </c>
      <c r="L146" s="194">
        <v>0</v>
      </c>
      <c r="M146" s="196">
        <v>0</v>
      </c>
      <c r="N146" s="196">
        <v>516.5</v>
      </c>
      <c r="O146" s="196">
        <v>1044081.04</v>
      </c>
      <c r="P146" s="194">
        <v>0</v>
      </c>
      <c r="Q146" s="196">
        <v>0</v>
      </c>
      <c r="R146" s="200">
        <v>0</v>
      </c>
      <c r="S146" s="196">
        <v>0</v>
      </c>
      <c r="T146" s="197">
        <v>0</v>
      </c>
      <c r="U146" s="288">
        <v>0</v>
      </c>
      <c r="V146" s="282">
        <f>C146-'часть 1'!L157</f>
        <v>0</v>
      </c>
      <c r="W146" s="282"/>
      <c r="X146" s="28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296"/>
    </row>
    <row r="147" spans="1:35">
      <c r="A147" s="198">
        <v>139</v>
      </c>
      <c r="B147" s="195" t="s">
        <v>283</v>
      </c>
      <c r="C147" s="196">
        <v>1340000</v>
      </c>
      <c r="D147" s="196"/>
      <c r="E147" s="196"/>
      <c r="F147" s="196"/>
      <c r="G147" s="196"/>
      <c r="H147" s="196"/>
      <c r="I147" s="196"/>
      <c r="J147" s="196"/>
      <c r="K147" s="196">
        <v>1340000</v>
      </c>
      <c r="L147" s="194">
        <v>0</v>
      </c>
      <c r="M147" s="196">
        <v>0</v>
      </c>
      <c r="N147" s="196">
        <v>0</v>
      </c>
      <c r="O147" s="196">
        <v>0</v>
      </c>
      <c r="P147" s="194">
        <v>0</v>
      </c>
      <c r="Q147" s="196">
        <v>0</v>
      </c>
      <c r="R147" s="197">
        <v>0</v>
      </c>
      <c r="S147" s="196">
        <v>0</v>
      </c>
      <c r="T147" s="197">
        <v>0</v>
      </c>
      <c r="U147" s="288">
        <v>0</v>
      </c>
      <c r="V147" s="282">
        <f>C147-'часть 1'!L158</f>
        <v>0</v>
      </c>
      <c r="W147" s="282"/>
      <c r="X147" s="28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296"/>
    </row>
    <row r="148" spans="1:35">
      <c r="A148" s="198">
        <v>140</v>
      </c>
      <c r="B148" s="195" t="s">
        <v>450</v>
      </c>
      <c r="C148" s="196">
        <v>2294529</v>
      </c>
      <c r="D148" s="196"/>
      <c r="E148" s="196"/>
      <c r="F148" s="196"/>
      <c r="G148" s="196"/>
      <c r="H148" s="196"/>
      <c r="I148" s="196"/>
      <c r="J148" s="196"/>
      <c r="K148" s="196">
        <v>0</v>
      </c>
      <c r="L148" s="194">
        <v>0</v>
      </c>
      <c r="M148" s="196">
        <v>0</v>
      </c>
      <c r="N148" s="196">
        <v>1162</v>
      </c>
      <c r="O148" s="196">
        <v>2294529</v>
      </c>
      <c r="P148" s="194">
        <v>0</v>
      </c>
      <c r="Q148" s="196">
        <v>0</v>
      </c>
      <c r="R148" s="197">
        <v>0</v>
      </c>
      <c r="S148" s="196">
        <v>0</v>
      </c>
      <c r="T148" s="197">
        <v>0</v>
      </c>
      <c r="U148" s="288">
        <v>0</v>
      </c>
      <c r="V148" s="282">
        <f>C148-'часть 1'!L159</f>
        <v>0</v>
      </c>
      <c r="W148" s="282"/>
      <c r="X148" s="28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296"/>
    </row>
    <row r="149" spans="1:35">
      <c r="A149" s="198">
        <v>141</v>
      </c>
      <c r="B149" s="195" t="s">
        <v>230</v>
      </c>
      <c r="C149" s="196">
        <v>2615616.2000000002</v>
      </c>
      <c r="D149" s="196"/>
      <c r="E149" s="196"/>
      <c r="F149" s="196"/>
      <c r="G149" s="196"/>
      <c r="H149" s="196"/>
      <c r="I149" s="196"/>
      <c r="J149" s="196"/>
      <c r="K149" s="196">
        <v>0</v>
      </c>
      <c r="L149" s="194">
        <v>0</v>
      </c>
      <c r="M149" s="196">
        <v>0</v>
      </c>
      <c r="N149" s="196">
        <v>0</v>
      </c>
      <c r="O149" s="196">
        <v>0</v>
      </c>
      <c r="P149" s="194">
        <v>0</v>
      </c>
      <c r="Q149" s="196">
        <v>0</v>
      </c>
      <c r="R149" s="196">
        <v>2540</v>
      </c>
      <c r="S149" s="196">
        <v>2615616.2000000002</v>
      </c>
      <c r="T149" s="197">
        <v>0</v>
      </c>
      <c r="U149" s="288">
        <v>0</v>
      </c>
      <c r="V149" s="282">
        <f>C149-'часть 1'!L160</f>
        <v>0</v>
      </c>
      <c r="W149" s="282"/>
      <c r="X149" s="28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296"/>
    </row>
    <row r="150" spans="1:35">
      <c r="A150" s="198">
        <v>142</v>
      </c>
      <c r="B150" s="195" t="s">
        <v>295</v>
      </c>
      <c r="C150" s="196">
        <v>1561539</v>
      </c>
      <c r="D150" s="196"/>
      <c r="E150" s="196"/>
      <c r="F150" s="196"/>
      <c r="G150" s="196"/>
      <c r="H150" s="196"/>
      <c r="I150" s="196"/>
      <c r="J150" s="196"/>
      <c r="K150" s="196">
        <v>0</v>
      </c>
      <c r="L150" s="194">
        <v>0</v>
      </c>
      <c r="M150" s="196">
        <v>0</v>
      </c>
      <c r="N150" s="196">
        <v>787.85</v>
      </c>
      <c r="O150" s="196">
        <v>1561539</v>
      </c>
      <c r="P150" s="201">
        <v>0</v>
      </c>
      <c r="Q150" s="196">
        <v>0</v>
      </c>
      <c r="R150" s="200">
        <v>0</v>
      </c>
      <c r="S150" s="196">
        <v>0</v>
      </c>
      <c r="T150" s="197">
        <v>0</v>
      </c>
      <c r="U150" s="288">
        <v>0</v>
      </c>
      <c r="V150" s="282">
        <f>C150-'часть 1'!L161</f>
        <v>0</v>
      </c>
      <c r="W150" s="282"/>
      <c r="X150" s="28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296"/>
    </row>
    <row r="151" spans="1:35">
      <c r="A151" s="198">
        <v>143</v>
      </c>
      <c r="B151" s="195" t="s">
        <v>294</v>
      </c>
      <c r="C151" s="196">
        <v>1421187</v>
      </c>
      <c r="D151" s="196"/>
      <c r="E151" s="196"/>
      <c r="F151" s="196"/>
      <c r="G151" s="196"/>
      <c r="H151" s="196"/>
      <c r="I151" s="196"/>
      <c r="J151" s="196"/>
      <c r="K151" s="196">
        <v>0</v>
      </c>
      <c r="L151" s="194">
        <v>0</v>
      </c>
      <c r="M151" s="196">
        <v>0</v>
      </c>
      <c r="N151" s="196">
        <v>687</v>
      </c>
      <c r="O151" s="199">
        <v>1421187</v>
      </c>
      <c r="P151" s="194">
        <v>0</v>
      </c>
      <c r="Q151" s="196">
        <v>0</v>
      </c>
      <c r="R151" s="200">
        <v>0</v>
      </c>
      <c r="S151" s="196">
        <v>0</v>
      </c>
      <c r="T151" s="197">
        <v>0</v>
      </c>
      <c r="U151" s="288">
        <v>0</v>
      </c>
      <c r="V151" s="282">
        <f>C151-'часть 1'!L162</f>
        <v>0</v>
      </c>
      <c r="W151" s="282"/>
      <c r="X151" s="28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296"/>
    </row>
    <row r="152" spans="1:35">
      <c r="A152" s="198">
        <v>144</v>
      </c>
      <c r="B152" s="195" t="s">
        <v>270</v>
      </c>
      <c r="C152" s="196">
        <v>2469740</v>
      </c>
      <c r="D152" s="196"/>
      <c r="E152" s="196"/>
      <c r="F152" s="196"/>
      <c r="G152" s="196"/>
      <c r="H152" s="196"/>
      <c r="I152" s="196"/>
      <c r="J152" s="196"/>
      <c r="K152" s="196">
        <v>757154</v>
      </c>
      <c r="L152" s="194">
        <v>0</v>
      </c>
      <c r="M152" s="196">
        <v>0</v>
      </c>
      <c r="N152" s="196">
        <v>868.1</v>
      </c>
      <c r="O152" s="196">
        <v>1712586</v>
      </c>
      <c r="P152" s="194">
        <v>0</v>
      </c>
      <c r="Q152" s="196">
        <v>0</v>
      </c>
      <c r="R152" s="197">
        <v>0</v>
      </c>
      <c r="S152" s="196">
        <v>0</v>
      </c>
      <c r="T152" s="197">
        <v>0</v>
      </c>
      <c r="U152" s="288">
        <v>0</v>
      </c>
      <c r="V152" s="282">
        <f>C152-'часть 1'!L163</f>
        <v>0</v>
      </c>
      <c r="W152" s="282"/>
      <c r="X152" s="28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296"/>
    </row>
    <row r="153" spans="1:35">
      <c r="A153" s="198">
        <v>145</v>
      </c>
      <c r="B153" s="195" t="s">
        <v>252</v>
      </c>
      <c r="C153" s="196">
        <v>1104857</v>
      </c>
      <c r="D153" s="196"/>
      <c r="E153" s="196"/>
      <c r="F153" s="196"/>
      <c r="G153" s="196"/>
      <c r="H153" s="196"/>
      <c r="I153" s="196"/>
      <c r="J153" s="196"/>
      <c r="K153" s="196">
        <v>0</v>
      </c>
      <c r="L153" s="194">
        <v>0</v>
      </c>
      <c r="M153" s="196">
        <v>0</v>
      </c>
      <c r="N153" s="196">
        <v>545.6</v>
      </c>
      <c r="O153" s="196">
        <v>1104857</v>
      </c>
      <c r="P153" s="194">
        <v>0</v>
      </c>
      <c r="Q153" s="196">
        <v>0</v>
      </c>
      <c r="R153" s="200">
        <v>0</v>
      </c>
      <c r="S153" s="196">
        <v>0</v>
      </c>
      <c r="T153" s="197">
        <v>0</v>
      </c>
      <c r="U153" s="288">
        <v>0</v>
      </c>
      <c r="V153" s="282">
        <f>C153-'часть 1'!L164</f>
        <v>0</v>
      </c>
      <c r="W153" s="282"/>
      <c r="X153" s="28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296"/>
    </row>
    <row r="154" spans="1:35">
      <c r="A154" s="198">
        <v>146</v>
      </c>
      <c r="B154" s="195" t="s">
        <v>304</v>
      </c>
      <c r="C154" s="196">
        <v>1877378</v>
      </c>
      <c r="D154" s="196"/>
      <c r="E154" s="196"/>
      <c r="F154" s="196"/>
      <c r="G154" s="196"/>
      <c r="H154" s="196"/>
      <c r="I154" s="196"/>
      <c r="J154" s="196"/>
      <c r="K154" s="196">
        <v>0</v>
      </c>
      <c r="L154" s="194">
        <v>1</v>
      </c>
      <c r="M154" s="199">
        <v>1877378</v>
      </c>
      <c r="N154" s="196">
        <v>0</v>
      </c>
      <c r="O154" s="196">
        <v>0</v>
      </c>
      <c r="P154" s="194">
        <v>0</v>
      </c>
      <c r="Q154" s="196">
        <v>0</v>
      </c>
      <c r="R154" s="197">
        <v>0</v>
      </c>
      <c r="S154" s="196">
        <v>0</v>
      </c>
      <c r="T154" s="197">
        <v>0</v>
      </c>
      <c r="U154" s="288">
        <v>0</v>
      </c>
      <c r="V154" s="282">
        <f>C154-'часть 1'!L165</f>
        <v>0</v>
      </c>
      <c r="W154" s="282"/>
      <c r="X154" s="28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296"/>
    </row>
    <row r="155" spans="1:35">
      <c r="A155" s="198">
        <v>147</v>
      </c>
      <c r="B155" s="195" t="s">
        <v>228</v>
      </c>
      <c r="C155" s="196">
        <v>2945836</v>
      </c>
      <c r="D155" s="196"/>
      <c r="E155" s="196"/>
      <c r="F155" s="196"/>
      <c r="G155" s="196"/>
      <c r="H155" s="196"/>
      <c r="I155" s="196"/>
      <c r="J155" s="196"/>
      <c r="K155" s="196" t="e">
        <f>#REF!</f>
        <v>#REF!</v>
      </c>
      <c r="L155" s="194">
        <v>0</v>
      </c>
      <c r="M155" s="196">
        <v>0</v>
      </c>
      <c r="N155" s="196">
        <v>0</v>
      </c>
      <c r="O155" s="196">
        <v>0</v>
      </c>
      <c r="P155" s="194">
        <v>0</v>
      </c>
      <c r="Q155" s="196">
        <v>0</v>
      </c>
      <c r="R155" s="197">
        <v>0</v>
      </c>
      <c r="S155" s="196">
        <v>0</v>
      </c>
      <c r="T155" s="197">
        <v>0</v>
      </c>
      <c r="U155" s="288">
        <v>0</v>
      </c>
      <c r="V155" s="282">
        <f>C155-'часть 1'!L166</f>
        <v>0</v>
      </c>
      <c r="W155" s="282"/>
      <c r="X155" s="282"/>
      <c r="Y155" s="12"/>
      <c r="Z155" s="12"/>
      <c r="AA155" s="12"/>
      <c r="AB155" s="274"/>
      <c r="AC155" s="12"/>
      <c r="AD155" s="12"/>
      <c r="AE155" s="12"/>
      <c r="AF155" s="274"/>
      <c r="AG155" s="12"/>
      <c r="AH155" s="12"/>
      <c r="AI155" s="296"/>
    </row>
    <row r="156" spans="1:35">
      <c r="A156" s="198">
        <v>148</v>
      </c>
      <c r="B156" s="195" t="s">
        <v>225</v>
      </c>
      <c r="C156" s="196">
        <v>1118494</v>
      </c>
      <c r="D156" s="196"/>
      <c r="E156" s="196"/>
      <c r="F156" s="196"/>
      <c r="G156" s="196"/>
      <c r="H156" s="196"/>
      <c r="I156" s="196"/>
      <c r="J156" s="196"/>
      <c r="K156" s="196">
        <v>1118494</v>
      </c>
      <c r="L156" s="194">
        <v>0</v>
      </c>
      <c r="M156" s="196">
        <v>0</v>
      </c>
      <c r="N156" s="199">
        <v>0</v>
      </c>
      <c r="O156" s="196">
        <v>0</v>
      </c>
      <c r="P156" s="194">
        <v>0</v>
      </c>
      <c r="Q156" s="196">
        <v>0</v>
      </c>
      <c r="R156" s="200">
        <v>0</v>
      </c>
      <c r="S156" s="196">
        <v>0</v>
      </c>
      <c r="T156" s="197">
        <v>0</v>
      </c>
      <c r="U156" s="288">
        <v>0</v>
      </c>
      <c r="V156" s="282">
        <f>C156-'часть 1'!L167</f>
        <v>0</v>
      </c>
      <c r="W156" s="282"/>
      <c r="X156" s="28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296"/>
    </row>
    <row r="157" spans="1:35">
      <c r="A157" s="198">
        <v>149</v>
      </c>
      <c r="B157" s="195" t="s">
        <v>232</v>
      </c>
      <c r="C157" s="196">
        <v>2540427</v>
      </c>
      <c r="D157" s="196"/>
      <c r="E157" s="196"/>
      <c r="F157" s="196"/>
      <c r="G157" s="196"/>
      <c r="H157" s="196"/>
      <c r="I157" s="196"/>
      <c r="J157" s="196"/>
      <c r="K157" s="196">
        <v>0</v>
      </c>
      <c r="L157" s="194">
        <v>0</v>
      </c>
      <c r="M157" s="196">
        <v>0</v>
      </c>
      <c r="N157" s="196">
        <v>592</v>
      </c>
      <c r="O157" s="196">
        <v>1201460</v>
      </c>
      <c r="P157" s="194">
        <v>0</v>
      </c>
      <c r="Q157" s="196">
        <v>0</v>
      </c>
      <c r="R157" s="196">
        <v>922</v>
      </c>
      <c r="S157" s="196">
        <v>1338967</v>
      </c>
      <c r="T157" s="197">
        <v>0</v>
      </c>
      <c r="U157" s="288">
        <v>0</v>
      </c>
      <c r="V157" s="282">
        <f>C157-'часть 1'!L168</f>
        <v>0</v>
      </c>
      <c r="W157" s="282"/>
      <c r="X157" s="28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296"/>
    </row>
    <row r="158" spans="1:35">
      <c r="A158" s="198">
        <v>150</v>
      </c>
      <c r="B158" s="195" t="s">
        <v>275</v>
      </c>
      <c r="C158" s="196">
        <v>2253297</v>
      </c>
      <c r="D158" s="196"/>
      <c r="E158" s="196"/>
      <c r="F158" s="196"/>
      <c r="G158" s="196"/>
      <c r="H158" s="196"/>
      <c r="I158" s="196"/>
      <c r="J158" s="196"/>
      <c r="K158" s="196">
        <v>0</v>
      </c>
      <c r="L158" s="194">
        <v>0</v>
      </c>
      <c r="M158" s="196">
        <v>0</v>
      </c>
      <c r="N158" s="196">
        <v>1126</v>
      </c>
      <c r="O158" s="196">
        <v>2253297</v>
      </c>
      <c r="P158" s="194">
        <v>0</v>
      </c>
      <c r="Q158" s="196">
        <v>0</v>
      </c>
      <c r="R158" s="197">
        <v>0</v>
      </c>
      <c r="S158" s="196">
        <v>0</v>
      </c>
      <c r="T158" s="197">
        <v>0</v>
      </c>
      <c r="U158" s="288">
        <v>0</v>
      </c>
      <c r="V158" s="282">
        <f>C158-'часть 1'!L169</f>
        <v>0</v>
      </c>
      <c r="W158" s="282"/>
      <c r="X158" s="28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296"/>
    </row>
    <row r="159" spans="1:35" s="278" customFormat="1">
      <c r="A159" s="194">
        <v>151</v>
      </c>
      <c r="B159" s="195" t="s">
        <v>286</v>
      </c>
      <c r="C159" s="196">
        <v>1390061</v>
      </c>
      <c r="D159" s="196"/>
      <c r="E159" s="196"/>
      <c r="F159" s="196"/>
      <c r="G159" s="196"/>
      <c r="H159" s="196"/>
      <c r="I159" s="196"/>
      <c r="J159" s="196"/>
      <c r="K159" s="196" t="e">
        <f>#REF!</f>
        <v>#REF!</v>
      </c>
      <c r="L159" s="194">
        <v>0</v>
      </c>
      <c r="M159" s="196">
        <v>0</v>
      </c>
      <c r="N159" s="196">
        <v>0</v>
      </c>
      <c r="O159" s="196">
        <v>0</v>
      </c>
      <c r="P159" s="194">
        <v>0</v>
      </c>
      <c r="Q159" s="196">
        <v>0</v>
      </c>
      <c r="R159" s="197">
        <v>0</v>
      </c>
      <c r="S159" s="196">
        <v>0</v>
      </c>
      <c r="T159" s="197">
        <v>0</v>
      </c>
      <c r="U159" s="288">
        <v>0</v>
      </c>
      <c r="V159" s="282">
        <f>C159-'часть 1'!L170</f>
        <v>0</v>
      </c>
      <c r="W159" s="282"/>
      <c r="X159" s="282"/>
      <c r="Y159" s="277"/>
      <c r="Z159" s="277"/>
      <c r="AA159" s="277"/>
      <c r="AB159" s="277"/>
      <c r="AC159" s="277"/>
      <c r="AD159" s="277"/>
      <c r="AE159" s="277"/>
      <c r="AF159" s="277"/>
      <c r="AG159" s="277"/>
      <c r="AH159" s="277"/>
      <c r="AI159" s="298"/>
    </row>
    <row r="160" spans="1:35" ht="30">
      <c r="A160" s="198">
        <v>152</v>
      </c>
      <c r="B160" s="195" t="s">
        <v>342</v>
      </c>
      <c r="C160" s="196">
        <v>3213804</v>
      </c>
      <c r="D160" s="196"/>
      <c r="E160" s="196"/>
      <c r="F160" s="196"/>
      <c r="G160" s="196"/>
      <c r="H160" s="196"/>
      <c r="I160" s="196"/>
      <c r="J160" s="196"/>
      <c r="K160" s="196">
        <v>846948</v>
      </c>
      <c r="L160" s="194">
        <v>0</v>
      </c>
      <c r="M160" s="196">
        <v>0</v>
      </c>
      <c r="N160" s="196">
        <v>1200</v>
      </c>
      <c r="O160" s="196">
        <v>2366856</v>
      </c>
      <c r="P160" s="194">
        <v>0</v>
      </c>
      <c r="Q160" s="196">
        <v>0</v>
      </c>
      <c r="R160" s="197">
        <v>0</v>
      </c>
      <c r="S160" s="196">
        <v>0</v>
      </c>
      <c r="T160" s="197">
        <v>0</v>
      </c>
      <c r="U160" s="288">
        <v>0</v>
      </c>
      <c r="V160" s="282">
        <f>C160-'часть 1'!L171</f>
        <v>0</v>
      </c>
      <c r="W160" s="282"/>
      <c r="X160" s="28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296"/>
    </row>
    <row r="161" spans="1:35">
      <c r="A161" s="198">
        <v>153</v>
      </c>
      <c r="B161" s="195" t="s">
        <v>298</v>
      </c>
      <c r="C161" s="196">
        <v>3202371</v>
      </c>
      <c r="D161" s="196"/>
      <c r="E161" s="196"/>
      <c r="F161" s="196"/>
      <c r="G161" s="196"/>
      <c r="H161" s="196"/>
      <c r="I161" s="196"/>
      <c r="J161" s="196"/>
      <c r="K161" s="196">
        <v>0</v>
      </c>
      <c r="L161" s="194">
        <v>0</v>
      </c>
      <c r="M161" s="196">
        <v>0</v>
      </c>
      <c r="N161" s="196">
        <v>0</v>
      </c>
      <c r="O161" s="196">
        <v>0</v>
      </c>
      <c r="P161" s="194">
        <v>0</v>
      </c>
      <c r="Q161" s="196">
        <v>0</v>
      </c>
      <c r="R161" s="196">
        <v>2220.83</v>
      </c>
      <c r="S161" s="196">
        <v>3202371</v>
      </c>
      <c r="T161" s="197">
        <v>0</v>
      </c>
      <c r="U161" s="288">
        <v>0</v>
      </c>
      <c r="V161" s="282">
        <f>C161-'часть 1'!L172</f>
        <v>0</v>
      </c>
      <c r="W161" s="282"/>
      <c r="X161" s="28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296"/>
    </row>
    <row r="162" spans="1:35">
      <c r="A162" s="198">
        <v>154</v>
      </c>
      <c r="B162" s="195" t="s">
        <v>253</v>
      </c>
      <c r="C162" s="196">
        <v>709022</v>
      </c>
      <c r="D162" s="196"/>
      <c r="E162" s="196"/>
      <c r="F162" s="196"/>
      <c r="G162" s="196"/>
      <c r="H162" s="196"/>
      <c r="I162" s="196"/>
      <c r="J162" s="196"/>
      <c r="K162" s="196">
        <v>0</v>
      </c>
      <c r="L162" s="194">
        <v>0</v>
      </c>
      <c r="M162" s="196">
        <v>0</v>
      </c>
      <c r="N162" s="196">
        <v>0</v>
      </c>
      <c r="O162" s="196">
        <v>0</v>
      </c>
      <c r="P162" s="194">
        <v>0</v>
      </c>
      <c r="Q162" s="196">
        <v>0</v>
      </c>
      <c r="R162" s="196">
        <v>486.6</v>
      </c>
      <c r="S162" s="199">
        <v>709022</v>
      </c>
      <c r="T162" s="197">
        <v>0</v>
      </c>
      <c r="U162" s="288">
        <v>0</v>
      </c>
      <c r="V162" s="282">
        <f>C162-'часть 1'!L173</f>
        <v>0</v>
      </c>
      <c r="W162" s="282"/>
      <c r="X162" s="28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296"/>
    </row>
    <row r="163" spans="1:35">
      <c r="A163" s="194">
        <v>155</v>
      </c>
      <c r="B163" s="195" t="s">
        <v>260</v>
      </c>
      <c r="C163" s="196">
        <v>1136930</v>
      </c>
      <c r="D163" s="196"/>
      <c r="E163" s="196"/>
      <c r="F163" s="196"/>
      <c r="G163" s="196"/>
      <c r="H163" s="196"/>
      <c r="I163" s="196"/>
      <c r="J163" s="196"/>
      <c r="K163" s="196">
        <v>0</v>
      </c>
      <c r="L163" s="194">
        <v>0</v>
      </c>
      <c r="M163" s="196">
        <v>0</v>
      </c>
      <c r="N163" s="196">
        <v>278</v>
      </c>
      <c r="O163" s="196">
        <v>570382</v>
      </c>
      <c r="P163" s="194">
        <v>0</v>
      </c>
      <c r="Q163" s="196">
        <v>0</v>
      </c>
      <c r="R163" s="196">
        <v>386.88</v>
      </c>
      <c r="S163" s="196">
        <v>566548</v>
      </c>
      <c r="T163" s="197">
        <v>0</v>
      </c>
      <c r="U163" s="288">
        <v>0</v>
      </c>
      <c r="V163" s="282">
        <f>C163-'часть 1'!L174</f>
        <v>0</v>
      </c>
      <c r="W163" s="282"/>
      <c r="X163" s="28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296"/>
    </row>
    <row r="164" spans="1:35">
      <c r="A164" s="198">
        <v>156</v>
      </c>
      <c r="B164" s="195" t="s">
        <v>349</v>
      </c>
      <c r="C164" s="196">
        <v>1320636</v>
      </c>
      <c r="D164" s="196"/>
      <c r="E164" s="196"/>
      <c r="F164" s="196"/>
      <c r="G164" s="196"/>
      <c r="H164" s="196"/>
      <c r="I164" s="196"/>
      <c r="J164" s="196"/>
      <c r="K164" s="196">
        <v>0</v>
      </c>
      <c r="L164" s="194">
        <v>0</v>
      </c>
      <c r="M164" s="196">
        <v>0</v>
      </c>
      <c r="N164" s="203">
        <v>662</v>
      </c>
      <c r="O164" s="199">
        <v>1320636</v>
      </c>
      <c r="P164" s="194">
        <v>0</v>
      </c>
      <c r="Q164" s="196">
        <v>0</v>
      </c>
      <c r="R164" s="197">
        <v>0</v>
      </c>
      <c r="S164" s="196">
        <v>0</v>
      </c>
      <c r="T164" s="197">
        <v>0</v>
      </c>
      <c r="U164" s="288">
        <v>0</v>
      </c>
      <c r="V164" s="282">
        <f>C164-'часть 1'!L175</f>
        <v>0</v>
      </c>
      <c r="W164" s="282"/>
      <c r="X164" s="28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296"/>
    </row>
    <row r="165" spans="1:35">
      <c r="A165" s="198">
        <v>157</v>
      </c>
      <c r="B165" s="195" t="s">
        <v>302</v>
      </c>
      <c r="C165" s="196">
        <v>4265098</v>
      </c>
      <c r="D165" s="196"/>
      <c r="E165" s="196"/>
      <c r="F165" s="196"/>
      <c r="G165" s="196"/>
      <c r="H165" s="196"/>
      <c r="I165" s="196"/>
      <c r="J165" s="196"/>
      <c r="K165" s="196">
        <v>0</v>
      </c>
      <c r="L165" s="194">
        <v>0</v>
      </c>
      <c r="M165" s="196">
        <v>0</v>
      </c>
      <c r="N165" s="196">
        <v>0</v>
      </c>
      <c r="O165" s="196">
        <v>0</v>
      </c>
      <c r="P165" s="194">
        <v>0</v>
      </c>
      <c r="Q165" s="196">
        <v>0</v>
      </c>
      <c r="R165" s="196">
        <v>2927.5</v>
      </c>
      <c r="S165" s="196">
        <v>4265098</v>
      </c>
      <c r="T165" s="197">
        <v>0</v>
      </c>
      <c r="U165" s="288">
        <v>0</v>
      </c>
      <c r="V165" s="282">
        <f>C165-'часть 1'!L176</f>
        <v>0</v>
      </c>
      <c r="W165" s="282"/>
      <c r="X165" s="28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296"/>
    </row>
    <row r="166" spans="1:35">
      <c r="A166" s="198">
        <v>158</v>
      </c>
      <c r="B166" s="195" t="s">
        <v>341</v>
      </c>
      <c r="C166" s="196">
        <v>2115890</v>
      </c>
      <c r="D166" s="196"/>
      <c r="E166" s="196"/>
      <c r="F166" s="196"/>
      <c r="G166" s="196"/>
      <c r="H166" s="196"/>
      <c r="I166" s="196"/>
      <c r="J166" s="196"/>
      <c r="K166" s="196">
        <v>2115890</v>
      </c>
      <c r="L166" s="194">
        <v>0</v>
      </c>
      <c r="M166" s="196">
        <v>0</v>
      </c>
      <c r="N166" s="196">
        <v>0</v>
      </c>
      <c r="O166" s="196">
        <v>0</v>
      </c>
      <c r="P166" s="194">
        <v>0</v>
      </c>
      <c r="Q166" s="196">
        <v>0</v>
      </c>
      <c r="R166" s="197">
        <v>0</v>
      </c>
      <c r="S166" s="196">
        <v>0</v>
      </c>
      <c r="T166" s="197">
        <v>0</v>
      </c>
      <c r="U166" s="288">
        <v>0</v>
      </c>
      <c r="V166" s="282">
        <f>C166-'часть 1'!L177</f>
        <v>0</v>
      </c>
      <c r="W166" s="282"/>
      <c r="X166" s="28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296"/>
    </row>
    <row r="167" spans="1:35">
      <c r="A167" s="198">
        <v>159</v>
      </c>
      <c r="B167" s="195" t="s">
        <v>242</v>
      </c>
      <c r="C167" s="196">
        <v>482251.51</v>
      </c>
      <c r="D167" s="196"/>
      <c r="E167" s="196"/>
      <c r="F167" s="196"/>
      <c r="G167" s="196"/>
      <c r="H167" s="196"/>
      <c r="I167" s="196"/>
      <c r="J167" s="196"/>
      <c r="K167" s="196">
        <v>482251.51</v>
      </c>
      <c r="L167" s="194">
        <v>0</v>
      </c>
      <c r="M167" s="196">
        <v>0</v>
      </c>
      <c r="N167" s="196">
        <v>0</v>
      </c>
      <c r="O167" s="196">
        <v>0</v>
      </c>
      <c r="P167" s="194">
        <v>0</v>
      </c>
      <c r="Q167" s="196">
        <v>0</v>
      </c>
      <c r="R167" s="197">
        <v>0</v>
      </c>
      <c r="S167" s="196">
        <v>0</v>
      </c>
      <c r="T167" s="197">
        <v>0</v>
      </c>
      <c r="U167" s="288">
        <v>0</v>
      </c>
      <c r="V167" s="282">
        <f>C167-'часть 1'!L178</f>
        <v>0</v>
      </c>
      <c r="W167" s="282"/>
      <c r="X167" s="28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296"/>
    </row>
    <row r="168" spans="1:35">
      <c r="A168" s="198">
        <v>160</v>
      </c>
      <c r="B168" s="195" t="s">
        <v>279</v>
      </c>
      <c r="C168" s="196">
        <v>1018040.92</v>
      </c>
      <c r="D168" s="196"/>
      <c r="E168" s="196"/>
      <c r="F168" s="196"/>
      <c r="G168" s="196"/>
      <c r="H168" s="196"/>
      <c r="I168" s="196"/>
      <c r="J168" s="196"/>
      <c r="K168" s="196">
        <v>0</v>
      </c>
      <c r="L168" s="194">
        <v>0</v>
      </c>
      <c r="M168" s="196">
        <v>0</v>
      </c>
      <c r="N168" s="196">
        <v>516.5</v>
      </c>
      <c r="O168" s="196">
        <v>1018040.92</v>
      </c>
      <c r="P168" s="194">
        <v>0</v>
      </c>
      <c r="Q168" s="196">
        <v>0</v>
      </c>
      <c r="R168" s="197">
        <v>0</v>
      </c>
      <c r="S168" s="196">
        <v>0</v>
      </c>
      <c r="T168" s="197">
        <v>0</v>
      </c>
      <c r="U168" s="288">
        <v>0</v>
      </c>
      <c r="V168" s="282">
        <f>C168-'часть 1'!L179</f>
        <v>0</v>
      </c>
      <c r="W168" s="282"/>
      <c r="X168" s="28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296"/>
    </row>
    <row r="169" spans="1:35">
      <c r="A169" s="198">
        <v>161</v>
      </c>
      <c r="B169" s="195" t="s">
        <v>262</v>
      </c>
      <c r="C169" s="196">
        <v>1871554</v>
      </c>
      <c r="D169" s="196"/>
      <c r="E169" s="196"/>
      <c r="F169" s="196"/>
      <c r="G169" s="196"/>
      <c r="H169" s="196"/>
      <c r="I169" s="196"/>
      <c r="J169" s="196"/>
      <c r="K169" s="196">
        <v>0</v>
      </c>
      <c r="L169" s="194">
        <v>1</v>
      </c>
      <c r="M169" s="196">
        <v>1871554</v>
      </c>
      <c r="N169" s="196">
        <v>0</v>
      </c>
      <c r="O169" s="196">
        <v>0</v>
      </c>
      <c r="P169" s="194">
        <v>0</v>
      </c>
      <c r="Q169" s="196">
        <v>0</v>
      </c>
      <c r="R169" s="197">
        <v>0</v>
      </c>
      <c r="S169" s="196">
        <v>0</v>
      </c>
      <c r="T169" s="197">
        <v>0</v>
      </c>
      <c r="U169" s="288">
        <v>0</v>
      </c>
      <c r="V169" s="282">
        <f>C169-'часть 1'!L180</f>
        <v>0</v>
      </c>
      <c r="W169" s="282"/>
      <c r="X169" s="28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296"/>
    </row>
    <row r="170" spans="1:35">
      <c r="A170" s="198">
        <v>162</v>
      </c>
      <c r="B170" s="195" t="s">
        <v>290</v>
      </c>
      <c r="C170" s="196">
        <v>2652530</v>
      </c>
      <c r="D170" s="196"/>
      <c r="E170" s="196"/>
      <c r="F170" s="196"/>
      <c r="G170" s="196"/>
      <c r="H170" s="196"/>
      <c r="I170" s="196"/>
      <c r="J170" s="196"/>
      <c r="K170" s="196">
        <v>2652530</v>
      </c>
      <c r="L170" s="194">
        <v>0</v>
      </c>
      <c r="M170" s="196">
        <v>0</v>
      </c>
      <c r="N170" s="199">
        <v>0</v>
      </c>
      <c r="O170" s="196">
        <v>0</v>
      </c>
      <c r="P170" s="194">
        <v>0</v>
      </c>
      <c r="Q170" s="196">
        <v>0</v>
      </c>
      <c r="R170" s="200">
        <v>0</v>
      </c>
      <c r="S170" s="196">
        <v>0</v>
      </c>
      <c r="T170" s="197">
        <v>0</v>
      </c>
      <c r="U170" s="288">
        <v>0</v>
      </c>
      <c r="V170" s="282">
        <f>C170-'часть 1'!L181</f>
        <v>0</v>
      </c>
      <c r="W170" s="282"/>
      <c r="X170" s="28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296"/>
    </row>
    <row r="171" spans="1:35">
      <c r="A171" s="198">
        <v>163</v>
      </c>
      <c r="B171" s="195" t="s">
        <v>356</v>
      </c>
      <c r="C171" s="196">
        <v>3645969</v>
      </c>
      <c r="D171" s="196"/>
      <c r="E171" s="196"/>
      <c r="F171" s="196"/>
      <c r="G171" s="196"/>
      <c r="H171" s="196"/>
      <c r="I171" s="196"/>
      <c r="J171" s="196"/>
      <c r="K171" s="196" t="e">
        <f>#REF!</f>
        <v>#REF!</v>
      </c>
      <c r="L171" s="194">
        <v>0</v>
      </c>
      <c r="M171" s="196">
        <v>0</v>
      </c>
      <c r="N171" s="196">
        <v>0</v>
      </c>
      <c r="O171" s="196">
        <v>0</v>
      </c>
      <c r="P171" s="194">
        <v>0</v>
      </c>
      <c r="Q171" s="196">
        <v>0</v>
      </c>
      <c r="R171" s="200">
        <v>0</v>
      </c>
      <c r="S171" s="196">
        <v>0</v>
      </c>
      <c r="T171" s="197">
        <v>0</v>
      </c>
      <c r="U171" s="288">
        <v>0</v>
      </c>
      <c r="V171" s="282">
        <f>C171-'часть 1'!L182</f>
        <v>0</v>
      </c>
      <c r="W171" s="282"/>
      <c r="X171" s="282"/>
      <c r="Y171" s="12"/>
      <c r="Z171" s="12"/>
      <c r="AA171" s="12"/>
      <c r="AB171" s="12"/>
      <c r="AC171" s="4"/>
      <c r="AD171" s="12"/>
      <c r="AE171" s="12"/>
      <c r="AF171" s="12"/>
      <c r="AG171" s="12"/>
      <c r="AH171" s="12"/>
      <c r="AI171" s="296"/>
    </row>
    <row r="172" spans="1:35">
      <c r="A172" s="198">
        <v>164</v>
      </c>
      <c r="B172" s="195" t="s">
        <v>354</v>
      </c>
      <c r="C172" s="196">
        <v>771330</v>
      </c>
      <c r="D172" s="196"/>
      <c r="E172" s="196"/>
      <c r="F172" s="196"/>
      <c r="G172" s="196"/>
      <c r="H172" s="196"/>
      <c r="I172" s="196"/>
      <c r="J172" s="196"/>
      <c r="K172" s="196">
        <v>0</v>
      </c>
      <c r="L172" s="194">
        <v>0</v>
      </c>
      <c r="M172" s="196">
        <v>0</v>
      </c>
      <c r="N172" s="196">
        <v>376</v>
      </c>
      <c r="O172" s="196">
        <v>771330</v>
      </c>
      <c r="P172" s="194">
        <v>0</v>
      </c>
      <c r="Q172" s="196">
        <v>0</v>
      </c>
      <c r="R172" s="197">
        <v>0</v>
      </c>
      <c r="S172" s="196">
        <v>0</v>
      </c>
      <c r="T172" s="197">
        <v>0</v>
      </c>
      <c r="U172" s="288">
        <v>0</v>
      </c>
      <c r="V172" s="282">
        <f>C172-'часть 1'!L183</f>
        <v>0</v>
      </c>
      <c r="W172" s="282"/>
      <c r="X172" s="28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296"/>
    </row>
    <row r="173" spans="1:35">
      <c r="A173" s="198">
        <v>165</v>
      </c>
      <c r="B173" s="195" t="s">
        <v>352</v>
      </c>
      <c r="C173" s="196">
        <v>1894719</v>
      </c>
      <c r="D173" s="196"/>
      <c r="E173" s="196"/>
      <c r="F173" s="196"/>
      <c r="G173" s="196"/>
      <c r="H173" s="196"/>
      <c r="I173" s="196"/>
      <c r="J173" s="196"/>
      <c r="K173" s="196">
        <v>0</v>
      </c>
      <c r="L173" s="194">
        <v>1</v>
      </c>
      <c r="M173" s="196">
        <v>1894719</v>
      </c>
      <c r="N173" s="196">
        <v>0</v>
      </c>
      <c r="O173" s="196">
        <v>0</v>
      </c>
      <c r="P173" s="194">
        <v>0</v>
      </c>
      <c r="Q173" s="196">
        <v>0</v>
      </c>
      <c r="R173" s="197">
        <v>0</v>
      </c>
      <c r="S173" s="196">
        <v>0</v>
      </c>
      <c r="T173" s="197">
        <v>0</v>
      </c>
      <c r="U173" s="288">
        <v>0</v>
      </c>
      <c r="V173" s="282">
        <f>C173-'часть 1'!L184</f>
        <v>0</v>
      </c>
      <c r="W173" s="282"/>
      <c r="X173" s="28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296"/>
    </row>
    <row r="174" spans="1:35">
      <c r="A174" s="198">
        <v>166</v>
      </c>
      <c r="B174" s="195" t="s">
        <v>355</v>
      </c>
      <c r="C174" s="196">
        <v>1492412</v>
      </c>
      <c r="D174" s="196"/>
      <c r="E174" s="196"/>
      <c r="F174" s="196"/>
      <c r="G174" s="196"/>
      <c r="H174" s="196"/>
      <c r="I174" s="196"/>
      <c r="J174" s="196"/>
      <c r="K174" s="196">
        <v>0</v>
      </c>
      <c r="L174" s="194">
        <v>0</v>
      </c>
      <c r="M174" s="196">
        <v>0</v>
      </c>
      <c r="N174" s="196">
        <v>752</v>
      </c>
      <c r="O174" s="196">
        <v>1492412</v>
      </c>
      <c r="P174" s="194">
        <v>0</v>
      </c>
      <c r="Q174" s="196">
        <v>0</v>
      </c>
      <c r="R174" s="197">
        <v>0</v>
      </c>
      <c r="S174" s="196">
        <v>0</v>
      </c>
      <c r="T174" s="197">
        <v>0</v>
      </c>
      <c r="U174" s="288">
        <v>0</v>
      </c>
      <c r="V174" s="282">
        <f>C174-'часть 1'!L185</f>
        <v>0</v>
      </c>
      <c r="W174" s="282"/>
      <c r="X174" s="28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296"/>
    </row>
    <row r="175" spans="1:35">
      <c r="A175" s="198">
        <v>167</v>
      </c>
      <c r="B175" s="195" t="s">
        <v>318</v>
      </c>
      <c r="C175" s="196">
        <v>651523.25</v>
      </c>
      <c r="D175" s="196"/>
      <c r="E175" s="196"/>
      <c r="F175" s="196"/>
      <c r="G175" s="196"/>
      <c r="H175" s="196"/>
      <c r="I175" s="196"/>
      <c r="J175" s="196"/>
      <c r="K175" s="196">
        <v>651523.25</v>
      </c>
      <c r="L175" s="194">
        <v>0</v>
      </c>
      <c r="M175" s="196">
        <v>0</v>
      </c>
      <c r="N175" s="199">
        <v>0</v>
      </c>
      <c r="O175" s="196">
        <v>0</v>
      </c>
      <c r="P175" s="194">
        <v>0</v>
      </c>
      <c r="Q175" s="196">
        <v>0</v>
      </c>
      <c r="R175" s="200">
        <v>0</v>
      </c>
      <c r="S175" s="196">
        <v>0</v>
      </c>
      <c r="T175" s="197">
        <v>0</v>
      </c>
      <c r="U175" s="288">
        <v>0</v>
      </c>
      <c r="V175" s="282">
        <f>C175-'часть 1'!L186</f>
        <v>0</v>
      </c>
      <c r="W175" s="282"/>
      <c r="X175" s="28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296"/>
    </row>
    <row r="176" spans="1:35" ht="15.75" thickBot="1">
      <c r="A176" s="198">
        <v>168</v>
      </c>
      <c r="B176" s="195" t="s">
        <v>353</v>
      </c>
      <c r="C176" s="196">
        <v>1221424.83</v>
      </c>
      <c r="D176" s="196"/>
      <c r="E176" s="196"/>
      <c r="F176" s="196"/>
      <c r="G176" s="196"/>
      <c r="H176" s="196"/>
      <c r="I176" s="196"/>
      <c r="J176" s="196"/>
      <c r="K176" s="196">
        <v>0</v>
      </c>
      <c r="L176" s="194">
        <v>0</v>
      </c>
      <c r="M176" s="196">
        <v>0</v>
      </c>
      <c r="N176" s="196">
        <v>640</v>
      </c>
      <c r="O176" s="196">
        <v>1221424.83</v>
      </c>
      <c r="P176" s="194">
        <v>0</v>
      </c>
      <c r="Q176" s="196">
        <v>0</v>
      </c>
      <c r="R176" s="200">
        <v>0</v>
      </c>
      <c r="S176" s="196">
        <v>0</v>
      </c>
      <c r="T176" s="197">
        <v>0</v>
      </c>
      <c r="U176" s="288">
        <v>0</v>
      </c>
      <c r="V176" s="282">
        <f>C176-'часть 1'!L187</f>
        <v>0</v>
      </c>
      <c r="W176" s="282"/>
      <c r="X176" s="282"/>
      <c r="Y176" s="65"/>
      <c r="Z176" s="12"/>
      <c r="AA176" s="65"/>
      <c r="AB176" s="12"/>
      <c r="AC176" s="65"/>
      <c r="AD176" s="12"/>
      <c r="AE176" s="65"/>
      <c r="AF176" s="12"/>
      <c r="AG176" s="65"/>
      <c r="AH176" s="12"/>
      <c r="AI176" s="299"/>
    </row>
    <row r="177" spans="1:24" ht="31.5" customHeight="1">
      <c r="A177" s="198"/>
      <c r="B177" s="195" t="s">
        <v>91</v>
      </c>
      <c r="C177" s="196">
        <f>C178+C179+C180+C181+C182+C183+C184+C185+C186+C187+C188+C189+C190+C191+C192+C193</f>
        <v>31255395.629999999</v>
      </c>
      <c r="D177" s="196">
        <f t="shared" ref="D177:V177" si="1">D178+D179+D180+D181+D182+D183+D184+D185+D186+D187+D188+D189+D190+D191+D192+D193</f>
        <v>0</v>
      </c>
      <c r="E177" s="196">
        <f t="shared" si="1"/>
        <v>0</v>
      </c>
      <c r="F177" s="196">
        <f t="shared" si="1"/>
        <v>0</v>
      </c>
      <c r="G177" s="196">
        <f t="shared" si="1"/>
        <v>0</v>
      </c>
      <c r="H177" s="196">
        <f t="shared" si="1"/>
        <v>0</v>
      </c>
      <c r="I177" s="196">
        <f t="shared" si="1"/>
        <v>0</v>
      </c>
      <c r="J177" s="196">
        <f t="shared" si="1"/>
        <v>0</v>
      </c>
      <c r="K177" s="196">
        <f t="shared" si="1"/>
        <v>0</v>
      </c>
      <c r="L177" s="196">
        <f t="shared" si="1"/>
        <v>0</v>
      </c>
      <c r="M177" s="196">
        <f t="shared" si="1"/>
        <v>0</v>
      </c>
      <c r="N177" s="196">
        <f t="shared" si="1"/>
        <v>9743.69</v>
      </c>
      <c r="O177" s="196">
        <f t="shared" si="1"/>
        <v>31255395.629999999</v>
      </c>
      <c r="P177" s="196">
        <f t="shared" si="1"/>
        <v>0</v>
      </c>
      <c r="Q177" s="196">
        <f t="shared" si="1"/>
        <v>0</v>
      </c>
      <c r="R177" s="196">
        <f t="shared" si="1"/>
        <v>0</v>
      </c>
      <c r="S177" s="196">
        <f t="shared" si="1"/>
        <v>0</v>
      </c>
      <c r="T177" s="196">
        <f t="shared" si="1"/>
        <v>0</v>
      </c>
      <c r="U177" s="196">
        <f t="shared" si="1"/>
        <v>0</v>
      </c>
      <c r="V177" s="196">
        <f t="shared" si="1"/>
        <v>0</v>
      </c>
      <c r="W177" s="282"/>
      <c r="X177" s="282"/>
    </row>
    <row r="178" spans="1:24" ht="15.75">
      <c r="A178" s="198">
        <v>1</v>
      </c>
      <c r="B178" s="941" t="s">
        <v>927</v>
      </c>
      <c r="C178" s="196">
        <f>'часть 1'!L189</f>
        <v>3615424</v>
      </c>
      <c r="D178" s="196">
        <v>0</v>
      </c>
      <c r="E178" s="196">
        <v>0</v>
      </c>
      <c r="F178" s="196">
        <v>0</v>
      </c>
      <c r="G178" s="196">
        <v>0</v>
      </c>
      <c r="H178" s="196">
        <v>0</v>
      </c>
      <c r="I178" s="196">
        <v>0</v>
      </c>
      <c r="J178" s="196">
        <v>0</v>
      </c>
      <c r="K178" s="196">
        <v>0</v>
      </c>
      <c r="L178" s="207">
        <v>0</v>
      </c>
      <c r="M178" s="199">
        <v>0</v>
      </c>
      <c r="N178" s="199">
        <v>1138</v>
      </c>
      <c r="O178" s="199">
        <f>C178</f>
        <v>3615424</v>
      </c>
      <c r="P178" s="208">
        <v>0</v>
      </c>
      <c r="Q178" s="199">
        <v>0</v>
      </c>
      <c r="R178" s="200">
        <v>0</v>
      </c>
      <c r="S178" s="209">
        <v>0</v>
      </c>
      <c r="T178" s="208">
        <v>0</v>
      </c>
      <c r="U178" s="289">
        <v>0</v>
      </c>
      <c r="V178" s="282"/>
      <c r="W178" s="282">
        <f>O178/N178</f>
        <v>3176.9982425307558</v>
      </c>
      <c r="X178" s="282"/>
    </row>
    <row r="179" spans="1:24" ht="15.75">
      <c r="A179" s="198">
        <v>2</v>
      </c>
      <c r="B179" s="941" t="s">
        <v>928</v>
      </c>
      <c r="C179" s="196">
        <f>'часть 1'!L190</f>
        <v>3435122.02</v>
      </c>
      <c r="D179" s="196">
        <v>0</v>
      </c>
      <c r="E179" s="196">
        <v>0</v>
      </c>
      <c r="F179" s="196">
        <v>0</v>
      </c>
      <c r="G179" s="196">
        <v>0</v>
      </c>
      <c r="H179" s="196">
        <v>0</v>
      </c>
      <c r="I179" s="196">
        <v>0</v>
      </c>
      <c r="J179" s="196">
        <v>0</v>
      </c>
      <c r="K179" s="196">
        <v>0</v>
      </c>
      <c r="L179" s="207">
        <v>0</v>
      </c>
      <c r="M179" s="199">
        <v>0</v>
      </c>
      <c r="N179" s="199">
        <v>1550</v>
      </c>
      <c r="O179" s="199">
        <f t="shared" ref="O179:O193" si="2">C179</f>
        <v>3435122.02</v>
      </c>
      <c r="P179" s="208">
        <v>0</v>
      </c>
      <c r="Q179" s="199">
        <v>0</v>
      </c>
      <c r="R179" s="200">
        <v>0</v>
      </c>
      <c r="S179" s="209">
        <v>0</v>
      </c>
      <c r="T179" s="208">
        <v>0</v>
      </c>
      <c r="U179" s="289">
        <v>0</v>
      </c>
      <c r="V179" s="282"/>
      <c r="W179" s="282">
        <f t="shared" ref="W179:W193" si="3">O179/N179</f>
        <v>2216.2077548387097</v>
      </c>
      <c r="X179" s="282"/>
    </row>
    <row r="180" spans="1:24" ht="15.75">
      <c r="A180" s="198">
        <v>3</v>
      </c>
      <c r="B180" s="941" t="s">
        <v>929</v>
      </c>
      <c r="C180" s="196">
        <f>'часть 1'!L191</f>
        <v>1525199</v>
      </c>
      <c r="D180" s="196">
        <v>0</v>
      </c>
      <c r="E180" s="196">
        <v>0</v>
      </c>
      <c r="F180" s="196">
        <v>0</v>
      </c>
      <c r="G180" s="196">
        <v>0</v>
      </c>
      <c r="H180" s="196">
        <v>0</v>
      </c>
      <c r="I180" s="196">
        <v>0</v>
      </c>
      <c r="J180" s="196">
        <v>0</v>
      </c>
      <c r="K180" s="196">
        <v>0</v>
      </c>
      <c r="L180" s="207">
        <v>0</v>
      </c>
      <c r="M180" s="199">
        <v>0</v>
      </c>
      <c r="N180" s="199">
        <v>483.1</v>
      </c>
      <c r="O180" s="199">
        <f t="shared" si="2"/>
        <v>1525199</v>
      </c>
      <c r="P180" s="208">
        <v>0</v>
      </c>
      <c r="Q180" s="199">
        <v>0</v>
      </c>
      <c r="R180" s="200">
        <v>0</v>
      </c>
      <c r="S180" s="209">
        <v>0</v>
      </c>
      <c r="T180" s="208">
        <v>0</v>
      </c>
      <c r="U180" s="289">
        <v>0</v>
      </c>
      <c r="V180" s="282"/>
      <c r="W180" s="282">
        <f t="shared" si="3"/>
        <v>3157.1082591595941</v>
      </c>
      <c r="X180" s="282"/>
    </row>
    <row r="181" spans="1:24" ht="15.75">
      <c r="A181" s="198">
        <v>4</v>
      </c>
      <c r="B181" s="941" t="s">
        <v>930</v>
      </c>
      <c r="C181" s="196">
        <f>'часть 1'!L192</f>
        <v>2379167.9900000002</v>
      </c>
      <c r="D181" s="196">
        <v>0</v>
      </c>
      <c r="E181" s="196">
        <v>0</v>
      </c>
      <c r="F181" s="196">
        <v>0</v>
      </c>
      <c r="G181" s="196">
        <v>0</v>
      </c>
      <c r="H181" s="196">
        <v>0</v>
      </c>
      <c r="I181" s="196">
        <v>0</v>
      </c>
      <c r="J181" s="196">
        <v>0</v>
      </c>
      <c r="K181" s="196">
        <v>0</v>
      </c>
      <c r="L181" s="207">
        <v>0</v>
      </c>
      <c r="M181" s="199">
        <v>0</v>
      </c>
      <c r="N181" s="199">
        <v>840</v>
      </c>
      <c r="O181" s="199">
        <f t="shared" si="2"/>
        <v>2379167.9900000002</v>
      </c>
      <c r="P181" s="208">
        <v>0</v>
      </c>
      <c r="Q181" s="199">
        <v>0</v>
      </c>
      <c r="R181" s="200">
        <v>0</v>
      </c>
      <c r="S181" s="209">
        <v>0</v>
      </c>
      <c r="T181" s="208">
        <v>0</v>
      </c>
      <c r="U181" s="289">
        <v>0</v>
      </c>
      <c r="V181" s="282"/>
      <c r="W181" s="282">
        <f t="shared" si="3"/>
        <v>2832.3428452380954</v>
      </c>
      <c r="X181" s="282"/>
    </row>
    <row r="182" spans="1:24" ht="15.75">
      <c r="A182" s="198">
        <v>5</v>
      </c>
      <c r="B182" s="941" t="s">
        <v>931</v>
      </c>
      <c r="C182" s="196">
        <f>'часть 1'!L193</f>
        <v>2435193</v>
      </c>
      <c r="D182" s="196">
        <v>0</v>
      </c>
      <c r="E182" s="196">
        <v>0</v>
      </c>
      <c r="F182" s="196">
        <v>0</v>
      </c>
      <c r="G182" s="196">
        <v>0</v>
      </c>
      <c r="H182" s="196">
        <v>0</v>
      </c>
      <c r="I182" s="196">
        <v>0</v>
      </c>
      <c r="J182" s="196">
        <v>0</v>
      </c>
      <c r="K182" s="196">
        <v>0</v>
      </c>
      <c r="L182" s="207">
        <v>0</v>
      </c>
      <c r="M182" s="199">
        <v>0</v>
      </c>
      <c r="N182" s="199">
        <v>770</v>
      </c>
      <c r="O182" s="199">
        <f t="shared" si="2"/>
        <v>2435193</v>
      </c>
      <c r="P182" s="208">
        <v>0</v>
      </c>
      <c r="Q182" s="199">
        <v>0</v>
      </c>
      <c r="R182" s="200">
        <v>0</v>
      </c>
      <c r="S182" s="209">
        <v>0</v>
      </c>
      <c r="T182" s="208">
        <v>0</v>
      </c>
      <c r="U182" s="289">
        <v>0</v>
      </c>
      <c r="V182" s="282"/>
      <c r="W182" s="282">
        <f t="shared" si="3"/>
        <v>3162.5883116883115</v>
      </c>
      <c r="X182" s="282"/>
    </row>
    <row r="183" spans="1:24" ht="15.75">
      <c r="A183" s="198">
        <v>6</v>
      </c>
      <c r="B183" s="941" t="s">
        <v>932</v>
      </c>
      <c r="C183" s="196">
        <f>'часть 1'!L194</f>
        <v>2705457.32</v>
      </c>
      <c r="D183" s="196">
        <v>0</v>
      </c>
      <c r="E183" s="196">
        <v>0</v>
      </c>
      <c r="F183" s="196">
        <v>0</v>
      </c>
      <c r="G183" s="196">
        <v>0</v>
      </c>
      <c r="H183" s="196">
        <v>0</v>
      </c>
      <c r="I183" s="196">
        <v>0</v>
      </c>
      <c r="J183" s="196">
        <v>0</v>
      </c>
      <c r="K183" s="196">
        <v>0</v>
      </c>
      <c r="L183" s="207">
        <v>0</v>
      </c>
      <c r="M183" s="199">
        <v>0</v>
      </c>
      <c r="N183" s="199"/>
      <c r="O183" s="199">
        <f t="shared" si="2"/>
        <v>2705457.32</v>
      </c>
      <c r="P183" s="208">
        <v>0</v>
      </c>
      <c r="Q183" s="199">
        <v>0</v>
      </c>
      <c r="R183" s="200">
        <v>0</v>
      </c>
      <c r="S183" s="209">
        <v>0</v>
      </c>
      <c r="T183" s="208">
        <v>0</v>
      </c>
      <c r="U183" s="289">
        <v>0</v>
      </c>
      <c r="V183" s="282"/>
      <c r="W183" s="282" t="e">
        <f t="shared" si="3"/>
        <v>#DIV/0!</v>
      </c>
      <c r="X183" s="282"/>
    </row>
    <row r="184" spans="1:24" ht="15.75">
      <c r="A184" s="198">
        <v>7</v>
      </c>
      <c r="B184" s="941" t="s">
        <v>933</v>
      </c>
      <c r="C184" s="196">
        <f>'часть 1'!L195</f>
        <v>954408.5</v>
      </c>
      <c r="D184" s="196">
        <v>0</v>
      </c>
      <c r="E184" s="196">
        <v>0</v>
      </c>
      <c r="F184" s="196">
        <v>0</v>
      </c>
      <c r="G184" s="196">
        <v>0</v>
      </c>
      <c r="H184" s="196">
        <v>0</v>
      </c>
      <c r="I184" s="196">
        <v>0</v>
      </c>
      <c r="J184" s="196">
        <v>0</v>
      </c>
      <c r="K184" s="196">
        <v>0</v>
      </c>
      <c r="L184" s="207">
        <v>0</v>
      </c>
      <c r="M184" s="199">
        <v>0</v>
      </c>
      <c r="N184" s="199">
        <v>451.2</v>
      </c>
      <c r="O184" s="199">
        <f t="shared" si="2"/>
        <v>954408.5</v>
      </c>
      <c r="P184" s="208">
        <v>0</v>
      </c>
      <c r="Q184" s="199">
        <v>0</v>
      </c>
      <c r="R184" s="200">
        <v>0</v>
      </c>
      <c r="S184" s="209">
        <v>0</v>
      </c>
      <c r="T184" s="208">
        <v>0</v>
      </c>
      <c r="U184" s="289">
        <v>0</v>
      </c>
      <c r="V184" s="282"/>
      <c r="W184" s="282">
        <f t="shared" si="3"/>
        <v>2115.2670656028367</v>
      </c>
      <c r="X184" s="282"/>
    </row>
    <row r="185" spans="1:24" ht="15.75">
      <c r="A185" s="198">
        <v>8</v>
      </c>
      <c r="B185" s="941" t="s">
        <v>934</v>
      </c>
      <c r="C185" s="196">
        <f>'часть 1'!L196</f>
        <v>2430125</v>
      </c>
      <c r="D185" s="196">
        <v>0</v>
      </c>
      <c r="E185" s="196">
        <v>0</v>
      </c>
      <c r="F185" s="196">
        <v>0</v>
      </c>
      <c r="G185" s="196">
        <v>0</v>
      </c>
      <c r="H185" s="196">
        <v>0</v>
      </c>
      <c r="I185" s="196">
        <v>0</v>
      </c>
      <c r="J185" s="196">
        <v>0</v>
      </c>
      <c r="K185" s="196">
        <v>0</v>
      </c>
      <c r="L185" s="207">
        <v>0</v>
      </c>
      <c r="M185" s="199">
        <v>0</v>
      </c>
      <c r="N185" s="199">
        <v>571.03</v>
      </c>
      <c r="O185" s="199">
        <f t="shared" si="2"/>
        <v>2430125</v>
      </c>
      <c r="P185" s="208">
        <v>0</v>
      </c>
      <c r="Q185" s="199">
        <v>0</v>
      </c>
      <c r="R185" s="200">
        <v>0</v>
      </c>
      <c r="S185" s="209">
        <v>0</v>
      </c>
      <c r="T185" s="208">
        <v>0</v>
      </c>
      <c r="U185" s="289">
        <v>0</v>
      </c>
      <c r="V185" s="282"/>
      <c r="W185" s="282">
        <f t="shared" si="3"/>
        <v>4255.687091746493</v>
      </c>
      <c r="X185" s="282"/>
    </row>
    <row r="186" spans="1:24" ht="15.75">
      <c r="A186" s="198">
        <v>9</v>
      </c>
      <c r="B186" s="941" t="s">
        <v>935</v>
      </c>
      <c r="C186" s="196">
        <f>'часть 1'!L197</f>
        <v>2505651</v>
      </c>
      <c r="D186" s="196">
        <v>0</v>
      </c>
      <c r="E186" s="196">
        <v>0</v>
      </c>
      <c r="F186" s="196">
        <v>0</v>
      </c>
      <c r="G186" s="196">
        <v>0</v>
      </c>
      <c r="H186" s="196">
        <v>0</v>
      </c>
      <c r="I186" s="196">
        <v>0</v>
      </c>
      <c r="J186" s="196">
        <v>0</v>
      </c>
      <c r="K186" s="196">
        <v>0</v>
      </c>
      <c r="L186" s="207">
        <v>0</v>
      </c>
      <c r="M186" s="199">
        <v>0</v>
      </c>
      <c r="N186" s="199">
        <v>792</v>
      </c>
      <c r="O186" s="199">
        <f t="shared" si="2"/>
        <v>2505651</v>
      </c>
      <c r="P186" s="208">
        <v>0</v>
      </c>
      <c r="Q186" s="199">
        <v>0</v>
      </c>
      <c r="R186" s="200">
        <v>0</v>
      </c>
      <c r="S186" s="209">
        <v>0</v>
      </c>
      <c r="T186" s="208">
        <v>0</v>
      </c>
      <c r="U186" s="289">
        <v>0</v>
      </c>
      <c r="V186" s="282"/>
      <c r="W186" s="282">
        <f t="shared" si="3"/>
        <v>3163.7007575757575</v>
      </c>
      <c r="X186" s="282"/>
    </row>
    <row r="187" spans="1:24" ht="15.75">
      <c r="A187" s="198">
        <v>10</v>
      </c>
      <c r="B187" s="941" t="s">
        <v>936</v>
      </c>
      <c r="C187" s="196">
        <f>'часть 1'!L198</f>
        <v>1546987</v>
      </c>
      <c r="D187" s="196">
        <v>0</v>
      </c>
      <c r="E187" s="196">
        <v>0</v>
      </c>
      <c r="F187" s="196">
        <v>0</v>
      </c>
      <c r="G187" s="196">
        <v>0</v>
      </c>
      <c r="H187" s="196">
        <v>0</v>
      </c>
      <c r="I187" s="196">
        <v>0</v>
      </c>
      <c r="J187" s="196">
        <v>0</v>
      </c>
      <c r="K187" s="196">
        <v>0</v>
      </c>
      <c r="L187" s="207">
        <v>0</v>
      </c>
      <c r="M187" s="199">
        <v>0</v>
      </c>
      <c r="N187" s="199">
        <v>485</v>
      </c>
      <c r="O187" s="199">
        <f t="shared" si="2"/>
        <v>1546987</v>
      </c>
      <c r="P187" s="208">
        <v>0</v>
      </c>
      <c r="Q187" s="199">
        <v>0</v>
      </c>
      <c r="R187" s="200">
        <v>0</v>
      </c>
      <c r="S187" s="209">
        <v>0</v>
      </c>
      <c r="T187" s="208">
        <v>0</v>
      </c>
      <c r="U187" s="289">
        <v>0</v>
      </c>
      <c r="V187" s="282"/>
      <c r="W187" s="282">
        <f t="shared" si="3"/>
        <v>3189.6639175257733</v>
      </c>
      <c r="X187" s="282"/>
    </row>
    <row r="188" spans="1:24" ht="15.75">
      <c r="A188" s="198">
        <v>11</v>
      </c>
      <c r="B188" s="941" t="s">
        <v>937</v>
      </c>
      <c r="C188" s="196">
        <f>'часть 1'!L199</f>
        <v>709600</v>
      </c>
      <c r="D188" s="196">
        <v>0</v>
      </c>
      <c r="E188" s="196">
        <v>0</v>
      </c>
      <c r="F188" s="196">
        <v>0</v>
      </c>
      <c r="G188" s="196">
        <v>0</v>
      </c>
      <c r="H188" s="196">
        <v>0</v>
      </c>
      <c r="I188" s="196">
        <v>0</v>
      </c>
      <c r="J188" s="196">
        <v>0</v>
      </c>
      <c r="K188" s="196">
        <v>0</v>
      </c>
      <c r="L188" s="207">
        <v>0</v>
      </c>
      <c r="M188" s="199">
        <v>0</v>
      </c>
      <c r="N188" s="199">
        <v>220.36</v>
      </c>
      <c r="O188" s="199">
        <f t="shared" si="2"/>
        <v>709600</v>
      </c>
      <c r="P188" s="208">
        <v>0</v>
      </c>
      <c r="Q188" s="199">
        <v>0</v>
      </c>
      <c r="R188" s="200">
        <v>0</v>
      </c>
      <c r="S188" s="209">
        <v>0</v>
      </c>
      <c r="T188" s="208">
        <v>0</v>
      </c>
      <c r="U188" s="289">
        <v>0</v>
      </c>
      <c r="V188" s="282"/>
      <c r="W188" s="282">
        <f t="shared" si="3"/>
        <v>3220.1851515701578</v>
      </c>
      <c r="X188" s="282"/>
    </row>
    <row r="189" spans="1:24" ht="15.75">
      <c r="A189" s="198">
        <v>12</v>
      </c>
      <c r="B189" s="941" t="s">
        <v>938</v>
      </c>
      <c r="C189" s="196">
        <f>'часть 1'!L200</f>
        <v>446509</v>
      </c>
      <c r="D189" s="196">
        <v>0</v>
      </c>
      <c r="E189" s="196">
        <v>0</v>
      </c>
      <c r="F189" s="196">
        <v>0</v>
      </c>
      <c r="G189" s="196">
        <v>0</v>
      </c>
      <c r="H189" s="196">
        <v>0</v>
      </c>
      <c r="I189" s="196">
        <v>0</v>
      </c>
      <c r="J189" s="196">
        <v>0</v>
      </c>
      <c r="K189" s="196">
        <v>0</v>
      </c>
      <c r="L189" s="207">
        <v>0</v>
      </c>
      <c r="M189" s="199">
        <v>0</v>
      </c>
      <c r="N189" s="199">
        <v>135.80000000000001</v>
      </c>
      <c r="O189" s="199">
        <f t="shared" si="2"/>
        <v>446509</v>
      </c>
      <c r="P189" s="208">
        <v>0</v>
      </c>
      <c r="Q189" s="199">
        <v>0</v>
      </c>
      <c r="R189" s="200">
        <v>0</v>
      </c>
      <c r="S189" s="209">
        <v>0</v>
      </c>
      <c r="T189" s="208">
        <v>0</v>
      </c>
      <c r="U189" s="289">
        <v>0</v>
      </c>
      <c r="V189" s="282"/>
      <c r="W189" s="282">
        <f t="shared" si="3"/>
        <v>3287.9896907216494</v>
      </c>
      <c r="X189" s="282"/>
    </row>
    <row r="190" spans="1:24" ht="15.75">
      <c r="A190" s="198">
        <v>13</v>
      </c>
      <c r="B190" s="941" t="s">
        <v>413</v>
      </c>
      <c r="C190" s="196">
        <f>'часть 1'!L201</f>
        <v>1205824</v>
      </c>
      <c r="D190" s="196">
        <v>0</v>
      </c>
      <c r="E190" s="196">
        <v>0</v>
      </c>
      <c r="F190" s="196">
        <v>0</v>
      </c>
      <c r="G190" s="196">
        <v>0</v>
      </c>
      <c r="H190" s="196">
        <v>0</v>
      </c>
      <c r="I190" s="196">
        <v>0</v>
      </c>
      <c r="J190" s="196">
        <v>0</v>
      </c>
      <c r="K190" s="196">
        <v>0</v>
      </c>
      <c r="L190" s="207">
        <v>0</v>
      </c>
      <c r="M190" s="199">
        <v>0</v>
      </c>
      <c r="N190" s="199">
        <v>380</v>
      </c>
      <c r="O190" s="199">
        <f t="shared" si="2"/>
        <v>1205824</v>
      </c>
      <c r="P190" s="208">
        <v>0</v>
      </c>
      <c r="Q190" s="199">
        <v>0</v>
      </c>
      <c r="R190" s="200">
        <v>0</v>
      </c>
      <c r="S190" s="209">
        <v>0</v>
      </c>
      <c r="T190" s="208">
        <v>0</v>
      </c>
      <c r="U190" s="289">
        <v>0</v>
      </c>
      <c r="V190" s="282"/>
      <c r="W190" s="282">
        <f t="shared" si="3"/>
        <v>3173.2210526315789</v>
      </c>
      <c r="X190" s="282"/>
    </row>
    <row r="191" spans="1:24" ht="15.75">
      <c r="A191" s="198">
        <v>14</v>
      </c>
      <c r="B191" s="941" t="s">
        <v>939</v>
      </c>
      <c r="C191" s="196">
        <f>'часть 1'!L202</f>
        <v>818595.8</v>
      </c>
      <c r="D191" s="196">
        <v>0</v>
      </c>
      <c r="E191" s="196">
        <v>0</v>
      </c>
      <c r="F191" s="196">
        <v>0</v>
      </c>
      <c r="G191" s="196">
        <v>0</v>
      </c>
      <c r="H191" s="196">
        <v>0</v>
      </c>
      <c r="I191" s="196">
        <v>0</v>
      </c>
      <c r="J191" s="196">
        <v>0</v>
      </c>
      <c r="K191" s="196">
        <v>0</v>
      </c>
      <c r="L191" s="207">
        <v>0</v>
      </c>
      <c r="M191" s="199">
        <v>0</v>
      </c>
      <c r="N191" s="199">
        <v>250</v>
      </c>
      <c r="O191" s="199">
        <f t="shared" si="2"/>
        <v>818595.8</v>
      </c>
      <c r="P191" s="208">
        <v>0</v>
      </c>
      <c r="Q191" s="199">
        <v>0</v>
      </c>
      <c r="R191" s="200">
        <v>0</v>
      </c>
      <c r="S191" s="209">
        <v>0</v>
      </c>
      <c r="T191" s="208">
        <v>0</v>
      </c>
      <c r="U191" s="289">
        <v>0</v>
      </c>
      <c r="V191" s="282"/>
      <c r="W191" s="282">
        <f t="shared" si="3"/>
        <v>3274.3832000000002</v>
      </c>
      <c r="X191" s="282"/>
    </row>
    <row r="192" spans="1:24" ht="22.9" customHeight="1">
      <c r="A192" s="198">
        <v>15</v>
      </c>
      <c r="B192" s="941" t="s">
        <v>940</v>
      </c>
      <c r="C192" s="196">
        <f>'часть 1'!L203</f>
        <v>2707283</v>
      </c>
      <c r="D192" s="196">
        <v>0</v>
      </c>
      <c r="E192" s="196">
        <v>0</v>
      </c>
      <c r="F192" s="196">
        <v>0</v>
      </c>
      <c r="G192" s="196">
        <v>0</v>
      </c>
      <c r="H192" s="196">
        <v>0</v>
      </c>
      <c r="I192" s="196">
        <v>0</v>
      </c>
      <c r="J192" s="196">
        <v>0</v>
      </c>
      <c r="K192" s="196">
        <v>0</v>
      </c>
      <c r="L192" s="207">
        <v>0</v>
      </c>
      <c r="M192" s="199">
        <v>0</v>
      </c>
      <c r="N192" s="199">
        <v>1095</v>
      </c>
      <c r="O192" s="199">
        <f t="shared" si="2"/>
        <v>2707283</v>
      </c>
      <c r="P192" s="208">
        <v>0</v>
      </c>
      <c r="Q192" s="199">
        <v>0</v>
      </c>
      <c r="R192" s="200">
        <v>0</v>
      </c>
      <c r="S192" s="209">
        <v>0</v>
      </c>
      <c r="T192" s="208">
        <v>0</v>
      </c>
      <c r="U192" s="289">
        <v>0</v>
      </c>
      <c r="V192" s="282"/>
      <c r="W192" s="282">
        <f t="shared" si="3"/>
        <v>2472.4045662100457</v>
      </c>
      <c r="X192" s="282"/>
    </row>
    <row r="193" spans="1:27" ht="21" customHeight="1">
      <c r="A193" s="198">
        <v>16</v>
      </c>
      <c r="B193" s="941" t="s">
        <v>941</v>
      </c>
      <c r="C193" s="196">
        <f>'часть 1'!L204</f>
        <v>1834849</v>
      </c>
      <c r="D193" s="196">
        <v>0</v>
      </c>
      <c r="E193" s="196">
        <v>0</v>
      </c>
      <c r="F193" s="196">
        <v>0</v>
      </c>
      <c r="G193" s="196">
        <v>0</v>
      </c>
      <c r="H193" s="196">
        <v>0</v>
      </c>
      <c r="I193" s="196">
        <v>0</v>
      </c>
      <c r="J193" s="196">
        <v>0</v>
      </c>
      <c r="K193" s="196">
        <v>0</v>
      </c>
      <c r="L193" s="207">
        <v>0</v>
      </c>
      <c r="M193" s="199">
        <v>0</v>
      </c>
      <c r="N193" s="199">
        <v>582.20000000000005</v>
      </c>
      <c r="O193" s="199">
        <f t="shared" si="2"/>
        <v>1834849</v>
      </c>
      <c r="P193" s="208">
        <v>0</v>
      </c>
      <c r="Q193" s="199">
        <v>0</v>
      </c>
      <c r="R193" s="200">
        <v>0</v>
      </c>
      <c r="S193" s="209">
        <v>0</v>
      </c>
      <c r="T193" s="208">
        <v>0</v>
      </c>
      <c r="U193" s="289">
        <v>0</v>
      </c>
      <c r="V193" s="282"/>
      <c r="W193" s="282">
        <f t="shared" si="3"/>
        <v>3151.5784953624184</v>
      </c>
      <c r="X193" s="282"/>
    </row>
    <row r="194" spans="1:27" ht="18.75" customHeight="1">
      <c r="A194" s="430"/>
      <c r="B194" s="467" t="s">
        <v>92</v>
      </c>
      <c r="C194" s="432">
        <f>C195</f>
        <v>366350</v>
      </c>
      <c r="D194" s="432">
        <f t="shared" ref="D194:U194" si="4">D195</f>
        <v>366350</v>
      </c>
      <c r="E194" s="432">
        <f t="shared" si="4"/>
        <v>0</v>
      </c>
      <c r="F194" s="432">
        <f t="shared" si="4"/>
        <v>366350</v>
      </c>
      <c r="G194" s="432">
        <f t="shared" si="4"/>
        <v>0</v>
      </c>
      <c r="H194" s="432">
        <f t="shared" si="4"/>
        <v>0</v>
      </c>
      <c r="I194" s="432">
        <f t="shared" si="4"/>
        <v>0</v>
      </c>
      <c r="J194" s="432">
        <f t="shared" si="4"/>
        <v>0</v>
      </c>
      <c r="K194" s="432">
        <f t="shared" si="4"/>
        <v>0</v>
      </c>
      <c r="L194" s="432">
        <f t="shared" si="4"/>
        <v>0</v>
      </c>
      <c r="M194" s="432">
        <f t="shared" si="4"/>
        <v>0</v>
      </c>
      <c r="N194" s="432">
        <f t="shared" si="4"/>
        <v>0</v>
      </c>
      <c r="O194" s="432">
        <f t="shared" si="4"/>
        <v>0</v>
      </c>
      <c r="P194" s="432">
        <f t="shared" si="4"/>
        <v>0</v>
      </c>
      <c r="Q194" s="432">
        <f t="shared" si="4"/>
        <v>0</v>
      </c>
      <c r="R194" s="432">
        <f t="shared" si="4"/>
        <v>0</v>
      </c>
      <c r="S194" s="432">
        <f t="shared" si="4"/>
        <v>0</v>
      </c>
      <c r="T194" s="432">
        <f t="shared" si="4"/>
        <v>0</v>
      </c>
      <c r="U194" s="432">
        <f t="shared" si="4"/>
        <v>0</v>
      </c>
      <c r="V194" s="282"/>
      <c r="W194" s="282"/>
      <c r="X194" s="282"/>
    </row>
    <row r="195" spans="1:27">
      <c r="A195" s="430">
        <v>177</v>
      </c>
      <c r="B195" s="467" t="s">
        <v>645</v>
      </c>
      <c r="C195" s="432">
        <f>'часть 1'!L206</f>
        <v>366350</v>
      </c>
      <c r="D195" s="432">
        <f>E195+F195+G195+H195+I195+J195+K195</f>
        <v>366350</v>
      </c>
      <c r="E195" s="432">
        <v>0</v>
      </c>
      <c r="F195" s="432">
        <v>366350</v>
      </c>
      <c r="G195" s="432">
        <v>0</v>
      </c>
      <c r="H195" s="432">
        <v>0</v>
      </c>
      <c r="I195" s="432">
        <v>0</v>
      </c>
      <c r="J195" s="432">
        <v>0</v>
      </c>
      <c r="K195" s="432">
        <v>0</v>
      </c>
      <c r="L195" s="463">
        <v>0</v>
      </c>
      <c r="M195" s="441">
        <v>0</v>
      </c>
      <c r="N195" s="556">
        <v>0</v>
      </c>
      <c r="O195" s="441">
        <v>0</v>
      </c>
      <c r="P195" s="482">
        <v>0</v>
      </c>
      <c r="Q195" s="441">
        <v>0</v>
      </c>
      <c r="R195" s="483">
        <v>0</v>
      </c>
      <c r="S195" s="484">
        <v>0</v>
      </c>
      <c r="T195" s="482">
        <v>0</v>
      </c>
      <c r="U195" s="902">
        <v>0</v>
      </c>
      <c r="V195" s="282"/>
      <c r="W195" s="282"/>
      <c r="X195" s="282"/>
      <c r="AA195" s="1">
        <f>F195/'часть 1'!I206</f>
        <v>923.26108870967744</v>
      </c>
    </row>
    <row r="196" spans="1:27" ht="18.75" customHeight="1">
      <c r="A196" s="430"/>
      <c r="B196" s="431" t="s">
        <v>93</v>
      </c>
      <c r="C196" s="432">
        <f>C197+C198+C199+C200+C201+C202+C203+C204+C205+C206+C207+C208</f>
        <v>31146002</v>
      </c>
      <c r="D196" s="432">
        <f t="shared" ref="D196:U196" si="5">D197+D198+D199+D200+D201+D202+D203+D204+D205+D206+D207+D208</f>
        <v>0</v>
      </c>
      <c r="E196" s="432">
        <f t="shared" si="5"/>
        <v>0</v>
      </c>
      <c r="F196" s="432">
        <f t="shared" si="5"/>
        <v>0</v>
      </c>
      <c r="G196" s="432">
        <f t="shared" si="5"/>
        <v>0</v>
      </c>
      <c r="H196" s="432">
        <f t="shared" si="5"/>
        <v>0</v>
      </c>
      <c r="I196" s="432">
        <f t="shared" si="5"/>
        <v>0</v>
      </c>
      <c r="J196" s="432">
        <f t="shared" si="5"/>
        <v>0</v>
      </c>
      <c r="K196" s="432">
        <f t="shared" si="5"/>
        <v>0</v>
      </c>
      <c r="L196" s="432">
        <f t="shared" si="5"/>
        <v>0</v>
      </c>
      <c r="M196" s="432">
        <f t="shared" si="5"/>
        <v>0</v>
      </c>
      <c r="N196" s="432">
        <f t="shared" si="5"/>
        <v>10349.570000000002</v>
      </c>
      <c r="O196" s="432">
        <f t="shared" si="5"/>
        <v>31146002</v>
      </c>
      <c r="P196" s="432">
        <f t="shared" si="5"/>
        <v>0</v>
      </c>
      <c r="Q196" s="432">
        <f t="shared" si="5"/>
        <v>0</v>
      </c>
      <c r="R196" s="432">
        <f t="shared" si="5"/>
        <v>0</v>
      </c>
      <c r="S196" s="432">
        <f t="shared" si="5"/>
        <v>0</v>
      </c>
      <c r="T196" s="432">
        <f t="shared" si="5"/>
        <v>0</v>
      </c>
      <c r="U196" s="432">
        <f t="shared" si="5"/>
        <v>0</v>
      </c>
      <c r="V196" s="282"/>
      <c r="W196" s="282"/>
      <c r="X196" s="282"/>
    </row>
    <row r="197" spans="1:27" s="23" customFormat="1">
      <c r="A197" s="430">
        <v>178</v>
      </c>
      <c r="B197" s="683" t="s">
        <v>778</v>
      </c>
      <c r="C197" s="439">
        <f>'часть 1'!L208</f>
        <v>2706084</v>
      </c>
      <c r="D197" s="439">
        <v>0</v>
      </c>
      <c r="E197" s="439">
        <v>0</v>
      </c>
      <c r="F197" s="439">
        <v>0</v>
      </c>
      <c r="G197" s="439">
        <v>0</v>
      </c>
      <c r="H197" s="439">
        <v>0</v>
      </c>
      <c r="I197" s="439">
        <v>0</v>
      </c>
      <c r="J197" s="439">
        <v>0</v>
      </c>
      <c r="K197" s="439">
        <v>0</v>
      </c>
      <c r="L197" s="440">
        <v>0</v>
      </c>
      <c r="M197" s="439">
        <v>0</v>
      </c>
      <c r="N197" s="439">
        <v>863.8</v>
      </c>
      <c r="O197" s="439">
        <v>2706084</v>
      </c>
      <c r="P197" s="440">
        <v>0</v>
      </c>
      <c r="Q197" s="439">
        <v>0</v>
      </c>
      <c r="R197" s="442">
        <v>0</v>
      </c>
      <c r="S197" s="439">
        <v>0</v>
      </c>
      <c r="T197" s="440">
        <v>0</v>
      </c>
      <c r="U197" s="443">
        <v>0</v>
      </c>
      <c r="V197" s="282"/>
      <c r="W197" s="282">
        <f>O197/N197</f>
        <v>3132.7668441768928</v>
      </c>
      <c r="X197" s="282"/>
    </row>
    <row r="198" spans="1:27" s="23" customFormat="1">
      <c r="A198" s="430">
        <v>179</v>
      </c>
      <c r="B198" s="683" t="s">
        <v>779</v>
      </c>
      <c r="C198" s="439">
        <f>'часть 1'!L209</f>
        <v>1419136</v>
      </c>
      <c r="D198" s="439">
        <v>0</v>
      </c>
      <c r="E198" s="439">
        <v>0</v>
      </c>
      <c r="F198" s="439">
        <v>0</v>
      </c>
      <c r="G198" s="439">
        <v>0</v>
      </c>
      <c r="H198" s="439">
        <v>0</v>
      </c>
      <c r="I198" s="439">
        <v>0</v>
      </c>
      <c r="J198" s="439">
        <v>0</v>
      </c>
      <c r="K198" s="439">
        <v>0</v>
      </c>
      <c r="L198" s="440">
        <v>0</v>
      </c>
      <c r="M198" s="439">
        <v>0</v>
      </c>
      <c r="N198" s="439">
        <v>448.92</v>
      </c>
      <c r="O198" s="439">
        <v>1419136</v>
      </c>
      <c r="P198" s="440">
        <v>0</v>
      </c>
      <c r="Q198" s="439">
        <v>0</v>
      </c>
      <c r="R198" s="442">
        <v>0</v>
      </c>
      <c r="S198" s="439">
        <v>0</v>
      </c>
      <c r="T198" s="440">
        <v>0</v>
      </c>
      <c r="U198" s="443">
        <v>0</v>
      </c>
      <c r="V198" s="282"/>
      <c r="W198" s="282">
        <f t="shared" ref="W198:W208" si="6">O198/N198</f>
        <v>3161.2224895304284</v>
      </c>
      <c r="X198" s="282"/>
    </row>
    <row r="199" spans="1:27" s="23" customFormat="1">
      <c r="A199" s="430">
        <v>180</v>
      </c>
      <c r="B199" s="683" t="s">
        <v>780</v>
      </c>
      <c r="C199" s="439">
        <f>'часть 1'!L210</f>
        <v>3552093</v>
      </c>
      <c r="D199" s="439">
        <v>0</v>
      </c>
      <c r="E199" s="439">
        <v>0</v>
      </c>
      <c r="F199" s="439">
        <v>0</v>
      </c>
      <c r="G199" s="439">
        <v>0</v>
      </c>
      <c r="H199" s="439">
        <v>0</v>
      </c>
      <c r="I199" s="439">
        <v>0</v>
      </c>
      <c r="J199" s="439">
        <v>0</v>
      </c>
      <c r="K199" s="439">
        <v>0</v>
      </c>
      <c r="L199" s="440">
        <v>0</v>
      </c>
      <c r="M199" s="439">
        <v>0</v>
      </c>
      <c r="N199" s="439">
        <v>1135</v>
      </c>
      <c r="O199" s="439">
        <v>3552093</v>
      </c>
      <c r="P199" s="440">
        <v>0</v>
      </c>
      <c r="Q199" s="439">
        <v>0</v>
      </c>
      <c r="R199" s="442">
        <v>0</v>
      </c>
      <c r="S199" s="439">
        <v>0</v>
      </c>
      <c r="T199" s="440">
        <v>0</v>
      </c>
      <c r="U199" s="443">
        <v>0</v>
      </c>
      <c r="V199" s="282"/>
      <c r="W199" s="282">
        <f t="shared" si="6"/>
        <v>3129.5973568281938</v>
      </c>
      <c r="X199" s="282"/>
    </row>
    <row r="200" spans="1:27" s="23" customFormat="1">
      <c r="A200" s="430">
        <v>181</v>
      </c>
      <c r="B200" s="683" t="s">
        <v>781</v>
      </c>
      <c r="C200" s="439">
        <f>'часть 1'!L211</f>
        <v>2154879</v>
      </c>
      <c r="D200" s="439">
        <v>0</v>
      </c>
      <c r="E200" s="439">
        <v>0</v>
      </c>
      <c r="F200" s="439">
        <v>0</v>
      </c>
      <c r="G200" s="439">
        <v>0</v>
      </c>
      <c r="H200" s="439">
        <v>0</v>
      </c>
      <c r="I200" s="439">
        <v>0</v>
      </c>
      <c r="J200" s="439">
        <v>0</v>
      </c>
      <c r="K200" s="439">
        <v>0</v>
      </c>
      <c r="L200" s="440">
        <v>0</v>
      </c>
      <c r="M200" s="439">
        <v>0</v>
      </c>
      <c r="N200" s="439">
        <v>682.5</v>
      </c>
      <c r="O200" s="439">
        <v>2154879</v>
      </c>
      <c r="P200" s="440">
        <v>0</v>
      </c>
      <c r="Q200" s="439">
        <v>0</v>
      </c>
      <c r="R200" s="442">
        <v>0</v>
      </c>
      <c r="S200" s="439">
        <v>0</v>
      </c>
      <c r="T200" s="440">
        <v>0</v>
      </c>
      <c r="U200" s="443">
        <v>0</v>
      </c>
      <c r="V200" s="282"/>
      <c r="W200" s="282">
        <f t="shared" si="6"/>
        <v>3157.3318681318683</v>
      </c>
      <c r="X200" s="282"/>
    </row>
    <row r="201" spans="1:27" s="23" customFormat="1">
      <c r="A201" s="430">
        <v>182</v>
      </c>
      <c r="B201" s="683" t="s">
        <v>782</v>
      </c>
      <c r="C201" s="439">
        <f>'часть 1'!L212</f>
        <v>4352566</v>
      </c>
      <c r="D201" s="439">
        <v>0</v>
      </c>
      <c r="E201" s="439">
        <v>0</v>
      </c>
      <c r="F201" s="439">
        <v>0</v>
      </c>
      <c r="G201" s="439">
        <v>0</v>
      </c>
      <c r="H201" s="439">
        <v>0</v>
      </c>
      <c r="I201" s="439">
        <v>0</v>
      </c>
      <c r="J201" s="439">
        <v>0</v>
      </c>
      <c r="K201" s="439">
        <v>0</v>
      </c>
      <c r="L201" s="440">
        <v>0</v>
      </c>
      <c r="M201" s="439">
        <v>0</v>
      </c>
      <c r="N201" s="439">
        <v>1394.5</v>
      </c>
      <c r="O201" s="439">
        <v>4352566</v>
      </c>
      <c r="P201" s="440">
        <v>0</v>
      </c>
      <c r="Q201" s="439">
        <v>0</v>
      </c>
      <c r="R201" s="442">
        <v>0</v>
      </c>
      <c r="S201" s="439">
        <v>0</v>
      </c>
      <c r="T201" s="440">
        <v>0</v>
      </c>
      <c r="U201" s="443">
        <v>0</v>
      </c>
      <c r="V201" s="282"/>
      <c r="W201" s="282">
        <f t="shared" si="6"/>
        <v>3121.2377196127645</v>
      </c>
      <c r="X201" s="282"/>
    </row>
    <row r="202" spans="1:27" s="23" customFormat="1">
      <c r="A202" s="430">
        <v>183</v>
      </c>
      <c r="B202" s="683" t="s">
        <v>783</v>
      </c>
      <c r="C202" s="439">
        <f>'часть 1'!L213</f>
        <v>1202127</v>
      </c>
      <c r="D202" s="439">
        <v>0</v>
      </c>
      <c r="E202" s="439">
        <v>0</v>
      </c>
      <c r="F202" s="439">
        <v>0</v>
      </c>
      <c r="G202" s="439">
        <v>0</v>
      </c>
      <c r="H202" s="439">
        <v>0</v>
      </c>
      <c r="I202" s="439">
        <v>0</v>
      </c>
      <c r="J202" s="439">
        <v>0</v>
      </c>
      <c r="K202" s="439">
        <v>0</v>
      </c>
      <c r="L202" s="440">
        <v>0</v>
      </c>
      <c r="M202" s="439">
        <v>0</v>
      </c>
      <c r="N202" s="439">
        <v>375.5</v>
      </c>
      <c r="O202" s="439">
        <v>1202127</v>
      </c>
      <c r="P202" s="440">
        <v>0</v>
      </c>
      <c r="Q202" s="439">
        <v>0</v>
      </c>
      <c r="R202" s="442">
        <v>0</v>
      </c>
      <c r="S202" s="439">
        <v>0</v>
      </c>
      <c r="T202" s="440">
        <v>0</v>
      </c>
      <c r="U202" s="443">
        <v>0</v>
      </c>
      <c r="V202" s="282"/>
      <c r="W202" s="282">
        <f t="shared" si="6"/>
        <v>3201.403462050599</v>
      </c>
      <c r="X202" s="282"/>
    </row>
    <row r="203" spans="1:27" s="23" customFormat="1">
      <c r="A203" s="430">
        <v>184</v>
      </c>
      <c r="B203" s="683" t="s">
        <v>775</v>
      </c>
      <c r="C203" s="439">
        <f>'часть 1'!L214</f>
        <v>3401733</v>
      </c>
      <c r="D203" s="439">
        <v>0</v>
      </c>
      <c r="E203" s="439">
        <v>0</v>
      </c>
      <c r="F203" s="439">
        <v>0</v>
      </c>
      <c r="G203" s="439">
        <v>0</v>
      </c>
      <c r="H203" s="439">
        <v>0</v>
      </c>
      <c r="I203" s="439">
        <v>0</v>
      </c>
      <c r="J203" s="439">
        <v>0</v>
      </c>
      <c r="K203" s="439">
        <v>0</v>
      </c>
      <c r="L203" s="440">
        <v>0</v>
      </c>
      <c r="M203" s="439">
        <v>0</v>
      </c>
      <c r="N203" s="439">
        <v>1068.5</v>
      </c>
      <c r="O203" s="439">
        <v>3401733</v>
      </c>
      <c r="P203" s="440">
        <v>0</v>
      </c>
      <c r="Q203" s="439">
        <v>0</v>
      </c>
      <c r="R203" s="442">
        <v>0</v>
      </c>
      <c r="S203" s="439">
        <v>0</v>
      </c>
      <c r="T203" s="440">
        <v>0</v>
      </c>
      <c r="U203" s="443">
        <v>0</v>
      </c>
      <c r="V203" s="282"/>
      <c r="W203" s="282">
        <f t="shared" si="6"/>
        <v>3183.6527842770238</v>
      </c>
      <c r="X203" s="282"/>
    </row>
    <row r="204" spans="1:27" s="23" customFormat="1">
      <c r="A204" s="430">
        <v>185</v>
      </c>
      <c r="B204" s="683" t="s">
        <v>784</v>
      </c>
      <c r="C204" s="439">
        <f>'часть 1'!L215</f>
        <v>1763431</v>
      </c>
      <c r="D204" s="439">
        <v>0</v>
      </c>
      <c r="E204" s="439">
        <v>0</v>
      </c>
      <c r="F204" s="439">
        <v>0</v>
      </c>
      <c r="G204" s="439">
        <v>0</v>
      </c>
      <c r="H204" s="439">
        <v>0</v>
      </c>
      <c r="I204" s="439">
        <v>0</v>
      </c>
      <c r="J204" s="439">
        <v>0</v>
      </c>
      <c r="K204" s="439">
        <v>0</v>
      </c>
      <c r="L204" s="440">
        <v>0</v>
      </c>
      <c r="M204" s="439">
        <v>0</v>
      </c>
      <c r="N204" s="439">
        <v>560</v>
      </c>
      <c r="O204" s="439">
        <v>1763431</v>
      </c>
      <c r="P204" s="440">
        <v>0</v>
      </c>
      <c r="Q204" s="439">
        <v>0</v>
      </c>
      <c r="R204" s="442">
        <v>0</v>
      </c>
      <c r="S204" s="439">
        <v>0</v>
      </c>
      <c r="T204" s="440">
        <v>0</v>
      </c>
      <c r="U204" s="443">
        <v>0</v>
      </c>
      <c r="V204" s="282"/>
      <c r="W204" s="282">
        <f t="shared" si="6"/>
        <v>3148.9839285714284</v>
      </c>
      <c r="X204" s="282"/>
    </row>
    <row r="205" spans="1:27" s="23" customFormat="1">
      <c r="A205" s="430">
        <v>186</v>
      </c>
      <c r="B205" s="683" t="s">
        <v>776</v>
      </c>
      <c r="C205" s="439">
        <f>'часть 1'!L216</f>
        <v>2572091</v>
      </c>
      <c r="D205" s="439">
        <v>0</v>
      </c>
      <c r="E205" s="439">
        <v>0</v>
      </c>
      <c r="F205" s="439">
        <v>0</v>
      </c>
      <c r="G205" s="439">
        <v>0</v>
      </c>
      <c r="H205" s="439">
        <v>0</v>
      </c>
      <c r="I205" s="439">
        <v>0</v>
      </c>
      <c r="J205" s="439">
        <v>0</v>
      </c>
      <c r="K205" s="439">
        <v>0</v>
      </c>
      <c r="L205" s="440">
        <v>0</v>
      </c>
      <c r="M205" s="439">
        <v>0</v>
      </c>
      <c r="N205" s="439">
        <v>1040</v>
      </c>
      <c r="O205" s="439">
        <v>2572091</v>
      </c>
      <c r="P205" s="440">
        <v>0</v>
      </c>
      <c r="Q205" s="439">
        <v>0</v>
      </c>
      <c r="R205" s="442">
        <v>0</v>
      </c>
      <c r="S205" s="439">
        <v>0</v>
      </c>
      <c r="T205" s="440">
        <v>0</v>
      </c>
      <c r="U205" s="443">
        <v>0</v>
      </c>
      <c r="V205" s="282"/>
      <c r="W205" s="282">
        <f t="shared" si="6"/>
        <v>2473.164423076923</v>
      </c>
      <c r="X205" s="282"/>
    </row>
    <row r="206" spans="1:27" s="23" customFormat="1">
      <c r="A206" s="430">
        <v>187</v>
      </c>
      <c r="B206" s="683" t="s">
        <v>785</v>
      </c>
      <c r="C206" s="439">
        <f>'часть 1'!L217</f>
        <v>2660626</v>
      </c>
      <c r="D206" s="439">
        <v>0</v>
      </c>
      <c r="E206" s="439">
        <v>0</v>
      </c>
      <c r="F206" s="439">
        <v>0</v>
      </c>
      <c r="G206" s="439">
        <v>0</v>
      </c>
      <c r="H206" s="439">
        <v>0</v>
      </c>
      <c r="I206" s="439">
        <v>0</v>
      </c>
      <c r="J206" s="439">
        <v>0</v>
      </c>
      <c r="K206" s="439">
        <v>0</v>
      </c>
      <c r="L206" s="440">
        <v>0</v>
      </c>
      <c r="M206" s="439">
        <v>0</v>
      </c>
      <c r="N206" s="439">
        <v>1076</v>
      </c>
      <c r="O206" s="439">
        <v>2660626</v>
      </c>
      <c r="P206" s="440">
        <v>0</v>
      </c>
      <c r="Q206" s="439">
        <v>0</v>
      </c>
      <c r="R206" s="442">
        <v>0</v>
      </c>
      <c r="S206" s="439">
        <v>0</v>
      </c>
      <c r="T206" s="440">
        <v>0</v>
      </c>
      <c r="U206" s="443">
        <v>0</v>
      </c>
      <c r="V206" s="282"/>
      <c r="W206" s="282">
        <f t="shared" si="6"/>
        <v>2472.7007434944239</v>
      </c>
      <c r="X206" s="282"/>
    </row>
    <row r="207" spans="1:27" s="23" customFormat="1">
      <c r="A207" s="430">
        <v>188</v>
      </c>
      <c r="B207" s="683" t="s">
        <v>786</v>
      </c>
      <c r="C207" s="439">
        <f>'часть 1'!L218</f>
        <v>1458499</v>
      </c>
      <c r="D207" s="439">
        <v>0</v>
      </c>
      <c r="E207" s="439">
        <v>0</v>
      </c>
      <c r="F207" s="439">
        <v>0</v>
      </c>
      <c r="G207" s="439">
        <v>0</v>
      </c>
      <c r="H207" s="439">
        <v>0</v>
      </c>
      <c r="I207" s="439">
        <v>0</v>
      </c>
      <c r="J207" s="439">
        <v>0</v>
      </c>
      <c r="K207" s="439">
        <v>0</v>
      </c>
      <c r="L207" s="440">
        <v>0</v>
      </c>
      <c r="M207" s="439">
        <v>0</v>
      </c>
      <c r="N207" s="439">
        <v>461.85</v>
      </c>
      <c r="O207" s="439">
        <v>1458499</v>
      </c>
      <c r="P207" s="440">
        <v>0</v>
      </c>
      <c r="Q207" s="439">
        <v>0</v>
      </c>
      <c r="R207" s="442">
        <v>0</v>
      </c>
      <c r="S207" s="439">
        <v>0</v>
      </c>
      <c r="T207" s="440">
        <v>0</v>
      </c>
      <c r="U207" s="443">
        <v>0</v>
      </c>
      <c r="V207" s="282"/>
      <c r="W207" s="282">
        <f t="shared" si="6"/>
        <v>3157.9495507199304</v>
      </c>
      <c r="X207" s="282"/>
    </row>
    <row r="208" spans="1:27" s="23" customFormat="1">
      <c r="A208" s="430">
        <v>189</v>
      </c>
      <c r="B208" s="683" t="s">
        <v>787</v>
      </c>
      <c r="C208" s="439">
        <f>'часть 1'!L219</f>
        <v>3902737</v>
      </c>
      <c r="D208" s="439">
        <v>0</v>
      </c>
      <c r="E208" s="439">
        <v>0</v>
      </c>
      <c r="F208" s="439">
        <v>0</v>
      </c>
      <c r="G208" s="439">
        <v>0</v>
      </c>
      <c r="H208" s="439">
        <v>0</v>
      </c>
      <c r="I208" s="439">
        <v>0</v>
      </c>
      <c r="J208" s="439">
        <v>0</v>
      </c>
      <c r="K208" s="439">
        <v>0</v>
      </c>
      <c r="L208" s="440">
        <v>0</v>
      </c>
      <c r="M208" s="439">
        <v>0</v>
      </c>
      <c r="N208" s="439">
        <v>1243</v>
      </c>
      <c r="O208" s="439">
        <v>3902737</v>
      </c>
      <c r="P208" s="440">
        <v>0</v>
      </c>
      <c r="Q208" s="439">
        <v>0</v>
      </c>
      <c r="R208" s="442">
        <v>0</v>
      </c>
      <c r="S208" s="439">
        <v>0</v>
      </c>
      <c r="T208" s="440">
        <v>0</v>
      </c>
      <c r="U208" s="443">
        <v>0</v>
      </c>
      <c r="V208" s="282"/>
      <c r="W208" s="282">
        <f t="shared" si="6"/>
        <v>3139.7723250201125</v>
      </c>
      <c r="X208" s="282"/>
    </row>
    <row r="209" spans="1:28" s="23" customFormat="1">
      <c r="A209" s="430"/>
      <c r="B209" s="683"/>
      <c r="C209" s="439"/>
      <c r="D209" s="439"/>
      <c r="E209" s="439"/>
      <c r="F209" s="439"/>
      <c r="G209" s="439"/>
      <c r="H209" s="439"/>
      <c r="I209" s="439"/>
      <c r="J209" s="439"/>
      <c r="K209" s="439"/>
      <c r="L209" s="440"/>
      <c r="M209" s="439"/>
      <c r="N209" s="439"/>
      <c r="O209" s="439"/>
      <c r="P209" s="440"/>
      <c r="Q209" s="439"/>
      <c r="R209" s="442"/>
      <c r="S209" s="439"/>
      <c r="T209" s="440"/>
      <c r="U209" s="443"/>
      <c r="V209" s="282"/>
      <c r="W209" s="282"/>
      <c r="X209" s="282"/>
    </row>
    <row r="210" spans="1:28" s="23" customFormat="1">
      <c r="A210" s="430"/>
      <c r="B210" s="683"/>
      <c r="C210" s="439"/>
      <c r="D210" s="439"/>
      <c r="E210" s="439"/>
      <c r="F210" s="439"/>
      <c r="G210" s="439"/>
      <c r="H210" s="439"/>
      <c r="I210" s="439"/>
      <c r="J210" s="439"/>
      <c r="K210" s="439"/>
      <c r="L210" s="440"/>
      <c r="M210" s="439"/>
      <c r="N210" s="439"/>
      <c r="O210" s="439"/>
      <c r="P210" s="440"/>
      <c r="Q210" s="439"/>
      <c r="R210" s="442"/>
      <c r="S210" s="439"/>
      <c r="T210" s="440"/>
      <c r="U210" s="443"/>
      <c r="V210" s="282"/>
      <c r="W210" s="282"/>
      <c r="X210" s="282"/>
    </row>
    <row r="211" spans="1:28" s="23" customFormat="1">
      <c r="A211" s="430"/>
      <c r="B211" s="683"/>
      <c r="C211" s="439"/>
      <c r="D211" s="439"/>
      <c r="E211" s="439"/>
      <c r="F211" s="439"/>
      <c r="G211" s="439"/>
      <c r="H211" s="439"/>
      <c r="I211" s="439"/>
      <c r="J211" s="439"/>
      <c r="K211" s="439"/>
      <c r="L211" s="440"/>
      <c r="M211" s="439"/>
      <c r="N211" s="439"/>
      <c r="O211" s="439"/>
      <c r="P211" s="440"/>
      <c r="Q211" s="439"/>
      <c r="R211" s="442"/>
      <c r="S211" s="439"/>
      <c r="T211" s="440"/>
      <c r="U211" s="443"/>
      <c r="V211" s="282"/>
      <c r="W211" s="282"/>
      <c r="X211" s="282"/>
    </row>
    <row r="212" spans="1:28" s="23" customFormat="1">
      <c r="A212" s="430"/>
      <c r="B212" s="683"/>
      <c r="C212" s="439"/>
      <c r="D212" s="439"/>
      <c r="E212" s="439"/>
      <c r="F212" s="439"/>
      <c r="G212" s="439"/>
      <c r="H212" s="439"/>
      <c r="I212" s="439"/>
      <c r="J212" s="439"/>
      <c r="K212" s="439"/>
      <c r="L212" s="440"/>
      <c r="M212" s="439"/>
      <c r="N212" s="439"/>
      <c r="O212" s="439"/>
      <c r="P212" s="440"/>
      <c r="Q212" s="439"/>
      <c r="R212" s="442"/>
      <c r="S212" s="439"/>
      <c r="T212" s="440"/>
      <c r="U212" s="443"/>
      <c r="V212" s="282"/>
      <c r="W212" s="282"/>
      <c r="X212" s="282"/>
    </row>
    <row r="213" spans="1:28" s="23" customFormat="1">
      <c r="A213" s="430"/>
      <c r="B213" s="683"/>
      <c r="C213" s="439"/>
      <c r="D213" s="439"/>
      <c r="E213" s="439"/>
      <c r="F213" s="439"/>
      <c r="G213" s="439"/>
      <c r="H213" s="439"/>
      <c r="I213" s="439"/>
      <c r="J213" s="439"/>
      <c r="K213" s="439"/>
      <c r="L213" s="440"/>
      <c r="M213" s="439"/>
      <c r="N213" s="439"/>
      <c r="O213" s="439"/>
      <c r="P213" s="440"/>
      <c r="Q213" s="439"/>
      <c r="R213" s="442"/>
      <c r="S213" s="439"/>
      <c r="T213" s="440"/>
      <c r="U213" s="443"/>
      <c r="V213" s="282"/>
      <c r="W213" s="282"/>
      <c r="X213" s="282"/>
    </row>
    <row r="214" spans="1:28" s="23" customFormat="1">
      <c r="A214" s="430"/>
      <c r="B214" s="683"/>
      <c r="C214" s="439"/>
      <c r="D214" s="439"/>
      <c r="E214" s="439"/>
      <c r="F214" s="439"/>
      <c r="G214" s="439"/>
      <c r="H214" s="439"/>
      <c r="I214" s="439"/>
      <c r="J214" s="439"/>
      <c r="K214" s="439"/>
      <c r="L214" s="440"/>
      <c r="M214" s="439"/>
      <c r="N214" s="439"/>
      <c r="O214" s="439"/>
      <c r="P214" s="440"/>
      <c r="Q214" s="439"/>
      <c r="R214" s="442"/>
      <c r="S214" s="439"/>
      <c r="T214" s="440"/>
      <c r="U214" s="443"/>
      <c r="V214" s="282"/>
      <c r="W214" s="282"/>
      <c r="X214" s="282"/>
    </row>
    <row r="215" spans="1:28" s="23" customFormat="1">
      <c r="A215" s="430"/>
      <c r="B215" s="683"/>
      <c r="C215" s="439"/>
      <c r="D215" s="439"/>
      <c r="E215" s="439"/>
      <c r="F215" s="439"/>
      <c r="G215" s="439"/>
      <c r="H215" s="439"/>
      <c r="I215" s="439"/>
      <c r="J215" s="439"/>
      <c r="K215" s="439"/>
      <c r="L215" s="440"/>
      <c r="M215" s="439"/>
      <c r="N215" s="439"/>
      <c r="O215" s="439"/>
      <c r="P215" s="440"/>
      <c r="Q215" s="439"/>
      <c r="R215" s="442"/>
      <c r="S215" s="439"/>
      <c r="T215" s="440"/>
      <c r="U215" s="443"/>
      <c r="V215" s="282"/>
      <c r="W215" s="282"/>
      <c r="X215" s="282"/>
    </row>
    <row r="216" spans="1:28" s="23" customFormat="1">
      <c r="A216" s="430"/>
      <c r="B216" s="683"/>
      <c r="C216" s="439"/>
      <c r="D216" s="439"/>
      <c r="E216" s="439"/>
      <c r="F216" s="439"/>
      <c r="G216" s="439"/>
      <c r="H216" s="439"/>
      <c r="I216" s="439"/>
      <c r="J216" s="439"/>
      <c r="K216" s="439"/>
      <c r="L216" s="440"/>
      <c r="M216" s="439"/>
      <c r="N216" s="439"/>
      <c r="O216" s="439"/>
      <c r="P216" s="440"/>
      <c r="Q216" s="439"/>
      <c r="R216" s="442"/>
      <c r="S216" s="439"/>
      <c r="T216" s="440"/>
      <c r="U216" s="443"/>
      <c r="V216" s="282"/>
      <c r="W216" s="282"/>
      <c r="X216" s="282"/>
    </row>
    <row r="217" spans="1:28" s="23" customFormat="1">
      <c r="A217" s="430"/>
      <c r="B217" s="683"/>
      <c r="C217" s="439"/>
      <c r="D217" s="439"/>
      <c r="E217" s="439"/>
      <c r="F217" s="439"/>
      <c r="G217" s="439"/>
      <c r="H217" s="439"/>
      <c r="I217" s="439"/>
      <c r="J217" s="439"/>
      <c r="K217" s="439"/>
      <c r="L217" s="440"/>
      <c r="M217" s="439"/>
      <c r="N217" s="439"/>
      <c r="O217" s="439"/>
      <c r="P217" s="440"/>
      <c r="Q217" s="439"/>
      <c r="R217" s="442"/>
      <c r="S217" s="439"/>
      <c r="T217" s="440"/>
      <c r="U217" s="443"/>
      <c r="V217" s="282"/>
      <c r="W217" s="282"/>
      <c r="X217" s="282"/>
    </row>
    <row r="218" spans="1:28" s="23" customFormat="1">
      <c r="A218" s="430"/>
      <c r="B218" s="683"/>
      <c r="C218" s="439"/>
      <c r="D218" s="439"/>
      <c r="E218" s="439"/>
      <c r="F218" s="439"/>
      <c r="G218" s="439"/>
      <c r="H218" s="439"/>
      <c r="I218" s="439"/>
      <c r="J218" s="439"/>
      <c r="K218" s="439"/>
      <c r="L218" s="440"/>
      <c r="M218" s="439"/>
      <c r="N218" s="439"/>
      <c r="O218" s="439"/>
      <c r="P218" s="440"/>
      <c r="Q218" s="439"/>
      <c r="R218" s="442"/>
      <c r="S218" s="439"/>
      <c r="T218" s="440"/>
      <c r="U218" s="443"/>
      <c r="V218" s="282"/>
      <c r="W218" s="282"/>
      <c r="X218" s="282"/>
    </row>
    <row r="219" spans="1:28" s="23" customFormat="1">
      <c r="A219" s="430"/>
      <c r="B219" s="683"/>
      <c r="C219" s="439"/>
      <c r="D219" s="439"/>
      <c r="E219" s="439"/>
      <c r="F219" s="439"/>
      <c r="G219" s="439"/>
      <c r="H219" s="439"/>
      <c r="I219" s="439"/>
      <c r="J219" s="439"/>
      <c r="K219" s="439"/>
      <c r="L219" s="440"/>
      <c r="M219" s="439"/>
      <c r="N219" s="439"/>
      <c r="O219" s="439"/>
      <c r="P219" s="440"/>
      <c r="Q219" s="439"/>
      <c r="R219" s="442"/>
      <c r="S219" s="439"/>
      <c r="T219" s="440"/>
      <c r="U219" s="443"/>
      <c r="V219" s="282"/>
      <c r="W219" s="282"/>
      <c r="X219" s="282"/>
    </row>
    <row r="220" spans="1:28" s="23" customFormat="1">
      <c r="A220" s="430"/>
      <c r="B220" s="683"/>
      <c r="C220" s="439"/>
      <c r="D220" s="439"/>
      <c r="E220" s="439"/>
      <c r="F220" s="439"/>
      <c r="G220" s="439"/>
      <c r="H220" s="439"/>
      <c r="I220" s="439"/>
      <c r="J220" s="439"/>
      <c r="K220" s="439"/>
      <c r="L220" s="440"/>
      <c r="M220" s="439"/>
      <c r="N220" s="439"/>
      <c r="O220" s="439"/>
      <c r="P220" s="440"/>
      <c r="Q220" s="439"/>
      <c r="R220" s="442"/>
      <c r="S220" s="439"/>
      <c r="T220" s="440"/>
      <c r="U220" s="443"/>
      <c r="V220" s="282"/>
      <c r="W220" s="282"/>
      <c r="X220" s="282"/>
    </row>
    <row r="221" spans="1:28" s="23" customFormat="1">
      <c r="A221" s="430"/>
      <c r="B221" s="683"/>
      <c r="C221" s="439"/>
      <c r="D221" s="439"/>
      <c r="E221" s="439"/>
      <c r="F221" s="439"/>
      <c r="G221" s="439"/>
      <c r="H221" s="439"/>
      <c r="I221" s="439"/>
      <c r="J221" s="439"/>
      <c r="K221" s="439"/>
      <c r="L221" s="440"/>
      <c r="M221" s="439"/>
      <c r="N221" s="439"/>
      <c r="O221" s="439"/>
      <c r="P221" s="440"/>
      <c r="Q221" s="439"/>
      <c r="R221" s="442"/>
      <c r="S221" s="439"/>
      <c r="T221" s="440"/>
      <c r="U221" s="443"/>
      <c r="V221" s="282"/>
      <c r="W221" s="282"/>
      <c r="X221" s="282"/>
    </row>
    <row r="222" spans="1:28" ht="18.75" customHeight="1">
      <c r="A222" s="198"/>
      <c r="B222" s="214" t="s">
        <v>94</v>
      </c>
      <c r="C222" s="211">
        <f>C223+C224+C225+C226+C227+C228+C229+C230+C231</f>
        <v>26467626</v>
      </c>
      <c r="D222" s="211">
        <f t="shared" ref="D222:U222" si="7">D223+D224+D225+D226+D227+D228+D229+D230+D231</f>
        <v>9623823</v>
      </c>
      <c r="E222" s="211">
        <f t="shared" si="7"/>
        <v>0</v>
      </c>
      <c r="F222" s="211">
        <f t="shared" si="7"/>
        <v>9623823</v>
      </c>
      <c r="G222" s="211">
        <f t="shared" si="7"/>
        <v>0</v>
      </c>
      <c r="H222" s="211">
        <f t="shared" si="7"/>
        <v>0</v>
      </c>
      <c r="I222" s="211">
        <f t="shared" si="7"/>
        <v>0</v>
      </c>
      <c r="J222" s="211">
        <f t="shared" si="7"/>
        <v>0</v>
      </c>
      <c r="K222" s="211">
        <f t="shared" si="7"/>
        <v>0</v>
      </c>
      <c r="L222" s="211">
        <f t="shared" si="7"/>
        <v>0</v>
      </c>
      <c r="M222" s="211">
        <f t="shared" si="7"/>
        <v>0</v>
      </c>
      <c r="N222" s="211">
        <f t="shared" si="7"/>
        <v>6095.2999999999993</v>
      </c>
      <c r="O222" s="211">
        <f t="shared" si="7"/>
        <v>16843803</v>
      </c>
      <c r="P222" s="211">
        <f t="shared" si="7"/>
        <v>0</v>
      </c>
      <c r="Q222" s="211">
        <f t="shared" si="7"/>
        <v>0</v>
      </c>
      <c r="R222" s="211">
        <f t="shared" si="7"/>
        <v>0</v>
      </c>
      <c r="S222" s="211">
        <f t="shared" si="7"/>
        <v>0</v>
      </c>
      <c r="T222" s="211">
        <f t="shared" si="7"/>
        <v>0</v>
      </c>
      <c r="U222" s="211">
        <f t="shared" si="7"/>
        <v>0</v>
      </c>
      <c r="V222" s="282"/>
      <c r="W222" s="282"/>
      <c r="X222" s="282"/>
      <c r="Y222" s="10"/>
      <c r="Z222" s="10"/>
      <c r="AA222" s="10"/>
      <c r="AB222" s="10"/>
    </row>
    <row r="223" spans="1:28" s="5" customFormat="1">
      <c r="A223" s="430">
        <v>203</v>
      </c>
      <c r="B223" s="446" t="s">
        <v>561</v>
      </c>
      <c r="C223" s="441">
        <f>'часть 1'!L232</f>
        <v>3993146</v>
      </c>
      <c r="D223" s="441">
        <f>E223+F223+G223+H223+I223+J223+K223</f>
        <v>0</v>
      </c>
      <c r="E223" s="441">
        <v>0</v>
      </c>
      <c r="F223" s="441">
        <v>0</v>
      </c>
      <c r="G223" s="441">
        <v>0</v>
      </c>
      <c r="H223" s="441">
        <v>0</v>
      </c>
      <c r="I223" s="441">
        <v>0</v>
      </c>
      <c r="J223" s="441">
        <v>0</v>
      </c>
      <c r="K223" s="441">
        <v>0</v>
      </c>
      <c r="L223" s="482">
        <v>0</v>
      </c>
      <c r="M223" s="441">
        <v>0</v>
      </c>
      <c r="N223" s="441">
        <v>1276.5999999999999</v>
      </c>
      <c r="O223" s="441">
        <v>3993146</v>
      </c>
      <c r="P223" s="482">
        <v>0</v>
      </c>
      <c r="Q223" s="441">
        <v>0</v>
      </c>
      <c r="R223" s="483">
        <v>0</v>
      </c>
      <c r="S223" s="484">
        <v>0</v>
      </c>
      <c r="T223" s="485">
        <v>0</v>
      </c>
      <c r="U223" s="486">
        <v>0</v>
      </c>
      <c r="V223" s="282"/>
      <c r="W223" s="282">
        <f>O223/N223</f>
        <v>3127.953940153533</v>
      </c>
      <c r="X223" s="282"/>
      <c r="Y223" s="24"/>
      <c r="Z223" s="24"/>
      <c r="AA223" s="8"/>
      <c r="AB223" s="8"/>
    </row>
    <row r="224" spans="1:28" s="5" customFormat="1">
      <c r="A224" s="430">
        <v>204</v>
      </c>
      <c r="B224" s="446" t="s">
        <v>562</v>
      </c>
      <c r="C224" s="441">
        <f>'часть 1'!L233</f>
        <v>2211975</v>
      </c>
      <c r="D224" s="441">
        <f t="shared" ref="D224:D231" si="8">E224+F224+G224+H224+I224+J224+K224</f>
        <v>0</v>
      </c>
      <c r="E224" s="441">
        <v>0</v>
      </c>
      <c r="F224" s="441">
        <v>0</v>
      </c>
      <c r="G224" s="441">
        <v>0</v>
      </c>
      <c r="H224" s="441">
        <v>0</v>
      </c>
      <c r="I224" s="441">
        <v>0</v>
      </c>
      <c r="J224" s="441">
        <v>0</v>
      </c>
      <c r="K224" s="441">
        <v>0</v>
      </c>
      <c r="L224" s="482">
        <v>0</v>
      </c>
      <c r="M224" s="441">
        <v>0</v>
      </c>
      <c r="N224" s="441">
        <v>893.8</v>
      </c>
      <c r="O224" s="441">
        <v>2211975</v>
      </c>
      <c r="P224" s="482">
        <v>0</v>
      </c>
      <c r="Q224" s="441">
        <v>0</v>
      </c>
      <c r="R224" s="483">
        <v>0</v>
      </c>
      <c r="S224" s="484">
        <v>0</v>
      </c>
      <c r="T224" s="485">
        <v>0</v>
      </c>
      <c r="U224" s="486">
        <v>0</v>
      </c>
      <c r="V224" s="282"/>
      <c r="W224" s="282">
        <f t="shared" ref="W224:W231" si="9">O224/N224</f>
        <v>2474.7986126650258</v>
      </c>
      <c r="X224" s="282"/>
      <c r="Y224" s="24"/>
      <c r="Z224" s="24"/>
      <c r="AA224" s="8"/>
      <c r="AB224" s="8"/>
    </row>
    <row r="225" spans="1:30" s="5" customFormat="1">
      <c r="A225" s="430">
        <v>205</v>
      </c>
      <c r="B225" s="446" t="s">
        <v>563</v>
      </c>
      <c r="C225" s="441">
        <f>'часть 1'!L234</f>
        <v>4161815</v>
      </c>
      <c r="D225" s="441">
        <f t="shared" si="8"/>
        <v>4161815</v>
      </c>
      <c r="E225" s="441">
        <v>0</v>
      </c>
      <c r="F225" s="441">
        <v>4161815</v>
      </c>
      <c r="G225" s="441">
        <v>0</v>
      </c>
      <c r="H225" s="441">
        <v>0</v>
      </c>
      <c r="I225" s="441">
        <v>0</v>
      </c>
      <c r="J225" s="441">
        <v>0</v>
      </c>
      <c r="K225" s="441">
        <v>0</v>
      </c>
      <c r="L225" s="482">
        <v>0</v>
      </c>
      <c r="M225" s="441">
        <v>0</v>
      </c>
      <c r="N225" s="441">
        <v>0</v>
      </c>
      <c r="O225" s="441">
        <v>0</v>
      </c>
      <c r="P225" s="482">
        <v>0</v>
      </c>
      <c r="Q225" s="441">
        <v>0</v>
      </c>
      <c r="R225" s="483">
        <v>0</v>
      </c>
      <c r="S225" s="484">
        <v>0</v>
      </c>
      <c r="T225" s="485">
        <v>0</v>
      </c>
      <c r="U225" s="486">
        <v>0</v>
      </c>
      <c r="V225" s="282"/>
      <c r="W225" s="282"/>
      <c r="X225" s="282"/>
      <c r="Y225" s="24"/>
      <c r="Z225" s="24"/>
      <c r="AA225" s="8">
        <f>F225/'часть 1'!I234</f>
        <v>961.55792246199348</v>
      </c>
      <c r="AB225" s="8"/>
    </row>
    <row r="226" spans="1:30" s="5" customFormat="1">
      <c r="A226" s="430">
        <v>206</v>
      </c>
      <c r="B226" s="447" t="s">
        <v>564</v>
      </c>
      <c r="C226" s="441">
        <f>'часть 1'!L235</f>
        <v>2678707</v>
      </c>
      <c r="D226" s="441">
        <f t="shared" si="8"/>
        <v>2678707</v>
      </c>
      <c r="E226" s="441">
        <v>0</v>
      </c>
      <c r="F226" s="441">
        <v>2678707</v>
      </c>
      <c r="G226" s="441">
        <v>0</v>
      </c>
      <c r="H226" s="441">
        <v>0</v>
      </c>
      <c r="I226" s="441">
        <v>0</v>
      </c>
      <c r="J226" s="441">
        <v>0</v>
      </c>
      <c r="K226" s="441">
        <v>0</v>
      </c>
      <c r="L226" s="482">
        <v>0</v>
      </c>
      <c r="M226" s="441">
        <v>0</v>
      </c>
      <c r="N226" s="441">
        <v>0</v>
      </c>
      <c r="O226" s="441">
        <v>0</v>
      </c>
      <c r="P226" s="482">
        <v>0</v>
      </c>
      <c r="Q226" s="441">
        <v>0</v>
      </c>
      <c r="R226" s="483">
        <v>0</v>
      </c>
      <c r="S226" s="484">
        <v>0</v>
      </c>
      <c r="T226" s="485">
        <v>0</v>
      </c>
      <c r="U226" s="486">
        <v>0</v>
      </c>
      <c r="V226" s="282"/>
      <c r="W226" s="282"/>
      <c r="X226" s="282"/>
      <c r="Y226" s="24"/>
      <c r="Z226" s="24"/>
      <c r="AA226" s="8">
        <f>F226/'часть 1'!I235</f>
        <v>993.40144631930275</v>
      </c>
      <c r="AB226" s="8"/>
    </row>
    <row r="227" spans="1:30" s="5" customFormat="1">
      <c r="A227" s="430">
        <v>207</v>
      </c>
      <c r="B227" s="446" t="s">
        <v>560</v>
      </c>
      <c r="C227" s="441">
        <f>'часть 1'!L236</f>
        <v>2783301</v>
      </c>
      <c r="D227" s="441">
        <f t="shared" si="8"/>
        <v>2783301</v>
      </c>
      <c r="E227" s="441">
        <v>0</v>
      </c>
      <c r="F227" s="441">
        <v>2783301</v>
      </c>
      <c r="G227" s="441">
        <v>0</v>
      </c>
      <c r="H227" s="441">
        <v>0</v>
      </c>
      <c r="I227" s="441">
        <v>0</v>
      </c>
      <c r="J227" s="441">
        <v>0</v>
      </c>
      <c r="K227" s="441">
        <v>0</v>
      </c>
      <c r="L227" s="482">
        <v>0</v>
      </c>
      <c r="M227" s="441">
        <v>0</v>
      </c>
      <c r="N227" s="439">
        <v>0</v>
      </c>
      <c r="O227" s="441">
        <v>0</v>
      </c>
      <c r="P227" s="482">
        <v>0</v>
      </c>
      <c r="Q227" s="441">
        <v>0</v>
      </c>
      <c r="R227" s="483">
        <v>0</v>
      </c>
      <c r="S227" s="484">
        <v>0</v>
      </c>
      <c r="T227" s="485">
        <v>0</v>
      </c>
      <c r="U227" s="486">
        <v>0</v>
      </c>
      <c r="V227" s="282"/>
      <c r="W227" s="282"/>
      <c r="X227" s="282"/>
      <c r="Y227" s="24"/>
      <c r="Z227" s="24"/>
      <c r="AA227" s="8">
        <f>F227/'часть 1'!I236</f>
        <v>988.49344745533972</v>
      </c>
      <c r="AB227" s="8"/>
    </row>
    <row r="228" spans="1:30" s="5" customFormat="1">
      <c r="A228" s="430">
        <v>208</v>
      </c>
      <c r="B228" s="446" t="s">
        <v>565</v>
      </c>
      <c r="C228" s="441">
        <f>'часть 1'!L237</f>
        <v>3450795</v>
      </c>
      <c r="D228" s="441">
        <f t="shared" si="8"/>
        <v>0</v>
      </c>
      <c r="E228" s="441">
        <v>0</v>
      </c>
      <c r="F228" s="441">
        <v>0</v>
      </c>
      <c r="G228" s="441">
        <v>0</v>
      </c>
      <c r="H228" s="441">
        <v>0</v>
      </c>
      <c r="I228" s="441">
        <v>0</v>
      </c>
      <c r="J228" s="441">
        <v>0</v>
      </c>
      <c r="K228" s="441">
        <v>0</v>
      </c>
      <c r="L228" s="482">
        <v>0</v>
      </c>
      <c r="M228" s="441">
        <v>0</v>
      </c>
      <c r="N228" s="441">
        <v>1097.9000000000001</v>
      </c>
      <c r="O228" s="441">
        <v>3450795</v>
      </c>
      <c r="P228" s="482">
        <v>0</v>
      </c>
      <c r="Q228" s="441">
        <v>0</v>
      </c>
      <c r="R228" s="483">
        <v>0</v>
      </c>
      <c r="S228" s="484">
        <v>0</v>
      </c>
      <c r="T228" s="485">
        <v>0</v>
      </c>
      <c r="U228" s="486">
        <v>0</v>
      </c>
      <c r="V228" s="282"/>
      <c r="W228" s="282">
        <f t="shared" si="9"/>
        <v>3143.0868020766916</v>
      </c>
      <c r="X228" s="282"/>
      <c r="Y228" s="24"/>
      <c r="Z228" s="24"/>
      <c r="AA228" s="8"/>
      <c r="AB228" s="8"/>
    </row>
    <row r="229" spans="1:30" s="5" customFormat="1">
      <c r="A229" s="430">
        <v>209</v>
      </c>
      <c r="B229" s="446" t="s">
        <v>566</v>
      </c>
      <c r="C229" s="441">
        <f>'часть 1'!L238</f>
        <v>919216</v>
      </c>
      <c r="D229" s="441">
        <f t="shared" si="8"/>
        <v>0</v>
      </c>
      <c r="E229" s="441">
        <v>0</v>
      </c>
      <c r="F229" s="441">
        <v>0</v>
      </c>
      <c r="G229" s="441">
        <v>0</v>
      </c>
      <c r="H229" s="441">
        <v>0</v>
      </c>
      <c r="I229" s="441">
        <v>0</v>
      </c>
      <c r="J229" s="441">
        <v>0</v>
      </c>
      <c r="K229" s="441">
        <v>0</v>
      </c>
      <c r="L229" s="482">
        <v>0</v>
      </c>
      <c r="M229" s="441">
        <v>0</v>
      </c>
      <c r="N229" s="441">
        <v>288</v>
      </c>
      <c r="O229" s="441">
        <v>919216</v>
      </c>
      <c r="P229" s="482">
        <v>0</v>
      </c>
      <c r="Q229" s="441">
        <v>0</v>
      </c>
      <c r="R229" s="483">
        <v>0</v>
      </c>
      <c r="S229" s="484">
        <v>0</v>
      </c>
      <c r="T229" s="485">
        <v>0</v>
      </c>
      <c r="U229" s="486">
        <v>0</v>
      </c>
      <c r="V229" s="282"/>
      <c r="W229" s="282">
        <f t="shared" si="9"/>
        <v>3191.7222222222222</v>
      </c>
      <c r="X229" s="282"/>
      <c r="Y229" s="24"/>
      <c r="Z229" s="24"/>
      <c r="AA229" s="8"/>
      <c r="AB229" s="8"/>
    </row>
    <row r="230" spans="1:30" s="5" customFormat="1">
      <c r="A230" s="430">
        <v>210</v>
      </c>
      <c r="B230" s="446" t="s">
        <v>567</v>
      </c>
      <c r="C230" s="441">
        <f>'часть 1'!L239</f>
        <v>2376610</v>
      </c>
      <c r="D230" s="441">
        <f t="shared" si="8"/>
        <v>0</v>
      </c>
      <c r="E230" s="441">
        <v>0</v>
      </c>
      <c r="F230" s="441">
        <v>0</v>
      </c>
      <c r="G230" s="441">
        <v>0</v>
      </c>
      <c r="H230" s="441">
        <v>0</v>
      </c>
      <c r="I230" s="441">
        <v>0</v>
      </c>
      <c r="J230" s="441">
        <v>0</v>
      </c>
      <c r="K230" s="441">
        <v>0</v>
      </c>
      <c r="L230" s="482">
        <v>0</v>
      </c>
      <c r="M230" s="441">
        <v>0</v>
      </c>
      <c r="N230" s="441">
        <v>960</v>
      </c>
      <c r="O230" s="441">
        <v>2376610</v>
      </c>
      <c r="P230" s="482">
        <v>0</v>
      </c>
      <c r="Q230" s="441">
        <v>0</v>
      </c>
      <c r="R230" s="483">
        <v>0</v>
      </c>
      <c r="S230" s="484">
        <v>0</v>
      </c>
      <c r="T230" s="485">
        <v>0</v>
      </c>
      <c r="U230" s="486">
        <v>0</v>
      </c>
      <c r="V230" s="282"/>
      <c r="W230" s="282">
        <f t="shared" si="9"/>
        <v>2475.6354166666665</v>
      </c>
      <c r="X230" s="282"/>
      <c r="Y230" s="24"/>
      <c r="Z230" s="24"/>
      <c r="AA230" s="8"/>
      <c r="AB230" s="8"/>
    </row>
    <row r="231" spans="1:30" s="5" customFormat="1">
      <c r="A231" s="430">
        <v>211</v>
      </c>
      <c r="B231" s="446" t="s">
        <v>568</v>
      </c>
      <c r="C231" s="441">
        <f>'часть 1'!L240</f>
        <v>3892061</v>
      </c>
      <c r="D231" s="441">
        <f t="shared" si="8"/>
        <v>0</v>
      </c>
      <c r="E231" s="441">
        <v>0</v>
      </c>
      <c r="F231" s="441">
        <v>0</v>
      </c>
      <c r="G231" s="441">
        <v>0</v>
      </c>
      <c r="H231" s="441">
        <v>0</v>
      </c>
      <c r="I231" s="441">
        <v>0</v>
      </c>
      <c r="J231" s="441">
        <v>0</v>
      </c>
      <c r="K231" s="441">
        <v>0</v>
      </c>
      <c r="L231" s="482">
        <v>0</v>
      </c>
      <c r="M231" s="441">
        <v>0</v>
      </c>
      <c r="N231" s="441">
        <v>1579</v>
      </c>
      <c r="O231" s="441">
        <v>3892061</v>
      </c>
      <c r="P231" s="482">
        <v>0</v>
      </c>
      <c r="Q231" s="441">
        <v>0</v>
      </c>
      <c r="R231" s="483">
        <v>0</v>
      </c>
      <c r="S231" s="484">
        <v>0</v>
      </c>
      <c r="T231" s="485">
        <v>0</v>
      </c>
      <c r="U231" s="486">
        <v>0</v>
      </c>
      <c r="V231" s="282"/>
      <c r="W231" s="282">
        <f t="shared" si="9"/>
        <v>2464.8898036732107</v>
      </c>
      <c r="X231" s="282"/>
      <c r="Y231" s="6"/>
      <c r="Z231" s="6"/>
      <c r="AA231" s="7"/>
      <c r="AB231" s="7"/>
    </row>
    <row r="232" spans="1:30" s="5" customFormat="1">
      <c r="A232" s="430"/>
      <c r="B232" s="438"/>
      <c r="C232" s="441"/>
      <c r="D232" s="441"/>
      <c r="E232" s="441"/>
      <c r="F232" s="441"/>
      <c r="G232" s="441"/>
      <c r="H232" s="441"/>
      <c r="I232" s="441"/>
      <c r="J232" s="441"/>
      <c r="K232" s="441"/>
      <c r="L232" s="482"/>
      <c r="M232" s="441"/>
      <c r="N232" s="441"/>
      <c r="O232" s="441"/>
      <c r="P232" s="482"/>
      <c r="Q232" s="441"/>
      <c r="R232" s="483"/>
      <c r="S232" s="484"/>
      <c r="T232" s="485"/>
      <c r="U232" s="486"/>
      <c r="V232" s="282"/>
      <c r="W232" s="282"/>
      <c r="X232" s="282"/>
      <c r="Y232" s="24"/>
      <c r="Z232" s="24"/>
      <c r="AA232" s="8"/>
      <c r="AB232" s="8"/>
    </row>
    <row r="233" spans="1:30" s="5" customFormat="1">
      <c r="A233" s="430"/>
      <c r="B233" s="438"/>
      <c r="C233" s="441"/>
      <c r="D233" s="441"/>
      <c r="E233" s="441"/>
      <c r="F233" s="441"/>
      <c r="G233" s="441"/>
      <c r="H233" s="441"/>
      <c r="I233" s="441"/>
      <c r="J233" s="441"/>
      <c r="K233" s="441"/>
      <c r="L233" s="482"/>
      <c r="M233" s="441"/>
      <c r="N233" s="441"/>
      <c r="O233" s="441"/>
      <c r="P233" s="482"/>
      <c r="Q233" s="441"/>
      <c r="R233" s="483"/>
      <c r="S233" s="484"/>
      <c r="T233" s="485"/>
      <c r="U233" s="486"/>
      <c r="V233" s="282"/>
      <c r="W233" s="282"/>
      <c r="X233" s="282"/>
      <c r="Y233" s="24"/>
      <c r="Z233" s="24"/>
      <c r="AA233" s="8"/>
      <c r="AB233" s="8"/>
    </row>
    <row r="234" spans="1:30" s="5" customFormat="1">
      <c r="A234" s="430"/>
      <c r="B234" s="448"/>
      <c r="C234" s="441"/>
      <c r="D234" s="441"/>
      <c r="E234" s="441"/>
      <c r="F234" s="441"/>
      <c r="G234" s="441"/>
      <c r="H234" s="441"/>
      <c r="I234" s="441"/>
      <c r="J234" s="441"/>
      <c r="K234" s="441"/>
      <c r="L234" s="482"/>
      <c r="M234" s="441"/>
      <c r="N234" s="441"/>
      <c r="O234" s="441"/>
      <c r="P234" s="482"/>
      <c r="Q234" s="441"/>
      <c r="R234" s="483"/>
      <c r="S234" s="484"/>
      <c r="T234" s="485"/>
      <c r="U234" s="486"/>
      <c r="V234" s="282"/>
      <c r="W234" s="282"/>
      <c r="X234" s="282"/>
      <c r="Y234" s="24"/>
      <c r="Z234" s="24"/>
      <c r="AA234" s="8"/>
      <c r="AB234" s="8"/>
    </row>
    <row r="235" spans="1:30" ht="18.75" customHeight="1">
      <c r="A235" s="430"/>
      <c r="B235" s="431" t="s">
        <v>123</v>
      </c>
      <c r="C235" s="432">
        <f>C236+C237+C238+C239+C240</f>
        <v>11767484</v>
      </c>
      <c r="D235" s="432">
        <f t="shared" ref="D235:V235" si="10">D236+D237+D238+D239+D240</f>
        <v>3530005</v>
      </c>
      <c r="E235" s="432">
        <f t="shared" si="10"/>
        <v>0</v>
      </c>
      <c r="F235" s="432">
        <f t="shared" si="10"/>
        <v>0</v>
      </c>
      <c r="G235" s="432">
        <f t="shared" si="10"/>
        <v>0</v>
      </c>
      <c r="H235" s="432">
        <f t="shared" si="10"/>
        <v>0</v>
      </c>
      <c r="I235" s="432">
        <f t="shared" si="10"/>
        <v>0</v>
      </c>
      <c r="J235" s="432">
        <f t="shared" si="10"/>
        <v>3530005</v>
      </c>
      <c r="K235" s="432">
        <f t="shared" si="10"/>
        <v>0</v>
      </c>
      <c r="L235" s="432">
        <f t="shared" si="10"/>
        <v>0</v>
      </c>
      <c r="M235" s="432">
        <f t="shared" si="10"/>
        <v>0</v>
      </c>
      <c r="N235" s="432">
        <f t="shared" si="10"/>
        <v>3330.7000000000003</v>
      </c>
      <c r="O235" s="432">
        <f t="shared" si="10"/>
        <v>8237479</v>
      </c>
      <c r="P235" s="432">
        <f t="shared" si="10"/>
        <v>0</v>
      </c>
      <c r="Q235" s="432">
        <f t="shared" si="10"/>
        <v>0</v>
      </c>
      <c r="R235" s="432">
        <f t="shared" si="10"/>
        <v>0</v>
      </c>
      <c r="S235" s="432">
        <f t="shared" si="10"/>
        <v>0</v>
      </c>
      <c r="T235" s="432">
        <f t="shared" si="10"/>
        <v>0</v>
      </c>
      <c r="U235" s="432">
        <f t="shared" si="10"/>
        <v>0</v>
      </c>
      <c r="V235" s="432">
        <f t="shared" si="10"/>
        <v>0</v>
      </c>
      <c r="W235" s="282"/>
      <c r="X235" s="282"/>
    </row>
    <row r="236" spans="1:30">
      <c r="A236" s="430">
        <v>215</v>
      </c>
      <c r="B236" s="464" t="s">
        <v>732</v>
      </c>
      <c r="C236" s="432">
        <f>'часть 1'!L245</f>
        <v>3438972</v>
      </c>
      <c r="D236" s="432">
        <f>E236+F236+G236+H236+I236+J236+K236</f>
        <v>0</v>
      </c>
      <c r="E236" s="432">
        <v>0</v>
      </c>
      <c r="F236" s="432">
        <v>0</v>
      </c>
      <c r="G236" s="432">
        <v>0</v>
      </c>
      <c r="H236" s="432">
        <v>0</v>
      </c>
      <c r="I236" s="432">
        <v>0</v>
      </c>
      <c r="J236" s="432">
        <v>0</v>
      </c>
      <c r="K236" s="556">
        <v>0</v>
      </c>
      <c r="L236" s="647">
        <v>0</v>
      </c>
      <c r="M236" s="435">
        <v>0</v>
      </c>
      <c r="N236" s="435">
        <v>1392.8</v>
      </c>
      <c r="O236" s="435">
        <v>3438972</v>
      </c>
      <c r="P236" s="647">
        <v>0</v>
      </c>
      <c r="Q236" s="435">
        <v>0</v>
      </c>
      <c r="R236" s="648">
        <v>0</v>
      </c>
      <c r="S236" s="435">
        <v>0</v>
      </c>
      <c r="T236" s="647">
        <v>0</v>
      </c>
      <c r="U236" s="486">
        <v>0</v>
      </c>
      <c r="V236" s="282"/>
      <c r="W236" s="282">
        <f>O236/N236</f>
        <v>2469.1068351522113</v>
      </c>
      <c r="X236" s="282"/>
    </row>
    <row r="237" spans="1:30">
      <c r="A237" s="430">
        <v>216</v>
      </c>
      <c r="B237" s="464" t="s">
        <v>363</v>
      </c>
      <c r="C237" s="432">
        <f>'часть 1'!L246</f>
        <v>2804575</v>
      </c>
      <c r="D237" s="432">
        <f t="shared" ref="D237:D240" si="11">E237+F237+G237+H237+I237+J237+K237</f>
        <v>0</v>
      </c>
      <c r="E237" s="432">
        <v>0</v>
      </c>
      <c r="F237" s="432">
        <v>0</v>
      </c>
      <c r="G237" s="432">
        <v>0</v>
      </c>
      <c r="H237" s="432">
        <v>0</v>
      </c>
      <c r="I237" s="432">
        <v>0</v>
      </c>
      <c r="J237" s="432">
        <v>0</v>
      </c>
      <c r="K237" s="556">
        <v>0</v>
      </c>
      <c r="L237" s="647">
        <v>0</v>
      </c>
      <c r="M237" s="435">
        <v>0</v>
      </c>
      <c r="N237" s="435">
        <v>1134</v>
      </c>
      <c r="O237" s="435">
        <v>2804575</v>
      </c>
      <c r="P237" s="647">
        <v>0</v>
      </c>
      <c r="Q237" s="435">
        <v>0</v>
      </c>
      <c r="R237" s="648">
        <v>0</v>
      </c>
      <c r="S237" s="435">
        <v>0</v>
      </c>
      <c r="T237" s="647">
        <v>0</v>
      </c>
      <c r="U237" s="486">
        <v>0</v>
      </c>
      <c r="V237" s="282"/>
      <c r="W237" s="282">
        <f>O237/N237</f>
        <v>2473.1701940035273</v>
      </c>
      <c r="X237" s="282"/>
    </row>
    <row r="238" spans="1:30">
      <c r="A238" s="430">
        <v>217</v>
      </c>
      <c r="B238" s="464" t="s">
        <v>733</v>
      </c>
      <c r="C238" s="432">
        <f>'часть 1'!L247</f>
        <v>1993932</v>
      </c>
      <c r="D238" s="432">
        <f t="shared" si="11"/>
        <v>0</v>
      </c>
      <c r="E238" s="432">
        <v>0</v>
      </c>
      <c r="F238" s="432">
        <v>0</v>
      </c>
      <c r="G238" s="432">
        <v>0</v>
      </c>
      <c r="H238" s="432">
        <v>0</v>
      </c>
      <c r="I238" s="432">
        <v>0</v>
      </c>
      <c r="J238" s="432">
        <v>0</v>
      </c>
      <c r="K238" s="432">
        <v>0</v>
      </c>
      <c r="L238" s="647">
        <v>0</v>
      </c>
      <c r="M238" s="435">
        <v>0</v>
      </c>
      <c r="N238" s="435">
        <v>803.9</v>
      </c>
      <c r="O238" s="435">
        <v>1993932</v>
      </c>
      <c r="P238" s="647">
        <v>0</v>
      </c>
      <c r="Q238" s="435">
        <v>0</v>
      </c>
      <c r="R238" s="648">
        <v>0</v>
      </c>
      <c r="S238" s="435">
        <v>0</v>
      </c>
      <c r="T238" s="647">
        <v>0</v>
      </c>
      <c r="U238" s="486">
        <v>0</v>
      </c>
      <c r="V238" s="282"/>
      <c r="W238" s="282">
        <f>O238/N238</f>
        <v>2480.3234233113571</v>
      </c>
      <c r="X238" s="282"/>
    </row>
    <row r="239" spans="1:30">
      <c r="A239" s="430">
        <v>218</v>
      </c>
      <c r="B239" s="464" t="s">
        <v>942</v>
      </c>
      <c r="C239" s="432">
        <f>'часть 1'!L248</f>
        <v>1656223</v>
      </c>
      <c r="D239" s="432">
        <f t="shared" si="11"/>
        <v>1656223</v>
      </c>
      <c r="E239" s="432">
        <v>0</v>
      </c>
      <c r="F239" s="432">
        <v>0</v>
      </c>
      <c r="G239" s="432">
        <v>0</v>
      </c>
      <c r="H239" s="432">
        <v>0</v>
      </c>
      <c r="I239" s="432">
        <v>0</v>
      </c>
      <c r="J239" s="432">
        <v>1656223</v>
      </c>
      <c r="K239" s="556">
        <v>0</v>
      </c>
      <c r="L239" s="647">
        <v>0</v>
      </c>
      <c r="M239" s="435">
        <v>0</v>
      </c>
      <c r="N239" s="435">
        <v>0</v>
      </c>
      <c r="O239" s="435">
        <v>0</v>
      </c>
      <c r="P239" s="647">
        <v>0</v>
      </c>
      <c r="Q239" s="435">
        <v>0</v>
      </c>
      <c r="R239" s="648">
        <v>0</v>
      </c>
      <c r="S239" s="435">
        <v>0</v>
      </c>
      <c r="T239" s="647">
        <v>0</v>
      </c>
      <c r="U239" s="486">
        <v>0</v>
      </c>
      <c r="V239" s="282"/>
      <c r="W239" s="282"/>
      <c r="X239" s="282"/>
      <c r="AD239" s="1">
        <f>J239/'часть 1'!I248</f>
        <v>464.30517787558523</v>
      </c>
    </row>
    <row r="240" spans="1:30">
      <c r="A240" s="430">
        <v>219</v>
      </c>
      <c r="B240" s="464" t="s">
        <v>357</v>
      </c>
      <c r="C240" s="432">
        <f>'часть 1'!L249</f>
        <v>1873782</v>
      </c>
      <c r="D240" s="432">
        <f t="shared" si="11"/>
        <v>1873782</v>
      </c>
      <c r="E240" s="432">
        <v>0</v>
      </c>
      <c r="F240" s="432">
        <v>0</v>
      </c>
      <c r="G240" s="432">
        <v>0</v>
      </c>
      <c r="H240" s="432">
        <v>0</v>
      </c>
      <c r="I240" s="432">
        <v>0</v>
      </c>
      <c r="J240" s="432">
        <v>1873782</v>
      </c>
      <c r="K240" s="432">
        <v>0</v>
      </c>
      <c r="L240" s="647">
        <v>0</v>
      </c>
      <c r="M240" s="435">
        <v>0</v>
      </c>
      <c r="N240" s="435">
        <v>0</v>
      </c>
      <c r="O240" s="435">
        <v>0</v>
      </c>
      <c r="P240" s="647">
        <v>0</v>
      </c>
      <c r="Q240" s="435">
        <v>0</v>
      </c>
      <c r="R240" s="648">
        <v>0</v>
      </c>
      <c r="S240" s="435">
        <v>0</v>
      </c>
      <c r="T240" s="647">
        <v>0</v>
      </c>
      <c r="U240" s="486">
        <v>0</v>
      </c>
      <c r="V240" s="282"/>
      <c r="W240" s="282"/>
      <c r="X240" s="282"/>
      <c r="AD240" s="1">
        <f>J240/'часть 1'!I249</f>
        <v>556.51381051381054</v>
      </c>
    </row>
    <row r="241" spans="1:25">
      <c r="A241" s="430"/>
      <c r="B241" s="464"/>
      <c r="C241" s="432"/>
      <c r="D241" s="432"/>
      <c r="E241" s="432"/>
      <c r="F241" s="432"/>
      <c r="G241" s="432"/>
      <c r="H241" s="432"/>
      <c r="I241" s="432"/>
      <c r="J241" s="432"/>
      <c r="K241" s="556"/>
      <c r="L241" s="647"/>
      <c r="M241" s="435"/>
      <c r="N241" s="435"/>
      <c r="O241" s="435"/>
      <c r="P241" s="647"/>
      <c r="Q241" s="435"/>
      <c r="R241" s="648"/>
      <c r="S241" s="435"/>
      <c r="T241" s="647"/>
      <c r="U241" s="486"/>
      <c r="V241" s="282"/>
      <c r="W241" s="282"/>
      <c r="X241" s="282"/>
    </row>
    <row r="242" spans="1:25">
      <c r="A242" s="430"/>
      <c r="B242" s="464"/>
      <c r="C242" s="432"/>
      <c r="D242" s="432"/>
      <c r="E242" s="432"/>
      <c r="F242" s="432"/>
      <c r="G242" s="432"/>
      <c r="H242" s="432"/>
      <c r="I242" s="432"/>
      <c r="J242" s="432"/>
      <c r="K242" s="432"/>
      <c r="L242" s="647"/>
      <c r="M242" s="435"/>
      <c r="N242" s="435"/>
      <c r="O242" s="435"/>
      <c r="P242" s="647"/>
      <c r="Q242" s="435"/>
      <c r="R242" s="648"/>
      <c r="S242" s="435"/>
      <c r="T242" s="647"/>
      <c r="U242" s="486"/>
      <c r="V242" s="282"/>
      <c r="W242" s="282"/>
      <c r="X242" s="282"/>
    </row>
    <row r="243" spans="1:25">
      <c r="A243" s="430"/>
      <c r="B243" s="464"/>
      <c r="C243" s="432"/>
      <c r="D243" s="432"/>
      <c r="E243" s="432"/>
      <c r="F243" s="432"/>
      <c r="G243" s="432"/>
      <c r="H243" s="432"/>
      <c r="I243" s="432"/>
      <c r="J243" s="432"/>
      <c r="K243" s="432"/>
      <c r="L243" s="647"/>
      <c r="M243" s="435"/>
      <c r="N243" s="435"/>
      <c r="O243" s="435"/>
      <c r="P243" s="647"/>
      <c r="Q243" s="435"/>
      <c r="R243" s="648"/>
      <c r="S243" s="435"/>
      <c r="T243" s="647"/>
      <c r="U243" s="486"/>
      <c r="V243" s="282"/>
      <c r="W243" s="282"/>
      <c r="X243" s="282"/>
    </row>
    <row r="244" spans="1:25">
      <c r="A244" s="430"/>
      <c r="B244" s="464"/>
      <c r="C244" s="432"/>
      <c r="D244" s="432"/>
      <c r="E244" s="432"/>
      <c r="F244" s="432"/>
      <c r="G244" s="432"/>
      <c r="H244" s="432"/>
      <c r="I244" s="432"/>
      <c r="J244" s="432"/>
      <c r="K244" s="556"/>
      <c r="L244" s="647"/>
      <c r="M244" s="435"/>
      <c r="N244" s="435"/>
      <c r="O244" s="435"/>
      <c r="P244" s="647"/>
      <c r="Q244" s="435"/>
      <c r="R244" s="648"/>
      <c r="S244" s="435"/>
      <c r="T244" s="647"/>
      <c r="U244" s="486"/>
      <c r="V244" s="282"/>
      <c r="W244" s="282"/>
      <c r="X244" s="282"/>
    </row>
    <row r="245" spans="1:25">
      <c r="A245" s="430"/>
      <c r="B245" s="464"/>
      <c r="C245" s="432"/>
      <c r="D245" s="432"/>
      <c r="E245" s="432"/>
      <c r="F245" s="432"/>
      <c r="G245" s="432"/>
      <c r="H245" s="432"/>
      <c r="I245" s="432"/>
      <c r="J245" s="432"/>
      <c r="K245" s="556"/>
      <c r="L245" s="647"/>
      <c r="M245" s="435"/>
      <c r="N245" s="435"/>
      <c r="O245" s="435"/>
      <c r="P245" s="647"/>
      <c r="Q245" s="435"/>
      <c r="R245" s="648"/>
      <c r="S245" s="435"/>
      <c r="T245" s="647"/>
      <c r="U245" s="486"/>
      <c r="V245" s="282"/>
      <c r="W245" s="282"/>
      <c r="X245" s="282"/>
    </row>
    <row r="246" spans="1:25">
      <c r="A246" s="430"/>
      <c r="B246" s="464"/>
      <c r="C246" s="432"/>
      <c r="D246" s="432"/>
      <c r="E246" s="432"/>
      <c r="F246" s="432"/>
      <c r="G246" s="432"/>
      <c r="H246" s="432"/>
      <c r="I246" s="432"/>
      <c r="J246" s="432"/>
      <c r="K246" s="556"/>
      <c r="L246" s="647"/>
      <c r="M246" s="435"/>
      <c r="N246" s="435"/>
      <c r="O246" s="435"/>
      <c r="P246" s="647"/>
      <c r="Q246" s="435"/>
      <c r="R246" s="648"/>
      <c r="S246" s="435"/>
      <c r="T246" s="647"/>
      <c r="U246" s="486"/>
      <c r="V246" s="282"/>
      <c r="W246" s="282"/>
      <c r="X246" s="282"/>
    </row>
    <row r="247" spans="1:25">
      <c r="A247" s="430"/>
      <c r="B247" s="464"/>
      <c r="C247" s="432"/>
      <c r="D247" s="432"/>
      <c r="E247" s="432"/>
      <c r="F247" s="432"/>
      <c r="G247" s="432"/>
      <c r="H247" s="432"/>
      <c r="I247" s="432"/>
      <c r="J247" s="432"/>
      <c r="K247" s="556"/>
      <c r="L247" s="647"/>
      <c r="M247" s="435"/>
      <c r="N247" s="435"/>
      <c r="O247" s="435"/>
      <c r="P247" s="647"/>
      <c r="Q247" s="435"/>
      <c r="R247" s="648"/>
      <c r="S247" s="435"/>
      <c r="T247" s="647"/>
      <c r="U247" s="486"/>
      <c r="V247" s="282"/>
      <c r="W247" s="282"/>
      <c r="X247" s="282"/>
    </row>
    <row r="248" spans="1:25" ht="21.6" customHeight="1">
      <c r="A248" s="430"/>
      <c r="B248" s="464" t="s">
        <v>864</v>
      </c>
      <c r="C248" s="432">
        <f>C249+C250</f>
        <v>2812692</v>
      </c>
      <c r="D248" s="432">
        <f t="shared" ref="D248:V248" si="12">D249+D250</f>
        <v>1007609</v>
      </c>
      <c r="E248" s="432">
        <f t="shared" si="12"/>
        <v>1007609</v>
      </c>
      <c r="F248" s="432">
        <f t="shared" si="12"/>
        <v>0</v>
      </c>
      <c r="G248" s="432">
        <f t="shared" si="12"/>
        <v>0</v>
      </c>
      <c r="H248" s="432">
        <f t="shared" si="12"/>
        <v>0</v>
      </c>
      <c r="I248" s="432">
        <f t="shared" si="12"/>
        <v>0</v>
      </c>
      <c r="J248" s="432">
        <f t="shared" si="12"/>
        <v>0</v>
      </c>
      <c r="K248" s="432">
        <f t="shared" si="12"/>
        <v>0</v>
      </c>
      <c r="L248" s="432">
        <f t="shared" si="12"/>
        <v>0</v>
      </c>
      <c r="M248" s="432">
        <f t="shared" si="12"/>
        <v>0</v>
      </c>
      <c r="N248" s="432">
        <f t="shared" si="12"/>
        <v>0</v>
      </c>
      <c r="O248" s="432">
        <f t="shared" si="12"/>
        <v>0</v>
      </c>
      <c r="P248" s="432">
        <f t="shared" si="12"/>
        <v>0</v>
      </c>
      <c r="Q248" s="432">
        <f t="shared" si="12"/>
        <v>0</v>
      </c>
      <c r="R248" s="432">
        <f t="shared" si="12"/>
        <v>1180.3</v>
      </c>
      <c r="S248" s="432">
        <f t="shared" si="12"/>
        <v>1805083</v>
      </c>
      <c r="T248" s="432">
        <f t="shared" si="12"/>
        <v>0</v>
      </c>
      <c r="U248" s="432">
        <f t="shared" si="12"/>
        <v>0</v>
      </c>
      <c r="V248" s="196">
        <f t="shared" si="12"/>
        <v>0</v>
      </c>
      <c r="W248" s="282"/>
      <c r="X248" s="282"/>
    </row>
    <row r="249" spans="1:25" ht="24" customHeight="1">
      <c r="A249" s="430"/>
      <c r="B249" s="464" t="s">
        <v>865</v>
      </c>
      <c r="C249" s="432">
        <f>'часть 1'!L258</f>
        <v>1914360</v>
      </c>
      <c r="D249" s="432">
        <f>E249+F249+G249+H249+I249+J249+K249</f>
        <v>1007609</v>
      </c>
      <c r="E249" s="432">
        <v>1007609</v>
      </c>
      <c r="F249" s="432">
        <v>0</v>
      </c>
      <c r="G249" s="432">
        <v>0</v>
      </c>
      <c r="H249" s="432">
        <v>0</v>
      </c>
      <c r="I249" s="432">
        <v>0</v>
      </c>
      <c r="J249" s="432">
        <v>0</v>
      </c>
      <c r="K249" s="556">
        <v>0</v>
      </c>
      <c r="L249" s="647">
        <v>0</v>
      </c>
      <c r="M249" s="435">
        <v>0</v>
      </c>
      <c r="N249" s="556">
        <v>0</v>
      </c>
      <c r="O249" s="556">
        <v>0</v>
      </c>
      <c r="P249" s="647">
        <v>0</v>
      </c>
      <c r="Q249" s="435">
        <v>0</v>
      </c>
      <c r="R249" s="924">
        <v>593</v>
      </c>
      <c r="S249" s="435">
        <v>906751</v>
      </c>
      <c r="T249" s="647">
        <v>0</v>
      </c>
      <c r="U249" s="486">
        <v>0</v>
      </c>
      <c r="V249" s="282"/>
      <c r="W249" s="282"/>
      <c r="X249" s="282">
        <f>S249/R249</f>
        <v>1529.0910623946038</v>
      </c>
      <c r="Y249" s="18">
        <f>E249/'часть 1'!I258</f>
        <v>666.18776859504135</v>
      </c>
    </row>
    <row r="250" spans="1:25" ht="18.600000000000001" customHeight="1">
      <c r="A250" s="430"/>
      <c r="B250" s="464" t="s">
        <v>866</v>
      </c>
      <c r="C250" s="432">
        <f>'часть 1'!L259</f>
        <v>898332</v>
      </c>
      <c r="D250" s="432">
        <f>E250+F250+G250+H250+I250+J250+K250</f>
        <v>0</v>
      </c>
      <c r="E250" s="432">
        <v>0</v>
      </c>
      <c r="F250" s="432">
        <v>0</v>
      </c>
      <c r="G250" s="432">
        <v>0</v>
      </c>
      <c r="H250" s="432">
        <v>0</v>
      </c>
      <c r="I250" s="432">
        <v>0</v>
      </c>
      <c r="J250" s="432">
        <v>0</v>
      </c>
      <c r="K250" s="556">
        <v>0</v>
      </c>
      <c r="L250" s="647">
        <v>0</v>
      </c>
      <c r="M250" s="435">
        <v>0</v>
      </c>
      <c r="N250" s="556">
        <v>0</v>
      </c>
      <c r="O250" s="556">
        <v>0</v>
      </c>
      <c r="P250" s="647">
        <v>0</v>
      </c>
      <c r="Q250" s="435">
        <v>0</v>
      </c>
      <c r="R250" s="924">
        <v>587.29999999999995</v>
      </c>
      <c r="S250" s="435">
        <v>898332</v>
      </c>
      <c r="T250" s="647">
        <v>0</v>
      </c>
      <c r="U250" s="486">
        <v>0</v>
      </c>
      <c r="V250" s="282"/>
      <c r="W250" s="282"/>
      <c r="X250" s="282">
        <f>S250/R250</f>
        <v>1529.5964583688065</v>
      </c>
    </row>
    <row r="251" spans="1:25" ht="18.75" customHeight="1">
      <c r="A251" s="430"/>
      <c r="B251" s="438" t="s">
        <v>72</v>
      </c>
      <c r="C251" s="432">
        <f>C252</f>
        <v>5868972</v>
      </c>
      <c r="D251" s="432">
        <f t="shared" ref="D251:U251" si="13">D252</f>
        <v>0</v>
      </c>
      <c r="E251" s="432">
        <f t="shared" si="13"/>
        <v>0</v>
      </c>
      <c r="F251" s="432">
        <f t="shared" si="13"/>
        <v>0</v>
      </c>
      <c r="G251" s="432">
        <f t="shared" si="13"/>
        <v>0</v>
      </c>
      <c r="H251" s="432">
        <f t="shared" si="13"/>
        <v>0</v>
      </c>
      <c r="I251" s="432">
        <f t="shared" si="13"/>
        <v>0</v>
      </c>
      <c r="J251" s="432">
        <f t="shared" si="13"/>
        <v>0</v>
      </c>
      <c r="K251" s="432">
        <f t="shared" si="13"/>
        <v>0</v>
      </c>
      <c r="L251" s="432">
        <f t="shared" si="13"/>
        <v>0</v>
      </c>
      <c r="M251" s="432">
        <f t="shared" si="13"/>
        <v>0</v>
      </c>
      <c r="N251" s="432">
        <f t="shared" si="13"/>
        <v>480</v>
      </c>
      <c r="O251" s="432">
        <f t="shared" si="13"/>
        <v>1516786</v>
      </c>
      <c r="P251" s="432">
        <f t="shared" si="13"/>
        <v>0</v>
      </c>
      <c r="Q251" s="432">
        <f t="shared" si="13"/>
        <v>0</v>
      </c>
      <c r="R251" s="432">
        <f t="shared" si="13"/>
        <v>2861</v>
      </c>
      <c r="S251" s="432">
        <f t="shared" si="13"/>
        <v>4352186</v>
      </c>
      <c r="T251" s="432">
        <f t="shared" si="13"/>
        <v>0</v>
      </c>
      <c r="U251" s="432">
        <f t="shared" si="13"/>
        <v>0</v>
      </c>
      <c r="V251" s="282"/>
      <c r="W251" s="282"/>
      <c r="X251" s="282"/>
    </row>
    <row r="252" spans="1:25" ht="30.75" customHeight="1">
      <c r="A252" s="430"/>
      <c r="B252" s="438" t="s">
        <v>95</v>
      </c>
      <c r="C252" s="432">
        <f>C253+C254+C255+C256+C257+C258+C259</f>
        <v>5868972</v>
      </c>
      <c r="D252" s="432">
        <f t="shared" ref="D252:V252" si="14">D253+D254+D255+D256+D257+D258+D259</f>
        <v>0</v>
      </c>
      <c r="E252" s="432">
        <f t="shared" si="14"/>
        <v>0</v>
      </c>
      <c r="F252" s="432">
        <f t="shared" si="14"/>
        <v>0</v>
      </c>
      <c r="G252" s="432">
        <f t="shared" si="14"/>
        <v>0</v>
      </c>
      <c r="H252" s="432">
        <f t="shared" si="14"/>
        <v>0</v>
      </c>
      <c r="I252" s="432">
        <f t="shared" si="14"/>
        <v>0</v>
      </c>
      <c r="J252" s="432">
        <f t="shared" si="14"/>
        <v>0</v>
      </c>
      <c r="K252" s="432">
        <f t="shared" si="14"/>
        <v>0</v>
      </c>
      <c r="L252" s="432">
        <f t="shared" si="14"/>
        <v>0</v>
      </c>
      <c r="M252" s="432">
        <f t="shared" si="14"/>
        <v>0</v>
      </c>
      <c r="N252" s="432">
        <f t="shared" si="14"/>
        <v>480</v>
      </c>
      <c r="O252" s="432">
        <f t="shared" si="14"/>
        <v>1516786</v>
      </c>
      <c r="P252" s="432">
        <f t="shared" si="14"/>
        <v>0</v>
      </c>
      <c r="Q252" s="432">
        <f t="shared" si="14"/>
        <v>0</v>
      </c>
      <c r="R252" s="432">
        <f t="shared" si="14"/>
        <v>2861</v>
      </c>
      <c r="S252" s="432">
        <f t="shared" si="14"/>
        <v>4352186</v>
      </c>
      <c r="T252" s="432">
        <f t="shared" si="14"/>
        <v>0</v>
      </c>
      <c r="U252" s="432">
        <f t="shared" si="14"/>
        <v>0</v>
      </c>
      <c r="V252" s="196">
        <f t="shared" si="14"/>
        <v>0</v>
      </c>
      <c r="W252" s="282"/>
      <c r="X252" s="282"/>
    </row>
    <row r="253" spans="1:25">
      <c r="A253" s="430">
        <v>1</v>
      </c>
      <c r="B253" s="467" t="s">
        <v>619</v>
      </c>
      <c r="C253" s="432">
        <f>'часть 1'!L262</f>
        <v>620394</v>
      </c>
      <c r="D253" s="432">
        <v>0</v>
      </c>
      <c r="E253" s="432">
        <v>0</v>
      </c>
      <c r="F253" s="432">
        <v>0</v>
      </c>
      <c r="G253" s="432">
        <v>0</v>
      </c>
      <c r="H253" s="432">
        <v>0</v>
      </c>
      <c r="I253" s="432">
        <v>0</v>
      </c>
      <c r="J253" s="432">
        <v>0</v>
      </c>
      <c r="K253" s="432">
        <v>0</v>
      </c>
      <c r="L253" s="463">
        <v>0</v>
      </c>
      <c r="M253" s="822">
        <v>0</v>
      </c>
      <c r="N253" s="441">
        <v>0</v>
      </c>
      <c r="O253" s="432">
        <v>0</v>
      </c>
      <c r="P253" s="463">
        <v>0</v>
      </c>
      <c r="Q253" s="432">
        <v>0</v>
      </c>
      <c r="R253" s="433">
        <v>408</v>
      </c>
      <c r="S253" s="432">
        <v>620394</v>
      </c>
      <c r="T253" s="463">
        <v>0</v>
      </c>
      <c r="U253" s="823">
        <v>0</v>
      </c>
      <c r="V253" s="282"/>
      <c r="W253" s="282"/>
      <c r="X253" s="282">
        <f>S253/R253</f>
        <v>1520.5735294117646</v>
      </c>
    </row>
    <row r="254" spans="1:25">
      <c r="A254" s="430">
        <v>2</v>
      </c>
      <c r="B254" s="467" t="s">
        <v>620</v>
      </c>
      <c r="C254" s="432">
        <f>'часть 1'!L263</f>
        <v>620324</v>
      </c>
      <c r="D254" s="432">
        <v>0</v>
      </c>
      <c r="E254" s="432">
        <v>0</v>
      </c>
      <c r="F254" s="432">
        <v>0</v>
      </c>
      <c r="G254" s="432">
        <v>0</v>
      </c>
      <c r="H254" s="432">
        <v>0</v>
      </c>
      <c r="I254" s="432">
        <v>0</v>
      </c>
      <c r="J254" s="432">
        <v>0</v>
      </c>
      <c r="K254" s="432">
        <v>0</v>
      </c>
      <c r="L254" s="463">
        <v>0</v>
      </c>
      <c r="M254" s="822">
        <v>0</v>
      </c>
      <c r="N254" s="441">
        <v>0</v>
      </c>
      <c r="O254" s="432">
        <v>0</v>
      </c>
      <c r="P254" s="463">
        <v>0</v>
      </c>
      <c r="Q254" s="432">
        <v>0</v>
      </c>
      <c r="R254" s="433">
        <v>408</v>
      </c>
      <c r="S254" s="432">
        <v>620324</v>
      </c>
      <c r="T254" s="463">
        <v>0</v>
      </c>
      <c r="U254" s="823">
        <v>0</v>
      </c>
      <c r="V254" s="282"/>
      <c r="W254" s="282"/>
      <c r="X254" s="282">
        <f t="shared" ref="X254:X259" si="15">S254/R254</f>
        <v>1520.4019607843138</v>
      </c>
    </row>
    <row r="255" spans="1:25">
      <c r="A255" s="430">
        <v>3</v>
      </c>
      <c r="B255" s="467" t="s">
        <v>621</v>
      </c>
      <c r="C255" s="432">
        <f>'часть 1'!L264</f>
        <v>626838</v>
      </c>
      <c r="D255" s="432">
        <v>0</v>
      </c>
      <c r="E255" s="432">
        <v>0</v>
      </c>
      <c r="F255" s="432">
        <v>0</v>
      </c>
      <c r="G255" s="432">
        <v>0</v>
      </c>
      <c r="H255" s="432">
        <v>0</v>
      </c>
      <c r="I255" s="432">
        <v>0</v>
      </c>
      <c r="J255" s="432">
        <v>0</v>
      </c>
      <c r="K255" s="432">
        <v>0</v>
      </c>
      <c r="L255" s="463">
        <v>0</v>
      </c>
      <c r="M255" s="822">
        <v>0</v>
      </c>
      <c r="N255" s="441">
        <v>0</v>
      </c>
      <c r="O255" s="432">
        <v>0</v>
      </c>
      <c r="P255" s="463">
        <v>0</v>
      </c>
      <c r="Q255" s="432">
        <v>0</v>
      </c>
      <c r="R255" s="433">
        <v>412</v>
      </c>
      <c r="S255" s="432">
        <v>626838</v>
      </c>
      <c r="T255" s="463">
        <v>0</v>
      </c>
      <c r="U255" s="823">
        <v>0</v>
      </c>
      <c r="V255" s="282"/>
      <c r="W255" s="282"/>
      <c r="X255" s="282">
        <f t="shared" si="15"/>
        <v>1521.4514563106795</v>
      </c>
    </row>
    <row r="256" spans="1:25">
      <c r="A256" s="430">
        <v>4</v>
      </c>
      <c r="B256" s="467" t="s">
        <v>622</v>
      </c>
      <c r="C256" s="432">
        <f>'часть 1'!L265</f>
        <v>2055193</v>
      </c>
      <c r="D256" s="432">
        <v>0</v>
      </c>
      <c r="E256" s="432">
        <v>0</v>
      </c>
      <c r="F256" s="432">
        <v>0</v>
      </c>
      <c r="G256" s="432">
        <v>0</v>
      </c>
      <c r="H256" s="432">
        <v>0</v>
      </c>
      <c r="I256" s="432">
        <v>0</v>
      </c>
      <c r="J256" s="432">
        <v>0</v>
      </c>
      <c r="K256" s="432">
        <v>0</v>
      </c>
      <c r="L256" s="463">
        <v>0</v>
      </c>
      <c r="M256" s="822">
        <v>0</v>
      </c>
      <c r="N256" s="441">
        <v>480</v>
      </c>
      <c r="O256" s="432">
        <v>1516786</v>
      </c>
      <c r="P256" s="463">
        <v>0</v>
      </c>
      <c r="Q256" s="432">
        <v>0</v>
      </c>
      <c r="R256" s="433">
        <v>352</v>
      </c>
      <c r="S256" s="432">
        <v>538407</v>
      </c>
      <c r="T256" s="463">
        <v>0</v>
      </c>
      <c r="U256" s="823">
        <v>0</v>
      </c>
      <c r="V256" s="282"/>
      <c r="W256" s="282">
        <f>O256/N256</f>
        <v>3159.9708333333333</v>
      </c>
      <c r="X256" s="282">
        <f t="shared" si="15"/>
        <v>1529.565340909091</v>
      </c>
    </row>
    <row r="257" spans="1:30">
      <c r="A257" s="430">
        <v>5</v>
      </c>
      <c r="B257" s="467" t="s">
        <v>392</v>
      </c>
      <c r="C257" s="432">
        <f>'часть 1'!L266</f>
        <v>626290</v>
      </c>
      <c r="D257" s="432">
        <v>0</v>
      </c>
      <c r="E257" s="432">
        <v>0</v>
      </c>
      <c r="F257" s="432">
        <v>0</v>
      </c>
      <c r="G257" s="432">
        <v>0</v>
      </c>
      <c r="H257" s="432">
        <v>0</v>
      </c>
      <c r="I257" s="432">
        <v>0</v>
      </c>
      <c r="J257" s="432">
        <v>0</v>
      </c>
      <c r="K257" s="432">
        <v>0</v>
      </c>
      <c r="L257" s="463">
        <v>0</v>
      </c>
      <c r="M257" s="822">
        <v>0</v>
      </c>
      <c r="N257" s="441">
        <v>0</v>
      </c>
      <c r="O257" s="432">
        <v>0</v>
      </c>
      <c r="P257" s="463">
        <v>0</v>
      </c>
      <c r="Q257" s="432">
        <v>0</v>
      </c>
      <c r="R257" s="433">
        <v>412</v>
      </c>
      <c r="S257" s="432">
        <v>626290</v>
      </c>
      <c r="T257" s="463">
        <v>0</v>
      </c>
      <c r="U257" s="823">
        <v>0</v>
      </c>
      <c r="V257" s="282"/>
      <c r="W257" s="282"/>
      <c r="X257" s="282">
        <f t="shared" si="15"/>
        <v>1520.1213592233009</v>
      </c>
    </row>
    <row r="258" spans="1:30">
      <c r="A258" s="430">
        <v>6</v>
      </c>
      <c r="B258" s="467" t="s">
        <v>623</v>
      </c>
      <c r="C258" s="432">
        <f>'часть 1'!L267</f>
        <v>555216</v>
      </c>
      <c r="D258" s="432">
        <v>0</v>
      </c>
      <c r="E258" s="432">
        <v>0</v>
      </c>
      <c r="F258" s="432">
        <v>0</v>
      </c>
      <c r="G258" s="432">
        <v>0</v>
      </c>
      <c r="H258" s="432">
        <v>0</v>
      </c>
      <c r="I258" s="432">
        <v>0</v>
      </c>
      <c r="J258" s="432">
        <v>0</v>
      </c>
      <c r="K258" s="432">
        <v>0</v>
      </c>
      <c r="L258" s="463">
        <v>0</v>
      </c>
      <c r="M258" s="822">
        <v>0</v>
      </c>
      <c r="N258" s="441">
        <v>0</v>
      </c>
      <c r="O258" s="432">
        <v>0</v>
      </c>
      <c r="P258" s="463">
        <v>0</v>
      </c>
      <c r="Q258" s="432">
        <v>0</v>
      </c>
      <c r="R258" s="433">
        <v>364</v>
      </c>
      <c r="S258" s="432">
        <v>555216</v>
      </c>
      <c r="T258" s="463">
        <v>0</v>
      </c>
      <c r="U258" s="823">
        <v>0</v>
      </c>
      <c r="V258" s="282"/>
      <c r="W258" s="282"/>
      <c r="X258" s="282">
        <f t="shared" si="15"/>
        <v>1525.3186813186812</v>
      </c>
    </row>
    <row r="259" spans="1:30">
      <c r="A259" s="430">
        <v>7</v>
      </c>
      <c r="B259" s="438" t="s">
        <v>628</v>
      </c>
      <c r="C259" s="432">
        <f>'часть 1'!L268</f>
        <v>764717</v>
      </c>
      <c r="D259" s="432">
        <v>0</v>
      </c>
      <c r="E259" s="432">
        <v>0</v>
      </c>
      <c r="F259" s="432">
        <v>0</v>
      </c>
      <c r="G259" s="432">
        <v>0</v>
      </c>
      <c r="H259" s="432">
        <v>0</v>
      </c>
      <c r="I259" s="432">
        <v>0</v>
      </c>
      <c r="J259" s="432">
        <v>0</v>
      </c>
      <c r="K259" s="432">
        <v>0</v>
      </c>
      <c r="L259" s="463">
        <v>0</v>
      </c>
      <c r="M259" s="822">
        <v>0</v>
      </c>
      <c r="N259" s="441">
        <v>0</v>
      </c>
      <c r="O259" s="432">
        <v>0</v>
      </c>
      <c r="P259" s="463">
        <v>0</v>
      </c>
      <c r="Q259" s="432">
        <v>0</v>
      </c>
      <c r="R259" s="433">
        <v>505</v>
      </c>
      <c r="S259" s="432">
        <v>764717</v>
      </c>
      <c r="T259" s="463"/>
      <c r="U259" s="823"/>
      <c r="V259" s="282"/>
      <c r="W259" s="282"/>
      <c r="X259" s="282">
        <f t="shared" si="15"/>
        <v>1514.2910891089109</v>
      </c>
    </row>
    <row r="260" spans="1:30">
      <c r="A260" s="198"/>
      <c r="B260" s="217" t="s">
        <v>41</v>
      </c>
      <c r="C260" s="192">
        <v>12161074</v>
      </c>
      <c r="D260" s="192"/>
      <c r="E260" s="192"/>
      <c r="F260" s="192"/>
      <c r="G260" s="192"/>
      <c r="H260" s="192"/>
      <c r="I260" s="192"/>
      <c r="J260" s="192"/>
      <c r="K260" s="192">
        <v>297717</v>
      </c>
      <c r="L260" s="205">
        <v>3</v>
      </c>
      <c r="M260" s="192">
        <v>5600526</v>
      </c>
      <c r="N260" s="192">
        <f>N261</f>
        <v>5180.68</v>
      </c>
      <c r="O260" s="192">
        <v>6262831</v>
      </c>
      <c r="P260" s="205">
        <v>0</v>
      </c>
      <c r="Q260" s="192">
        <v>0</v>
      </c>
      <c r="R260" s="193">
        <v>0</v>
      </c>
      <c r="S260" s="192">
        <v>0</v>
      </c>
      <c r="T260" s="205">
        <v>0</v>
      </c>
      <c r="U260" s="287">
        <v>0</v>
      </c>
      <c r="V260" s="282"/>
      <c r="W260" s="282"/>
      <c r="X260" s="282"/>
    </row>
    <row r="261" spans="1:30" ht="30">
      <c r="A261" s="198"/>
      <c r="B261" s="195" t="s">
        <v>96</v>
      </c>
      <c r="C261" s="196">
        <f>C262+C263+C264+C265+C266+C267+C268+C269+C270+C271</f>
        <v>22562280</v>
      </c>
      <c r="D261" s="196">
        <f t="shared" ref="D261:V261" si="16">D262+D263+D264+D265+D266+D267+D268+D269+D270+D271</f>
        <v>4389647</v>
      </c>
      <c r="E261" s="196">
        <f t="shared" si="16"/>
        <v>2047085</v>
      </c>
      <c r="F261" s="196">
        <f t="shared" si="16"/>
        <v>0</v>
      </c>
      <c r="G261" s="196">
        <f t="shared" si="16"/>
        <v>0</v>
      </c>
      <c r="H261" s="196">
        <f t="shared" si="16"/>
        <v>1420247</v>
      </c>
      <c r="I261" s="196">
        <f t="shared" si="16"/>
        <v>0</v>
      </c>
      <c r="J261" s="196">
        <f t="shared" si="16"/>
        <v>922315</v>
      </c>
      <c r="K261" s="196">
        <f t="shared" si="16"/>
        <v>0</v>
      </c>
      <c r="L261" s="196">
        <f t="shared" si="16"/>
        <v>0</v>
      </c>
      <c r="M261" s="196">
        <f t="shared" si="16"/>
        <v>0</v>
      </c>
      <c r="N261" s="196">
        <f t="shared" si="16"/>
        <v>5180.68</v>
      </c>
      <c r="O261" s="196">
        <f t="shared" si="16"/>
        <v>14270951</v>
      </c>
      <c r="P261" s="196">
        <f t="shared" si="16"/>
        <v>0</v>
      </c>
      <c r="Q261" s="196">
        <f t="shared" si="16"/>
        <v>0</v>
      </c>
      <c r="R261" s="196">
        <f t="shared" si="16"/>
        <v>2585.2599999999998</v>
      </c>
      <c r="S261" s="196">
        <f t="shared" si="16"/>
        <v>3901682</v>
      </c>
      <c r="T261" s="196">
        <f t="shared" si="16"/>
        <v>0</v>
      </c>
      <c r="U261" s="196">
        <f t="shared" si="16"/>
        <v>0</v>
      </c>
      <c r="V261" s="196">
        <f t="shared" si="16"/>
        <v>0</v>
      </c>
      <c r="W261" s="282"/>
      <c r="X261" s="282"/>
    </row>
    <row r="262" spans="1:30" ht="30">
      <c r="A262" s="198">
        <v>1</v>
      </c>
      <c r="B262" s="762" t="s">
        <v>813</v>
      </c>
      <c r="C262" s="196">
        <f>'часть 1'!L271</f>
        <v>2342562</v>
      </c>
      <c r="D262" s="196">
        <f>E262+F262+G262+H262+I262+J262+K262</f>
        <v>2342562</v>
      </c>
      <c r="E262" s="196">
        <v>0</v>
      </c>
      <c r="F262" s="196">
        <v>0</v>
      </c>
      <c r="G262" s="196">
        <v>0</v>
      </c>
      <c r="H262" s="196">
        <v>1420247</v>
      </c>
      <c r="I262" s="196">
        <v>0</v>
      </c>
      <c r="J262" s="196">
        <v>922315</v>
      </c>
      <c r="K262" s="196">
        <v>0</v>
      </c>
      <c r="L262" s="204">
        <v>0</v>
      </c>
      <c r="M262" s="199">
        <v>0</v>
      </c>
      <c r="N262" s="199">
        <v>0</v>
      </c>
      <c r="O262" s="196">
        <v>0</v>
      </c>
      <c r="P262" s="193">
        <v>0</v>
      </c>
      <c r="Q262" s="192">
        <v>0</v>
      </c>
      <c r="R262" s="193">
        <v>0</v>
      </c>
      <c r="S262" s="192">
        <v>0</v>
      </c>
      <c r="T262" s="205">
        <v>0</v>
      </c>
      <c r="U262" s="287">
        <v>0</v>
      </c>
      <c r="V262" s="282"/>
      <c r="W262" s="282"/>
      <c r="X262" s="282"/>
      <c r="AB262" s="1">
        <f>H262/'часть 1'!I271</f>
        <v>883.62284576619174</v>
      </c>
      <c r="AD262" s="1">
        <f>J262/'часть 1'!I271</f>
        <v>573.8287811858396</v>
      </c>
    </row>
    <row r="263" spans="1:30" ht="30">
      <c r="A263" s="198">
        <v>2</v>
      </c>
      <c r="B263" s="762" t="s">
        <v>814</v>
      </c>
      <c r="C263" s="196">
        <f>'часть 1'!L272</f>
        <v>2815415</v>
      </c>
      <c r="D263" s="196">
        <f t="shared" ref="D263:D271" si="17">E263+F263+G263+H263+I263+J263+K263</f>
        <v>0</v>
      </c>
      <c r="E263" s="196">
        <v>0</v>
      </c>
      <c r="F263" s="196">
        <v>0</v>
      </c>
      <c r="G263" s="196">
        <v>0</v>
      </c>
      <c r="H263" s="196">
        <v>0</v>
      </c>
      <c r="I263" s="196">
        <v>0</v>
      </c>
      <c r="J263" s="196">
        <v>0</v>
      </c>
      <c r="K263" s="196">
        <v>0</v>
      </c>
      <c r="L263" s="204">
        <v>0</v>
      </c>
      <c r="M263" s="199">
        <v>0</v>
      </c>
      <c r="N263" s="199">
        <v>892.68</v>
      </c>
      <c r="O263" s="196">
        <v>2815415</v>
      </c>
      <c r="P263" s="193">
        <v>0</v>
      </c>
      <c r="Q263" s="192">
        <v>0</v>
      </c>
      <c r="R263" s="193">
        <v>0</v>
      </c>
      <c r="S263" s="192">
        <v>0</v>
      </c>
      <c r="T263" s="205">
        <v>0</v>
      </c>
      <c r="U263" s="287">
        <v>0</v>
      </c>
      <c r="V263" s="282"/>
      <c r="W263" s="282">
        <f>O263/N263</f>
        <v>3153.8905318815255</v>
      </c>
      <c r="X263" s="282"/>
    </row>
    <row r="264" spans="1:30" ht="30">
      <c r="A264" s="198">
        <v>3</v>
      </c>
      <c r="B264" s="762" t="s">
        <v>815</v>
      </c>
      <c r="C264" s="196">
        <f>'часть 1'!L273</f>
        <v>3917668</v>
      </c>
      <c r="D264" s="196">
        <f t="shared" si="17"/>
        <v>0</v>
      </c>
      <c r="E264" s="196">
        <v>0</v>
      </c>
      <c r="F264" s="196">
        <v>0</v>
      </c>
      <c r="G264" s="196">
        <v>0</v>
      </c>
      <c r="H264" s="196">
        <v>0</v>
      </c>
      <c r="I264" s="196">
        <v>0</v>
      </c>
      <c r="J264" s="196">
        <v>0</v>
      </c>
      <c r="K264" s="196">
        <v>0</v>
      </c>
      <c r="L264" s="204">
        <v>0</v>
      </c>
      <c r="M264" s="199">
        <v>0</v>
      </c>
      <c r="N264" s="199">
        <v>1235</v>
      </c>
      <c r="O264" s="196">
        <v>3917668</v>
      </c>
      <c r="P264" s="193">
        <v>0</v>
      </c>
      <c r="Q264" s="192">
        <v>0</v>
      </c>
      <c r="R264" s="193">
        <v>0</v>
      </c>
      <c r="S264" s="192">
        <v>0</v>
      </c>
      <c r="T264" s="205">
        <v>0</v>
      </c>
      <c r="U264" s="287">
        <v>0</v>
      </c>
      <c r="V264" s="282"/>
      <c r="W264" s="282">
        <f>O264/N264</f>
        <v>3172.200809716599</v>
      </c>
      <c r="X264" s="282"/>
    </row>
    <row r="265" spans="1:30">
      <c r="A265" s="198">
        <v>4</v>
      </c>
      <c r="B265" s="762" t="s">
        <v>816</v>
      </c>
      <c r="C265" s="196">
        <f>'часть 1'!L274</f>
        <v>3136577</v>
      </c>
      <c r="D265" s="196">
        <f t="shared" si="17"/>
        <v>0</v>
      </c>
      <c r="E265" s="196">
        <v>0</v>
      </c>
      <c r="F265" s="196">
        <v>0</v>
      </c>
      <c r="G265" s="196">
        <v>0</v>
      </c>
      <c r="H265" s="196">
        <v>0</v>
      </c>
      <c r="I265" s="196">
        <v>0</v>
      </c>
      <c r="J265" s="196">
        <v>0</v>
      </c>
      <c r="K265" s="196">
        <v>0</v>
      </c>
      <c r="L265" s="204">
        <v>0</v>
      </c>
      <c r="M265" s="199">
        <v>0</v>
      </c>
      <c r="N265" s="199">
        <v>1270</v>
      </c>
      <c r="O265" s="196">
        <v>3136577</v>
      </c>
      <c r="P265" s="193">
        <v>0</v>
      </c>
      <c r="Q265" s="192">
        <v>0</v>
      </c>
      <c r="R265" s="193">
        <v>0</v>
      </c>
      <c r="S265" s="192">
        <v>0</v>
      </c>
      <c r="T265" s="205">
        <v>0</v>
      </c>
      <c r="U265" s="287">
        <v>0</v>
      </c>
      <c r="V265" s="282"/>
      <c r="W265" s="282">
        <f>O265/N265</f>
        <v>2469.7456692913388</v>
      </c>
      <c r="X265" s="282"/>
    </row>
    <row r="266" spans="1:30" ht="45">
      <c r="A266" s="198">
        <v>5</v>
      </c>
      <c r="B266" s="762" t="s">
        <v>817</v>
      </c>
      <c r="C266" s="196">
        <f>'часть 1'!L275</f>
        <v>1046329</v>
      </c>
      <c r="D266" s="196">
        <f t="shared" si="17"/>
        <v>0</v>
      </c>
      <c r="E266" s="196">
        <v>0</v>
      </c>
      <c r="F266" s="196">
        <v>0</v>
      </c>
      <c r="G266" s="196">
        <v>0</v>
      </c>
      <c r="H266" s="196">
        <v>0</v>
      </c>
      <c r="I266" s="196">
        <v>0</v>
      </c>
      <c r="J266" s="196">
        <v>0</v>
      </c>
      <c r="K266" s="196">
        <v>0</v>
      </c>
      <c r="L266" s="204">
        <v>0</v>
      </c>
      <c r="M266" s="199">
        <v>0</v>
      </c>
      <c r="N266" s="199">
        <v>424</v>
      </c>
      <c r="O266" s="196">
        <v>1046329</v>
      </c>
      <c r="P266" s="193">
        <v>0</v>
      </c>
      <c r="Q266" s="192">
        <v>0</v>
      </c>
      <c r="R266" s="193">
        <v>0</v>
      </c>
      <c r="S266" s="192">
        <v>0</v>
      </c>
      <c r="T266" s="205">
        <v>0</v>
      </c>
      <c r="U266" s="287">
        <v>0</v>
      </c>
      <c r="V266" s="282"/>
      <c r="W266" s="282">
        <f>O266/N266</f>
        <v>2467.757075471698</v>
      </c>
      <c r="X266" s="282"/>
    </row>
    <row r="267" spans="1:30">
      <c r="A267" s="198">
        <v>6</v>
      </c>
      <c r="B267" s="762" t="s">
        <v>818</v>
      </c>
      <c r="C267" s="196">
        <f>'часть 1'!L276</f>
        <v>2290833</v>
      </c>
      <c r="D267" s="196">
        <f t="shared" si="17"/>
        <v>717172</v>
      </c>
      <c r="E267" s="196">
        <v>717172</v>
      </c>
      <c r="F267" s="196">
        <v>0</v>
      </c>
      <c r="G267" s="196">
        <v>0</v>
      </c>
      <c r="H267" s="196">
        <v>0</v>
      </c>
      <c r="I267" s="196">
        <v>0</v>
      </c>
      <c r="J267" s="196">
        <v>0</v>
      </c>
      <c r="K267" s="196">
        <v>0</v>
      </c>
      <c r="L267" s="204">
        <v>0</v>
      </c>
      <c r="M267" s="199">
        <v>0</v>
      </c>
      <c r="N267" s="199">
        <v>0</v>
      </c>
      <c r="O267" s="196">
        <v>0</v>
      </c>
      <c r="P267" s="193">
        <v>0</v>
      </c>
      <c r="Q267" s="192">
        <v>0</v>
      </c>
      <c r="R267" s="193">
        <v>1043.7</v>
      </c>
      <c r="S267" s="192">
        <v>1573661</v>
      </c>
      <c r="T267" s="205">
        <v>0</v>
      </c>
      <c r="U267" s="287">
        <v>0</v>
      </c>
      <c r="V267" s="282"/>
      <c r="W267" s="282"/>
      <c r="X267" s="282">
        <f>S267/R267</f>
        <v>1507.7713902462392</v>
      </c>
    </row>
    <row r="268" spans="1:30">
      <c r="A268" s="198">
        <v>7</v>
      </c>
      <c r="B268" s="762" t="s">
        <v>819</v>
      </c>
      <c r="C268" s="196">
        <f>'часть 1'!L277</f>
        <v>1932078</v>
      </c>
      <c r="D268" s="196">
        <f t="shared" si="17"/>
        <v>625139</v>
      </c>
      <c r="E268" s="196">
        <v>625139</v>
      </c>
      <c r="F268" s="196">
        <v>0</v>
      </c>
      <c r="G268" s="196">
        <v>0</v>
      </c>
      <c r="H268" s="196">
        <v>0</v>
      </c>
      <c r="I268" s="196">
        <v>0</v>
      </c>
      <c r="J268" s="196">
        <v>0</v>
      </c>
      <c r="K268" s="196">
        <v>0</v>
      </c>
      <c r="L268" s="204">
        <v>0</v>
      </c>
      <c r="M268" s="199">
        <v>0</v>
      </c>
      <c r="N268" s="199">
        <v>0</v>
      </c>
      <c r="O268" s="196">
        <v>0</v>
      </c>
      <c r="P268" s="193">
        <v>0</v>
      </c>
      <c r="Q268" s="192">
        <v>0</v>
      </c>
      <c r="R268" s="193">
        <v>864.4</v>
      </c>
      <c r="S268" s="192">
        <v>1306939</v>
      </c>
      <c r="T268" s="205">
        <v>0</v>
      </c>
      <c r="U268" s="287">
        <v>0</v>
      </c>
      <c r="V268" s="282"/>
      <c r="W268" s="282"/>
      <c r="X268" s="282">
        <f>S268/R268</f>
        <v>1511.9608977325313</v>
      </c>
    </row>
    <row r="269" spans="1:30">
      <c r="A269" s="198">
        <v>8</v>
      </c>
      <c r="B269" s="762" t="s">
        <v>820</v>
      </c>
      <c r="C269" s="196">
        <f>'часть 1'!L278</f>
        <v>3354962</v>
      </c>
      <c r="D269" s="196">
        <f t="shared" si="17"/>
        <v>0</v>
      </c>
      <c r="E269" s="196">
        <v>0</v>
      </c>
      <c r="F269" s="196">
        <v>0</v>
      </c>
      <c r="G269" s="196">
        <v>0</v>
      </c>
      <c r="H269" s="196">
        <v>0</v>
      </c>
      <c r="I269" s="196">
        <v>0</v>
      </c>
      <c r="J269" s="196">
        <v>0</v>
      </c>
      <c r="K269" s="196">
        <v>0</v>
      </c>
      <c r="L269" s="204">
        <v>0</v>
      </c>
      <c r="M269" s="199">
        <v>0</v>
      </c>
      <c r="N269" s="199">
        <v>1359</v>
      </c>
      <c r="O269" s="196">
        <v>3354962</v>
      </c>
      <c r="P269" s="193">
        <v>0</v>
      </c>
      <c r="Q269" s="192">
        <v>0</v>
      </c>
      <c r="R269" s="193">
        <v>0</v>
      </c>
      <c r="S269" s="192">
        <v>0</v>
      </c>
      <c r="T269" s="205">
        <v>0</v>
      </c>
      <c r="U269" s="287">
        <v>0</v>
      </c>
      <c r="V269" s="282"/>
      <c r="W269" s="282">
        <f>O269/N269</f>
        <v>2468.6990434142754</v>
      </c>
      <c r="X269" s="282"/>
    </row>
    <row r="270" spans="1:30" ht="30">
      <c r="A270" s="198">
        <v>9</v>
      </c>
      <c r="B270" s="762" t="s">
        <v>821</v>
      </c>
      <c r="C270" s="196">
        <f>'часть 1'!L279</f>
        <v>280050</v>
      </c>
      <c r="D270" s="196">
        <f t="shared" si="17"/>
        <v>280050</v>
      </c>
      <c r="E270" s="196">
        <v>280050</v>
      </c>
      <c r="F270" s="196">
        <v>0</v>
      </c>
      <c r="G270" s="196">
        <v>0</v>
      </c>
      <c r="H270" s="196">
        <v>0</v>
      </c>
      <c r="I270" s="196">
        <v>0</v>
      </c>
      <c r="J270" s="196">
        <v>0</v>
      </c>
      <c r="K270" s="196">
        <v>0</v>
      </c>
      <c r="L270" s="204">
        <v>0</v>
      </c>
      <c r="M270" s="199">
        <v>0</v>
      </c>
      <c r="N270" s="192">
        <v>0</v>
      </c>
      <c r="O270" s="192">
        <v>0</v>
      </c>
      <c r="P270" s="193">
        <v>0</v>
      </c>
      <c r="Q270" s="192">
        <v>0</v>
      </c>
      <c r="R270" s="193">
        <v>0</v>
      </c>
      <c r="S270" s="192">
        <v>0</v>
      </c>
      <c r="T270" s="205">
        <v>0</v>
      </c>
      <c r="U270" s="287">
        <v>0</v>
      </c>
      <c r="V270" s="282"/>
      <c r="W270" s="282"/>
      <c r="X270" s="282"/>
      <c r="Y270" s="1">
        <f>E270/'часть 1'!I279</f>
        <v>767.13416972552454</v>
      </c>
    </row>
    <row r="271" spans="1:30" ht="30">
      <c r="A271" s="198">
        <v>10</v>
      </c>
      <c r="B271" s="763" t="s">
        <v>822</v>
      </c>
      <c r="C271" s="196">
        <f>'часть 1'!L280</f>
        <v>1445806</v>
      </c>
      <c r="D271" s="196">
        <f t="shared" si="17"/>
        <v>424724</v>
      </c>
      <c r="E271" s="196">
        <v>424724</v>
      </c>
      <c r="F271" s="196">
        <v>0</v>
      </c>
      <c r="G271" s="196">
        <v>0</v>
      </c>
      <c r="H271" s="196">
        <v>0</v>
      </c>
      <c r="I271" s="196">
        <v>0</v>
      </c>
      <c r="J271" s="196">
        <v>0</v>
      </c>
      <c r="K271" s="196">
        <v>0</v>
      </c>
      <c r="L271" s="204">
        <v>0</v>
      </c>
      <c r="M271" s="199">
        <v>0</v>
      </c>
      <c r="N271" s="199">
        <v>0</v>
      </c>
      <c r="O271" s="196">
        <v>0</v>
      </c>
      <c r="P271" s="193">
        <v>0</v>
      </c>
      <c r="Q271" s="211">
        <v>0</v>
      </c>
      <c r="R271" s="213">
        <v>677.16</v>
      </c>
      <c r="S271" s="211">
        <v>1021082</v>
      </c>
      <c r="T271" s="212">
        <v>0</v>
      </c>
      <c r="U271" s="290">
        <v>0</v>
      </c>
      <c r="V271" s="282"/>
      <c r="W271" s="282"/>
      <c r="X271" s="282">
        <f>S271/R271</f>
        <v>1507.8888298186544</v>
      </c>
      <c r="Y271" s="1">
        <f>E271/'часть 1'!I280</f>
        <v>677.17474489795916</v>
      </c>
    </row>
    <row r="272" spans="1:30">
      <c r="A272" s="198"/>
      <c r="B272" s="218" t="s">
        <v>68</v>
      </c>
      <c r="C272" s="196">
        <f>C273</f>
        <v>241114</v>
      </c>
      <c r="D272" s="196">
        <f t="shared" ref="D272:U272" si="18">D273</f>
        <v>0</v>
      </c>
      <c r="E272" s="196">
        <f t="shared" si="18"/>
        <v>241114</v>
      </c>
      <c r="F272" s="196">
        <f t="shared" si="18"/>
        <v>0</v>
      </c>
      <c r="G272" s="196">
        <f t="shared" si="18"/>
        <v>0</v>
      </c>
      <c r="H272" s="196">
        <f t="shared" si="18"/>
        <v>0</v>
      </c>
      <c r="I272" s="196">
        <f t="shared" si="18"/>
        <v>0</v>
      </c>
      <c r="J272" s="196">
        <f t="shared" si="18"/>
        <v>0</v>
      </c>
      <c r="K272" s="196">
        <f t="shared" si="18"/>
        <v>0</v>
      </c>
      <c r="L272" s="196">
        <f t="shared" si="18"/>
        <v>0</v>
      </c>
      <c r="M272" s="196">
        <f t="shared" si="18"/>
        <v>0</v>
      </c>
      <c r="N272" s="196">
        <f t="shared" si="18"/>
        <v>0</v>
      </c>
      <c r="O272" s="196">
        <f t="shared" si="18"/>
        <v>0</v>
      </c>
      <c r="P272" s="196">
        <f t="shared" si="18"/>
        <v>0</v>
      </c>
      <c r="Q272" s="196">
        <f t="shared" si="18"/>
        <v>0</v>
      </c>
      <c r="R272" s="196">
        <f t="shared" si="18"/>
        <v>0</v>
      </c>
      <c r="S272" s="196">
        <f t="shared" si="18"/>
        <v>0</v>
      </c>
      <c r="T272" s="196">
        <f t="shared" si="18"/>
        <v>0</v>
      </c>
      <c r="U272" s="196">
        <f t="shared" si="18"/>
        <v>0</v>
      </c>
      <c r="V272" s="282"/>
      <c r="W272" s="282"/>
      <c r="X272" s="282"/>
    </row>
    <row r="273" spans="1:35" ht="30">
      <c r="A273" s="430"/>
      <c r="B273" s="431" t="s">
        <v>97</v>
      </c>
      <c r="C273" s="432">
        <v>241114</v>
      </c>
      <c r="D273" s="432">
        <v>0</v>
      </c>
      <c r="E273" s="432">
        <v>241114</v>
      </c>
      <c r="F273" s="432">
        <v>0</v>
      </c>
      <c r="G273" s="432">
        <v>0</v>
      </c>
      <c r="H273" s="432">
        <v>0</v>
      </c>
      <c r="I273" s="432">
        <v>0</v>
      </c>
      <c r="J273" s="432">
        <v>0</v>
      </c>
      <c r="K273" s="432">
        <v>0</v>
      </c>
      <c r="L273" s="463">
        <v>0</v>
      </c>
      <c r="M273" s="432">
        <v>0</v>
      </c>
      <c r="N273" s="432">
        <v>0</v>
      </c>
      <c r="O273" s="432">
        <v>0</v>
      </c>
      <c r="P273" s="433">
        <v>0</v>
      </c>
      <c r="Q273" s="432">
        <v>0</v>
      </c>
      <c r="R273" s="433">
        <v>0</v>
      </c>
      <c r="S273" s="432">
        <v>0</v>
      </c>
      <c r="T273" s="463">
        <v>0</v>
      </c>
      <c r="U273" s="434">
        <v>0</v>
      </c>
      <c r="V273" s="282"/>
      <c r="W273" s="282"/>
      <c r="X273" s="282"/>
    </row>
    <row r="274" spans="1:35">
      <c r="A274" s="430"/>
      <c r="B274" s="464" t="s">
        <v>505</v>
      </c>
      <c r="C274" s="439">
        <v>241114</v>
      </c>
      <c r="D274" s="439">
        <v>0</v>
      </c>
      <c r="E274" s="439">
        <v>241114</v>
      </c>
      <c r="F274" s="439">
        <v>0</v>
      </c>
      <c r="G274" s="439">
        <v>0</v>
      </c>
      <c r="H274" s="439">
        <v>0</v>
      </c>
      <c r="I274" s="439">
        <v>0</v>
      </c>
      <c r="J274" s="439">
        <v>0</v>
      </c>
      <c r="K274" s="439">
        <v>0</v>
      </c>
      <c r="L274" s="440">
        <v>0</v>
      </c>
      <c r="M274" s="439">
        <v>0</v>
      </c>
      <c r="N274" s="439">
        <v>0</v>
      </c>
      <c r="O274" s="439">
        <v>0</v>
      </c>
      <c r="P274" s="442">
        <v>0</v>
      </c>
      <c r="Q274" s="439">
        <v>0</v>
      </c>
      <c r="R274" s="442">
        <v>0</v>
      </c>
      <c r="S274" s="439">
        <v>0</v>
      </c>
      <c r="T274" s="440">
        <v>0</v>
      </c>
      <c r="U274" s="443">
        <v>0</v>
      </c>
      <c r="V274" s="282"/>
      <c r="W274" s="282"/>
      <c r="X274" s="282"/>
      <c r="Y274" s="278">
        <f>E273/'часть 1'!I283</f>
        <v>974.591754244139</v>
      </c>
    </row>
    <row r="275" spans="1:35" s="18" customFormat="1">
      <c r="A275" s="198"/>
      <c r="B275" s="216" t="s">
        <v>43</v>
      </c>
      <c r="C275" s="211">
        <v>23032470</v>
      </c>
      <c r="D275" s="211"/>
      <c r="E275" s="211"/>
      <c r="F275" s="211"/>
      <c r="G275" s="211"/>
      <c r="H275" s="211"/>
      <c r="I275" s="211"/>
      <c r="J275" s="211"/>
      <c r="K275" s="211">
        <v>0</v>
      </c>
      <c r="L275" s="213">
        <v>0</v>
      </c>
      <c r="M275" s="211">
        <v>0</v>
      </c>
      <c r="N275" s="211">
        <v>11598.699999999999</v>
      </c>
      <c r="O275" s="211">
        <v>23032470</v>
      </c>
      <c r="P275" s="213">
        <v>0</v>
      </c>
      <c r="Q275" s="211">
        <v>0</v>
      </c>
      <c r="R275" s="213">
        <v>0</v>
      </c>
      <c r="S275" s="211">
        <v>0</v>
      </c>
      <c r="T275" s="213">
        <v>0</v>
      </c>
      <c r="U275" s="290">
        <v>0</v>
      </c>
      <c r="V275" s="282"/>
      <c r="W275" s="282"/>
      <c r="X275" s="282"/>
    </row>
    <row r="276" spans="1:35" ht="30">
      <c r="A276" s="198"/>
      <c r="B276" s="214" t="s">
        <v>125</v>
      </c>
      <c r="C276" s="211">
        <v>20696312</v>
      </c>
      <c r="D276" s="211"/>
      <c r="E276" s="211"/>
      <c r="F276" s="211"/>
      <c r="G276" s="211"/>
      <c r="H276" s="211"/>
      <c r="I276" s="211"/>
      <c r="J276" s="211"/>
      <c r="K276" s="211">
        <v>0</v>
      </c>
      <c r="L276" s="212">
        <v>0</v>
      </c>
      <c r="M276" s="211">
        <v>0</v>
      </c>
      <c r="N276" s="211">
        <v>10402.699999999999</v>
      </c>
      <c r="O276" s="211">
        <v>20696312</v>
      </c>
      <c r="P276" s="213">
        <v>0</v>
      </c>
      <c r="Q276" s="211">
        <v>0</v>
      </c>
      <c r="R276" s="213">
        <v>0</v>
      </c>
      <c r="S276" s="211">
        <v>0</v>
      </c>
      <c r="T276" s="212">
        <v>0</v>
      </c>
      <c r="U276" s="290">
        <v>0</v>
      </c>
      <c r="V276" s="282"/>
      <c r="W276" s="282"/>
      <c r="X276" s="282"/>
    </row>
    <row r="277" spans="1:35" s="46" customFormat="1">
      <c r="A277" s="198">
        <v>244</v>
      </c>
      <c r="B277" s="219" t="s">
        <v>405</v>
      </c>
      <c r="C277" s="220">
        <v>2301804</v>
      </c>
      <c r="D277" s="220"/>
      <c r="E277" s="220"/>
      <c r="F277" s="220"/>
      <c r="G277" s="220"/>
      <c r="H277" s="220"/>
      <c r="I277" s="220"/>
      <c r="J277" s="220"/>
      <c r="K277" s="221">
        <v>0</v>
      </c>
      <c r="L277" s="222">
        <v>0</v>
      </c>
      <c r="M277" s="221">
        <v>0</v>
      </c>
      <c r="N277" s="223">
        <v>1167</v>
      </c>
      <c r="O277" s="224">
        <v>2301804</v>
      </c>
      <c r="P277" s="225">
        <v>0</v>
      </c>
      <c r="Q277" s="221">
        <v>0</v>
      </c>
      <c r="R277" s="225">
        <v>0</v>
      </c>
      <c r="S277" s="221">
        <v>0</v>
      </c>
      <c r="T277" s="226">
        <v>0</v>
      </c>
      <c r="U277" s="291">
        <v>0</v>
      </c>
      <c r="V277" s="282"/>
      <c r="W277" s="282"/>
      <c r="X277" s="282"/>
    </row>
    <row r="278" spans="1:35" s="90" customFormat="1">
      <c r="A278" s="198">
        <v>245</v>
      </c>
      <c r="B278" s="219" t="s">
        <v>393</v>
      </c>
      <c r="C278" s="220">
        <v>1743478</v>
      </c>
      <c r="D278" s="220"/>
      <c r="E278" s="220"/>
      <c r="F278" s="220"/>
      <c r="G278" s="220"/>
      <c r="H278" s="220"/>
      <c r="I278" s="220"/>
      <c r="J278" s="220"/>
      <c r="K278" s="227">
        <v>0</v>
      </c>
      <c r="L278" s="208">
        <v>0</v>
      </c>
      <c r="M278" s="227">
        <v>0</v>
      </c>
      <c r="N278" s="228">
        <v>880</v>
      </c>
      <c r="O278" s="224">
        <v>1743478</v>
      </c>
      <c r="P278" s="225">
        <v>0</v>
      </c>
      <c r="Q278" s="221">
        <v>0</v>
      </c>
      <c r="R278" s="225">
        <v>0</v>
      </c>
      <c r="S278" s="221">
        <v>0</v>
      </c>
      <c r="T278" s="226">
        <v>0</v>
      </c>
      <c r="U278" s="291">
        <v>0</v>
      </c>
      <c r="V278" s="282"/>
      <c r="W278" s="282"/>
      <c r="X278" s="282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</row>
    <row r="279" spans="1:35" s="90" customFormat="1">
      <c r="A279" s="198">
        <v>246</v>
      </c>
      <c r="B279" s="219" t="s">
        <v>406</v>
      </c>
      <c r="C279" s="220">
        <v>2485001</v>
      </c>
      <c r="D279" s="220"/>
      <c r="E279" s="220"/>
      <c r="F279" s="220"/>
      <c r="G279" s="220"/>
      <c r="H279" s="220"/>
      <c r="I279" s="220"/>
      <c r="J279" s="220"/>
      <c r="K279" s="221">
        <v>0</v>
      </c>
      <c r="L279" s="222">
        <v>0</v>
      </c>
      <c r="M279" s="221">
        <v>0</v>
      </c>
      <c r="N279" s="229">
        <v>1268.4000000000001</v>
      </c>
      <c r="O279" s="224">
        <v>2485001</v>
      </c>
      <c r="P279" s="225">
        <v>0</v>
      </c>
      <c r="Q279" s="221">
        <v>0</v>
      </c>
      <c r="R279" s="225">
        <v>0</v>
      </c>
      <c r="S279" s="221">
        <v>0</v>
      </c>
      <c r="T279" s="226">
        <v>0</v>
      </c>
      <c r="U279" s="291">
        <v>0</v>
      </c>
      <c r="V279" s="282"/>
      <c r="W279" s="282"/>
      <c r="X279" s="282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</row>
    <row r="280" spans="1:35" s="46" customFormat="1">
      <c r="A280" s="198">
        <v>247</v>
      </c>
      <c r="B280" s="219" t="s">
        <v>402</v>
      </c>
      <c r="C280" s="220">
        <v>1237591</v>
      </c>
      <c r="D280" s="220"/>
      <c r="E280" s="220"/>
      <c r="F280" s="220"/>
      <c r="G280" s="220"/>
      <c r="H280" s="220"/>
      <c r="I280" s="220"/>
      <c r="J280" s="220"/>
      <c r="K280" s="221">
        <v>0</v>
      </c>
      <c r="L280" s="222">
        <v>0</v>
      </c>
      <c r="M280" s="221">
        <v>0</v>
      </c>
      <c r="N280" s="223">
        <v>620</v>
      </c>
      <c r="O280" s="224">
        <v>1237591</v>
      </c>
      <c r="P280" s="225">
        <v>0</v>
      </c>
      <c r="Q280" s="221">
        <v>0</v>
      </c>
      <c r="R280" s="225">
        <v>0</v>
      </c>
      <c r="S280" s="221">
        <v>0</v>
      </c>
      <c r="T280" s="226">
        <v>0</v>
      </c>
      <c r="U280" s="291">
        <v>0</v>
      </c>
      <c r="V280" s="282"/>
      <c r="W280" s="282"/>
      <c r="X280" s="282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</row>
    <row r="281" spans="1:35" s="42" customFormat="1">
      <c r="A281" s="198">
        <v>248</v>
      </c>
      <c r="B281" s="219" t="s">
        <v>397</v>
      </c>
      <c r="C281" s="220">
        <v>1448078</v>
      </c>
      <c r="D281" s="220"/>
      <c r="E281" s="220"/>
      <c r="F281" s="220"/>
      <c r="G281" s="220"/>
      <c r="H281" s="220"/>
      <c r="I281" s="220"/>
      <c r="J281" s="220"/>
      <c r="K281" s="221">
        <v>0</v>
      </c>
      <c r="L281" s="222">
        <v>0</v>
      </c>
      <c r="M281" s="221">
        <v>0</v>
      </c>
      <c r="N281" s="229">
        <v>729</v>
      </c>
      <c r="O281" s="224">
        <v>1448078</v>
      </c>
      <c r="P281" s="225">
        <v>0</v>
      </c>
      <c r="Q281" s="221">
        <v>0</v>
      </c>
      <c r="R281" s="225">
        <v>0</v>
      </c>
      <c r="S281" s="221">
        <v>0</v>
      </c>
      <c r="T281" s="226">
        <v>0</v>
      </c>
      <c r="U281" s="291">
        <v>0</v>
      </c>
      <c r="V281" s="282"/>
      <c r="W281" s="282"/>
      <c r="X281" s="282"/>
    </row>
    <row r="282" spans="1:35" s="46" customFormat="1">
      <c r="A282" s="198">
        <v>249</v>
      </c>
      <c r="B282" s="219" t="s">
        <v>398</v>
      </c>
      <c r="C282" s="220">
        <v>1963797</v>
      </c>
      <c r="D282" s="220"/>
      <c r="E282" s="220"/>
      <c r="F282" s="220"/>
      <c r="G282" s="220"/>
      <c r="H282" s="220"/>
      <c r="I282" s="220"/>
      <c r="J282" s="220"/>
      <c r="K282" s="221">
        <v>0</v>
      </c>
      <c r="L282" s="222">
        <v>0</v>
      </c>
      <c r="M282" s="221">
        <v>0</v>
      </c>
      <c r="N282" s="223">
        <v>991.4</v>
      </c>
      <c r="O282" s="224">
        <v>1963797</v>
      </c>
      <c r="P282" s="225">
        <v>0</v>
      </c>
      <c r="Q282" s="221">
        <v>0</v>
      </c>
      <c r="R282" s="225">
        <v>0</v>
      </c>
      <c r="S282" s="221">
        <v>0</v>
      </c>
      <c r="T282" s="226">
        <v>0</v>
      </c>
      <c r="U282" s="291">
        <v>0</v>
      </c>
      <c r="V282" s="282"/>
      <c r="W282" s="282"/>
      <c r="X282" s="282"/>
    </row>
    <row r="283" spans="1:35" s="46" customFormat="1">
      <c r="A283" s="198">
        <v>250</v>
      </c>
      <c r="B283" s="219" t="s">
        <v>399</v>
      </c>
      <c r="C283" s="220">
        <v>2119530</v>
      </c>
      <c r="D283" s="220"/>
      <c r="E283" s="220"/>
      <c r="F283" s="220"/>
      <c r="G283" s="220"/>
      <c r="H283" s="220"/>
      <c r="I283" s="220"/>
      <c r="J283" s="220"/>
      <c r="K283" s="221">
        <v>0</v>
      </c>
      <c r="L283" s="222">
        <v>0</v>
      </c>
      <c r="M283" s="221">
        <v>0</v>
      </c>
      <c r="N283" s="223">
        <v>1054.5</v>
      </c>
      <c r="O283" s="224">
        <v>2119530</v>
      </c>
      <c r="P283" s="225">
        <v>0</v>
      </c>
      <c r="Q283" s="221">
        <v>0</v>
      </c>
      <c r="R283" s="225">
        <v>0</v>
      </c>
      <c r="S283" s="221">
        <v>0</v>
      </c>
      <c r="T283" s="226">
        <v>0</v>
      </c>
      <c r="U283" s="291">
        <v>0</v>
      </c>
      <c r="V283" s="282"/>
      <c r="W283" s="282"/>
      <c r="X283" s="282"/>
    </row>
    <row r="284" spans="1:35" s="46" customFormat="1">
      <c r="A284" s="198">
        <v>251</v>
      </c>
      <c r="B284" s="219" t="s">
        <v>403</v>
      </c>
      <c r="C284" s="220">
        <v>1098163</v>
      </c>
      <c r="D284" s="220"/>
      <c r="E284" s="220"/>
      <c r="F284" s="220"/>
      <c r="G284" s="220"/>
      <c r="H284" s="220"/>
      <c r="I284" s="220"/>
      <c r="J284" s="220"/>
      <c r="K284" s="221">
        <v>0</v>
      </c>
      <c r="L284" s="222">
        <v>0</v>
      </c>
      <c r="M284" s="221">
        <v>0</v>
      </c>
      <c r="N284" s="223">
        <v>548</v>
      </c>
      <c r="O284" s="224">
        <v>1098163</v>
      </c>
      <c r="P284" s="225">
        <v>0</v>
      </c>
      <c r="Q284" s="221">
        <v>0</v>
      </c>
      <c r="R284" s="225">
        <v>0</v>
      </c>
      <c r="S284" s="221">
        <v>0</v>
      </c>
      <c r="T284" s="226">
        <v>0</v>
      </c>
      <c r="U284" s="291">
        <v>0</v>
      </c>
      <c r="V284" s="282"/>
      <c r="W284" s="282"/>
      <c r="X284" s="282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1:35" s="46" customFormat="1">
      <c r="A285" s="198">
        <v>252</v>
      </c>
      <c r="B285" s="219" t="s">
        <v>404</v>
      </c>
      <c r="C285" s="220">
        <v>1241309</v>
      </c>
      <c r="D285" s="220"/>
      <c r="E285" s="220"/>
      <c r="F285" s="220"/>
      <c r="G285" s="220"/>
      <c r="H285" s="220"/>
      <c r="I285" s="220"/>
      <c r="J285" s="220"/>
      <c r="K285" s="221">
        <v>0</v>
      </c>
      <c r="L285" s="222">
        <v>0</v>
      </c>
      <c r="M285" s="221">
        <v>0</v>
      </c>
      <c r="N285" s="223">
        <v>622</v>
      </c>
      <c r="O285" s="224">
        <v>1241309</v>
      </c>
      <c r="P285" s="225">
        <v>0</v>
      </c>
      <c r="Q285" s="221">
        <v>0</v>
      </c>
      <c r="R285" s="225">
        <v>0</v>
      </c>
      <c r="S285" s="221">
        <v>0</v>
      </c>
      <c r="T285" s="226">
        <v>0</v>
      </c>
      <c r="U285" s="291">
        <v>0</v>
      </c>
      <c r="V285" s="282"/>
      <c r="W285" s="282"/>
      <c r="X285" s="282"/>
    </row>
    <row r="286" spans="1:35" s="43" customFormat="1">
      <c r="A286" s="198">
        <v>253</v>
      </c>
      <c r="B286" s="219" t="s">
        <v>400</v>
      </c>
      <c r="C286" s="220">
        <v>1041360</v>
      </c>
      <c r="D286" s="220"/>
      <c r="E286" s="220"/>
      <c r="F286" s="220"/>
      <c r="G286" s="220"/>
      <c r="H286" s="220"/>
      <c r="I286" s="220"/>
      <c r="J286" s="220"/>
      <c r="K286" s="221">
        <v>0</v>
      </c>
      <c r="L286" s="222">
        <v>0</v>
      </c>
      <c r="M286" s="221">
        <v>0</v>
      </c>
      <c r="N286" s="223">
        <v>520</v>
      </c>
      <c r="O286" s="224">
        <v>1041360</v>
      </c>
      <c r="P286" s="225">
        <v>0</v>
      </c>
      <c r="Q286" s="221">
        <v>0</v>
      </c>
      <c r="R286" s="225">
        <v>0</v>
      </c>
      <c r="S286" s="221">
        <v>0</v>
      </c>
      <c r="T286" s="226">
        <v>0</v>
      </c>
      <c r="U286" s="291">
        <v>0</v>
      </c>
      <c r="V286" s="282"/>
      <c r="W286" s="282"/>
      <c r="X286" s="282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</row>
    <row r="287" spans="1:35" s="43" customFormat="1">
      <c r="A287" s="198">
        <v>254</v>
      </c>
      <c r="B287" s="219" t="s">
        <v>401</v>
      </c>
      <c r="C287" s="220">
        <v>1138866</v>
      </c>
      <c r="D287" s="220"/>
      <c r="E287" s="220"/>
      <c r="F287" s="220"/>
      <c r="G287" s="220"/>
      <c r="H287" s="220"/>
      <c r="I287" s="220"/>
      <c r="J287" s="220"/>
      <c r="K287" s="221">
        <v>0</v>
      </c>
      <c r="L287" s="222">
        <v>0</v>
      </c>
      <c r="M287" s="221">
        <v>0</v>
      </c>
      <c r="N287" s="223">
        <v>570</v>
      </c>
      <c r="O287" s="224">
        <v>1138866</v>
      </c>
      <c r="P287" s="225">
        <v>0</v>
      </c>
      <c r="Q287" s="221">
        <v>0</v>
      </c>
      <c r="R287" s="225">
        <v>0</v>
      </c>
      <c r="S287" s="221">
        <v>0</v>
      </c>
      <c r="T287" s="226">
        <v>0</v>
      </c>
      <c r="U287" s="291">
        <v>0</v>
      </c>
      <c r="V287" s="282"/>
      <c r="W287" s="282"/>
      <c r="X287" s="282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</row>
    <row r="288" spans="1:35" s="46" customFormat="1">
      <c r="A288" s="198">
        <v>255</v>
      </c>
      <c r="B288" s="219" t="s">
        <v>394</v>
      </c>
      <c r="C288" s="220">
        <v>848546</v>
      </c>
      <c r="D288" s="220"/>
      <c r="E288" s="220"/>
      <c r="F288" s="220"/>
      <c r="G288" s="220"/>
      <c r="H288" s="220"/>
      <c r="I288" s="220"/>
      <c r="J288" s="220"/>
      <c r="K288" s="221">
        <v>0</v>
      </c>
      <c r="L288" s="222">
        <v>0</v>
      </c>
      <c r="M288" s="221">
        <v>0</v>
      </c>
      <c r="N288" s="229">
        <v>421.2</v>
      </c>
      <c r="O288" s="224">
        <v>848546</v>
      </c>
      <c r="P288" s="225">
        <v>0</v>
      </c>
      <c r="Q288" s="221">
        <v>0</v>
      </c>
      <c r="R288" s="225">
        <v>0</v>
      </c>
      <c r="S288" s="221">
        <v>0</v>
      </c>
      <c r="T288" s="226">
        <v>0</v>
      </c>
      <c r="U288" s="291">
        <v>0</v>
      </c>
      <c r="V288" s="282"/>
      <c r="W288" s="282"/>
      <c r="X288" s="282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</row>
    <row r="289" spans="1:35" s="46" customFormat="1">
      <c r="A289" s="198">
        <v>256</v>
      </c>
      <c r="B289" s="219" t="s">
        <v>395</v>
      </c>
      <c r="C289" s="220">
        <v>848706</v>
      </c>
      <c r="D289" s="220"/>
      <c r="E289" s="220"/>
      <c r="F289" s="220"/>
      <c r="G289" s="220"/>
      <c r="H289" s="220"/>
      <c r="I289" s="220"/>
      <c r="J289" s="220"/>
      <c r="K289" s="221">
        <v>0</v>
      </c>
      <c r="L289" s="222">
        <v>0</v>
      </c>
      <c r="M289" s="221">
        <v>0</v>
      </c>
      <c r="N289" s="229">
        <v>421.2</v>
      </c>
      <c r="O289" s="224">
        <v>848706</v>
      </c>
      <c r="P289" s="225">
        <v>0</v>
      </c>
      <c r="Q289" s="221">
        <v>0</v>
      </c>
      <c r="R289" s="225">
        <v>0</v>
      </c>
      <c r="S289" s="221">
        <v>0</v>
      </c>
      <c r="T289" s="226">
        <v>0</v>
      </c>
      <c r="U289" s="291">
        <v>0</v>
      </c>
      <c r="V289" s="282"/>
      <c r="W289" s="282"/>
      <c r="X289" s="282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90"/>
    </row>
    <row r="290" spans="1:35" s="46" customFormat="1">
      <c r="A290" s="198">
        <v>257</v>
      </c>
      <c r="B290" s="219" t="s">
        <v>396</v>
      </c>
      <c r="C290" s="220">
        <v>1180083</v>
      </c>
      <c r="D290" s="220"/>
      <c r="E290" s="220"/>
      <c r="F290" s="220"/>
      <c r="G290" s="220"/>
      <c r="H290" s="220"/>
      <c r="I290" s="220"/>
      <c r="J290" s="220"/>
      <c r="K290" s="221">
        <v>0</v>
      </c>
      <c r="L290" s="222">
        <v>0</v>
      </c>
      <c r="M290" s="221">
        <v>0</v>
      </c>
      <c r="N290" s="229">
        <v>590</v>
      </c>
      <c r="O290" s="224">
        <v>1180083</v>
      </c>
      <c r="P290" s="225">
        <v>0</v>
      </c>
      <c r="Q290" s="221">
        <v>0</v>
      </c>
      <c r="R290" s="225">
        <v>0</v>
      </c>
      <c r="S290" s="221">
        <v>0</v>
      </c>
      <c r="T290" s="226">
        <v>0</v>
      </c>
      <c r="U290" s="291">
        <v>0</v>
      </c>
      <c r="V290" s="282"/>
      <c r="W290" s="282"/>
      <c r="X290" s="282"/>
    </row>
    <row r="291" spans="1:35" s="46" customFormat="1" ht="30">
      <c r="A291" s="198"/>
      <c r="B291" s="214" t="s">
        <v>210</v>
      </c>
      <c r="C291" s="220">
        <v>2336158</v>
      </c>
      <c r="D291" s="220"/>
      <c r="E291" s="220"/>
      <c r="F291" s="220"/>
      <c r="G291" s="220"/>
      <c r="H291" s="220"/>
      <c r="I291" s="220"/>
      <c r="J291" s="220"/>
      <c r="K291" s="220">
        <v>0</v>
      </c>
      <c r="L291" s="222">
        <v>0</v>
      </c>
      <c r="M291" s="220">
        <v>0</v>
      </c>
      <c r="N291" s="220">
        <v>1196</v>
      </c>
      <c r="O291" s="220">
        <v>2336158</v>
      </c>
      <c r="P291" s="230">
        <v>0</v>
      </c>
      <c r="Q291" s="220">
        <v>0</v>
      </c>
      <c r="R291" s="230">
        <v>0</v>
      </c>
      <c r="S291" s="220">
        <v>0</v>
      </c>
      <c r="T291" s="222">
        <v>0</v>
      </c>
      <c r="U291" s="292">
        <v>0</v>
      </c>
      <c r="V291" s="282"/>
      <c r="W291" s="282"/>
      <c r="X291" s="282"/>
    </row>
    <row r="292" spans="1:35" s="46" customFormat="1" ht="30">
      <c r="A292" s="198">
        <v>258</v>
      </c>
      <c r="B292" s="231" t="s">
        <v>407</v>
      </c>
      <c r="C292" s="220">
        <v>1168079</v>
      </c>
      <c r="D292" s="220"/>
      <c r="E292" s="220"/>
      <c r="F292" s="220"/>
      <c r="G292" s="220"/>
      <c r="H292" s="220"/>
      <c r="I292" s="220"/>
      <c r="J292" s="220"/>
      <c r="K292" s="221">
        <v>0</v>
      </c>
      <c r="L292" s="222">
        <v>0</v>
      </c>
      <c r="M292" s="221">
        <v>0</v>
      </c>
      <c r="N292" s="229">
        <v>598</v>
      </c>
      <c r="O292" s="224">
        <v>1168079</v>
      </c>
      <c r="P292" s="230">
        <v>0</v>
      </c>
      <c r="Q292" s="221">
        <v>0</v>
      </c>
      <c r="R292" s="230">
        <v>0</v>
      </c>
      <c r="S292" s="221">
        <v>0</v>
      </c>
      <c r="T292" s="222">
        <v>0</v>
      </c>
      <c r="U292" s="291">
        <v>0</v>
      </c>
      <c r="V292" s="282"/>
      <c r="W292" s="282"/>
      <c r="X292" s="282"/>
    </row>
    <row r="293" spans="1:35" s="46" customFormat="1" ht="30">
      <c r="A293" s="198">
        <v>259</v>
      </c>
      <c r="B293" s="231" t="s">
        <v>408</v>
      </c>
      <c r="C293" s="220">
        <v>1168079</v>
      </c>
      <c r="D293" s="220"/>
      <c r="E293" s="220"/>
      <c r="F293" s="220"/>
      <c r="G293" s="220"/>
      <c r="H293" s="220"/>
      <c r="I293" s="220"/>
      <c r="J293" s="220"/>
      <c r="K293" s="221">
        <v>0</v>
      </c>
      <c r="L293" s="222">
        <v>0</v>
      </c>
      <c r="M293" s="221">
        <v>0</v>
      </c>
      <c r="N293" s="229">
        <v>598</v>
      </c>
      <c r="O293" s="224">
        <v>1168079</v>
      </c>
      <c r="P293" s="230">
        <v>0</v>
      </c>
      <c r="Q293" s="221">
        <v>0</v>
      </c>
      <c r="R293" s="230">
        <v>0</v>
      </c>
      <c r="S293" s="221">
        <v>0</v>
      </c>
      <c r="T293" s="222">
        <v>0</v>
      </c>
      <c r="U293" s="291">
        <v>0</v>
      </c>
      <c r="V293" s="282"/>
      <c r="W293" s="282"/>
      <c r="X293" s="282"/>
    </row>
    <row r="294" spans="1:35" s="18" customFormat="1">
      <c r="A294" s="198"/>
      <c r="B294" s="216" t="s">
        <v>44</v>
      </c>
      <c r="C294" s="211">
        <v>4547180</v>
      </c>
      <c r="D294" s="211"/>
      <c r="E294" s="211"/>
      <c r="F294" s="211"/>
      <c r="G294" s="211"/>
      <c r="H294" s="211"/>
      <c r="I294" s="211"/>
      <c r="J294" s="211"/>
      <c r="K294" s="211">
        <v>0</v>
      </c>
      <c r="L294" s="212">
        <v>0</v>
      </c>
      <c r="M294" s="211">
        <v>0</v>
      </c>
      <c r="N294" s="211">
        <v>2270</v>
      </c>
      <c r="O294" s="211">
        <v>4547180</v>
      </c>
      <c r="P294" s="213">
        <v>0</v>
      </c>
      <c r="Q294" s="211">
        <v>0</v>
      </c>
      <c r="R294" s="213">
        <v>0</v>
      </c>
      <c r="S294" s="211">
        <v>0</v>
      </c>
      <c r="T294" s="212">
        <v>0</v>
      </c>
      <c r="U294" s="290">
        <v>0</v>
      </c>
      <c r="V294" s="282"/>
      <c r="W294" s="282"/>
      <c r="X294" s="282"/>
    </row>
    <row r="295" spans="1:35" ht="30">
      <c r="A295" s="198"/>
      <c r="B295" s="214" t="s">
        <v>435</v>
      </c>
      <c r="C295" s="211">
        <f>C296+C297</f>
        <v>2561132</v>
      </c>
      <c r="D295" s="211">
        <f t="shared" ref="D295:V295" si="19">D296+D297</f>
        <v>0</v>
      </c>
      <c r="E295" s="211">
        <f t="shared" si="19"/>
        <v>0</v>
      </c>
      <c r="F295" s="211">
        <f t="shared" si="19"/>
        <v>0</v>
      </c>
      <c r="G295" s="211">
        <f t="shared" si="19"/>
        <v>0</v>
      </c>
      <c r="H295" s="211">
        <f t="shared" si="19"/>
        <v>0</v>
      </c>
      <c r="I295" s="211">
        <f t="shared" si="19"/>
        <v>0</v>
      </c>
      <c r="J295" s="211">
        <f t="shared" si="19"/>
        <v>0</v>
      </c>
      <c r="K295" s="211">
        <f t="shared" si="19"/>
        <v>0</v>
      </c>
      <c r="L295" s="211">
        <f t="shared" si="19"/>
        <v>0</v>
      </c>
      <c r="M295" s="211">
        <f t="shared" si="19"/>
        <v>0</v>
      </c>
      <c r="N295" s="211">
        <f t="shared" si="19"/>
        <v>823.2</v>
      </c>
      <c r="O295" s="211">
        <f t="shared" si="19"/>
        <v>2219234</v>
      </c>
      <c r="P295" s="211">
        <f t="shared" si="19"/>
        <v>0</v>
      </c>
      <c r="Q295" s="211">
        <f t="shared" si="19"/>
        <v>0</v>
      </c>
      <c r="R295" s="211">
        <f t="shared" si="19"/>
        <v>220</v>
      </c>
      <c r="S295" s="211">
        <f t="shared" si="19"/>
        <v>341898</v>
      </c>
      <c r="T295" s="211">
        <f t="shared" si="19"/>
        <v>0</v>
      </c>
      <c r="U295" s="211">
        <f t="shared" si="19"/>
        <v>0</v>
      </c>
      <c r="V295" s="211">
        <f t="shared" si="19"/>
        <v>0</v>
      </c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</row>
    <row r="296" spans="1:35">
      <c r="A296" s="430">
        <v>260</v>
      </c>
      <c r="B296" s="438" t="s">
        <v>503</v>
      </c>
      <c r="C296" s="439">
        <v>1416533</v>
      </c>
      <c r="D296" s="439">
        <v>0</v>
      </c>
      <c r="E296" s="439">
        <v>0</v>
      </c>
      <c r="F296" s="439">
        <v>0</v>
      </c>
      <c r="G296" s="439">
        <v>0</v>
      </c>
      <c r="H296" s="439">
        <v>0</v>
      </c>
      <c r="I296" s="439">
        <v>0</v>
      </c>
      <c r="J296" s="439">
        <v>0</v>
      </c>
      <c r="K296" s="439">
        <v>0</v>
      </c>
      <c r="L296" s="440">
        <v>0</v>
      </c>
      <c r="M296" s="439">
        <v>0</v>
      </c>
      <c r="N296" s="441">
        <v>573.20000000000005</v>
      </c>
      <c r="O296" s="439">
        <v>1416533</v>
      </c>
      <c r="P296" s="442">
        <v>0</v>
      </c>
      <c r="Q296" s="439">
        <v>0</v>
      </c>
      <c r="R296" s="442">
        <v>0</v>
      </c>
      <c r="S296" s="439">
        <v>0</v>
      </c>
      <c r="T296" s="440">
        <v>0</v>
      </c>
      <c r="U296" s="443">
        <v>0</v>
      </c>
      <c r="V296" s="282"/>
      <c r="W296" s="282">
        <f>O296/N296</f>
        <v>2471.2718073970691</v>
      </c>
      <c r="X296" s="282"/>
    </row>
    <row r="297" spans="1:35">
      <c r="A297" s="430">
        <v>261</v>
      </c>
      <c r="B297" s="438" t="s">
        <v>504</v>
      </c>
      <c r="C297" s="439">
        <v>1144599</v>
      </c>
      <c r="D297" s="439">
        <v>0</v>
      </c>
      <c r="E297" s="439">
        <v>0</v>
      </c>
      <c r="F297" s="439">
        <v>0</v>
      </c>
      <c r="G297" s="439">
        <v>0</v>
      </c>
      <c r="H297" s="439">
        <v>0</v>
      </c>
      <c r="I297" s="439">
        <v>0</v>
      </c>
      <c r="J297" s="439">
        <v>0</v>
      </c>
      <c r="K297" s="439">
        <v>0</v>
      </c>
      <c r="L297" s="440">
        <v>0</v>
      </c>
      <c r="M297" s="439">
        <v>0</v>
      </c>
      <c r="N297" s="441">
        <v>250</v>
      </c>
      <c r="O297" s="439">
        <v>802701</v>
      </c>
      <c r="P297" s="442">
        <v>0</v>
      </c>
      <c r="Q297" s="439">
        <v>0</v>
      </c>
      <c r="R297" s="442">
        <v>220</v>
      </c>
      <c r="S297" s="439">
        <v>341898</v>
      </c>
      <c r="T297" s="440">
        <v>0</v>
      </c>
      <c r="U297" s="443">
        <v>0</v>
      </c>
      <c r="V297" s="282"/>
      <c r="W297" s="282">
        <f>O297/N297</f>
        <v>3210.8040000000001</v>
      </c>
      <c r="X297" s="282">
        <f>S297/R297</f>
        <v>1554.0818181818181</v>
      </c>
    </row>
    <row r="298" spans="1:35" ht="18.600000000000001" customHeight="1">
      <c r="A298" s="198"/>
      <c r="B298" s="216" t="s">
        <v>45</v>
      </c>
      <c r="C298" s="211">
        <f>C299+C301+C303+C305+C307+C308+C309</f>
        <v>9578601</v>
      </c>
      <c r="D298" s="211">
        <f t="shared" ref="D298:V298" si="20">D299+D301+D303+D305+D307+D308+D309</f>
        <v>0</v>
      </c>
      <c r="E298" s="211">
        <f t="shared" si="20"/>
        <v>0</v>
      </c>
      <c r="F298" s="211">
        <f t="shared" si="20"/>
        <v>0</v>
      </c>
      <c r="G298" s="211">
        <f t="shared" si="20"/>
        <v>0</v>
      </c>
      <c r="H298" s="211">
        <f t="shared" si="20"/>
        <v>0</v>
      </c>
      <c r="I298" s="211">
        <f t="shared" si="20"/>
        <v>0</v>
      </c>
      <c r="J298" s="211">
        <f t="shared" si="20"/>
        <v>0</v>
      </c>
      <c r="K298" s="211">
        <f t="shared" si="20"/>
        <v>0</v>
      </c>
      <c r="L298" s="211">
        <f t="shared" si="20"/>
        <v>0</v>
      </c>
      <c r="M298" s="211">
        <f t="shared" si="20"/>
        <v>0</v>
      </c>
      <c r="N298" s="211">
        <f t="shared" si="20"/>
        <v>3657.1600000000003</v>
      </c>
      <c r="O298" s="211">
        <f t="shared" si="20"/>
        <v>9578601</v>
      </c>
      <c r="P298" s="211">
        <f t="shared" si="20"/>
        <v>0</v>
      </c>
      <c r="Q298" s="211">
        <f t="shared" si="20"/>
        <v>0</v>
      </c>
      <c r="R298" s="211">
        <f t="shared" si="20"/>
        <v>0</v>
      </c>
      <c r="S298" s="211">
        <f t="shared" si="20"/>
        <v>0</v>
      </c>
      <c r="T298" s="211">
        <f t="shared" si="20"/>
        <v>0</v>
      </c>
      <c r="U298" s="211">
        <f t="shared" si="20"/>
        <v>0</v>
      </c>
      <c r="V298" s="211">
        <f t="shared" si="20"/>
        <v>0</v>
      </c>
      <c r="W298" s="282"/>
      <c r="X298" s="282"/>
    </row>
    <row r="299" spans="1:35" ht="30">
      <c r="A299" s="430"/>
      <c r="B299" s="438" t="s">
        <v>98</v>
      </c>
      <c r="C299" s="439">
        <f>C300</f>
        <v>2256851</v>
      </c>
      <c r="D299" s="439">
        <f t="shared" ref="D299:U299" si="21">D300</f>
        <v>0</v>
      </c>
      <c r="E299" s="439">
        <f t="shared" si="21"/>
        <v>0</v>
      </c>
      <c r="F299" s="439">
        <f t="shared" si="21"/>
        <v>0</v>
      </c>
      <c r="G299" s="439">
        <f t="shared" si="21"/>
        <v>0</v>
      </c>
      <c r="H299" s="439">
        <f t="shared" si="21"/>
        <v>0</v>
      </c>
      <c r="I299" s="439">
        <f t="shared" si="21"/>
        <v>0</v>
      </c>
      <c r="J299" s="439">
        <f t="shared" si="21"/>
        <v>0</v>
      </c>
      <c r="K299" s="439">
        <f t="shared" si="21"/>
        <v>0</v>
      </c>
      <c r="L299" s="439">
        <f t="shared" si="21"/>
        <v>0</v>
      </c>
      <c r="M299" s="439">
        <f t="shared" si="21"/>
        <v>0</v>
      </c>
      <c r="N299" s="439">
        <f t="shared" si="21"/>
        <v>911.86</v>
      </c>
      <c r="O299" s="439">
        <f t="shared" si="21"/>
        <v>2256851</v>
      </c>
      <c r="P299" s="439">
        <f t="shared" si="21"/>
        <v>0</v>
      </c>
      <c r="Q299" s="439">
        <f t="shared" si="21"/>
        <v>0</v>
      </c>
      <c r="R299" s="439">
        <f t="shared" si="21"/>
        <v>0</v>
      </c>
      <c r="S299" s="439">
        <f t="shared" si="21"/>
        <v>0</v>
      </c>
      <c r="T299" s="439">
        <f t="shared" si="21"/>
        <v>0</v>
      </c>
      <c r="U299" s="439">
        <f t="shared" si="21"/>
        <v>0</v>
      </c>
      <c r="V299" s="282"/>
      <c r="W299" s="282">
        <f>O299/N299</f>
        <v>2474.9972583510626</v>
      </c>
      <c r="X299" s="282"/>
    </row>
    <row r="300" spans="1:35">
      <c r="A300" s="430">
        <v>262</v>
      </c>
      <c r="B300" s="438" t="s">
        <v>794</v>
      </c>
      <c r="C300" s="439">
        <f>'часть 1'!L309</f>
        <v>2256851</v>
      </c>
      <c r="D300" s="439">
        <v>0</v>
      </c>
      <c r="E300" s="439">
        <v>0</v>
      </c>
      <c r="F300" s="439">
        <v>0</v>
      </c>
      <c r="G300" s="439">
        <v>0</v>
      </c>
      <c r="H300" s="439">
        <v>0</v>
      </c>
      <c r="I300" s="439">
        <v>0</v>
      </c>
      <c r="J300" s="439">
        <v>0</v>
      </c>
      <c r="K300" s="439">
        <v>0</v>
      </c>
      <c r="L300" s="440">
        <v>0</v>
      </c>
      <c r="M300" s="439">
        <v>0</v>
      </c>
      <c r="N300" s="441">
        <v>911.86</v>
      </c>
      <c r="O300" s="439">
        <v>2256851</v>
      </c>
      <c r="P300" s="442">
        <v>0</v>
      </c>
      <c r="Q300" s="439">
        <v>0</v>
      </c>
      <c r="R300" s="442">
        <v>0</v>
      </c>
      <c r="S300" s="439">
        <v>0</v>
      </c>
      <c r="T300" s="440">
        <v>0</v>
      </c>
      <c r="U300" s="443">
        <v>0</v>
      </c>
      <c r="V300" s="282"/>
      <c r="W300" s="282">
        <f t="shared" ref="W300:W310" si="22">O300/N300</f>
        <v>2474.9972583510626</v>
      </c>
      <c r="X300" s="282"/>
    </row>
    <row r="301" spans="1:35" ht="30">
      <c r="A301" s="430"/>
      <c r="B301" s="438" t="s">
        <v>688</v>
      </c>
      <c r="C301" s="439">
        <f>C302</f>
        <v>1826091</v>
      </c>
      <c r="D301" s="439">
        <f t="shared" ref="D301:V301" si="23">D302</f>
        <v>0</v>
      </c>
      <c r="E301" s="439">
        <f t="shared" si="23"/>
        <v>0</v>
      </c>
      <c r="F301" s="439">
        <f t="shared" si="23"/>
        <v>0</v>
      </c>
      <c r="G301" s="439">
        <f t="shared" si="23"/>
        <v>0</v>
      </c>
      <c r="H301" s="439">
        <f t="shared" si="23"/>
        <v>0</v>
      </c>
      <c r="I301" s="439">
        <f t="shared" si="23"/>
        <v>0</v>
      </c>
      <c r="J301" s="439">
        <f t="shared" si="23"/>
        <v>0</v>
      </c>
      <c r="K301" s="439">
        <f t="shared" si="23"/>
        <v>0</v>
      </c>
      <c r="L301" s="439">
        <f t="shared" si="23"/>
        <v>0</v>
      </c>
      <c r="M301" s="439">
        <f t="shared" si="23"/>
        <v>0</v>
      </c>
      <c r="N301" s="439">
        <f t="shared" si="23"/>
        <v>741</v>
      </c>
      <c r="O301" s="439">
        <f t="shared" si="23"/>
        <v>1826091</v>
      </c>
      <c r="P301" s="439">
        <f t="shared" si="23"/>
        <v>0</v>
      </c>
      <c r="Q301" s="439">
        <f t="shared" si="23"/>
        <v>0</v>
      </c>
      <c r="R301" s="439">
        <f t="shared" si="23"/>
        <v>0</v>
      </c>
      <c r="S301" s="439">
        <f t="shared" si="23"/>
        <v>0</v>
      </c>
      <c r="T301" s="439">
        <f t="shared" si="23"/>
        <v>0</v>
      </c>
      <c r="U301" s="439">
        <f t="shared" si="23"/>
        <v>0</v>
      </c>
      <c r="V301" s="439">
        <f t="shared" si="23"/>
        <v>0</v>
      </c>
      <c r="W301" s="282">
        <f t="shared" si="22"/>
        <v>2464.3603238866399</v>
      </c>
      <c r="X301" s="282"/>
    </row>
    <row r="302" spans="1:35" ht="30">
      <c r="A302" s="430"/>
      <c r="B302" s="438" t="s">
        <v>689</v>
      </c>
      <c r="C302" s="439">
        <f>'часть 1'!L311</f>
        <v>1826091</v>
      </c>
      <c r="D302" s="439">
        <v>0</v>
      </c>
      <c r="E302" s="439">
        <v>0</v>
      </c>
      <c r="F302" s="439">
        <v>0</v>
      </c>
      <c r="G302" s="439">
        <v>0</v>
      </c>
      <c r="H302" s="439">
        <v>0</v>
      </c>
      <c r="I302" s="439">
        <v>0</v>
      </c>
      <c r="J302" s="439">
        <v>0</v>
      </c>
      <c r="K302" s="439">
        <v>0</v>
      </c>
      <c r="L302" s="440">
        <v>0</v>
      </c>
      <c r="M302" s="439">
        <v>0</v>
      </c>
      <c r="N302" s="441">
        <v>741</v>
      </c>
      <c r="O302" s="439">
        <v>1826091</v>
      </c>
      <c r="P302" s="442">
        <v>0</v>
      </c>
      <c r="Q302" s="439">
        <v>0</v>
      </c>
      <c r="R302" s="442">
        <v>0</v>
      </c>
      <c r="S302" s="439">
        <v>0</v>
      </c>
      <c r="T302" s="440">
        <v>0</v>
      </c>
      <c r="U302" s="443">
        <v>0</v>
      </c>
      <c r="V302" s="282"/>
      <c r="W302" s="282">
        <f t="shared" si="22"/>
        <v>2464.3603238866399</v>
      </c>
      <c r="X302" s="282"/>
    </row>
    <row r="303" spans="1:35" ht="30">
      <c r="A303" s="430"/>
      <c r="B303" s="438" t="s">
        <v>99</v>
      </c>
      <c r="C303" s="439">
        <f>C304</f>
        <v>1602324</v>
      </c>
      <c r="D303" s="439">
        <f t="shared" ref="D303:V303" si="24">D304</f>
        <v>0</v>
      </c>
      <c r="E303" s="439">
        <f t="shared" si="24"/>
        <v>0</v>
      </c>
      <c r="F303" s="439">
        <f t="shared" si="24"/>
        <v>0</v>
      </c>
      <c r="G303" s="439">
        <f t="shared" si="24"/>
        <v>0</v>
      </c>
      <c r="H303" s="439">
        <f t="shared" si="24"/>
        <v>0</v>
      </c>
      <c r="I303" s="439">
        <f t="shared" si="24"/>
        <v>0</v>
      </c>
      <c r="J303" s="439">
        <f t="shared" si="24"/>
        <v>0</v>
      </c>
      <c r="K303" s="439">
        <f t="shared" si="24"/>
        <v>0</v>
      </c>
      <c r="L303" s="439">
        <f t="shared" si="24"/>
        <v>0</v>
      </c>
      <c r="M303" s="439">
        <f t="shared" si="24"/>
        <v>0</v>
      </c>
      <c r="N303" s="439">
        <f t="shared" si="24"/>
        <v>506.8</v>
      </c>
      <c r="O303" s="439">
        <f t="shared" si="24"/>
        <v>1602324</v>
      </c>
      <c r="P303" s="439">
        <f t="shared" si="24"/>
        <v>0</v>
      </c>
      <c r="Q303" s="439">
        <f t="shared" si="24"/>
        <v>0</v>
      </c>
      <c r="R303" s="439">
        <f t="shared" si="24"/>
        <v>0</v>
      </c>
      <c r="S303" s="439">
        <f t="shared" si="24"/>
        <v>0</v>
      </c>
      <c r="T303" s="439">
        <f t="shared" si="24"/>
        <v>0</v>
      </c>
      <c r="U303" s="439">
        <f t="shared" si="24"/>
        <v>0</v>
      </c>
      <c r="V303" s="211">
        <f t="shared" si="24"/>
        <v>0</v>
      </c>
      <c r="W303" s="282">
        <f t="shared" si="22"/>
        <v>3161.6495659037096</v>
      </c>
      <c r="X303" s="282"/>
    </row>
    <row r="304" spans="1:35" ht="30">
      <c r="A304" s="430">
        <v>265</v>
      </c>
      <c r="B304" s="438" t="s">
        <v>806</v>
      </c>
      <c r="C304" s="439">
        <f>'часть 1'!L313</f>
        <v>1602324</v>
      </c>
      <c r="D304" s="439">
        <v>0</v>
      </c>
      <c r="E304" s="439">
        <v>0</v>
      </c>
      <c r="F304" s="439">
        <v>0</v>
      </c>
      <c r="G304" s="439">
        <v>0</v>
      </c>
      <c r="H304" s="439">
        <v>0</v>
      </c>
      <c r="I304" s="439">
        <v>0</v>
      </c>
      <c r="J304" s="439">
        <v>0</v>
      </c>
      <c r="K304" s="439">
        <v>0</v>
      </c>
      <c r="L304" s="440">
        <v>0</v>
      </c>
      <c r="M304" s="439">
        <v>0</v>
      </c>
      <c r="N304" s="556">
        <v>506.8</v>
      </c>
      <c r="O304" s="439">
        <v>1602324</v>
      </c>
      <c r="P304" s="442">
        <v>0</v>
      </c>
      <c r="Q304" s="439">
        <v>0</v>
      </c>
      <c r="R304" s="442">
        <v>0</v>
      </c>
      <c r="S304" s="439">
        <v>0</v>
      </c>
      <c r="T304" s="440">
        <v>0</v>
      </c>
      <c r="U304" s="443">
        <v>0</v>
      </c>
      <c r="V304" s="282"/>
      <c r="W304" s="282">
        <f t="shared" si="22"/>
        <v>3161.6495659037096</v>
      </c>
      <c r="X304" s="282"/>
    </row>
    <row r="305" spans="1:24" ht="30">
      <c r="A305" s="430"/>
      <c r="B305" s="438" t="s">
        <v>100</v>
      </c>
      <c r="C305" s="439">
        <f>C306</f>
        <v>1986648</v>
      </c>
      <c r="D305" s="439">
        <f t="shared" ref="D305:V305" si="25">D306</f>
        <v>0</v>
      </c>
      <c r="E305" s="439">
        <f t="shared" si="25"/>
        <v>0</v>
      </c>
      <c r="F305" s="439">
        <f t="shared" si="25"/>
        <v>0</v>
      </c>
      <c r="G305" s="439">
        <f t="shared" si="25"/>
        <v>0</v>
      </c>
      <c r="H305" s="439">
        <f t="shared" si="25"/>
        <v>0</v>
      </c>
      <c r="I305" s="439">
        <f t="shared" si="25"/>
        <v>0</v>
      </c>
      <c r="J305" s="439">
        <f t="shared" si="25"/>
        <v>0</v>
      </c>
      <c r="K305" s="439">
        <f t="shared" si="25"/>
        <v>0</v>
      </c>
      <c r="L305" s="439">
        <f t="shared" si="25"/>
        <v>0</v>
      </c>
      <c r="M305" s="439">
        <f t="shared" si="25"/>
        <v>0</v>
      </c>
      <c r="N305" s="439">
        <f t="shared" si="25"/>
        <v>801</v>
      </c>
      <c r="O305" s="439">
        <f t="shared" si="25"/>
        <v>1986648</v>
      </c>
      <c r="P305" s="439">
        <f t="shared" si="25"/>
        <v>0</v>
      </c>
      <c r="Q305" s="439">
        <f t="shared" si="25"/>
        <v>0</v>
      </c>
      <c r="R305" s="439">
        <f t="shared" si="25"/>
        <v>0</v>
      </c>
      <c r="S305" s="439">
        <f t="shared" si="25"/>
        <v>0</v>
      </c>
      <c r="T305" s="439">
        <f t="shared" si="25"/>
        <v>0</v>
      </c>
      <c r="U305" s="439">
        <f t="shared" si="25"/>
        <v>0</v>
      </c>
      <c r="V305" s="439">
        <f t="shared" si="25"/>
        <v>0</v>
      </c>
      <c r="W305" s="282">
        <f t="shared" si="22"/>
        <v>2480.2097378277153</v>
      </c>
      <c r="X305" s="282"/>
    </row>
    <row r="306" spans="1:24" ht="30">
      <c r="A306" s="430">
        <v>267</v>
      </c>
      <c r="B306" s="438" t="s">
        <v>695</v>
      </c>
      <c r="C306" s="439">
        <v>1986648</v>
      </c>
      <c r="D306" s="439">
        <v>0</v>
      </c>
      <c r="E306" s="439">
        <v>0</v>
      </c>
      <c r="F306" s="439">
        <v>0</v>
      </c>
      <c r="G306" s="439">
        <v>0</v>
      </c>
      <c r="H306" s="439">
        <v>0</v>
      </c>
      <c r="I306" s="439">
        <v>0</v>
      </c>
      <c r="J306" s="439">
        <v>0</v>
      </c>
      <c r="K306" s="439">
        <v>0</v>
      </c>
      <c r="L306" s="440">
        <v>0</v>
      </c>
      <c r="M306" s="439">
        <v>0</v>
      </c>
      <c r="N306" s="441">
        <v>801</v>
      </c>
      <c r="O306" s="439">
        <v>1986648</v>
      </c>
      <c r="P306" s="442">
        <v>0</v>
      </c>
      <c r="Q306" s="439">
        <v>0</v>
      </c>
      <c r="R306" s="442">
        <v>0</v>
      </c>
      <c r="S306" s="439">
        <v>0</v>
      </c>
      <c r="T306" s="440">
        <v>0</v>
      </c>
      <c r="U306" s="443">
        <v>0</v>
      </c>
      <c r="V306" s="282"/>
      <c r="W306" s="282">
        <f t="shared" si="22"/>
        <v>2480.2097378277153</v>
      </c>
      <c r="X306" s="282"/>
    </row>
    <row r="307" spans="1:24" ht="30">
      <c r="A307" s="430"/>
      <c r="B307" s="438" t="s">
        <v>101</v>
      </c>
      <c r="C307" s="439">
        <v>0</v>
      </c>
      <c r="D307" s="439">
        <v>0</v>
      </c>
      <c r="E307" s="439">
        <v>0</v>
      </c>
      <c r="F307" s="439">
        <v>0</v>
      </c>
      <c r="G307" s="439">
        <v>0</v>
      </c>
      <c r="H307" s="439">
        <v>0</v>
      </c>
      <c r="I307" s="439">
        <v>0</v>
      </c>
      <c r="J307" s="439">
        <v>0</v>
      </c>
      <c r="K307" s="439">
        <v>0</v>
      </c>
      <c r="L307" s="440">
        <v>0</v>
      </c>
      <c r="M307" s="439">
        <v>0</v>
      </c>
      <c r="N307" s="439">
        <v>0</v>
      </c>
      <c r="O307" s="439">
        <v>0</v>
      </c>
      <c r="P307" s="442">
        <v>0</v>
      </c>
      <c r="Q307" s="439">
        <v>0</v>
      </c>
      <c r="R307" s="442">
        <v>0</v>
      </c>
      <c r="S307" s="439">
        <v>0</v>
      </c>
      <c r="T307" s="440">
        <v>0</v>
      </c>
      <c r="U307" s="443">
        <v>0</v>
      </c>
      <c r="V307" s="282"/>
      <c r="W307" s="282"/>
      <c r="X307" s="282"/>
    </row>
    <row r="308" spans="1:24" ht="30">
      <c r="A308" s="430"/>
      <c r="B308" s="438" t="s">
        <v>126</v>
      </c>
      <c r="C308" s="439">
        <v>0</v>
      </c>
      <c r="D308" s="439">
        <v>0</v>
      </c>
      <c r="E308" s="439">
        <v>0</v>
      </c>
      <c r="F308" s="439">
        <v>0</v>
      </c>
      <c r="G308" s="439">
        <v>0</v>
      </c>
      <c r="H308" s="439">
        <v>0</v>
      </c>
      <c r="I308" s="439">
        <v>0</v>
      </c>
      <c r="J308" s="439">
        <v>0</v>
      </c>
      <c r="K308" s="439">
        <v>0</v>
      </c>
      <c r="L308" s="439">
        <v>0</v>
      </c>
      <c r="M308" s="439">
        <v>0</v>
      </c>
      <c r="N308" s="439">
        <v>0</v>
      </c>
      <c r="O308" s="439">
        <v>0</v>
      </c>
      <c r="P308" s="439">
        <v>0</v>
      </c>
      <c r="Q308" s="439">
        <v>0</v>
      </c>
      <c r="R308" s="439">
        <v>0</v>
      </c>
      <c r="S308" s="439">
        <v>0</v>
      </c>
      <c r="T308" s="439">
        <v>0</v>
      </c>
      <c r="U308" s="439">
        <v>0</v>
      </c>
      <c r="V308" s="282"/>
      <c r="W308" s="282"/>
      <c r="X308" s="282"/>
    </row>
    <row r="309" spans="1:24" ht="37.15" customHeight="1">
      <c r="A309" s="430"/>
      <c r="B309" s="438" t="s">
        <v>861</v>
      </c>
      <c r="C309" s="439">
        <f>C310</f>
        <v>1906687</v>
      </c>
      <c r="D309" s="439">
        <f t="shared" ref="D309:U309" si="26">D310</f>
        <v>0</v>
      </c>
      <c r="E309" s="439">
        <f t="shared" si="26"/>
        <v>0</v>
      </c>
      <c r="F309" s="439">
        <f t="shared" si="26"/>
        <v>0</v>
      </c>
      <c r="G309" s="439">
        <f t="shared" si="26"/>
        <v>0</v>
      </c>
      <c r="H309" s="439">
        <f t="shared" si="26"/>
        <v>0</v>
      </c>
      <c r="I309" s="439">
        <f t="shared" si="26"/>
        <v>0</v>
      </c>
      <c r="J309" s="439">
        <f t="shared" si="26"/>
        <v>0</v>
      </c>
      <c r="K309" s="439">
        <f t="shared" si="26"/>
        <v>0</v>
      </c>
      <c r="L309" s="439">
        <f t="shared" si="26"/>
        <v>0</v>
      </c>
      <c r="M309" s="439">
        <f t="shared" si="26"/>
        <v>0</v>
      </c>
      <c r="N309" s="439">
        <f t="shared" si="26"/>
        <v>696.5</v>
      </c>
      <c r="O309" s="439">
        <f t="shared" si="26"/>
        <v>1906687</v>
      </c>
      <c r="P309" s="439">
        <f t="shared" si="26"/>
        <v>0</v>
      </c>
      <c r="Q309" s="439">
        <f t="shared" si="26"/>
        <v>0</v>
      </c>
      <c r="R309" s="439">
        <f t="shared" si="26"/>
        <v>0</v>
      </c>
      <c r="S309" s="439">
        <f t="shared" si="26"/>
        <v>0</v>
      </c>
      <c r="T309" s="439">
        <f t="shared" si="26"/>
        <v>0</v>
      </c>
      <c r="U309" s="439">
        <f t="shared" si="26"/>
        <v>0</v>
      </c>
      <c r="V309" s="282"/>
      <c r="W309" s="282">
        <f t="shared" si="22"/>
        <v>2737.5262024407753</v>
      </c>
      <c r="X309" s="282"/>
    </row>
    <row r="310" spans="1:24" ht="25.9" customHeight="1">
      <c r="A310" s="430"/>
      <c r="B310" s="438" t="s">
        <v>862</v>
      </c>
      <c r="C310" s="439">
        <f>'часть 1'!L319</f>
        <v>1906687</v>
      </c>
      <c r="D310" s="439">
        <v>0</v>
      </c>
      <c r="E310" s="439">
        <v>0</v>
      </c>
      <c r="F310" s="439">
        <v>0</v>
      </c>
      <c r="G310" s="439">
        <v>0</v>
      </c>
      <c r="H310" s="439">
        <v>0</v>
      </c>
      <c r="I310" s="439">
        <v>0</v>
      </c>
      <c r="J310" s="439">
        <v>0</v>
      </c>
      <c r="K310" s="439">
        <v>0</v>
      </c>
      <c r="L310" s="440">
        <v>0</v>
      </c>
      <c r="M310" s="439">
        <v>0</v>
      </c>
      <c r="N310" s="439">
        <v>696.5</v>
      </c>
      <c r="O310" s="439">
        <v>1906687</v>
      </c>
      <c r="P310" s="442">
        <v>0</v>
      </c>
      <c r="Q310" s="439">
        <v>0</v>
      </c>
      <c r="R310" s="442">
        <v>0</v>
      </c>
      <c r="S310" s="439">
        <v>0</v>
      </c>
      <c r="T310" s="440">
        <v>0</v>
      </c>
      <c r="U310" s="443">
        <v>0</v>
      </c>
      <c r="V310" s="282"/>
      <c r="W310" s="282">
        <f t="shared" si="22"/>
        <v>2737.5262024407753</v>
      </c>
      <c r="X310" s="282"/>
    </row>
    <row r="311" spans="1:24">
      <c r="A311" s="198"/>
      <c r="B311" s="216" t="s">
        <v>46</v>
      </c>
      <c r="C311" s="211">
        <f>C312</f>
        <v>1415265</v>
      </c>
      <c r="D311" s="211">
        <f t="shared" ref="D311:U311" si="27">D312</f>
        <v>0</v>
      </c>
      <c r="E311" s="211">
        <f t="shared" si="27"/>
        <v>0</v>
      </c>
      <c r="F311" s="211">
        <f t="shared" si="27"/>
        <v>0</v>
      </c>
      <c r="G311" s="211">
        <f t="shared" si="27"/>
        <v>0</v>
      </c>
      <c r="H311" s="211">
        <f t="shared" si="27"/>
        <v>0</v>
      </c>
      <c r="I311" s="211">
        <f t="shared" si="27"/>
        <v>0</v>
      </c>
      <c r="J311" s="211">
        <f t="shared" si="27"/>
        <v>0</v>
      </c>
      <c r="K311" s="211">
        <f t="shared" si="27"/>
        <v>0</v>
      </c>
      <c r="L311" s="211">
        <f t="shared" si="27"/>
        <v>0</v>
      </c>
      <c r="M311" s="211">
        <f t="shared" si="27"/>
        <v>0</v>
      </c>
      <c r="N311" s="211">
        <f t="shared" si="27"/>
        <v>457</v>
      </c>
      <c r="O311" s="211">
        <f t="shared" si="27"/>
        <v>1415265</v>
      </c>
      <c r="P311" s="211">
        <f t="shared" si="27"/>
        <v>0</v>
      </c>
      <c r="Q311" s="211">
        <f t="shared" si="27"/>
        <v>0</v>
      </c>
      <c r="R311" s="211">
        <f t="shared" si="27"/>
        <v>0</v>
      </c>
      <c r="S311" s="211">
        <f t="shared" si="27"/>
        <v>0</v>
      </c>
      <c r="T311" s="211">
        <f t="shared" si="27"/>
        <v>0</v>
      </c>
      <c r="U311" s="211">
        <f t="shared" si="27"/>
        <v>0</v>
      </c>
      <c r="V311" s="282"/>
      <c r="W311" s="282"/>
      <c r="X311" s="282"/>
    </row>
    <row r="312" spans="1:24" ht="30">
      <c r="A312" s="194"/>
      <c r="B312" s="214" t="s">
        <v>102</v>
      </c>
      <c r="C312" s="211">
        <f>C313</f>
        <v>1415265</v>
      </c>
      <c r="D312" s="211">
        <f t="shared" ref="D312:U312" si="28">D313</f>
        <v>0</v>
      </c>
      <c r="E312" s="211">
        <f t="shared" si="28"/>
        <v>0</v>
      </c>
      <c r="F312" s="211">
        <f t="shared" si="28"/>
        <v>0</v>
      </c>
      <c r="G312" s="211">
        <f t="shared" si="28"/>
        <v>0</v>
      </c>
      <c r="H312" s="211">
        <f t="shared" si="28"/>
        <v>0</v>
      </c>
      <c r="I312" s="211">
        <f t="shared" si="28"/>
        <v>0</v>
      </c>
      <c r="J312" s="211">
        <f t="shared" si="28"/>
        <v>0</v>
      </c>
      <c r="K312" s="211">
        <f t="shared" si="28"/>
        <v>0</v>
      </c>
      <c r="L312" s="211">
        <f t="shared" si="28"/>
        <v>0</v>
      </c>
      <c r="M312" s="211">
        <f t="shared" si="28"/>
        <v>0</v>
      </c>
      <c r="N312" s="211">
        <f t="shared" si="28"/>
        <v>457</v>
      </c>
      <c r="O312" s="211">
        <f t="shared" si="28"/>
        <v>1415265</v>
      </c>
      <c r="P312" s="211">
        <f t="shared" si="28"/>
        <v>0</v>
      </c>
      <c r="Q312" s="211">
        <f t="shared" si="28"/>
        <v>0</v>
      </c>
      <c r="R312" s="211">
        <f t="shared" si="28"/>
        <v>0</v>
      </c>
      <c r="S312" s="211">
        <f t="shared" si="28"/>
        <v>0</v>
      </c>
      <c r="T312" s="211">
        <f t="shared" si="28"/>
        <v>0</v>
      </c>
      <c r="U312" s="211">
        <f t="shared" si="28"/>
        <v>0</v>
      </c>
      <c r="V312" s="282"/>
      <c r="W312" s="282"/>
      <c r="X312" s="282"/>
    </row>
    <row r="313" spans="1:24">
      <c r="A313" s="430">
        <v>271</v>
      </c>
      <c r="B313" s="438" t="s">
        <v>485</v>
      </c>
      <c r="C313" s="439">
        <v>1415265</v>
      </c>
      <c r="D313" s="439">
        <v>0</v>
      </c>
      <c r="E313" s="439">
        <v>0</v>
      </c>
      <c r="F313" s="439">
        <v>0</v>
      </c>
      <c r="G313" s="439">
        <v>0</v>
      </c>
      <c r="H313" s="439">
        <v>0</v>
      </c>
      <c r="I313" s="439">
        <v>0</v>
      </c>
      <c r="J313" s="439">
        <v>0</v>
      </c>
      <c r="K313" s="439">
        <v>0</v>
      </c>
      <c r="L313" s="440">
        <v>0</v>
      </c>
      <c r="M313" s="439">
        <v>0</v>
      </c>
      <c r="N313" s="432">
        <v>457</v>
      </c>
      <c r="O313" s="439">
        <v>1415265</v>
      </c>
      <c r="P313" s="442">
        <v>0</v>
      </c>
      <c r="Q313" s="439">
        <v>0</v>
      </c>
      <c r="R313" s="442">
        <v>0</v>
      </c>
      <c r="S313" s="439">
        <v>0</v>
      </c>
      <c r="T313" s="440">
        <v>0</v>
      </c>
      <c r="U313" s="443">
        <v>0</v>
      </c>
      <c r="V313" s="282"/>
      <c r="W313" s="282">
        <f>O313/N313</f>
        <v>3096.8599562363238</v>
      </c>
      <c r="X313" s="282"/>
    </row>
    <row r="314" spans="1:24">
      <c r="A314" s="430"/>
      <c r="B314" s="438"/>
      <c r="C314" s="439"/>
      <c r="D314" s="439"/>
      <c r="E314" s="439"/>
      <c r="F314" s="439"/>
      <c r="G314" s="439"/>
      <c r="H314" s="439"/>
      <c r="I314" s="439"/>
      <c r="J314" s="439"/>
      <c r="K314" s="439"/>
      <c r="L314" s="440"/>
      <c r="M314" s="439"/>
      <c r="N314" s="439"/>
      <c r="O314" s="439"/>
      <c r="P314" s="442"/>
      <c r="Q314" s="439"/>
      <c r="R314" s="442"/>
      <c r="S314" s="439"/>
      <c r="T314" s="440"/>
      <c r="U314" s="443"/>
      <c r="V314" s="282"/>
      <c r="W314" s="282"/>
      <c r="X314" s="282"/>
    </row>
    <row r="315" spans="1:24" s="18" customFormat="1" ht="28.15" customHeight="1">
      <c r="A315" s="198"/>
      <c r="B315" s="216" t="s">
        <v>47</v>
      </c>
      <c r="C315" s="211">
        <f>C316</f>
        <v>6592116</v>
      </c>
      <c r="D315" s="211">
        <f t="shared" ref="D315:U315" si="29">D316</f>
        <v>0</v>
      </c>
      <c r="E315" s="211">
        <f t="shared" si="29"/>
        <v>0</v>
      </c>
      <c r="F315" s="211">
        <f t="shared" si="29"/>
        <v>0</v>
      </c>
      <c r="G315" s="211">
        <f t="shared" si="29"/>
        <v>0</v>
      </c>
      <c r="H315" s="211">
        <f t="shared" si="29"/>
        <v>0</v>
      </c>
      <c r="I315" s="211">
        <f t="shared" si="29"/>
        <v>0</v>
      </c>
      <c r="J315" s="211">
        <f t="shared" si="29"/>
        <v>0</v>
      </c>
      <c r="K315" s="211">
        <f t="shared" si="29"/>
        <v>0</v>
      </c>
      <c r="L315" s="211">
        <f t="shared" si="29"/>
        <v>0</v>
      </c>
      <c r="M315" s="211">
        <f t="shared" si="29"/>
        <v>0</v>
      </c>
      <c r="N315" s="211">
        <f t="shared" si="29"/>
        <v>2228.25</v>
      </c>
      <c r="O315" s="211">
        <f t="shared" si="29"/>
        <v>6592116</v>
      </c>
      <c r="P315" s="211">
        <f t="shared" si="29"/>
        <v>0</v>
      </c>
      <c r="Q315" s="211">
        <f t="shared" si="29"/>
        <v>0</v>
      </c>
      <c r="R315" s="211">
        <f t="shared" si="29"/>
        <v>0</v>
      </c>
      <c r="S315" s="211">
        <f t="shared" si="29"/>
        <v>0</v>
      </c>
      <c r="T315" s="211">
        <f t="shared" si="29"/>
        <v>0</v>
      </c>
      <c r="U315" s="211">
        <f t="shared" si="29"/>
        <v>0</v>
      </c>
      <c r="V315" s="282"/>
      <c r="W315" s="282"/>
      <c r="X315" s="282"/>
    </row>
    <row r="316" spans="1:24" ht="30">
      <c r="A316" s="430"/>
      <c r="B316" s="438" t="s">
        <v>103</v>
      </c>
      <c r="C316" s="439">
        <f>C317+C318+C319+C320+C321</f>
        <v>6592116</v>
      </c>
      <c r="D316" s="439">
        <f t="shared" ref="D316:U316" si="30">D317+D318+D319+D320+D321</f>
        <v>0</v>
      </c>
      <c r="E316" s="439">
        <f t="shared" si="30"/>
        <v>0</v>
      </c>
      <c r="F316" s="439">
        <f t="shared" si="30"/>
        <v>0</v>
      </c>
      <c r="G316" s="439">
        <f t="shared" si="30"/>
        <v>0</v>
      </c>
      <c r="H316" s="439">
        <f t="shared" si="30"/>
        <v>0</v>
      </c>
      <c r="I316" s="439">
        <f t="shared" si="30"/>
        <v>0</v>
      </c>
      <c r="J316" s="439">
        <f t="shared" si="30"/>
        <v>0</v>
      </c>
      <c r="K316" s="439">
        <f t="shared" si="30"/>
        <v>0</v>
      </c>
      <c r="L316" s="439">
        <f t="shared" si="30"/>
        <v>0</v>
      </c>
      <c r="M316" s="439">
        <f t="shared" si="30"/>
        <v>0</v>
      </c>
      <c r="N316" s="439">
        <f t="shared" si="30"/>
        <v>2228.25</v>
      </c>
      <c r="O316" s="439">
        <f t="shared" si="30"/>
        <v>6592116</v>
      </c>
      <c r="P316" s="439">
        <f t="shared" si="30"/>
        <v>0</v>
      </c>
      <c r="Q316" s="439">
        <f t="shared" si="30"/>
        <v>0</v>
      </c>
      <c r="R316" s="439">
        <f t="shared" si="30"/>
        <v>0</v>
      </c>
      <c r="S316" s="439">
        <f t="shared" si="30"/>
        <v>0</v>
      </c>
      <c r="T316" s="439">
        <f t="shared" si="30"/>
        <v>0</v>
      </c>
      <c r="U316" s="439">
        <f t="shared" si="30"/>
        <v>0</v>
      </c>
      <c r="V316" s="282"/>
      <c r="W316" s="282"/>
      <c r="X316" s="282"/>
    </row>
    <row r="317" spans="1:24" ht="15.75">
      <c r="A317" s="430">
        <v>273</v>
      </c>
      <c r="B317" s="936" t="s">
        <v>723</v>
      </c>
      <c r="C317" s="439">
        <f>'часть 1'!L326</f>
        <v>1682684</v>
      </c>
      <c r="D317" s="439">
        <v>0</v>
      </c>
      <c r="E317" s="439">
        <v>0</v>
      </c>
      <c r="F317" s="439">
        <v>0</v>
      </c>
      <c r="G317" s="439">
        <v>0</v>
      </c>
      <c r="H317" s="439">
        <v>0</v>
      </c>
      <c r="I317" s="439">
        <v>0</v>
      </c>
      <c r="J317" s="439">
        <v>0</v>
      </c>
      <c r="K317" s="439">
        <v>0</v>
      </c>
      <c r="L317" s="440">
        <v>0</v>
      </c>
      <c r="M317" s="439">
        <v>0</v>
      </c>
      <c r="N317" s="439">
        <v>680</v>
      </c>
      <c r="O317" s="439">
        <v>1682684</v>
      </c>
      <c r="P317" s="442">
        <v>0</v>
      </c>
      <c r="Q317" s="439">
        <v>0</v>
      </c>
      <c r="R317" s="442">
        <v>0</v>
      </c>
      <c r="S317" s="439">
        <v>0</v>
      </c>
      <c r="T317" s="440">
        <v>0</v>
      </c>
      <c r="U317" s="443">
        <v>0</v>
      </c>
      <c r="V317" s="282"/>
      <c r="W317" s="282">
        <f>O317/N317</f>
        <v>2474.535294117647</v>
      </c>
      <c r="X317" s="282"/>
    </row>
    <row r="318" spans="1:24" ht="15.75">
      <c r="A318" s="430">
        <v>274</v>
      </c>
      <c r="B318" s="936" t="s">
        <v>870</v>
      </c>
      <c r="C318" s="439">
        <f>'часть 1'!L327</f>
        <v>1227835</v>
      </c>
      <c r="D318" s="439">
        <v>0</v>
      </c>
      <c r="E318" s="439">
        <v>0</v>
      </c>
      <c r="F318" s="439">
        <v>0</v>
      </c>
      <c r="G318" s="439">
        <v>0</v>
      </c>
      <c r="H318" s="439">
        <v>0</v>
      </c>
      <c r="I318" s="439">
        <v>0</v>
      </c>
      <c r="J318" s="439">
        <v>0</v>
      </c>
      <c r="K318" s="439">
        <v>0</v>
      </c>
      <c r="L318" s="440">
        <v>0</v>
      </c>
      <c r="M318" s="439">
        <v>0</v>
      </c>
      <c r="N318" s="439">
        <v>387.2</v>
      </c>
      <c r="O318" s="439">
        <v>1227835</v>
      </c>
      <c r="P318" s="442">
        <v>0</v>
      </c>
      <c r="Q318" s="439">
        <v>0</v>
      </c>
      <c r="R318" s="442">
        <v>0</v>
      </c>
      <c r="S318" s="439">
        <v>0</v>
      </c>
      <c r="T318" s="440">
        <v>0</v>
      </c>
      <c r="U318" s="443">
        <v>0</v>
      </c>
      <c r="V318" s="282"/>
      <c r="W318" s="282">
        <f t="shared" ref="W318:W321" si="31">O318/N318</f>
        <v>3171.0614669421489</v>
      </c>
      <c r="X318" s="282"/>
    </row>
    <row r="319" spans="1:24" ht="15.75">
      <c r="A319" s="430">
        <v>275</v>
      </c>
      <c r="B319" s="936" t="s">
        <v>871</v>
      </c>
      <c r="C319" s="439">
        <f>'часть 1'!L328</f>
        <v>1562951</v>
      </c>
      <c r="D319" s="439">
        <v>0</v>
      </c>
      <c r="E319" s="439">
        <v>0</v>
      </c>
      <c r="F319" s="439">
        <v>0</v>
      </c>
      <c r="G319" s="439">
        <v>0</v>
      </c>
      <c r="H319" s="439">
        <v>0</v>
      </c>
      <c r="I319" s="439">
        <v>0</v>
      </c>
      <c r="J319" s="439">
        <v>0</v>
      </c>
      <c r="K319" s="439">
        <v>0</v>
      </c>
      <c r="L319" s="440">
        <v>0</v>
      </c>
      <c r="M319" s="439">
        <v>0</v>
      </c>
      <c r="N319" s="439">
        <v>495.05</v>
      </c>
      <c r="O319" s="439">
        <v>1562951</v>
      </c>
      <c r="P319" s="442">
        <v>0</v>
      </c>
      <c r="Q319" s="439">
        <v>0</v>
      </c>
      <c r="R319" s="442">
        <v>0</v>
      </c>
      <c r="S319" s="439">
        <v>0</v>
      </c>
      <c r="T319" s="440">
        <v>0</v>
      </c>
      <c r="U319" s="443">
        <v>0</v>
      </c>
      <c r="V319" s="282"/>
      <c r="W319" s="282">
        <f t="shared" si="31"/>
        <v>3157.1578628421371</v>
      </c>
      <c r="X319" s="282"/>
    </row>
    <row r="320" spans="1:24" ht="15.75">
      <c r="A320" s="430">
        <v>276</v>
      </c>
      <c r="B320" s="936" t="s">
        <v>872</v>
      </c>
      <c r="C320" s="439">
        <f>'часть 1'!L329</f>
        <v>974952</v>
      </c>
      <c r="D320" s="439">
        <v>0</v>
      </c>
      <c r="E320" s="439">
        <v>0</v>
      </c>
      <c r="F320" s="439">
        <v>0</v>
      </c>
      <c r="G320" s="439">
        <v>0</v>
      </c>
      <c r="H320" s="439">
        <v>0</v>
      </c>
      <c r="I320" s="439">
        <v>0</v>
      </c>
      <c r="J320" s="439">
        <v>0</v>
      </c>
      <c r="K320" s="439">
        <v>0</v>
      </c>
      <c r="L320" s="440">
        <v>0</v>
      </c>
      <c r="M320" s="439">
        <v>0</v>
      </c>
      <c r="N320" s="439">
        <v>306</v>
      </c>
      <c r="O320" s="439">
        <v>974952</v>
      </c>
      <c r="P320" s="442">
        <v>0</v>
      </c>
      <c r="Q320" s="439">
        <v>0</v>
      </c>
      <c r="R320" s="442">
        <v>0</v>
      </c>
      <c r="S320" s="439">
        <v>0</v>
      </c>
      <c r="T320" s="440">
        <v>0</v>
      </c>
      <c r="U320" s="443">
        <v>0</v>
      </c>
      <c r="V320" s="282"/>
      <c r="W320" s="282">
        <f t="shared" si="31"/>
        <v>3186.1176470588234</v>
      </c>
      <c r="X320" s="282"/>
    </row>
    <row r="321" spans="1:26" ht="15.75">
      <c r="A321" s="430">
        <v>276</v>
      </c>
      <c r="B321" s="936" t="s">
        <v>873</v>
      </c>
      <c r="C321" s="439">
        <f>'часть 1'!L330</f>
        <v>1143694</v>
      </c>
      <c r="D321" s="439">
        <v>0</v>
      </c>
      <c r="E321" s="439">
        <v>0</v>
      </c>
      <c r="F321" s="439">
        <v>0</v>
      </c>
      <c r="G321" s="439">
        <v>0</v>
      </c>
      <c r="H321" s="439">
        <v>0</v>
      </c>
      <c r="I321" s="439">
        <v>0</v>
      </c>
      <c r="J321" s="439">
        <v>0</v>
      </c>
      <c r="K321" s="439">
        <v>0</v>
      </c>
      <c r="L321" s="440">
        <v>0</v>
      </c>
      <c r="M321" s="439">
        <v>0</v>
      </c>
      <c r="N321" s="439">
        <v>360</v>
      </c>
      <c r="O321" s="439">
        <v>1143694</v>
      </c>
      <c r="P321" s="442">
        <v>0</v>
      </c>
      <c r="Q321" s="439">
        <v>0</v>
      </c>
      <c r="R321" s="442">
        <v>0</v>
      </c>
      <c r="S321" s="439">
        <v>0</v>
      </c>
      <c r="T321" s="440">
        <v>0</v>
      </c>
      <c r="U321" s="443">
        <v>0</v>
      </c>
      <c r="V321" s="282"/>
      <c r="W321" s="282">
        <f t="shared" si="31"/>
        <v>3176.9277777777779</v>
      </c>
      <c r="X321" s="282"/>
    </row>
    <row r="322" spans="1:26" s="91" customFormat="1">
      <c r="A322" s="198"/>
      <c r="B322" s="216" t="s">
        <v>48</v>
      </c>
      <c r="C322" s="211">
        <v>3947863</v>
      </c>
      <c r="D322" s="211"/>
      <c r="E322" s="211"/>
      <c r="F322" s="211"/>
      <c r="G322" s="211"/>
      <c r="H322" s="211"/>
      <c r="I322" s="211"/>
      <c r="J322" s="211"/>
      <c r="K322" s="211">
        <v>163315</v>
      </c>
      <c r="L322" s="212">
        <v>0</v>
      </c>
      <c r="M322" s="211">
        <v>0</v>
      </c>
      <c r="N322" s="211">
        <v>1314.93</v>
      </c>
      <c r="O322" s="211">
        <v>2673179</v>
      </c>
      <c r="P322" s="213">
        <v>0</v>
      </c>
      <c r="Q322" s="211">
        <v>0</v>
      </c>
      <c r="R322" s="211">
        <v>759.4</v>
      </c>
      <c r="S322" s="211">
        <v>1111369</v>
      </c>
      <c r="T322" s="212">
        <v>0</v>
      </c>
      <c r="U322" s="290">
        <v>0</v>
      </c>
      <c r="V322" s="282"/>
      <c r="W322" s="282"/>
      <c r="X322" s="282"/>
    </row>
    <row r="323" spans="1:26" ht="30">
      <c r="A323" s="430"/>
      <c r="B323" s="438" t="s">
        <v>107</v>
      </c>
      <c r="C323" s="439">
        <f>C324+C325</f>
        <v>3145909</v>
      </c>
      <c r="D323" s="439">
        <f t="shared" ref="D323:V323" si="32">D324+D325</f>
        <v>0</v>
      </c>
      <c r="E323" s="439">
        <f t="shared" si="32"/>
        <v>0</v>
      </c>
      <c r="F323" s="439">
        <f t="shared" si="32"/>
        <v>0</v>
      </c>
      <c r="G323" s="439">
        <f t="shared" si="32"/>
        <v>0</v>
      </c>
      <c r="H323" s="439">
        <f t="shared" si="32"/>
        <v>0</v>
      </c>
      <c r="I323" s="439">
        <f t="shared" si="32"/>
        <v>0</v>
      </c>
      <c r="J323" s="439">
        <f t="shared" si="32"/>
        <v>0</v>
      </c>
      <c r="K323" s="439">
        <f t="shared" si="32"/>
        <v>0</v>
      </c>
      <c r="L323" s="439">
        <f t="shared" si="32"/>
        <v>0</v>
      </c>
      <c r="M323" s="439">
        <f t="shared" si="32"/>
        <v>0</v>
      </c>
      <c r="N323" s="439">
        <f t="shared" si="32"/>
        <v>997.02</v>
      </c>
      <c r="O323" s="439">
        <f t="shared" si="32"/>
        <v>3145909</v>
      </c>
      <c r="P323" s="439">
        <f t="shared" si="32"/>
        <v>0</v>
      </c>
      <c r="Q323" s="439">
        <f t="shared" si="32"/>
        <v>0</v>
      </c>
      <c r="R323" s="439">
        <f t="shared" si="32"/>
        <v>0</v>
      </c>
      <c r="S323" s="439">
        <f t="shared" si="32"/>
        <v>0</v>
      </c>
      <c r="T323" s="439">
        <f t="shared" si="32"/>
        <v>0</v>
      </c>
      <c r="U323" s="439">
        <f t="shared" si="32"/>
        <v>0</v>
      </c>
      <c r="V323" s="439">
        <f t="shared" si="32"/>
        <v>0</v>
      </c>
      <c r="W323" s="282"/>
      <c r="X323" s="282"/>
    </row>
    <row r="324" spans="1:26">
      <c r="A324" s="430">
        <v>277</v>
      </c>
      <c r="B324" s="438" t="s">
        <v>770</v>
      </c>
      <c r="C324" s="439">
        <f>'часть 1'!L333</f>
        <v>1590271</v>
      </c>
      <c r="D324" s="439">
        <v>0</v>
      </c>
      <c r="E324" s="439">
        <v>0</v>
      </c>
      <c r="F324" s="439">
        <v>0</v>
      </c>
      <c r="G324" s="439">
        <v>0</v>
      </c>
      <c r="H324" s="439">
        <v>0</v>
      </c>
      <c r="I324" s="439">
        <v>0</v>
      </c>
      <c r="J324" s="439">
        <v>0</v>
      </c>
      <c r="K324" s="435">
        <v>0</v>
      </c>
      <c r="L324" s="485">
        <v>0</v>
      </c>
      <c r="M324" s="435">
        <v>0</v>
      </c>
      <c r="N324" s="435">
        <v>504</v>
      </c>
      <c r="O324" s="468">
        <v>1590271</v>
      </c>
      <c r="P324" s="573">
        <v>0</v>
      </c>
      <c r="Q324" s="435">
        <v>0</v>
      </c>
      <c r="R324" s="435">
        <v>0</v>
      </c>
      <c r="S324" s="435">
        <v>0</v>
      </c>
      <c r="T324" s="485">
        <v>0</v>
      </c>
      <c r="U324" s="486">
        <v>0</v>
      </c>
      <c r="V324" s="282"/>
      <c r="W324" s="282">
        <f>O324/N324</f>
        <v>3155.2996031746034</v>
      </c>
      <c r="X324" s="282"/>
      <c r="Y324" s="25"/>
      <c r="Z324" s="25"/>
    </row>
    <row r="325" spans="1:26">
      <c r="A325" s="430">
        <v>278</v>
      </c>
      <c r="B325" s="438" t="s">
        <v>771</v>
      </c>
      <c r="C325" s="439">
        <f>'часть 1'!L334</f>
        <v>1555638</v>
      </c>
      <c r="D325" s="439">
        <v>0</v>
      </c>
      <c r="E325" s="439">
        <v>0</v>
      </c>
      <c r="F325" s="439">
        <v>0</v>
      </c>
      <c r="G325" s="439">
        <v>0</v>
      </c>
      <c r="H325" s="439">
        <v>0</v>
      </c>
      <c r="I325" s="439">
        <v>0</v>
      </c>
      <c r="J325" s="439">
        <v>0</v>
      </c>
      <c r="K325" s="435">
        <v>0</v>
      </c>
      <c r="L325" s="440">
        <v>0</v>
      </c>
      <c r="M325" s="439">
        <v>0</v>
      </c>
      <c r="N325" s="435">
        <v>493.02</v>
      </c>
      <c r="O325" s="468">
        <v>1555638</v>
      </c>
      <c r="P325" s="442">
        <v>0</v>
      </c>
      <c r="Q325" s="439">
        <v>0</v>
      </c>
      <c r="R325" s="435">
        <v>0</v>
      </c>
      <c r="S325" s="435">
        <v>0</v>
      </c>
      <c r="T325" s="440">
        <v>0</v>
      </c>
      <c r="U325" s="443">
        <v>0</v>
      </c>
      <c r="V325" s="282"/>
      <c r="W325" s="282">
        <f>O325/N325</f>
        <v>3155.3243276134845</v>
      </c>
      <c r="X325" s="282"/>
      <c r="Y325" s="25"/>
      <c r="Z325" s="25"/>
    </row>
    <row r="326" spans="1:26" ht="30">
      <c r="A326" s="198"/>
      <c r="B326" s="214" t="s">
        <v>104</v>
      </c>
      <c r="C326" s="211">
        <v>553839</v>
      </c>
      <c r="D326" s="211"/>
      <c r="E326" s="211"/>
      <c r="F326" s="211"/>
      <c r="G326" s="211"/>
      <c r="H326" s="211"/>
      <c r="I326" s="211"/>
      <c r="J326" s="211"/>
      <c r="K326" s="211">
        <v>0</v>
      </c>
      <c r="L326" s="212">
        <v>0</v>
      </c>
      <c r="M326" s="211">
        <v>0</v>
      </c>
      <c r="N326" s="211">
        <v>270.93</v>
      </c>
      <c r="O326" s="211">
        <v>553839</v>
      </c>
      <c r="P326" s="213">
        <v>0</v>
      </c>
      <c r="Q326" s="211">
        <v>0</v>
      </c>
      <c r="R326" s="213">
        <v>0</v>
      </c>
      <c r="S326" s="211">
        <v>0</v>
      </c>
      <c r="T326" s="212">
        <v>0</v>
      </c>
      <c r="U326" s="290">
        <v>0</v>
      </c>
      <c r="V326" s="282"/>
      <c r="W326" s="282"/>
      <c r="X326" s="282"/>
    </row>
    <row r="327" spans="1:26" ht="30">
      <c r="A327" s="198">
        <v>280</v>
      </c>
      <c r="B327" s="214" t="s">
        <v>452</v>
      </c>
      <c r="C327" s="211">
        <v>553839</v>
      </c>
      <c r="D327" s="211"/>
      <c r="E327" s="211"/>
      <c r="F327" s="211"/>
      <c r="G327" s="211"/>
      <c r="H327" s="211"/>
      <c r="I327" s="211"/>
      <c r="J327" s="211"/>
      <c r="K327" s="211">
        <v>0</v>
      </c>
      <c r="L327" s="212">
        <v>0</v>
      </c>
      <c r="M327" s="211">
        <v>0</v>
      </c>
      <c r="N327" s="199">
        <v>270.93</v>
      </c>
      <c r="O327" s="211">
        <v>553839</v>
      </c>
      <c r="P327" s="213">
        <v>0</v>
      </c>
      <c r="Q327" s="211">
        <v>0</v>
      </c>
      <c r="R327" s="213">
        <v>0</v>
      </c>
      <c r="S327" s="211">
        <v>0</v>
      </c>
      <c r="T327" s="212">
        <v>0</v>
      </c>
      <c r="U327" s="290">
        <v>0</v>
      </c>
      <c r="V327" s="282"/>
      <c r="W327" s="282"/>
      <c r="X327" s="282"/>
    </row>
    <row r="328" spans="1:26">
      <c r="A328" s="198"/>
      <c r="B328" s="216" t="s">
        <v>49</v>
      </c>
      <c r="C328" s="211">
        <v>8949722</v>
      </c>
      <c r="D328" s="211"/>
      <c r="E328" s="211"/>
      <c r="F328" s="211"/>
      <c r="G328" s="211"/>
      <c r="H328" s="211"/>
      <c r="I328" s="211"/>
      <c r="J328" s="211"/>
      <c r="K328" s="211">
        <v>0</v>
      </c>
      <c r="L328" s="212">
        <v>0</v>
      </c>
      <c r="M328" s="211">
        <v>0</v>
      </c>
      <c r="N328" s="211">
        <v>3313.5</v>
      </c>
      <c r="O328" s="211">
        <v>6652861</v>
      </c>
      <c r="P328" s="213">
        <v>0</v>
      </c>
      <c r="Q328" s="211">
        <v>0</v>
      </c>
      <c r="R328" s="211">
        <v>1589</v>
      </c>
      <c r="S328" s="211">
        <v>2296861</v>
      </c>
      <c r="T328" s="212">
        <v>0</v>
      </c>
      <c r="U328" s="290">
        <v>0</v>
      </c>
      <c r="V328" s="282"/>
      <c r="W328" s="282"/>
      <c r="X328" s="282"/>
    </row>
    <row r="329" spans="1:26" ht="30">
      <c r="A329" s="198"/>
      <c r="B329" s="214" t="s">
        <v>105</v>
      </c>
      <c r="C329" s="211">
        <f>C330</f>
        <v>1505603</v>
      </c>
      <c r="D329" s="211">
        <f t="shared" ref="D329:U329" si="33">D330</f>
        <v>0</v>
      </c>
      <c r="E329" s="211">
        <f t="shared" si="33"/>
        <v>0</v>
      </c>
      <c r="F329" s="211">
        <f t="shared" si="33"/>
        <v>0</v>
      </c>
      <c r="G329" s="211">
        <f t="shared" si="33"/>
        <v>0</v>
      </c>
      <c r="H329" s="211">
        <f t="shared" si="33"/>
        <v>0</v>
      </c>
      <c r="I329" s="211">
        <f t="shared" si="33"/>
        <v>0</v>
      </c>
      <c r="J329" s="211">
        <f t="shared" si="33"/>
        <v>0</v>
      </c>
      <c r="K329" s="211">
        <f t="shared" si="33"/>
        <v>0</v>
      </c>
      <c r="L329" s="211">
        <f t="shared" si="33"/>
        <v>0</v>
      </c>
      <c r="M329" s="211">
        <f t="shared" si="33"/>
        <v>0</v>
      </c>
      <c r="N329" s="211">
        <f t="shared" si="33"/>
        <v>476.3</v>
      </c>
      <c r="O329" s="211">
        <f t="shared" si="33"/>
        <v>1505603</v>
      </c>
      <c r="P329" s="211">
        <f t="shared" si="33"/>
        <v>0</v>
      </c>
      <c r="Q329" s="211">
        <f t="shared" si="33"/>
        <v>0</v>
      </c>
      <c r="R329" s="211">
        <f t="shared" si="33"/>
        <v>0</v>
      </c>
      <c r="S329" s="211">
        <f t="shared" si="33"/>
        <v>0</v>
      </c>
      <c r="T329" s="211">
        <f t="shared" si="33"/>
        <v>0</v>
      </c>
      <c r="U329" s="211">
        <f t="shared" si="33"/>
        <v>0</v>
      </c>
      <c r="V329" s="282"/>
      <c r="W329" s="282"/>
      <c r="X329" s="282"/>
    </row>
    <row r="330" spans="1:26" s="18" customFormat="1">
      <c r="A330" s="430">
        <v>281</v>
      </c>
      <c r="B330" s="464" t="s">
        <v>481</v>
      </c>
      <c r="C330" s="439">
        <v>1505603</v>
      </c>
      <c r="D330" s="439">
        <v>0</v>
      </c>
      <c r="E330" s="439">
        <v>0</v>
      </c>
      <c r="F330" s="439">
        <v>0</v>
      </c>
      <c r="G330" s="439">
        <v>0</v>
      </c>
      <c r="H330" s="439">
        <v>0</v>
      </c>
      <c r="I330" s="439">
        <v>0</v>
      </c>
      <c r="J330" s="439">
        <v>0</v>
      </c>
      <c r="K330" s="439">
        <v>0</v>
      </c>
      <c r="L330" s="440">
        <v>0</v>
      </c>
      <c r="M330" s="439">
        <v>0</v>
      </c>
      <c r="N330" s="439">
        <v>476.3</v>
      </c>
      <c r="O330" s="439">
        <v>1505603</v>
      </c>
      <c r="P330" s="442">
        <v>0</v>
      </c>
      <c r="Q330" s="439">
        <v>0</v>
      </c>
      <c r="R330" s="442">
        <v>0</v>
      </c>
      <c r="S330" s="439">
        <v>0</v>
      </c>
      <c r="T330" s="440">
        <v>0</v>
      </c>
      <c r="U330" s="443">
        <v>0</v>
      </c>
      <c r="V330" s="282"/>
      <c r="W330" s="282">
        <f>O330/N330</f>
        <v>3161.039260969977</v>
      </c>
      <c r="X330" s="282"/>
    </row>
    <row r="331" spans="1:26" s="18" customFormat="1" ht="30">
      <c r="A331" s="194"/>
      <c r="B331" s="214" t="s">
        <v>985</v>
      </c>
      <c r="C331" s="211">
        <f>C332+C333</f>
        <v>7561422.5999999996</v>
      </c>
      <c r="D331" s="211">
        <f t="shared" ref="D331:V331" si="34">D332+D333</f>
        <v>0</v>
      </c>
      <c r="E331" s="211">
        <f t="shared" si="34"/>
        <v>0</v>
      </c>
      <c r="F331" s="211">
        <f t="shared" si="34"/>
        <v>0</v>
      </c>
      <c r="G331" s="211">
        <f t="shared" si="34"/>
        <v>0</v>
      </c>
      <c r="H331" s="211">
        <f t="shared" si="34"/>
        <v>0</v>
      </c>
      <c r="I331" s="211">
        <f t="shared" si="34"/>
        <v>0</v>
      </c>
      <c r="J331" s="211">
        <f t="shared" si="34"/>
        <v>0</v>
      </c>
      <c r="K331" s="211">
        <f t="shared" si="34"/>
        <v>0</v>
      </c>
      <c r="L331" s="211">
        <f t="shared" si="34"/>
        <v>0</v>
      </c>
      <c r="M331" s="211">
        <f t="shared" si="34"/>
        <v>0</v>
      </c>
      <c r="N331" s="211">
        <f t="shared" si="34"/>
        <v>1800</v>
      </c>
      <c r="O331" s="211">
        <f t="shared" si="34"/>
        <v>5463000</v>
      </c>
      <c r="P331" s="211">
        <f t="shared" si="34"/>
        <v>0</v>
      </c>
      <c r="Q331" s="211">
        <f t="shared" si="34"/>
        <v>0</v>
      </c>
      <c r="R331" s="211">
        <f t="shared" si="34"/>
        <v>1444.2</v>
      </c>
      <c r="S331" s="211">
        <f t="shared" si="34"/>
        <v>2098422</v>
      </c>
      <c r="T331" s="211">
        <f t="shared" si="34"/>
        <v>0</v>
      </c>
      <c r="U331" s="211">
        <f t="shared" si="34"/>
        <v>0</v>
      </c>
      <c r="V331" s="211">
        <f t="shared" si="34"/>
        <v>0</v>
      </c>
      <c r="W331" s="282"/>
      <c r="X331" s="282"/>
    </row>
    <row r="332" spans="1:26" s="18" customFormat="1" ht="19.899999999999999" customHeight="1">
      <c r="A332" s="194"/>
      <c r="B332" s="567" t="s">
        <v>986</v>
      </c>
      <c r="C332" s="211">
        <f>'часть 1'!L342</f>
        <v>3779403.6</v>
      </c>
      <c r="D332" s="211">
        <v>0</v>
      </c>
      <c r="E332" s="211">
        <v>0</v>
      </c>
      <c r="F332" s="211">
        <v>0</v>
      </c>
      <c r="G332" s="211">
        <v>0</v>
      </c>
      <c r="H332" s="211">
        <v>0</v>
      </c>
      <c r="I332" s="211">
        <v>0</v>
      </c>
      <c r="J332" s="211">
        <v>0</v>
      </c>
      <c r="K332" s="211">
        <v>0</v>
      </c>
      <c r="L332" s="212">
        <v>0</v>
      </c>
      <c r="M332" s="211">
        <v>0</v>
      </c>
      <c r="N332" s="211">
        <v>900</v>
      </c>
      <c r="O332" s="211">
        <v>2731500</v>
      </c>
      <c r="P332" s="213">
        <v>0</v>
      </c>
      <c r="Q332" s="211">
        <v>0</v>
      </c>
      <c r="R332" s="213">
        <v>721.2</v>
      </c>
      <c r="S332" s="211">
        <v>1047903</v>
      </c>
      <c r="T332" s="212">
        <v>0</v>
      </c>
      <c r="U332" s="290">
        <v>0</v>
      </c>
      <c r="V332" s="282"/>
      <c r="W332" s="282">
        <f>O332/N332</f>
        <v>3035</v>
      </c>
      <c r="X332" s="282">
        <f>S332/R332</f>
        <v>1452.9991680532446</v>
      </c>
    </row>
    <row r="333" spans="1:26" s="18" customFormat="1" ht="24" customHeight="1">
      <c r="A333" s="194"/>
      <c r="B333" s="567" t="s">
        <v>987</v>
      </c>
      <c r="C333" s="211">
        <f>'часть 1'!L343</f>
        <v>3782019</v>
      </c>
      <c r="D333" s="211">
        <v>0</v>
      </c>
      <c r="E333" s="211">
        <v>0</v>
      </c>
      <c r="F333" s="211">
        <v>0</v>
      </c>
      <c r="G333" s="211">
        <v>0</v>
      </c>
      <c r="H333" s="211">
        <v>0</v>
      </c>
      <c r="I333" s="211">
        <v>0</v>
      </c>
      <c r="J333" s="211">
        <v>0</v>
      </c>
      <c r="K333" s="211">
        <v>0</v>
      </c>
      <c r="L333" s="212">
        <v>0</v>
      </c>
      <c r="M333" s="211">
        <v>0</v>
      </c>
      <c r="N333" s="211">
        <v>900</v>
      </c>
      <c r="O333" s="211">
        <v>2731500</v>
      </c>
      <c r="P333" s="213">
        <v>0</v>
      </c>
      <c r="Q333" s="211">
        <v>0</v>
      </c>
      <c r="R333" s="213">
        <v>723</v>
      </c>
      <c r="S333" s="211">
        <v>1050519</v>
      </c>
      <c r="T333" s="212">
        <v>0</v>
      </c>
      <c r="U333" s="290">
        <v>0</v>
      </c>
      <c r="V333" s="282"/>
      <c r="W333" s="282">
        <f>O333/N333</f>
        <v>3035</v>
      </c>
      <c r="X333" s="282">
        <f>S333/R333</f>
        <v>1453</v>
      </c>
    </row>
    <row r="334" spans="1:26" s="18" customFormat="1" ht="30">
      <c r="A334" s="198"/>
      <c r="B334" s="214" t="s">
        <v>188</v>
      </c>
      <c r="C334" s="211">
        <v>1905804</v>
      </c>
      <c r="D334" s="211"/>
      <c r="E334" s="211"/>
      <c r="F334" s="211"/>
      <c r="G334" s="211"/>
      <c r="H334" s="211"/>
      <c r="I334" s="211"/>
      <c r="J334" s="211"/>
      <c r="K334" s="211">
        <v>0</v>
      </c>
      <c r="L334" s="212">
        <v>0</v>
      </c>
      <c r="M334" s="211">
        <v>0</v>
      </c>
      <c r="N334" s="211">
        <v>968.7</v>
      </c>
      <c r="O334" s="211">
        <v>1905804</v>
      </c>
      <c r="P334" s="213">
        <v>0</v>
      </c>
      <c r="Q334" s="211">
        <v>0</v>
      </c>
      <c r="R334" s="213">
        <v>0</v>
      </c>
      <c r="S334" s="211">
        <v>0</v>
      </c>
      <c r="T334" s="212">
        <v>0</v>
      </c>
      <c r="U334" s="290">
        <v>0</v>
      </c>
      <c r="V334" s="282"/>
      <c r="W334" s="282"/>
      <c r="X334" s="282"/>
    </row>
    <row r="335" spans="1:26" s="18" customFormat="1">
      <c r="A335" s="198">
        <v>283</v>
      </c>
      <c r="B335" s="214" t="s">
        <v>410</v>
      </c>
      <c r="C335" s="211">
        <v>958459</v>
      </c>
      <c r="D335" s="211"/>
      <c r="E335" s="211"/>
      <c r="F335" s="211"/>
      <c r="G335" s="211"/>
      <c r="H335" s="211"/>
      <c r="I335" s="211"/>
      <c r="J335" s="211"/>
      <c r="K335" s="211">
        <v>0</v>
      </c>
      <c r="L335" s="212">
        <v>0</v>
      </c>
      <c r="M335" s="211">
        <v>0</v>
      </c>
      <c r="N335" s="211">
        <v>487.2</v>
      </c>
      <c r="O335" s="211">
        <v>958459</v>
      </c>
      <c r="P335" s="213">
        <v>0</v>
      </c>
      <c r="Q335" s="211">
        <v>0</v>
      </c>
      <c r="R335" s="213">
        <v>0</v>
      </c>
      <c r="S335" s="211">
        <v>0</v>
      </c>
      <c r="T335" s="212">
        <v>0</v>
      </c>
      <c r="U335" s="290">
        <v>0</v>
      </c>
      <c r="V335" s="282"/>
      <c r="W335" s="282"/>
      <c r="X335" s="282"/>
    </row>
    <row r="336" spans="1:26" s="18" customFormat="1">
      <c r="A336" s="198">
        <v>284</v>
      </c>
      <c r="B336" s="214" t="s">
        <v>411</v>
      </c>
      <c r="C336" s="211">
        <v>947345</v>
      </c>
      <c r="D336" s="211"/>
      <c r="E336" s="211"/>
      <c r="F336" s="211"/>
      <c r="G336" s="211"/>
      <c r="H336" s="211"/>
      <c r="I336" s="211"/>
      <c r="J336" s="211"/>
      <c r="K336" s="211">
        <v>0</v>
      </c>
      <c r="L336" s="212">
        <v>0</v>
      </c>
      <c r="M336" s="211">
        <v>0</v>
      </c>
      <c r="N336" s="211">
        <v>481.5</v>
      </c>
      <c r="O336" s="211">
        <v>947345</v>
      </c>
      <c r="P336" s="213">
        <v>0</v>
      </c>
      <c r="Q336" s="211">
        <v>0</v>
      </c>
      <c r="R336" s="213">
        <v>0</v>
      </c>
      <c r="S336" s="211">
        <v>0</v>
      </c>
      <c r="T336" s="212">
        <v>0</v>
      </c>
      <c r="U336" s="290">
        <v>0</v>
      </c>
      <c r="V336" s="282"/>
      <c r="W336" s="282"/>
      <c r="X336" s="282"/>
    </row>
    <row r="337" spans="1:24" s="18" customFormat="1" ht="30">
      <c r="A337" s="198"/>
      <c r="B337" s="214" t="s">
        <v>189</v>
      </c>
      <c r="C337" s="211">
        <v>820660</v>
      </c>
      <c r="D337" s="211"/>
      <c r="E337" s="211"/>
      <c r="F337" s="211"/>
      <c r="G337" s="211"/>
      <c r="H337" s="211"/>
      <c r="I337" s="211"/>
      <c r="J337" s="211"/>
      <c r="K337" s="211">
        <v>0</v>
      </c>
      <c r="L337" s="212">
        <v>0</v>
      </c>
      <c r="M337" s="211">
        <v>0</v>
      </c>
      <c r="N337" s="211">
        <v>406.8</v>
      </c>
      <c r="O337" s="211">
        <v>820660</v>
      </c>
      <c r="P337" s="213">
        <v>0</v>
      </c>
      <c r="Q337" s="211">
        <v>0</v>
      </c>
      <c r="R337" s="213">
        <v>0</v>
      </c>
      <c r="S337" s="211">
        <v>0</v>
      </c>
      <c r="T337" s="212">
        <v>0</v>
      </c>
      <c r="U337" s="290">
        <v>0</v>
      </c>
      <c r="V337" s="282"/>
      <c r="W337" s="282"/>
      <c r="X337" s="282"/>
    </row>
    <row r="338" spans="1:24" s="18" customFormat="1">
      <c r="A338" s="198">
        <v>285</v>
      </c>
      <c r="B338" s="214" t="s">
        <v>412</v>
      </c>
      <c r="C338" s="211">
        <v>820660</v>
      </c>
      <c r="D338" s="211"/>
      <c r="E338" s="211"/>
      <c r="F338" s="211"/>
      <c r="G338" s="211"/>
      <c r="H338" s="211"/>
      <c r="I338" s="211"/>
      <c r="J338" s="211"/>
      <c r="K338" s="211">
        <v>0</v>
      </c>
      <c r="L338" s="212">
        <v>0</v>
      </c>
      <c r="M338" s="211">
        <v>0</v>
      </c>
      <c r="N338" s="211">
        <v>406.8</v>
      </c>
      <c r="O338" s="211">
        <v>820660</v>
      </c>
      <c r="P338" s="213">
        <v>0</v>
      </c>
      <c r="Q338" s="211">
        <v>0</v>
      </c>
      <c r="R338" s="213">
        <v>0</v>
      </c>
      <c r="S338" s="211">
        <v>0</v>
      </c>
      <c r="T338" s="212">
        <v>0</v>
      </c>
      <c r="U338" s="290">
        <v>0</v>
      </c>
      <c r="V338" s="282"/>
      <c r="W338" s="282"/>
      <c r="X338" s="282"/>
    </row>
    <row r="339" spans="1:24" s="18" customFormat="1" ht="30">
      <c r="A339" s="198"/>
      <c r="B339" s="214" t="s">
        <v>131</v>
      </c>
      <c r="C339" s="211">
        <f>C340</f>
        <v>2888385</v>
      </c>
      <c r="D339" s="211">
        <f t="shared" ref="D339:U339" si="35">D340</f>
        <v>0</v>
      </c>
      <c r="E339" s="211">
        <f t="shared" si="35"/>
        <v>0</v>
      </c>
      <c r="F339" s="211">
        <f t="shared" si="35"/>
        <v>0</v>
      </c>
      <c r="G339" s="211">
        <f t="shared" si="35"/>
        <v>0</v>
      </c>
      <c r="H339" s="211">
        <f t="shared" si="35"/>
        <v>0</v>
      </c>
      <c r="I339" s="211">
        <f t="shared" si="35"/>
        <v>0</v>
      </c>
      <c r="J339" s="211">
        <f t="shared" si="35"/>
        <v>0</v>
      </c>
      <c r="K339" s="211">
        <f t="shared" si="35"/>
        <v>0</v>
      </c>
      <c r="L339" s="211">
        <f t="shared" si="35"/>
        <v>0</v>
      </c>
      <c r="M339" s="211">
        <f t="shared" si="35"/>
        <v>0</v>
      </c>
      <c r="N339" s="211">
        <f t="shared" si="35"/>
        <v>1205</v>
      </c>
      <c r="O339" s="211">
        <f t="shared" si="35"/>
        <v>2888285</v>
      </c>
      <c r="P339" s="211">
        <f t="shared" si="35"/>
        <v>0</v>
      </c>
      <c r="Q339" s="211">
        <f t="shared" si="35"/>
        <v>0</v>
      </c>
      <c r="R339" s="211">
        <f t="shared" si="35"/>
        <v>0</v>
      </c>
      <c r="S339" s="211">
        <f t="shared" si="35"/>
        <v>0</v>
      </c>
      <c r="T339" s="211">
        <f t="shared" si="35"/>
        <v>0</v>
      </c>
      <c r="U339" s="211">
        <f t="shared" si="35"/>
        <v>0</v>
      </c>
      <c r="V339" s="282"/>
      <c r="W339" s="282"/>
      <c r="X339" s="282"/>
    </row>
    <row r="340" spans="1:24" s="18" customFormat="1" ht="23.45" customHeight="1">
      <c r="A340" s="198">
        <v>286</v>
      </c>
      <c r="B340" s="214" t="s">
        <v>659</v>
      </c>
      <c r="C340" s="211">
        <v>2888385</v>
      </c>
      <c r="D340" s="211">
        <v>0</v>
      </c>
      <c r="E340" s="211">
        <v>0</v>
      </c>
      <c r="F340" s="211">
        <v>0</v>
      </c>
      <c r="G340" s="211">
        <v>0</v>
      </c>
      <c r="H340" s="211">
        <v>0</v>
      </c>
      <c r="I340" s="211">
        <v>0</v>
      </c>
      <c r="J340" s="211">
        <v>0</v>
      </c>
      <c r="K340" s="211">
        <v>0</v>
      </c>
      <c r="L340" s="212">
        <v>0</v>
      </c>
      <c r="M340" s="211">
        <v>0</v>
      </c>
      <c r="N340" s="233">
        <v>1205</v>
      </c>
      <c r="O340" s="211">
        <v>2888285</v>
      </c>
      <c r="P340" s="213">
        <v>0</v>
      </c>
      <c r="Q340" s="211">
        <v>0</v>
      </c>
      <c r="R340" s="213">
        <v>0</v>
      </c>
      <c r="S340" s="211">
        <v>0</v>
      </c>
      <c r="T340" s="212">
        <v>0</v>
      </c>
      <c r="U340" s="290">
        <v>0</v>
      </c>
      <c r="V340" s="282"/>
      <c r="W340" s="282">
        <f>O340/N340</f>
        <v>2396.9170124481329</v>
      </c>
      <c r="X340" s="282"/>
    </row>
    <row r="341" spans="1:24" s="18" customFormat="1">
      <c r="A341" s="198"/>
      <c r="B341" s="214"/>
      <c r="C341" s="211"/>
      <c r="D341" s="211"/>
      <c r="E341" s="211"/>
      <c r="F341" s="211"/>
      <c r="G341" s="211"/>
      <c r="H341" s="211"/>
      <c r="I341" s="211"/>
      <c r="J341" s="211"/>
      <c r="K341" s="211"/>
      <c r="L341" s="212"/>
      <c r="M341" s="211"/>
      <c r="N341" s="211"/>
      <c r="O341" s="211"/>
      <c r="P341" s="213"/>
      <c r="Q341" s="211"/>
      <c r="R341" s="215"/>
      <c r="S341" s="211"/>
      <c r="T341" s="212"/>
      <c r="U341" s="290"/>
      <c r="V341" s="282"/>
      <c r="W341" s="282"/>
      <c r="X341" s="282"/>
    </row>
    <row r="342" spans="1:24" s="17" customFormat="1">
      <c r="A342" s="198"/>
      <c r="B342" s="216" t="s">
        <v>50</v>
      </c>
      <c r="C342" s="211">
        <f>C343</f>
        <v>14213854</v>
      </c>
      <c r="D342" s="211">
        <f t="shared" ref="D342:U342" si="36">D343</f>
        <v>0</v>
      </c>
      <c r="E342" s="211">
        <f t="shared" si="36"/>
        <v>0</v>
      </c>
      <c r="F342" s="211">
        <f t="shared" si="36"/>
        <v>0</v>
      </c>
      <c r="G342" s="211">
        <f t="shared" si="36"/>
        <v>0</v>
      </c>
      <c r="H342" s="211">
        <f t="shared" si="36"/>
        <v>0</v>
      </c>
      <c r="I342" s="211">
        <f t="shared" si="36"/>
        <v>0</v>
      </c>
      <c r="J342" s="211">
        <f t="shared" si="36"/>
        <v>0</v>
      </c>
      <c r="K342" s="211">
        <f t="shared" si="36"/>
        <v>0</v>
      </c>
      <c r="L342" s="211">
        <f t="shared" si="36"/>
        <v>0</v>
      </c>
      <c r="M342" s="211">
        <f t="shared" si="36"/>
        <v>0</v>
      </c>
      <c r="N342" s="211">
        <f t="shared" si="36"/>
        <v>4604</v>
      </c>
      <c r="O342" s="211">
        <f t="shared" si="36"/>
        <v>14213854</v>
      </c>
      <c r="P342" s="211">
        <f t="shared" si="36"/>
        <v>0</v>
      </c>
      <c r="Q342" s="211">
        <f t="shared" si="36"/>
        <v>0</v>
      </c>
      <c r="R342" s="211">
        <f t="shared" si="36"/>
        <v>0</v>
      </c>
      <c r="S342" s="211">
        <f t="shared" si="36"/>
        <v>0</v>
      </c>
      <c r="T342" s="211">
        <f t="shared" si="36"/>
        <v>0</v>
      </c>
      <c r="U342" s="211">
        <f t="shared" si="36"/>
        <v>0</v>
      </c>
      <c r="V342" s="282"/>
      <c r="W342" s="282"/>
      <c r="X342" s="282"/>
    </row>
    <row r="343" spans="1:24" ht="30">
      <c r="A343" s="198"/>
      <c r="B343" s="214" t="s">
        <v>106</v>
      </c>
      <c r="C343" s="211">
        <f>C344+C345+C346+C347+C348+C349+C350+C351+C352</f>
        <v>14213854</v>
      </c>
      <c r="D343" s="211">
        <f t="shared" ref="D343:U343" si="37">D344+D345+D346+D347+D348+D349+D350+D351+D352</f>
        <v>0</v>
      </c>
      <c r="E343" s="211">
        <f t="shared" si="37"/>
        <v>0</v>
      </c>
      <c r="F343" s="211">
        <f t="shared" si="37"/>
        <v>0</v>
      </c>
      <c r="G343" s="211">
        <f t="shared" si="37"/>
        <v>0</v>
      </c>
      <c r="H343" s="211">
        <f t="shared" si="37"/>
        <v>0</v>
      </c>
      <c r="I343" s="211">
        <f t="shared" si="37"/>
        <v>0</v>
      </c>
      <c r="J343" s="211">
        <f t="shared" si="37"/>
        <v>0</v>
      </c>
      <c r="K343" s="211">
        <f t="shared" si="37"/>
        <v>0</v>
      </c>
      <c r="L343" s="211">
        <f t="shared" si="37"/>
        <v>0</v>
      </c>
      <c r="M343" s="211">
        <f t="shared" si="37"/>
        <v>0</v>
      </c>
      <c r="N343" s="211">
        <f t="shared" si="37"/>
        <v>4604</v>
      </c>
      <c r="O343" s="211">
        <f t="shared" si="37"/>
        <v>14213854</v>
      </c>
      <c r="P343" s="211">
        <f t="shared" si="37"/>
        <v>0</v>
      </c>
      <c r="Q343" s="211">
        <f t="shared" si="37"/>
        <v>0</v>
      </c>
      <c r="R343" s="211">
        <f t="shared" si="37"/>
        <v>0</v>
      </c>
      <c r="S343" s="211">
        <f t="shared" si="37"/>
        <v>0</v>
      </c>
      <c r="T343" s="211">
        <f t="shared" si="37"/>
        <v>0</v>
      </c>
      <c r="U343" s="211">
        <f t="shared" si="37"/>
        <v>0</v>
      </c>
      <c r="V343" s="282"/>
      <c r="W343" s="282"/>
      <c r="X343" s="282"/>
    </row>
    <row r="344" spans="1:24" ht="15.75">
      <c r="A344" s="198">
        <v>288</v>
      </c>
      <c r="B344" s="165" t="s">
        <v>836</v>
      </c>
      <c r="C344" s="211">
        <f>'часть 1'!L354</f>
        <v>1666855</v>
      </c>
      <c r="D344" s="211">
        <v>0</v>
      </c>
      <c r="E344" s="211">
        <v>0</v>
      </c>
      <c r="F344" s="211">
        <v>0</v>
      </c>
      <c r="G344" s="211">
        <v>0</v>
      </c>
      <c r="H344" s="211">
        <v>0</v>
      </c>
      <c r="I344" s="211">
        <v>0</v>
      </c>
      <c r="J344" s="211">
        <v>0</v>
      </c>
      <c r="K344" s="211">
        <v>0</v>
      </c>
      <c r="L344" s="212">
        <v>0</v>
      </c>
      <c r="M344" s="211">
        <v>0</v>
      </c>
      <c r="N344" s="234">
        <v>528.6</v>
      </c>
      <c r="O344" s="211">
        <v>1666855</v>
      </c>
      <c r="P344" s="213">
        <v>0</v>
      </c>
      <c r="Q344" s="211">
        <v>0</v>
      </c>
      <c r="R344" s="213">
        <v>0</v>
      </c>
      <c r="S344" s="211">
        <v>0</v>
      </c>
      <c r="T344" s="212">
        <v>0</v>
      </c>
      <c r="U344" s="290">
        <v>0</v>
      </c>
      <c r="V344" s="282"/>
      <c r="W344" s="282">
        <f>O344/N344</f>
        <v>3153.3390087022321</v>
      </c>
      <c r="X344" s="282"/>
    </row>
    <row r="345" spans="1:24" ht="15.75">
      <c r="A345" s="198">
        <v>289</v>
      </c>
      <c r="B345" s="165" t="s">
        <v>837</v>
      </c>
      <c r="C345" s="211">
        <f>'часть 1'!L355</f>
        <v>2505131</v>
      </c>
      <c r="D345" s="211">
        <v>0</v>
      </c>
      <c r="E345" s="211">
        <v>0</v>
      </c>
      <c r="F345" s="211">
        <v>0</v>
      </c>
      <c r="G345" s="211">
        <v>0</v>
      </c>
      <c r="H345" s="211">
        <v>0</v>
      </c>
      <c r="I345" s="211">
        <v>0</v>
      </c>
      <c r="J345" s="211">
        <v>0</v>
      </c>
      <c r="K345" s="211">
        <v>0</v>
      </c>
      <c r="L345" s="212">
        <v>0</v>
      </c>
      <c r="M345" s="211">
        <v>0</v>
      </c>
      <c r="N345" s="234">
        <v>798</v>
      </c>
      <c r="O345" s="211">
        <v>2505131</v>
      </c>
      <c r="P345" s="213">
        <v>0</v>
      </c>
      <c r="Q345" s="211">
        <v>0</v>
      </c>
      <c r="R345" s="213">
        <v>0</v>
      </c>
      <c r="S345" s="211">
        <v>0</v>
      </c>
      <c r="T345" s="212">
        <v>0</v>
      </c>
      <c r="U345" s="290">
        <v>0</v>
      </c>
      <c r="V345" s="282"/>
      <c r="W345" s="282">
        <f t="shared" ref="W345:W352" si="38">O345/N345</f>
        <v>3139.2619047619046</v>
      </c>
      <c r="X345" s="282"/>
    </row>
    <row r="346" spans="1:24" ht="15.75">
      <c r="A346" s="198">
        <v>290</v>
      </c>
      <c r="B346" s="165" t="s">
        <v>838</v>
      </c>
      <c r="C346" s="211">
        <f>'часть 1'!L356</f>
        <v>2532008</v>
      </c>
      <c r="D346" s="211">
        <v>0</v>
      </c>
      <c r="E346" s="211">
        <v>0</v>
      </c>
      <c r="F346" s="211">
        <v>0</v>
      </c>
      <c r="G346" s="211">
        <v>0</v>
      </c>
      <c r="H346" s="211">
        <v>0</v>
      </c>
      <c r="I346" s="211">
        <v>0</v>
      </c>
      <c r="J346" s="211">
        <v>0</v>
      </c>
      <c r="K346" s="211">
        <v>0</v>
      </c>
      <c r="L346" s="212">
        <v>0</v>
      </c>
      <c r="M346" s="211">
        <v>0</v>
      </c>
      <c r="N346" s="234">
        <v>808</v>
      </c>
      <c r="O346" s="211">
        <v>2532008</v>
      </c>
      <c r="P346" s="213">
        <v>0</v>
      </c>
      <c r="Q346" s="211">
        <v>0</v>
      </c>
      <c r="R346" s="213">
        <v>0</v>
      </c>
      <c r="S346" s="211">
        <v>0</v>
      </c>
      <c r="T346" s="212">
        <v>0</v>
      </c>
      <c r="U346" s="290">
        <v>0</v>
      </c>
      <c r="V346" s="282"/>
      <c r="W346" s="282">
        <f t="shared" si="38"/>
        <v>3133.6732673267325</v>
      </c>
      <c r="X346" s="282"/>
    </row>
    <row r="347" spans="1:24" ht="15.75">
      <c r="A347" s="198">
        <v>291</v>
      </c>
      <c r="B347" s="165" t="s">
        <v>839</v>
      </c>
      <c r="C347" s="211">
        <f>'часть 1'!L357</f>
        <v>1684781</v>
      </c>
      <c r="D347" s="211">
        <v>0</v>
      </c>
      <c r="E347" s="211">
        <v>0</v>
      </c>
      <c r="F347" s="211">
        <v>0</v>
      </c>
      <c r="G347" s="211">
        <v>0</v>
      </c>
      <c r="H347" s="211">
        <v>0</v>
      </c>
      <c r="I347" s="211">
        <v>0</v>
      </c>
      <c r="J347" s="211">
        <v>0</v>
      </c>
      <c r="K347" s="211">
        <v>0</v>
      </c>
      <c r="L347" s="212">
        <v>0</v>
      </c>
      <c r="M347" s="211">
        <v>0</v>
      </c>
      <c r="N347" s="234">
        <v>534.4</v>
      </c>
      <c r="O347" s="211">
        <v>1684781</v>
      </c>
      <c r="P347" s="213">
        <v>0</v>
      </c>
      <c r="Q347" s="211">
        <v>0</v>
      </c>
      <c r="R347" s="213">
        <v>0</v>
      </c>
      <c r="S347" s="211">
        <v>0</v>
      </c>
      <c r="T347" s="212">
        <v>0</v>
      </c>
      <c r="U347" s="290">
        <v>0</v>
      </c>
      <c r="V347" s="282"/>
      <c r="W347" s="282">
        <f t="shared" si="38"/>
        <v>3152.6590568862275</v>
      </c>
      <c r="X347" s="282"/>
    </row>
    <row r="348" spans="1:24" ht="15.75">
      <c r="A348" s="198">
        <v>292</v>
      </c>
      <c r="B348" s="165" t="s">
        <v>840</v>
      </c>
      <c r="C348" s="211">
        <f>'часть 1'!L358</f>
        <v>1111881</v>
      </c>
      <c r="D348" s="211">
        <v>0</v>
      </c>
      <c r="E348" s="211">
        <v>0</v>
      </c>
      <c r="F348" s="211">
        <v>0</v>
      </c>
      <c r="G348" s="211">
        <v>0</v>
      </c>
      <c r="H348" s="211">
        <v>0</v>
      </c>
      <c r="I348" s="211">
        <v>0</v>
      </c>
      <c r="J348" s="211">
        <v>0</v>
      </c>
      <c r="K348" s="211">
        <v>0</v>
      </c>
      <c r="L348" s="212">
        <v>0</v>
      </c>
      <c r="M348" s="211">
        <v>0</v>
      </c>
      <c r="N348" s="234">
        <v>350</v>
      </c>
      <c r="O348" s="211">
        <v>1111881</v>
      </c>
      <c r="P348" s="213">
        <v>0</v>
      </c>
      <c r="Q348" s="211">
        <v>0</v>
      </c>
      <c r="R348" s="213">
        <v>0</v>
      </c>
      <c r="S348" s="211">
        <v>0</v>
      </c>
      <c r="T348" s="212">
        <v>0</v>
      </c>
      <c r="U348" s="290">
        <v>0</v>
      </c>
      <c r="V348" s="282"/>
      <c r="W348" s="282">
        <f t="shared" si="38"/>
        <v>3176.8028571428572</v>
      </c>
      <c r="X348" s="282"/>
    </row>
    <row r="349" spans="1:24" ht="15.75">
      <c r="A349" s="198">
        <v>293</v>
      </c>
      <c r="B349" s="165" t="s">
        <v>841</v>
      </c>
      <c r="C349" s="211">
        <f>'часть 1'!L359</f>
        <v>1500589</v>
      </c>
      <c r="D349" s="211">
        <v>0</v>
      </c>
      <c r="E349" s="211">
        <v>0</v>
      </c>
      <c r="F349" s="211">
        <v>0</v>
      </c>
      <c r="G349" s="211">
        <v>0</v>
      </c>
      <c r="H349" s="211">
        <v>0</v>
      </c>
      <c r="I349" s="211">
        <v>0</v>
      </c>
      <c r="J349" s="211">
        <v>0</v>
      </c>
      <c r="K349" s="211">
        <v>0</v>
      </c>
      <c r="L349" s="212">
        <v>0</v>
      </c>
      <c r="M349" s="211">
        <v>0</v>
      </c>
      <c r="N349" s="234">
        <v>475</v>
      </c>
      <c r="O349" s="211">
        <v>1500589</v>
      </c>
      <c r="P349" s="213">
        <v>0</v>
      </c>
      <c r="Q349" s="211">
        <v>0</v>
      </c>
      <c r="R349" s="213">
        <v>0</v>
      </c>
      <c r="S349" s="211">
        <v>0</v>
      </c>
      <c r="T349" s="212">
        <v>0</v>
      </c>
      <c r="U349" s="290">
        <v>0</v>
      </c>
      <c r="V349" s="282"/>
      <c r="W349" s="282">
        <f t="shared" si="38"/>
        <v>3159.1347368421052</v>
      </c>
      <c r="X349" s="282"/>
    </row>
    <row r="350" spans="1:24" ht="15.75">
      <c r="A350" s="198">
        <v>294</v>
      </c>
      <c r="B350" s="165" t="s">
        <v>842</v>
      </c>
      <c r="C350" s="211">
        <f>'часть 1'!L360</f>
        <v>1161775</v>
      </c>
      <c r="D350" s="211">
        <v>0</v>
      </c>
      <c r="E350" s="211">
        <v>0</v>
      </c>
      <c r="F350" s="211">
        <v>0</v>
      </c>
      <c r="G350" s="211">
        <v>0</v>
      </c>
      <c r="H350" s="211">
        <v>0</v>
      </c>
      <c r="I350" s="211">
        <v>0</v>
      </c>
      <c r="J350" s="211">
        <v>0</v>
      </c>
      <c r="K350" s="211">
        <v>0</v>
      </c>
      <c r="L350" s="212">
        <v>0</v>
      </c>
      <c r="M350" s="211">
        <v>0</v>
      </c>
      <c r="N350" s="234">
        <v>465</v>
      </c>
      <c r="O350" s="211">
        <v>1161775</v>
      </c>
      <c r="P350" s="213">
        <v>0</v>
      </c>
      <c r="Q350" s="211">
        <v>0</v>
      </c>
      <c r="R350" s="213">
        <v>0</v>
      </c>
      <c r="S350" s="211">
        <v>0</v>
      </c>
      <c r="T350" s="212">
        <v>0</v>
      </c>
      <c r="U350" s="290">
        <v>0</v>
      </c>
      <c r="V350" s="282"/>
      <c r="W350" s="282">
        <f t="shared" si="38"/>
        <v>2498.4408602150538</v>
      </c>
      <c r="X350" s="282"/>
    </row>
    <row r="351" spans="1:24" ht="15.75">
      <c r="A351" s="198">
        <v>295</v>
      </c>
      <c r="B351" s="165" t="s">
        <v>846</v>
      </c>
      <c r="C351" s="211">
        <f>'часть 1'!L361</f>
        <v>537007</v>
      </c>
      <c r="D351" s="211">
        <v>0</v>
      </c>
      <c r="E351" s="211">
        <v>0</v>
      </c>
      <c r="F351" s="211">
        <v>0</v>
      </c>
      <c r="G351" s="211">
        <v>0</v>
      </c>
      <c r="H351" s="211">
        <v>0</v>
      </c>
      <c r="I351" s="211">
        <v>0</v>
      </c>
      <c r="J351" s="211">
        <v>0</v>
      </c>
      <c r="K351" s="211">
        <v>0</v>
      </c>
      <c r="L351" s="212">
        <v>0</v>
      </c>
      <c r="M351" s="211">
        <v>0</v>
      </c>
      <c r="N351" s="234">
        <v>165</v>
      </c>
      <c r="O351" s="211">
        <v>537007</v>
      </c>
      <c r="P351" s="213">
        <v>0</v>
      </c>
      <c r="Q351" s="211">
        <v>0</v>
      </c>
      <c r="R351" s="213">
        <v>0</v>
      </c>
      <c r="S351" s="211">
        <v>0</v>
      </c>
      <c r="T351" s="212">
        <v>0</v>
      </c>
      <c r="U351" s="290">
        <v>0</v>
      </c>
      <c r="V351" s="282"/>
      <c r="W351" s="282">
        <f t="shared" si="38"/>
        <v>3254.5878787878787</v>
      </c>
      <c r="X351" s="282"/>
    </row>
    <row r="352" spans="1:24" ht="15.75">
      <c r="A352" s="198">
        <v>296</v>
      </c>
      <c r="B352" s="165" t="s">
        <v>845</v>
      </c>
      <c r="C352" s="211">
        <f>'часть 1'!L362</f>
        <v>1513827</v>
      </c>
      <c r="D352" s="211">
        <v>0</v>
      </c>
      <c r="E352" s="211">
        <v>0</v>
      </c>
      <c r="F352" s="211">
        <v>0</v>
      </c>
      <c r="G352" s="211">
        <v>0</v>
      </c>
      <c r="H352" s="211">
        <v>0</v>
      </c>
      <c r="I352" s="211">
        <v>0</v>
      </c>
      <c r="J352" s="211">
        <v>0</v>
      </c>
      <c r="K352" s="211">
        <v>0</v>
      </c>
      <c r="L352" s="212">
        <v>0</v>
      </c>
      <c r="M352" s="211">
        <v>0</v>
      </c>
      <c r="N352" s="234">
        <v>480</v>
      </c>
      <c r="O352" s="211">
        <v>1513827</v>
      </c>
      <c r="P352" s="213">
        <v>0</v>
      </c>
      <c r="Q352" s="211">
        <v>0</v>
      </c>
      <c r="R352" s="213">
        <v>0</v>
      </c>
      <c r="S352" s="211">
        <v>0</v>
      </c>
      <c r="T352" s="212">
        <v>0</v>
      </c>
      <c r="U352" s="290">
        <v>0</v>
      </c>
      <c r="V352" s="282"/>
      <c r="W352" s="282">
        <f t="shared" si="38"/>
        <v>3153.8062500000001</v>
      </c>
      <c r="X352" s="282"/>
    </row>
    <row r="353" spans="1:24">
      <c r="A353" s="198"/>
      <c r="B353" s="216" t="s">
        <v>51</v>
      </c>
      <c r="C353" s="211">
        <v>13321832</v>
      </c>
      <c r="D353" s="211"/>
      <c r="E353" s="211"/>
      <c r="F353" s="211"/>
      <c r="G353" s="211"/>
      <c r="H353" s="211"/>
      <c r="I353" s="211"/>
      <c r="J353" s="211"/>
      <c r="K353" s="211">
        <v>148073</v>
      </c>
      <c r="L353" s="212">
        <v>0</v>
      </c>
      <c r="M353" s="211">
        <v>0</v>
      </c>
      <c r="N353" s="211">
        <v>6258.7000000000007</v>
      </c>
      <c r="O353" s="211">
        <v>12532204</v>
      </c>
      <c r="P353" s="213">
        <v>0</v>
      </c>
      <c r="Q353" s="211">
        <v>0</v>
      </c>
      <c r="R353" s="211">
        <v>440.1</v>
      </c>
      <c r="S353" s="211">
        <v>641555</v>
      </c>
      <c r="T353" s="212">
        <v>0</v>
      </c>
      <c r="U353" s="290">
        <v>0</v>
      </c>
      <c r="V353" s="282"/>
      <c r="W353" s="282"/>
      <c r="X353" s="282"/>
    </row>
    <row r="354" spans="1:24" ht="30">
      <c r="A354" s="198"/>
      <c r="B354" s="214" t="s">
        <v>108</v>
      </c>
      <c r="C354" s="211">
        <f>C355+C356+C357+C358+C359+C360+C361+C362</f>
        <v>11379869</v>
      </c>
      <c r="D354" s="211">
        <f t="shared" ref="D354:U354" si="39">D355+D356+D357+D358+D359+D360+D361+D362</f>
        <v>0</v>
      </c>
      <c r="E354" s="211">
        <f t="shared" si="39"/>
        <v>0</v>
      </c>
      <c r="F354" s="211">
        <f t="shared" si="39"/>
        <v>0</v>
      </c>
      <c r="G354" s="211">
        <f t="shared" si="39"/>
        <v>0</v>
      </c>
      <c r="H354" s="211">
        <f t="shared" si="39"/>
        <v>0</v>
      </c>
      <c r="I354" s="211">
        <f t="shared" si="39"/>
        <v>0</v>
      </c>
      <c r="J354" s="211">
        <f t="shared" si="39"/>
        <v>0</v>
      </c>
      <c r="K354" s="211">
        <f t="shared" si="39"/>
        <v>0</v>
      </c>
      <c r="L354" s="211">
        <f t="shared" si="39"/>
        <v>0</v>
      </c>
      <c r="M354" s="211">
        <f t="shared" si="39"/>
        <v>0</v>
      </c>
      <c r="N354" s="211">
        <f t="shared" si="39"/>
        <v>3962.8</v>
      </c>
      <c r="O354" s="211">
        <f t="shared" si="39"/>
        <v>11379869</v>
      </c>
      <c r="P354" s="211">
        <f t="shared" si="39"/>
        <v>0</v>
      </c>
      <c r="Q354" s="211">
        <f t="shared" si="39"/>
        <v>0</v>
      </c>
      <c r="R354" s="211">
        <f t="shared" si="39"/>
        <v>0</v>
      </c>
      <c r="S354" s="211">
        <f t="shared" si="39"/>
        <v>0</v>
      </c>
      <c r="T354" s="211">
        <f t="shared" si="39"/>
        <v>0</v>
      </c>
      <c r="U354" s="211">
        <f t="shared" si="39"/>
        <v>0</v>
      </c>
      <c r="V354" s="282"/>
      <c r="W354" s="282"/>
      <c r="X354" s="282"/>
    </row>
    <row r="355" spans="1:24" ht="15.75">
      <c r="A355" s="198">
        <v>298</v>
      </c>
      <c r="B355" s="947" t="s">
        <v>998</v>
      </c>
      <c r="C355" s="211">
        <f>'часть 1'!L365</f>
        <v>957124</v>
      </c>
      <c r="D355" s="211">
        <v>0</v>
      </c>
      <c r="E355" s="211">
        <v>0</v>
      </c>
      <c r="F355" s="211">
        <v>0</v>
      </c>
      <c r="G355" s="211">
        <v>0</v>
      </c>
      <c r="H355" s="211">
        <v>0</v>
      </c>
      <c r="I355" s="211">
        <v>0</v>
      </c>
      <c r="J355" s="211">
        <v>0</v>
      </c>
      <c r="K355" s="211">
        <v>0</v>
      </c>
      <c r="L355" s="212">
        <v>0</v>
      </c>
      <c r="M355" s="211">
        <v>0</v>
      </c>
      <c r="N355" s="211">
        <v>303</v>
      </c>
      <c r="O355" s="211">
        <f>'часть 1'!L365</f>
        <v>957124</v>
      </c>
      <c r="P355" s="213">
        <v>0</v>
      </c>
      <c r="Q355" s="211">
        <v>0</v>
      </c>
      <c r="R355" s="213">
        <v>0</v>
      </c>
      <c r="S355" s="211">
        <v>0</v>
      </c>
      <c r="T355" s="212">
        <v>0</v>
      </c>
      <c r="U355" s="290">
        <v>0</v>
      </c>
      <c r="V355" s="282"/>
      <c r="W355" s="282">
        <f>O355/N355</f>
        <v>3158.8250825082509</v>
      </c>
      <c r="X355" s="282"/>
    </row>
    <row r="356" spans="1:24" ht="15.75">
      <c r="A356" s="198">
        <v>299</v>
      </c>
      <c r="B356" s="947" t="s">
        <v>999</v>
      </c>
      <c r="C356" s="211">
        <f>'часть 1'!L366</f>
        <v>1382612</v>
      </c>
      <c r="D356" s="211">
        <v>0</v>
      </c>
      <c r="E356" s="211">
        <v>0</v>
      </c>
      <c r="F356" s="211">
        <v>0</v>
      </c>
      <c r="G356" s="211">
        <v>0</v>
      </c>
      <c r="H356" s="211">
        <v>0</v>
      </c>
      <c r="I356" s="211">
        <v>0</v>
      </c>
      <c r="J356" s="211">
        <v>0</v>
      </c>
      <c r="K356" s="211">
        <v>0</v>
      </c>
      <c r="L356" s="212">
        <v>0</v>
      </c>
      <c r="M356" s="211">
        <v>0</v>
      </c>
      <c r="N356" s="211">
        <v>437.1</v>
      </c>
      <c r="O356" s="211">
        <v>1382612</v>
      </c>
      <c r="P356" s="213">
        <v>0</v>
      </c>
      <c r="Q356" s="211">
        <v>0</v>
      </c>
      <c r="R356" s="213">
        <v>0</v>
      </c>
      <c r="S356" s="211">
        <v>0</v>
      </c>
      <c r="T356" s="212">
        <v>0</v>
      </c>
      <c r="U356" s="290">
        <v>0</v>
      </c>
      <c r="V356" s="282"/>
      <c r="W356" s="282">
        <f t="shared" ref="W356:W362" si="40">O356/N356</f>
        <v>3163.1480210478148</v>
      </c>
      <c r="X356" s="282"/>
    </row>
    <row r="357" spans="1:24" ht="15.75">
      <c r="A357" s="198">
        <v>300</v>
      </c>
      <c r="B357" s="947" t="s">
        <v>1000</v>
      </c>
      <c r="C357" s="211">
        <f>'часть 1'!L367</f>
        <v>2008170</v>
      </c>
      <c r="D357" s="211">
        <v>0</v>
      </c>
      <c r="E357" s="211">
        <v>0</v>
      </c>
      <c r="F357" s="211">
        <v>0</v>
      </c>
      <c r="G357" s="211">
        <v>0</v>
      </c>
      <c r="H357" s="211">
        <v>0</v>
      </c>
      <c r="I357" s="211">
        <v>0</v>
      </c>
      <c r="J357" s="211">
        <v>0</v>
      </c>
      <c r="K357" s="211">
        <v>0</v>
      </c>
      <c r="L357" s="212">
        <v>0</v>
      </c>
      <c r="M357" s="211">
        <v>0</v>
      </c>
      <c r="N357" s="211">
        <v>812.7</v>
      </c>
      <c r="O357" s="211">
        <f>'часть 1'!L367</f>
        <v>2008170</v>
      </c>
      <c r="P357" s="213">
        <v>0</v>
      </c>
      <c r="Q357" s="211">
        <v>0</v>
      </c>
      <c r="R357" s="213">
        <v>0</v>
      </c>
      <c r="S357" s="211">
        <v>0</v>
      </c>
      <c r="T357" s="212">
        <v>0</v>
      </c>
      <c r="U357" s="290">
        <v>0</v>
      </c>
      <c r="V357" s="282"/>
      <c r="W357" s="282">
        <f>O357/N357</f>
        <v>2470.9856035437429</v>
      </c>
      <c r="X357" s="282"/>
    </row>
    <row r="358" spans="1:24" ht="15.75">
      <c r="A358" s="198">
        <v>301</v>
      </c>
      <c r="B358" s="171" t="s">
        <v>1001</v>
      </c>
      <c r="C358" s="211">
        <f>'часть 1'!L368</f>
        <v>1551693</v>
      </c>
      <c r="D358" s="211">
        <v>0</v>
      </c>
      <c r="E358" s="211">
        <v>0</v>
      </c>
      <c r="F358" s="211">
        <v>0</v>
      </c>
      <c r="G358" s="211">
        <v>0</v>
      </c>
      <c r="H358" s="211">
        <v>0</v>
      </c>
      <c r="I358" s="211">
        <v>0</v>
      </c>
      <c r="J358" s="211">
        <v>0</v>
      </c>
      <c r="K358" s="211">
        <v>0</v>
      </c>
      <c r="L358" s="212">
        <v>0</v>
      </c>
      <c r="M358" s="211">
        <v>0</v>
      </c>
      <c r="N358" s="211">
        <v>491.5</v>
      </c>
      <c r="O358" s="211">
        <f>'часть 1'!L368</f>
        <v>1551693</v>
      </c>
      <c r="P358" s="213">
        <v>0</v>
      </c>
      <c r="Q358" s="211">
        <v>0</v>
      </c>
      <c r="R358" s="213">
        <v>0</v>
      </c>
      <c r="S358" s="211">
        <v>0</v>
      </c>
      <c r="T358" s="212">
        <v>0</v>
      </c>
      <c r="U358" s="290">
        <v>0</v>
      </c>
      <c r="V358" s="282"/>
      <c r="W358" s="282">
        <f t="shared" si="40"/>
        <v>3157.055951169888</v>
      </c>
      <c r="X358" s="282"/>
    </row>
    <row r="359" spans="1:24" ht="15.75">
      <c r="A359" s="198">
        <v>302</v>
      </c>
      <c r="B359" s="947" t="s">
        <v>1002</v>
      </c>
      <c r="C359" s="211">
        <f>'часть 1'!L369</f>
        <v>1404334</v>
      </c>
      <c r="D359" s="211">
        <v>0</v>
      </c>
      <c r="E359" s="211">
        <v>0</v>
      </c>
      <c r="F359" s="211">
        <v>0</v>
      </c>
      <c r="G359" s="211">
        <v>0</v>
      </c>
      <c r="H359" s="211">
        <v>0</v>
      </c>
      <c r="I359" s="211">
        <v>0</v>
      </c>
      <c r="J359" s="211">
        <v>0</v>
      </c>
      <c r="K359" s="211">
        <v>0</v>
      </c>
      <c r="L359" s="212">
        <v>0</v>
      </c>
      <c r="M359" s="211">
        <v>0</v>
      </c>
      <c r="N359" s="211">
        <v>444.1</v>
      </c>
      <c r="O359" s="211">
        <f>'часть 1'!L369</f>
        <v>1404334</v>
      </c>
      <c r="P359" s="213">
        <v>0</v>
      </c>
      <c r="Q359" s="211">
        <v>0</v>
      </c>
      <c r="R359" s="213">
        <v>0</v>
      </c>
      <c r="S359" s="211">
        <v>0</v>
      </c>
      <c r="T359" s="212">
        <v>0</v>
      </c>
      <c r="U359" s="290">
        <v>0</v>
      </c>
      <c r="V359" s="282"/>
      <c r="W359" s="282">
        <f t="shared" si="40"/>
        <v>3162.2022067102002</v>
      </c>
      <c r="X359" s="282"/>
    </row>
    <row r="360" spans="1:24" ht="15.75">
      <c r="A360" s="198">
        <v>303</v>
      </c>
      <c r="B360" s="567" t="s">
        <v>1003</v>
      </c>
      <c r="C360" s="211">
        <f>'часть 1'!L370</f>
        <v>1321007</v>
      </c>
      <c r="D360" s="211">
        <v>0</v>
      </c>
      <c r="E360" s="211">
        <v>0</v>
      </c>
      <c r="F360" s="211">
        <v>0</v>
      </c>
      <c r="G360" s="211">
        <v>0</v>
      </c>
      <c r="H360" s="211">
        <v>0</v>
      </c>
      <c r="I360" s="211">
        <v>0</v>
      </c>
      <c r="J360" s="211">
        <v>0</v>
      </c>
      <c r="K360" s="211">
        <v>0</v>
      </c>
      <c r="L360" s="212">
        <v>0</v>
      </c>
      <c r="M360" s="211">
        <v>0</v>
      </c>
      <c r="N360" s="211">
        <v>417.4</v>
      </c>
      <c r="O360" s="211">
        <f>'часть 1'!L370</f>
        <v>1321007</v>
      </c>
      <c r="P360" s="213">
        <v>0</v>
      </c>
      <c r="Q360" s="211">
        <v>0</v>
      </c>
      <c r="R360" s="213">
        <v>0</v>
      </c>
      <c r="S360" s="211">
        <v>0</v>
      </c>
      <c r="T360" s="212">
        <v>0</v>
      </c>
      <c r="U360" s="290">
        <v>0</v>
      </c>
      <c r="V360" s="282"/>
      <c r="W360" s="282">
        <f t="shared" si="40"/>
        <v>3164.8466698610446</v>
      </c>
      <c r="X360" s="282"/>
    </row>
    <row r="361" spans="1:24" ht="15.75">
      <c r="A361" s="198">
        <v>304</v>
      </c>
      <c r="B361" s="947" t="s">
        <v>1004</v>
      </c>
      <c r="C361" s="211">
        <f>'часть 1'!L371</f>
        <v>576885</v>
      </c>
      <c r="D361" s="211">
        <v>0</v>
      </c>
      <c r="E361" s="211">
        <v>0</v>
      </c>
      <c r="F361" s="211">
        <v>0</v>
      </c>
      <c r="G361" s="211">
        <v>0</v>
      </c>
      <c r="H361" s="211">
        <v>0</v>
      </c>
      <c r="I361" s="211">
        <v>0</v>
      </c>
      <c r="J361" s="211">
        <v>0</v>
      </c>
      <c r="K361" s="211">
        <v>0</v>
      </c>
      <c r="L361" s="212">
        <v>0</v>
      </c>
      <c r="M361" s="211">
        <v>0</v>
      </c>
      <c r="N361" s="211">
        <v>177.9</v>
      </c>
      <c r="O361" s="211">
        <f>'часть 1'!L371</f>
        <v>576885</v>
      </c>
      <c r="P361" s="213">
        <v>0</v>
      </c>
      <c r="Q361" s="211">
        <v>0</v>
      </c>
      <c r="R361" s="213">
        <v>0</v>
      </c>
      <c r="S361" s="211">
        <v>0</v>
      </c>
      <c r="T361" s="212">
        <v>0</v>
      </c>
      <c r="U361" s="290">
        <v>0</v>
      </c>
      <c r="V361" s="282"/>
      <c r="W361" s="282">
        <f t="shared" si="40"/>
        <v>3242.7487352445191</v>
      </c>
      <c r="X361" s="282"/>
    </row>
    <row r="362" spans="1:24" ht="15.75">
      <c r="A362" s="198">
        <v>305</v>
      </c>
      <c r="B362" s="947" t="s">
        <v>1005</v>
      </c>
      <c r="C362" s="211">
        <f>'часть 1'!L372</f>
        <v>2178044</v>
      </c>
      <c r="D362" s="211">
        <v>0</v>
      </c>
      <c r="E362" s="211">
        <v>0</v>
      </c>
      <c r="F362" s="211">
        <v>0</v>
      </c>
      <c r="G362" s="211">
        <v>0</v>
      </c>
      <c r="H362" s="211">
        <v>0</v>
      </c>
      <c r="I362" s="211">
        <v>0</v>
      </c>
      <c r="J362" s="211">
        <v>0</v>
      </c>
      <c r="K362" s="211">
        <v>0</v>
      </c>
      <c r="L362" s="212">
        <v>0</v>
      </c>
      <c r="M362" s="211">
        <v>0</v>
      </c>
      <c r="N362" s="211">
        <v>879.1</v>
      </c>
      <c r="O362" s="211">
        <f>'часть 1'!L372</f>
        <v>2178044</v>
      </c>
      <c r="P362" s="213">
        <v>0</v>
      </c>
      <c r="Q362" s="211">
        <v>0</v>
      </c>
      <c r="R362" s="213">
        <v>0</v>
      </c>
      <c r="S362" s="211">
        <v>0</v>
      </c>
      <c r="T362" s="212">
        <v>0</v>
      </c>
      <c r="U362" s="290">
        <v>0</v>
      </c>
      <c r="V362" s="282"/>
      <c r="W362" s="282">
        <f t="shared" si="40"/>
        <v>2477.5838926174497</v>
      </c>
      <c r="X362" s="282"/>
    </row>
    <row r="363" spans="1:24" ht="30">
      <c r="A363" s="430"/>
      <c r="B363" s="438" t="s">
        <v>882</v>
      </c>
      <c r="C363" s="439">
        <f>C364+C365</f>
        <v>2903743</v>
      </c>
      <c r="D363" s="439">
        <f t="shared" ref="D363:U363" si="41">D364+D365</f>
        <v>0</v>
      </c>
      <c r="E363" s="439">
        <f t="shared" si="41"/>
        <v>0</v>
      </c>
      <c r="F363" s="439">
        <f t="shared" si="41"/>
        <v>0</v>
      </c>
      <c r="G363" s="439">
        <f t="shared" si="41"/>
        <v>0</v>
      </c>
      <c r="H363" s="439">
        <f t="shared" si="41"/>
        <v>0</v>
      </c>
      <c r="I363" s="439">
        <f t="shared" si="41"/>
        <v>0</v>
      </c>
      <c r="J363" s="439">
        <f t="shared" si="41"/>
        <v>0</v>
      </c>
      <c r="K363" s="439">
        <f t="shared" si="41"/>
        <v>0</v>
      </c>
      <c r="L363" s="439">
        <f t="shared" si="41"/>
        <v>0</v>
      </c>
      <c r="M363" s="439">
        <f t="shared" si="41"/>
        <v>0</v>
      </c>
      <c r="N363" s="439">
        <f t="shared" si="41"/>
        <v>918.8</v>
      </c>
      <c r="O363" s="439">
        <f t="shared" si="41"/>
        <v>2903743</v>
      </c>
      <c r="P363" s="439">
        <f t="shared" si="41"/>
        <v>0</v>
      </c>
      <c r="Q363" s="439">
        <f t="shared" si="41"/>
        <v>0</v>
      </c>
      <c r="R363" s="439">
        <f t="shared" si="41"/>
        <v>0</v>
      </c>
      <c r="S363" s="439">
        <f t="shared" si="41"/>
        <v>0</v>
      </c>
      <c r="T363" s="439">
        <f t="shared" si="41"/>
        <v>0</v>
      </c>
      <c r="U363" s="439">
        <f t="shared" si="41"/>
        <v>0</v>
      </c>
      <c r="V363" s="282"/>
      <c r="W363" s="282"/>
      <c r="X363" s="282"/>
    </row>
    <row r="364" spans="1:24" ht="30">
      <c r="A364" s="430"/>
      <c r="B364" s="438" t="s">
        <v>883</v>
      </c>
      <c r="C364" s="439">
        <f>'часть 1'!L374</f>
        <v>1605412</v>
      </c>
      <c r="D364" s="439">
        <v>0</v>
      </c>
      <c r="E364" s="439">
        <v>0</v>
      </c>
      <c r="F364" s="439">
        <v>0</v>
      </c>
      <c r="G364" s="439">
        <v>0</v>
      </c>
      <c r="H364" s="439">
        <v>0</v>
      </c>
      <c r="I364" s="439">
        <v>0</v>
      </c>
      <c r="J364" s="439">
        <v>0</v>
      </c>
      <c r="K364" s="439">
        <v>0</v>
      </c>
      <c r="L364" s="440">
        <v>0</v>
      </c>
      <c r="M364" s="439">
        <v>0</v>
      </c>
      <c r="N364" s="439">
        <v>508.8</v>
      </c>
      <c r="O364" s="439">
        <v>1605412</v>
      </c>
      <c r="P364" s="442">
        <v>0</v>
      </c>
      <c r="Q364" s="439">
        <v>0</v>
      </c>
      <c r="R364" s="439">
        <v>0</v>
      </c>
      <c r="S364" s="439">
        <v>0</v>
      </c>
      <c r="T364" s="440">
        <v>0</v>
      </c>
      <c r="U364" s="443">
        <v>0</v>
      </c>
      <c r="V364" s="282"/>
      <c r="W364" s="282">
        <f>O364/N364</f>
        <v>3155.2908805031448</v>
      </c>
      <c r="X364" s="282"/>
    </row>
    <row r="365" spans="1:24" ht="28.15" customHeight="1">
      <c r="A365" s="430"/>
      <c r="B365" s="438" t="s">
        <v>884</v>
      </c>
      <c r="C365" s="439">
        <f>'часть 1'!L375</f>
        <v>1298331</v>
      </c>
      <c r="D365" s="439">
        <v>0</v>
      </c>
      <c r="E365" s="439">
        <v>0</v>
      </c>
      <c r="F365" s="439">
        <v>0</v>
      </c>
      <c r="G365" s="439">
        <v>0</v>
      </c>
      <c r="H365" s="439">
        <v>0</v>
      </c>
      <c r="I365" s="439">
        <v>0</v>
      </c>
      <c r="J365" s="439">
        <v>0</v>
      </c>
      <c r="K365" s="439">
        <v>0</v>
      </c>
      <c r="L365" s="440">
        <v>0</v>
      </c>
      <c r="M365" s="439">
        <v>0</v>
      </c>
      <c r="N365" s="439">
        <v>410</v>
      </c>
      <c r="O365" s="439">
        <v>1298331</v>
      </c>
      <c r="P365" s="442">
        <v>0</v>
      </c>
      <c r="Q365" s="439">
        <v>0</v>
      </c>
      <c r="R365" s="439">
        <v>0</v>
      </c>
      <c r="S365" s="439">
        <v>0</v>
      </c>
      <c r="T365" s="440">
        <v>0</v>
      </c>
      <c r="U365" s="443">
        <v>0</v>
      </c>
      <c r="V365" s="282"/>
      <c r="W365" s="282">
        <f>O365/N365</f>
        <v>3166.660975609756</v>
      </c>
      <c r="X365" s="282"/>
    </row>
    <row r="366" spans="1:24" s="17" customFormat="1">
      <c r="A366" s="198"/>
      <c r="B366" s="216" t="s">
        <v>52</v>
      </c>
      <c r="C366" s="211">
        <v>3908951</v>
      </c>
      <c r="D366" s="211"/>
      <c r="E366" s="211"/>
      <c r="F366" s="211"/>
      <c r="G366" s="211"/>
      <c r="H366" s="211"/>
      <c r="I366" s="211"/>
      <c r="J366" s="211"/>
      <c r="K366" s="211">
        <v>201010</v>
      </c>
      <c r="L366" s="212">
        <v>0</v>
      </c>
      <c r="M366" s="211">
        <v>0</v>
      </c>
      <c r="N366" s="211">
        <v>1869.42</v>
      </c>
      <c r="O366" s="211">
        <v>3707941</v>
      </c>
      <c r="P366" s="213">
        <v>0</v>
      </c>
      <c r="Q366" s="211">
        <v>0</v>
      </c>
      <c r="R366" s="213">
        <v>0</v>
      </c>
      <c r="S366" s="211">
        <v>0</v>
      </c>
      <c r="T366" s="212">
        <v>0</v>
      </c>
      <c r="U366" s="290">
        <v>0</v>
      </c>
      <c r="V366" s="282"/>
      <c r="W366" s="282"/>
      <c r="X366" s="282"/>
    </row>
    <row r="367" spans="1:24" s="18" customFormat="1" ht="30">
      <c r="A367" s="430"/>
      <c r="B367" s="438" t="s">
        <v>130</v>
      </c>
      <c r="C367" s="439">
        <f>C368</f>
        <v>1828731</v>
      </c>
      <c r="D367" s="439">
        <f t="shared" ref="D367:V367" si="42">D368</f>
        <v>0</v>
      </c>
      <c r="E367" s="439">
        <f t="shared" si="42"/>
        <v>0</v>
      </c>
      <c r="F367" s="439">
        <f t="shared" si="42"/>
        <v>0</v>
      </c>
      <c r="G367" s="439">
        <f t="shared" si="42"/>
        <v>0</v>
      </c>
      <c r="H367" s="439">
        <f t="shared" si="42"/>
        <v>0</v>
      </c>
      <c r="I367" s="439">
        <f t="shared" si="42"/>
        <v>0</v>
      </c>
      <c r="J367" s="439">
        <f t="shared" si="42"/>
        <v>0</v>
      </c>
      <c r="K367" s="439">
        <f t="shared" si="42"/>
        <v>0</v>
      </c>
      <c r="L367" s="439">
        <f t="shared" si="42"/>
        <v>0</v>
      </c>
      <c r="M367" s="439">
        <f t="shared" si="42"/>
        <v>0</v>
      </c>
      <c r="N367" s="439">
        <f t="shared" si="42"/>
        <v>581</v>
      </c>
      <c r="O367" s="439">
        <f t="shared" si="42"/>
        <v>1828731</v>
      </c>
      <c r="P367" s="439">
        <f t="shared" si="42"/>
        <v>0</v>
      </c>
      <c r="Q367" s="439">
        <f t="shared" si="42"/>
        <v>0</v>
      </c>
      <c r="R367" s="439">
        <f t="shared" si="42"/>
        <v>0</v>
      </c>
      <c r="S367" s="439">
        <f t="shared" si="42"/>
        <v>0</v>
      </c>
      <c r="T367" s="439">
        <f t="shared" si="42"/>
        <v>0</v>
      </c>
      <c r="U367" s="439">
        <f t="shared" si="42"/>
        <v>0</v>
      </c>
      <c r="V367" s="211">
        <f t="shared" si="42"/>
        <v>0</v>
      </c>
      <c r="W367" s="282"/>
      <c r="X367" s="282"/>
    </row>
    <row r="368" spans="1:24" s="17" customFormat="1">
      <c r="A368" s="430">
        <v>312</v>
      </c>
      <c r="B368" s="438" t="s">
        <v>672</v>
      </c>
      <c r="C368" s="439">
        <v>1828731</v>
      </c>
      <c r="D368" s="439">
        <v>0</v>
      </c>
      <c r="E368" s="439">
        <v>0</v>
      </c>
      <c r="F368" s="439">
        <v>0</v>
      </c>
      <c r="G368" s="439">
        <v>0</v>
      </c>
      <c r="H368" s="439">
        <v>0</v>
      </c>
      <c r="I368" s="439">
        <v>0</v>
      </c>
      <c r="J368" s="439">
        <v>0</v>
      </c>
      <c r="K368" s="439">
        <v>0</v>
      </c>
      <c r="L368" s="442">
        <v>0</v>
      </c>
      <c r="M368" s="439">
        <v>0</v>
      </c>
      <c r="N368" s="441">
        <v>581</v>
      </c>
      <c r="O368" s="439">
        <v>1828731</v>
      </c>
      <c r="P368" s="442">
        <v>0</v>
      </c>
      <c r="Q368" s="439">
        <v>0</v>
      </c>
      <c r="R368" s="442">
        <v>0</v>
      </c>
      <c r="S368" s="439">
        <v>0</v>
      </c>
      <c r="T368" s="442">
        <v>0</v>
      </c>
      <c r="U368" s="443">
        <v>0</v>
      </c>
      <c r="V368" s="282"/>
      <c r="W368" s="282">
        <f>O368/N368</f>
        <v>3147.5576592082616</v>
      </c>
      <c r="X368" s="282"/>
    </row>
    <row r="369" spans="1:32" s="17" customFormat="1">
      <c r="A369" s="430"/>
      <c r="B369" s="438"/>
      <c r="C369" s="439"/>
      <c r="D369" s="439"/>
      <c r="E369" s="439"/>
      <c r="F369" s="439"/>
      <c r="G369" s="439"/>
      <c r="H369" s="439"/>
      <c r="I369" s="439"/>
      <c r="J369" s="439"/>
      <c r="K369" s="439"/>
      <c r="L369" s="442"/>
      <c r="M369" s="439"/>
      <c r="N369" s="441"/>
      <c r="O369" s="439"/>
      <c r="P369" s="442"/>
      <c r="Q369" s="439"/>
      <c r="R369" s="442"/>
      <c r="S369" s="439"/>
      <c r="T369" s="442"/>
      <c r="U369" s="443"/>
      <c r="V369" s="282"/>
      <c r="W369" s="282"/>
      <c r="X369" s="282"/>
    </row>
    <row r="370" spans="1:32" ht="30">
      <c r="A370" s="198"/>
      <c r="B370" s="214" t="s">
        <v>109</v>
      </c>
      <c r="C370" s="211">
        <v>201010</v>
      </c>
      <c r="D370" s="211"/>
      <c r="E370" s="211"/>
      <c r="F370" s="211"/>
      <c r="G370" s="211"/>
      <c r="H370" s="211"/>
      <c r="I370" s="211"/>
      <c r="J370" s="211"/>
      <c r="K370" s="211">
        <v>201010</v>
      </c>
      <c r="L370" s="212">
        <v>0</v>
      </c>
      <c r="M370" s="211">
        <v>0</v>
      </c>
      <c r="N370" s="211">
        <v>0</v>
      </c>
      <c r="O370" s="211">
        <v>0</v>
      </c>
      <c r="P370" s="213">
        <v>0</v>
      </c>
      <c r="Q370" s="211">
        <v>0</v>
      </c>
      <c r="R370" s="213">
        <v>0</v>
      </c>
      <c r="S370" s="211">
        <v>0</v>
      </c>
      <c r="T370" s="212">
        <v>0</v>
      </c>
      <c r="U370" s="290">
        <v>0</v>
      </c>
      <c r="V370" s="282"/>
      <c r="W370" s="282"/>
      <c r="X370" s="282"/>
    </row>
    <row r="371" spans="1:32">
      <c r="A371" s="198">
        <v>314</v>
      </c>
      <c r="B371" s="216" t="s">
        <v>414</v>
      </c>
      <c r="C371" s="211">
        <v>201010</v>
      </c>
      <c r="D371" s="211"/>
      <c r="E371" s="211"/>
      <c r="F371" s="211"/>
      <c r="G371" s="211"/>
      <c r="H371" s="211"/>
      <c r="I371" s="211"/>
      <c r="J371" s="211"/>
      <c r="K371" s="211">
        <v>201010</v>
      </c>
      <c r="L371" s="212">
        <v>0</v>
      </c>
      <c r="M371" s="211">
        <v>0</v>
      </c>
      <c r="N371" s="211">
        <v>0</v>
      </c>
      <c r="O371" s="211">
        <v>0</v>
      </c>
      <c r="P371" s="213">
        <v>0</v>
      </c>
      <c r="Q371" s="211">
        <v>0</v>
      </c>
      <c r="R371" s="213">
        <v>0</v>
      </c>
      <c r="S371" s="211">
        <v>0</v>
      </c>
      <c r="T371" s="212">
        <v>0</v>
      </c>
      <c r="U371" s="290">
        <v>0</v>
      </c>
      <c r="V371" s="282"/>
      <c r="W371" s="282"/>
      <c r="X371" s="282"/>
    </row>
    <row r="372" spans="1:32" ht="30">
      <c r="A372" s="198"/>
      <c r="B372" s="214" t="s">
        <v>198</v>
      </c>
      <c r="C372" s="211">
        <v>1091336</v>
      </c>
      <c r="D372" s="211"/>
      <c r="E372" s="211"/>
      <c r="F372" s="211"/>
      <c r="G372" s="211"/>
      <c r="H372" s="211"/>
      <c r="I372" s="211"/>
      <c r="J372" s="211"/>
      <c r="K372" s="211">
        <v>0</v>
      </c>
      <c r="L372" s="212">
        <v>0</v>
      </c>
      <c r="M372" s="211">
        <v>0</v>
      </c>
      <c r="N372" s="211">
        <v>554.41999999999996</v>
      </c>
      <c r="O372" s="211">
        <v>1091336</v>
      </c>
      <c r="P372" s="213">
        <v>0</v>
      </c>
      <c r="Q372" s="211">
        <v>0</v>
      </c>
      <c r="R372" s="213">
        <v>0</v>
      </c>
      <c r="S372" s="211">
        <v>0</v>
      </c>
      <c r="T372" s="212">
        <v>0</v>
      </c>
      <c r="U372" s="290">
        <v>0</v>
      </c>
      <c r="V372" s="282"/>
      <c r="W372" s="282"/>
      <c r="X372" s="282"/>
    </row>
    <row r="373" spans="1:32" ht="30">
      <c r="A373" s="198">
        <v>315</v>
      </c>
      <c r="B373" s="214" t="s">
        <v>444</v>
      </c>
      <c r="C373" s="211">
        <v>1091336</v>
      </c>
      <c r="D373" s="211"/>
      <c r="E373" s="211"/>
      <c r="F373" s="211"/>
      <c r="G373" s="211"/>
      <c r="H373" s="211"/>
      <c r="I373" s="211"/>
      <c r="J373" s="211"/>
      <c r="K373" s="211">
        <v>0</v>
      </c>
      <c r="L373" s="212">
        <v>0</v>
      </c>
      <c r="M373" s="211">
        <v>0</v>
      </c>
      <c r="N373" s="211">
        <v>554.41999999999996</v>
      </c>
      <c r="O373" s="211">
        <v>1091336</v>
      </c>
      <c r="P373" s="213">
        <v>0</v>
      </c>
      <c r="Q373" s="211">
        <v>0</v>
      </c>
      <c r="R373" s="213">
        <v>0</v>
      </c>
      <c r="S373" s="211">
        <v>0</v>
      </c>
      <c r="T373" s="212">
        <v>0</v>
      </c>
      <c r="U373" s="290">
        <v>0</v>
      </c>
      <c r="V373" s="282"/>
      <c r="W373" s="282"/>
      <c r="X373" s="282"/>
    </row>
    <row r="374" spans="1:32" s="17" customFormat="1">
      <c r="A374" s="198"/>
      <c r="B374" s="216" t="s">
        <v>53</v>
      </c>
      <c r="C374" s="211">
        <v>51240898.530000001</v>
      </c>
      <c r="D374" s="211"/>
      <c r="E374" s="211"/>
      <c r="F374" s="211"/>
      <c r="G374" s="211"/>
      <c r="H374" s="211"/>
      <c r="I374" s="211"/>
      <c r="J374" s="211"/>
      <c r="K374" s="211">
        <v>1666943.13</v>
      </c>
      <c r="L374" s="212">
        <v>16</v>
      </c>
      <c r="M374" s="211">
        <f>M375+M395+M397+M400+M410+M412+M414</f>
        <v>19456700</v>
      </c>
      <c r="N374" s="211">
        <f>N375+N395+N397+N400+N410+N412+N414</f>
        <v>12350.9</v>
      </c>
      <c r="O374" s="211">
        <f>O375+O395+O397+O400+O410+O412+O414</f>
        <v>30465500.920000002</v>
      </c>
      <c r="P374" s="213">
        <v>0</v>
      </c>
      <c r="Q374" s="211">
        <v>0</v>
      </c>
      <c r="R374" s="211">
        <v>3776.66</v>
      </c>
      <c r="S374" s="211">
        <v>2073719.84</v>
      </c>
      <c r="T374" s="213">
        <v>0</v>
      </c>
      <c r="U374" s="290">
        <v>0</v>
      </c>
      <c r="V374" s="282"/>
      <c r="W374" s="282"/>
      <c r="X374" s="282"/>
    </row>
    <row r="375" spans="1:32" ht="30">
      <c r="A375" s="430"/>
      <c r="B375" s="438" t="s">
        <v>88</v>
      </c>
      <c r="C375" s="439">
        <f>C376+C377+C378+C379+C380+C381+C382+C383+C384+C385</f>
        <v>31676745</v>
      </c>
      <c r="D375" s="439">
        <f t="shared" ref="D375:V375" si="43">D376+D377+D378+D379+D380+D381+D382+D383+D384+D385</f>
        <v>0</v>
      </c>
      <c r="E375" s="439">
        <f t="shared" si="43"/>
        <v>0</v>
      </c>
      <c r="F375" s="439">
        <f t="shared" si="43"/>
        <v>0</v>
      </c>
      <c r="G375" s="439">
        <f t="shared" si="43"/>
        <v>0</v>
      </c>
      <c r="H375" s="439">
        <f t="shared" si="43"/>
        <v>0</v>
      </c>
      <c r="I375" s="439">
        <f t="shared" si="43"/>
        <v>0</v>
      </c>
      <c r="J375" s="439">
        <f t="shared" si="43"/>
        <v>0</v>
      </c>
      <c r="K375" s="439">
        <f t="shared" si="43"/>
        <v>0</v>
      </c>
      <c r="L375" s="439">
        <f t="shared" si="43"/>
        <v>10</v>
      </c>
      <c r="M375" s="439">
        <f t="shared" si="43"/>
        <v>19456700</v>
      </c>
      <c r="N375" s="439">
        <f t="shared" si="43"/>
        <v>4937</v>
      </c>
      <c r="O375" s="439">
        <f t="shared" si="43"/>
        <v>12220045</v>
      </c>
      <c r="P375" s="439">
        <f t="shared" si="43"/>
        <v>0</v>
      </c>
      <c r="Q375" s="439">
        <f t="shared" si="43"/>
        <v>0</v>
      </c>
      <c r="R375" s="439">
        <f t="shared" si="43"/>
        <v>0</v>
      </c>
      <c r="S375" s="439">
        <f t="shared" si="43"/>
        <v>0</v>
      </c>
      <c r="T375" s="439">
        <f t="shared" si="43"/>
        <v>0</v>
      </c>
      <c r="U375" s="439">
        <f t="shared" si="43"/>
        <v>0</v>
      </c>
      <c r="V375" s="211">
        <f t="shared" si="43"/>
        <v>0</v>
      </c>
      <c r="W375" s="282"/>
      <c r="X375" s="282"/>
      <c r="Y375" s="10"/>
      <c r="Z375" s="10"/>
      <c r="AA375" s="10"/>
      <c r="AB375" s="10"/>
    </row>
    <row r="376" spans="1:32" s="19" customFormat="1" ht="15.75">
      <c r="A376" s="430">
        <v>1</v>
      </c>
      <c r="B376" s="549" t="s">
        <v>416</v>
      </c>
      <c r="C376" s="439">
        <f>'часть 1'!L386</f>
        <v>3883714</v>
      </c>
      <c r="D376" s="439">
        <v>0</v>
      </c>
      <c r="E376" s="439">
        <v>0</v>
      </c>
      <c r="F376" s="439">
        <v>0</v>
      </c>
      <c r="G376" s="439">
        <v>0</v>
      </c>
      <c r="H376" s="439">
        <v>0</v>
      </c>
      <c r="I376" s="439">
        <v>0</v>
      </c>
      <c r="J376" s="439">
        <v>0</v>
      </c>
      <c r="K376" s="439">
        <v>0</v>
      </c>
      <c r="L376" s="440">
        <v>2</v>
      </c>
      <c r="M376" s="439">
        <v>3883714</v>
      </c>
      <c r="N376" s="439">
        <v>0</v>
      </c>
      <c r="O376" s="439">
        <v>0</v>
      </c>
      <c r="P376" s="442">
        <v>0</v>
      </c>
      <c r="Q376" s="439">
        <v>0</v>
      </c>
      <c r="R376" s="442">
        <v>0</v>
      </c>
      <c r="S376" s="439">
        <v>0</v>
      </c>
      <c r="T376" s="440">
        <v>0</v>
      </c>
      <c r="U376" s="443">
        <v>0</v>
      </c>
      <c r="V376" s="282"/>
      <c r="W376" s="282"/>
      <c r="X376" s="282"/>
      <c r="Y376" s="27"/>
      <c r="Z376" s="27"/>
      <c r="AA376" s="27"/>
      <c r="AB376" s="27"/>
      <c r="AF376" s="84">
        <f>M376/L376</f>
        <v>1941857</v>
      </c>
    </row>
    <row r="377" spans="1:32" s="19" customFormat="1" ht="15.75">
      <c r="A377" s="430">
        <v>2</v>
      </c>
      <c r="B377" s="549" t="s">
        <v>743</v>
      </c>
      <c r="C377" s="439">
        <f>'часть 1'!L387</f>
        <v>3894862</v>
      </c>
      <c r="D377" s="439">
        <v>0</v>
      </c>
      <c r="E377" s="439">
        <v>0</v>
      </c>
      <c r="F377" s="439">
        <v>0</v>
      </c>
      <c r="G377" s="439">
        <v>0</v>
      </c>
      <c r="H377" s="439">
        <v>0</v>
      </c>
      <c r="I377" s="439">
        <v>0</v>
      </c>
      <c r="J377" s="439">
        <v>0</v>
      </c>
      <c r="K377" s="439">
        <v>0</v>
      </c>
      <c r="L377" s="440">
        <v>2</v>
      </c>
      <c r="M377" s="439">
        <v>3894862</v>
      </c>
      <c r="N377" s="439">
        <v>0</v>
      </c>
      <c r="O377" s="439">
        <v>0</v>
      </c>
      <c r="P377" s="442">
        <v>0</v>
      </c>
      <c r="Q377" s="439">
        <v>0</v>
      </c>
      <c r="R377" s="442">
        <v>0</v>
      </c>
      <c r="S377" s="439">
        <v>0</v>
      </c>
      <c r="T377" s="440">
        <v>0</v>
      </c>
      <c r="U377" s="443">
        <v>0</v>
      </c>
      <c r="V377" s="282"/>
      <c r="W377" s="282"/>
      <c r="X377" s="282"/>
      <c r="Y377" s="27"/>
      <c r="Z377" s="27"/>
      <c r="AA377" s="27"/>
      <c r="AB377" s="27"/>
      <c r="AF377" s="84">
        <f t="shared" ref="AF377:AF378" si="44">M377/L377</f>
        <v>1947431</v>
      </c>
    </row>
    <row r="378" spans="1:32" s="19" customFormat="1" ht="15.75">
      <c r="A378" s="430">
        <v>3</v>
      </c>
      <c r="B378" s="549" t="s">
        <v>417</v>
      </c>
      <c r="C378" s="439">
        <f>'часть 1'!L388</f>
        <v>3877521</v>
      </c>
      <c r="D378" s="468">
        <v>0</v>
      </c>
      <c r="E378" s="468">
        <v>0</v>
      </c>
      <c r="F378" s="468">
        <v>0</v>
      </c>
      <c r="G378" s="468">
        <v>0</v>
      </c>
      <c r="H378" s="468">
        <v>0</v>
      </c>
      <c r="I378" s="468">
        <v>0</v>
      </c>
      <c r="J378" s="468">
        <v>0</v>
      </c>
      <c r="K378" s="864">
        <v>0</v>
      </c>
      <c r="L378" s="440">
        <v>2</v>
      </c>
      <c r="M378" s="439">
        <v>3877521</v>
      </c>
      <c r="N378" s="468">
        <v>0</v>
      </c>
      <c r="O378" s="468">
        <v>0</v>
      </c>
      <c r="P378" s="442">
        <v>0</v>
      </c>
      <c r="Q378" s="439">
        <v>0</v>
      </c>
      <c r="R378" s="442">
        <v>0</v>
      </c>
      <c r="S378" s="439">
        <v>0</v>
      </c>
      <c r="T378" s="440">
        <v>0</v>
      </c>
      <c r="U378" s="443">
        <v>0</v>
      </c>
      <c r="V378" s="282"/>
      <c r="W378" s="282"/>
      <c r="X378" s="282"/>
      <c r="Y378" s="27"/>
      <c r="Z378" s="27"/>
      <c r="AA378" s="27"/>
      <c r="AB378" s="27"/>
      <c r="AF378" s="84">
        <f t="shared" si="44"/>
        <v>1938760.5</v>
      </c>
    </row>
    <row r="379" spans="1:32" s="19" customFormat="1" ht="15.75">
      <c r="A379" s="430">
        <v>4</v>
      </c>
      <c r="B379" s="549" t="s">
        <v>418</v>
      </c>
      <c r="C379" s="439">
        <f>'часть 1'!L389</f>
        <v>1943688</v>
      </c>
      <c r="D379" s="439">
        <v>0</v>
      </c>
      <c r="E379" s="439">
        <v>0</v>
      </c>
      <c r="F379" s="439">
        <v>0</v>
      </c>
      <c r="G379" s="439">
        <v>0</v>
      </c>
      <c r="H379" s="439">
        <v>0</v>
      </c>
      <c r="I379" s="439">
        <v>0</v>
      </c>
      <c r="J379" s="439">
        <v>0</v>
      </c>
      <c r="K379" s="439">
        <v>0</v>
      </c>
      <c r="L379" s="440">
        <v>1</v>
      </c>
      <c r="M379" s="439">
        <v>1943688</v>
      </c>
      <c r="N379" s="439">
        <v>0</v>
      </c>
      <c r="O379" s="439">
        <v>0</v>
      </c>
      <c r="P379" s="442">
        <v>0</v>
      </c>
      <c r="Q379" s="439">
        <v>0</v>
      </c>
      <c r="R379" s="439">
        <v>0</v>
      </c>
      <c r="S379" s="439">
        <v>0</v>
      </c>
      <c r="T379" s="440">
        <v>0</v>
      </c>
      <c r="U379" s="443">
        <v>0</v>
      </c>
      <c r="V379" s="282"/>
      <c r="W379" s="282"/>
      <c r="X379" s="282"/>
      <c r="Y379" s="27"/>
      <c r="Z379" s="27"/>
      <c r="AA379" s="27"/>
      <c r="AB379" s="27"/>
      <c r="AF379" s="84">
        <f>M379/L379</f>
        <v>1943688</v>
      </c>
    </row>
    <row r="380" spans="1:32" s="19" customFormat="1" ht="15.75">
      <c r="A380" s="430">
        <v>5</v>
      </c>
      <c r="B380" s="549" t="s">
        <v>757</v>
      </c>
      <c r="C380" s="439">
        <f>'часть 1'!L390</f>
        <v>2656189</v>
      </c>
      <c r="D380" s="468">
        <v>0</v>
      </c>
      <c r="E380" s="468">
        <v>0</v>
      </c>
      <c r="F380" s="468">
        <v>0</v>
      </c>
      <c r="G380" s="468">
        <v>0</v>
      </c>
      <c r="H380" s="468">
        <v>0</v>
      </c>
      <c r="I380" s="468">
        <v>0</v>
      </c>
      <c r="J380" s="468">
        <v>0</v>
      </c>
      <c r="K380" s="435">
        <v>0</v>
      </c>
      <c r="L380" s="485">
        <v>0</v>
      </c>
      <c r="M380" s="468">
        <v>0</v>
      </c>
      <c r="N380" s="439">
        <v>1077</v>
      </c>
      <c r="O380" s="439">
        <v>2656189</v>
      </c>
      <c r="P380" s="442">
        <v>0</v>
      </c>
      <c r="Q380" s="439">
        <v>0</v>
      </c>
      <c r="R380" s="442">
        <v>0</v>
      </c>
      <c r="S380" s="439">
        <v>0</v>
      </c>
      <c r="T380" s="440">
        <v>0</v>
      </c>
      <c r="U380" s="443">
        <v>0</v>
      </c>
      <c r="V380" s="282"/>
      <c r="W380" s="282">
        <f>O380/N380</f>
        <v>2466.2850510677808</v>
      </c>
      <c r="X380" s="282"/>
      <c r="Y380" s="6"/>
      <c r="Z380" s="6"/>
      <c r="AA380" s="26"/>
      <c r="AB380" s="26"/>
    </row>
    <row r="381" spans="1:32" s="19" customFormat="1" ht="15.75">
      <c r="A381" s="430">
        <v>6</v>
      </c>
      <c r="B381" s="549" t="s">
        <v>758</v>
      </c>
      <c r="C381" s="439">
        <f>'часть 1'!L391</f>
        <v>2621402</v>
      </c>
      <c r="D381" s="468">
        <v>0</v>
      </c>
      <c r="E381" s="468">
        <v>0</v>
      </c>
      <c r="F381" s="468">
        <v>0</v>
      </c>
      <c r="G381" s="468">
        <v>0</v>
      </c>
      <c r="H381" s="468">
        <v>0</v>
      </c>
      <c r="I381" s="468">
        <v>0</v>
      </c>
      <c r="J381" s="468">
        <v>0</v>
      </c>
      <c r="K381" s="435">
        <v>0</v>
      </c>
      <c r="L381" s="485">
        <v>0</v>
      </c>
      <c r="M381" s="435">
        <v>0</v>
      </c>
      <c r="N381" s="439">
        <v>1060</v>
      </c>
      <c r="O381" s="439">
        <v>2621402</v>
      </c>
      <c r="P381" s="442">
        <v>0</v>
      </c>
      <c r="Q381" s="439">
        <v>0</v>
      </c>
      <c r="R381" s="442">
        <v>0</v>
      </c>
      <c r="S381" s="439">
        <v>0</v>
      </c>
      <c r="T381" s="440">
        <v>0</v>
      </c>
      <c r="U381" s="443">
        <v>0</v>
      </c>
      <c r="V381" s="282"/>
      <c r="W381" s="282">
        <f>O381/N381</f>
        <v>2473.0207547169812</v>
      </c>
      <c r="X381" s="282"/>
      <c r="Y381" s="6"/>
      <c r="Z381" s="6"/>
      <c r="AA381" s="26"/>
      <c r="AB381" s="26"/>
    </row>
    <row r="382" spans="1:32" s="19" customFormat="1" ht="15.75">
      <c r="A382" s="430">
        <v>7</v>
      </c>
      <c r="B382" s="549" t="s">
        <v>744</v>
      </c>
      <c r="C382" s="439">
        <f>'часть 1'!L392</f>
        <v>3471287</v>
      </c>
      <c r="D382" s="468">
        <v>0</v>
      </c>
      <c r="E382" s="468">
        <v>0</v>
      </c>
      <c r="F382" s="468">
        <v>0</v>
      </c>
      <c r="G382" s="468">
        <v>0</v>
      </c>
      <c r="H382" s="468">
        <v>0</v>
      </c>
      <c r="I382" s="468">
        <v>0</v>
      </c>
      <c r="J382" s="468">
        <v>0</v>
      </c>
      <c r="K382" s="435">
        <v>0</v>
      </c>
      <c r="L382" s="485">
        <v>0</v>
      </c>
      <c r="M382" s="468">
        <v>0</v>
      </c>
      <c r="N382" s="439">
        <v>1400</v>
      </c>
      <c r="O382" s="439">
        <v>3471287</v>
      </c>
      <c r="P382" s="442">
        <v>0</v>
      </c>
      <c r="Q382" s="439">
        <v>0</v>
      </c>
      <c r="R382" s="442">
        <v>0</v>
      </c>
      <c r="S382" s="439">
        <v>0</v>
      </c>
      <c r="T382" s="440">
        <v>0</v>
      </c>
      <c r="U382" s="443">
        <v>0</v>
      </c>
      <c r="V382" s="282"/>
      <c r="W382" s="282">
        <f>O382/N382</f>
        <v>2479.4907142857141</v>
      </c>
      <c r="X382" s="282"/>
      <c r="Y382" s="6"/>
      <c r="Z382" s="6"/>
      <c r="AA382" s="26"/>
      <c r="AB382" s="26"/>
    </row>
    <row r="383" spans="1:32" s="19" customFormat="1" ht="15.75">
      <c r="A383" s="430">
        <v>8</v>
      </c>
      <c r="B383" s="549" t="s">
        <v>745</v>
      </c>
      <c r="C383" s="439">
        <f>'часть 1'!L393</f>
        <v>3471167</v>
      </c>
      <c r="D383" s="439">
        <v>0</v>
      </c>
      <c r="E383" s="439">
        <v>0</v>
      </c>
      <c r="F383" s="439">
        <v>0</v>
      </c>
      <c r="G383" s="439">
        <v>0</v>
      </c>
      <c r="H383" s="439">
        <v>0</v>
      </c>
      <c r="I383" s="439">
        <v>0</v>
      </c>
      <c r="J383" s="439">
        <v>0</v>
      </c>
      <c r="K383" s="439">
        <v>0</v>
      </c>
      <c r="L383" s="440">
        <v>0</v>
      </c>
      <c r="M383" s="439">
        <v>0</v>
      </c>
      <c r="N383" s="439">
        <v>1400</v>
      </c>
      <c r="O383" s="439">
        <v>3471167</v>
      </c>
      <c r="P383" s="442">
        <v>0</v>
      </c>
      <c r="Q383" s="439">
        <v>0</v>
      </c>
      <c r="R383" s="439">
        <v>0</v>
      </c>
      <c r="S383" s="439">
        <v>0</v>
      </c>
      <c r="T383" s="440">
        <v>0</v>
      </c>
      <c r="U383" s="443">
        <v>0</v>
      </c>
      <c r="V383" s="282"/>
      <c r="W383" s="282">
        <f>O383/N383</f>
        <v>2479.4050000000002</v>
      </c>
      <c r="X383" s="282"/>
      <c r="Y383" s="27"/>
      <c r="Z383" s="27"/>
      <c r="AA383" s="27"/>
      <c r="AB383" s="27"/>
    </row>
    <row r="384" spans="1:32" s="19" customFormat="1" ht="15.75">
      <c r="A384" s="430">
        <v>9</v>
      </c>
      <c r="B384" s="549" t="s">
        <v>746</v>
      </c>
      <c r="C384" s="439">
        <f>'часть 1'!L394</f>
        <v>3891338</v>
      </c>
      <c r="D384" s="468">
        <v>0</v>
      </c>
      <c r="E384" s="468">
        <v>0</v>
      </c>
      <c r="F384" s="468">
        <v>0</v>
      </c>
      <c r="G384" s="468">
        <v>0</v>
      </c>
      <c r="H384" s="468">
        <v>0</v>
      </c>
      <c r="I384" s="468">
        <v>0</v>
      </c>
      <c r="J384" s="468">
        <v>0</v>
      </c>
      <c r="K384" s="435">
        <v>0</v>
      </c>
      <c r="L384" s="485">
        <v>2</v>
      </c>
      <c r="M384" s="441">
        <v>3891338</v>
      </c>
      <c r="N384" s="439">
        <v>0</v>
      </c>
      <c r="O384" s="439">
        <v>0</v>
      </c>
      <c r="P384" s="442">
        <v>0</v>
      </c>
      <c r="Q384" s="439">
        <v>0</v>
      </c>
      <c r="R384" s="442">
        <v>0</v>
      </c>
      <c r="S384" s="439">
        <v>0</v>
      </c>
      <c r="T384" s="440">
        <v>0</v>
      </c>
      <c r="U384" s="443">
        <v>0</v>
      </c>
      <c r="V384" s="282"/>
      <c r="W384" s="282"/>
      <c r="X384" s="282"/>
      <c r="Y384" s="6"/>
      <c r="Z384" s="6"/>
      <c r="AA384" s="26"/>
      <c r="AB384" s="26"/>
      <c r="AF384" s="84">
        <f>M384/L384</f>
        <v>1945669</v>
      </c>
    </row>
    <row r="385" spans="1:36" s="19" customFormat="1" ht="15.75">
      <c r="A385" s="430">
        <v>10</v>
      </c>
      <c r="B385" s="549" t="s">
        <v>747</v>
      </c>
      <c r="C385" s="439">
        <f>'часть 1'!L395</f>
        <v>1965577</v>
      </c>
      <c r="D385" s="468">
        <v>0</v>
      </c>
      <c r="E385" s="468">
        <v>0</v>
      </c>
      <c r="F385" s="468">
        <v>0</v>
      </c>
      <c r="G385" s="468">
        <v>0</v>
      </c>
      <c r="H385" s="468">
        <v>0</v>
      </c>
      <c r="I385" s="468">
        <v>0</v>
      </c>
      <c r="J385" s="468">
        <v>0</v>
      </c>
      <c r="K385" s="435">
        <v>0</v>
      </c>
      <c r="L385" s="485">
        <v>1</v>
      </c>
      <c r="M385" s="468">
        <v>1965577</v>
      </c>
      <c r="N385" s="439">
        <v>0</v>
      </c>
      <c r="O385" s="439">
        <v>0</v>
      </c>
      <c r="P385" s="442">
        <v>0</v>
      </c>
      <c r="Q385" s="439">
        <v>0</v>
      </c>
      <c r="R385" s="442">
        <v>0</v>
      </c>
      <c r="S385" s="439">
        <v>0</v>
      </c>
      <c r="T385" s="440">
        <v>0</v>
      </c>
      <c r="U385" s="443">
        <v>0</v>
      </c>
      <c r="V385" s="282"/>
      <c r="W385" s="282"/>
      <c r="X385" s="282"/>
      <c r="Y385" s="6"/>
      <c r="Z385" s="6"/>
      <c r="AA385" s="26"/>
      <c r="AB385" s="26"/>
      <c r="AF385" s="84">
        <f>M385/L385</f>
        <v>1965577</v>
      </c>
    </row>
    <row r="386" spans="1:36" s="19" customFormat="1">
      <c r="A386" s="430"/>
      <c r="B386" s="438"/>
      <c r="C386" s="468"/>
      <c r="D386" s="468"/>
      <c r="E386" s="468"/>
      <c r="F386" s="468"/>
      <c r="G386" s="468"/>
      <c r="H386" s="468"/>
      <c r="I386" s="468"/>
      <c r="J386" s="468"/>
      <c r="K386" s="435"/>
      <c r="L386" s="485"/>
      <c r="M386" s="435"/>
      <c r="N386" s="439"/>
      <c r="O386" s="439"/>
      <c r="P386" s="442"/>
      <c r="Q386" s="439"/>
      <c r="R386" s="442"/>
      <c r="S386" s="439"/>
      <c r="T386" s="440"/>
      <c r="U386" s="443"/>
      <c r="V386" s="282"/>
      <c r="W386" s="282"/>
      <c r="X386" s="282"/>
      <c r="Y386" s="6"/>
      <c r="Z386" s="6"/>
      <c r="AA386" s="26"/>
      <c r="AB386" s="26"/>
    </row>
    <row r="387" spans="1:36" s="19" customFormat="1">
      <c r="A387" s="430"/>
      <c r="B387" s="448"/>
      <c r="C387" s="468"/>
      <c r="D387" s="468"/>
      <c r="E387" s="468"/>
      <c r="F387" s="468"/>
      <c r="G387" s="468"/>
      <c r="H387" s="468"/>
      <c r="I387" s="468"/>
      <c r="J387" s="468"/>
      <c r="K387" s="468"/>
      <c r="L387" s="440"/>
      <c r="M387" s="439"/>
      <c r="N387" s="439"/>
      <c r="O387" s="439"/>
      <c r="P387" s="442"/>
      <c r="Q387" s="439"/>
      <c r="R387" s="442"/>
      <c r="S387" s="439"/>
      <c r="T387" s="440"/>
      <c r="U387" s="443"/>
      <c r="V387" s="282"/>
      <c r="W387" s="282"/>
      <c r="X387" s="282"/>
      <c r="Y387" s="27"/>
      <c r="Z387" s="27"/>
      <c r="AA387" s="27"/>
      <c r="AB387" s="27"/>
    </row>
    <row r="388" spans="1:36" s="19" customFormat="1">
      <c r="A388" s="430"/>
      <c r="B388" s="438"/>
      <c r="C388" s="468"/>
      <c r="D388" s="468"/>
      <c r="E388" s="468"/>
      <c r="F388" s="468"/>
      <c r="G388" s="468"/>
      <c r="H388" s="468"/>
      <c r="I388" s="468"/>
      <c r="J388" s="468"/>
      <c r="K388" s="435"/>
      <c r="L388" s="485"/>
      <c r="M388" s="435"/>
      <c r="N388" s="439"/>
      <c r="O388" s="439"/>
      <c r="P388" s="442"/>
      <c r="Q388" s="439"/>
      <c r="R388" s="442"/>
      <c r="S388" s="439"/>
      <c r="T388" s="440"/>
      <c r="U388" s="443"/>
      <c r="V388" s="282"/>
      <c r="W388" s="282"/>
      <c r="X388" s="282"/>
      <c r="Y388" s="6"/>
      <c r="Z388" s="6"/>
      <c r="AA388" s="26"/>
      <c r="AB388" s="26"/>
    </row>
    <row r="389" spans="1:36" s="19" customFormat="1">
      <c r="A389" s="430"/>
      <c r="B389" s="438"/>
      <c r="C389" s="468"/>
      <c r="D389" s="468"/>
      <c r="E389" s="468"/>
      <c r="F389" s="468"/>
      <c r="G389" s="468"/>
      <c r="H389" s="468"/>
      <c r="I389" s="468"/>
      <c r="J389" s="468"/>
      <c r="K389" s="435"/>
      <c r="L389" s="485"/>
      <c r="M389" s="468"/>
      <c r="N389" s="439"/>
      <c r="O389" s="439"/>
      <c r="P389" s="442"/>
      <c r="Q389" s="439"/>
      <c r="R389" s="442"/>
      <c r="S389" s="439"/>
      <c r="T389" s="440"/>
      <c r="U389" s="443"/>
      <c r="V389" s="282"/>
      <c r="W389" s="282"/>
      <c r="X389" s="282"/>
      <c r="Y389" s="6"/>
      <c r="Z389" s="6"/>
      <c r="AA389" s="26"/>
      <c r="AB389" s="26"/>
    </row>
    <row r="390" spans="1:36" s="19" customFormat="1">
      <c r="A390" s="430"/>
      <c r="B390" s="662"/>
      <c r="C390" s="439"/>
      <c r="D390" s="439"/>
      <c r="E390" s="439"/>
      <c r="F390" s="439"/>
      <c r="G390" s="439"/>
      <c r="H390" s="439"/>
      <c r="I390" s="439"/>
      <c r="J390" s="439"/>
      <c r="K390" s="439"/>
      <c r="L390" s="440"/>
      <c r="M390" s="439"/>
      <c r="N390" s="439"/>
      <c r="O390" s="439"/>
      <c r="P390" s="442"/>
      <c r="Q390" s="439"/>
      <c r="R390" s="439"/>
      <c r="S390" s="439"/>
      <c r="T390" s="440"/>
      <c r="U390" s="443"/>
      <c r="V390" s="282"/>
      <c r="W390" s="282"/>
      <c r="X390" s="282"/>
      <c r="Y390" s="27"/>
      <c r="Z390" s="27"/>
      <c r="AA390" s="27"/>
      <c r="AB390" s="27"/>
    </row>
    <row r="391" spans="1:36" s="19" customFormat="1" ht="30">
      <c r="A391" s="198"/>
      <c r="B391" s="235" t="s">
        <v>132</v>
      </c>
      <c r="C391" s="211">
        <f>C392+C393+C394</f>
        <v>5439639</v>
      </c>
      <c r="D391" s="211">
        <f t="shared" ref="D391:V391" si="45">D392+D393+D394</f>
        <v>0</v>
      </c>
      <c r="E391" s="211">
        <f t="shared" si="45"/>
        <v>0</v>
      </c>
      <c r="F391" s="211">
        <f t="shared" si="45"/>
        <v>0</v>
      </c>
      <c r="G391" s="211">
        <f t="shared" si="45"/>
        <v>0</v>
      </c>
      <c r="H391" s="211">
        <f t="shared" si="45"/>
        <v>0</v>
      </c>
      <c r="I391" s="211">
        <f t="shared" si="45"/>
        <v>0</v>
      </c>
      <c r="J391" s="211">
        <f t="shared" si="45"/>
        <v>0</v>
      </c>
      <c r="K391" s="211">
        <f t="shared" si="45"/>
        <v>0</v>
      </c>
      <c r="L391" s="211">
        <f t="shared" si="45"/>
        <v>0</v>
      </c>
      <c r="M391" s="211">
        <f t="shared" si="45"/>
        <v>0</v>
      </c>
      <c r="N391" s="211">
        <f t="shared" si="45"/>
        <v>1137.5</v>
      </c>
      <c r="O391" s="211">
        <f t="shared" si="45"/>
        <v>3582717</v>
      </c>
      <c r="P391" s="211">
        <f t="shared" si="45"/>
        <v>0</v>
      </c>
      <c r="Q391" s="211">
        <f t="shared" si="45"/>
        <v>0</v>
      </c>
      <c r="R391" s="211">
        <f t="shared" si="45"/>
        <v>1224.5</v>
      </c>
      <c r="S391" s="211">
        <f t="shared" si="45"/>
        <v>1856922</v>
      </c>
      <c r="T391" s="211">
        <f t="shared" si="45"/>
        <v>0</v>
      </c>
      <c r="U391" s="211">
        <f t="shared" si="45"/>
        <v>0</v>
      </c>
      <c r="V391" s="211">
        <f t="shared" si="45"/>
        <v>0</v>
      </c>
      <c r="W391" s="282"/>
      <c r="X391" s="282"/>
      <c r="Y391" s="27"/>
      <c r="Z391" s="27"/>
      <c r="AA391" s="27"/>
      <c r="AB391" s="27"/>
    </row>
    <row r="392" spans="1:36" s="19" customFormat="1" ht="31.5">
      <c r="A392" s="430"/>
      <c r="B392" s="654" t="s">
        <v>697</v>
      </c>
      <c r="C392" s="439">
        <f>'часть 1'!L398</f>
        <v>1207837</v>
      </c>
      <c r="D392" s="439">
        <v>0</v>
      </c>
      <c r="E392" s="439">
        <v>0</v>
      </c>
      <c r="F392" s="439">
        <v>0</v>
      </c>
      <c r="G392" s="439">
        <v>0</v>
      </c>
      <c r="H392" s="439">
        <v>0</v>
      </c>
      <c r="I392" s="439">
        <v>0</v>
      </c>
      <c r="J392" s="439">
        <v>0</v>
      </c>
      <c r="K392" s="439">
        <v>0</v>
      </c>
      <c r="L392" s="440">
        <v>0</v>
      </c>
      <c r="M392" s="439">
        <v>0</v>
      </c>
      <c r="N392" s="439">
        <v>0</v>
      </c>
      <c r="O392" s="439">
        <v>0</v>
      </c>
      <c r="P392" s="442">
        <v>0</v>
      </c>
      <c r="Q392" s="439">
        <v>0</v>
      </c>
      <c r="R392" s="439">
        <v>797.3</v>
      </c>
      <c r="S392" s="439">
        <v>1207837</v>
      </c>
      <c r="T392" s="440">
        <v>0</v>
      </c>
      <c r="U392" s="443">
        <v>0</v>
      </c>
      <c r="V392" s="282"/>
      <c r="W392" s="282"/>
      <c r="X392" s="282">
        <f>S392/R392</f>
        <v>1514.909068104854</v>
      </c>
      <c r="Y392" s="27"/>
      <c r="Z392" s="27"/>
      <c r="AA392" s="27"/>
      <c r="AB392" s="27"/>
    </row>
    <row r="393" spans="1:36" s="19" customFormat="1" ht="15.75">
      <c r="A393" s="430"/>
      <c r="B393" s="654" t="s">
        <v>698</v>
      </c>
      <c r="C393" s="439">
        <f>'часть 1'!L399</f>
        <v>1871260</v>
      </c>
      <c r="D393" s="439">
        <v>0</v>
      </c>
      <c r="E393" s="439">
        <v>0</v>
      </c>
      <c r="F393" s="439">
        <v>0</v>
      </c>
      <c r="G393" s="439">
        <v>0</v>
      </c>
      <c r="H393" s="439">
        <v>0</v>
      </c>
      <c r="I393" s="439">
        <v>0</v>
      </c>
      <c r="J393" s="439">
        <v>0</v>
      </c>
      <c r="K393" s="439">
        <v>0</v>
      </c>
      <c r="L393" s="440">
        <v>0</v>
      </c>
      <c r="M393" s="439">
        <v>0</v>
      </c>
      <c r="N393" s="439">
        <v>385.5</v>
      </c>
      <c r="O393" s="439">
        <v>1222175</v>
      </c>
      <c r="P393" s="442">
        <v>0</v>
      </c>
      <c r="Q393" s="439">
        <v>0</v>
      </c>
      <c r="R393" s="439">
        <v>427.2</v>
      </c>
      <c r="S393" s="439">
        <v>649085</v>
      </c>
      <c r="T393" s="440">
        <v>0</v>
      </c>
      <c r="U393" s="443">
        <v>0</v>
      </c>
      <c r="V393" s="282"/>
      <c r="W393" s="282">
        <f>O393/N393</f>
        <v>3170.3631647211414</v>
      </c>
      <c r="X393" s="282">
        <f>S393/R393</f>
        <v>1519.3937265917602</v>
      </c>
      <c r="Y393" s="27"/>
      <c r="Z393" s="27"/>
      <c r="AA393" s="27"/>
      <c r="AB393" s="27"/>
    </row>
    <row r="394" spans="1:36" s="19" customFormat="1" ht="31.5">
      <c r="A394" s="430"/>
      <c r="B394" s="654" t="s">
        <v>699</v>
      </c>
      <c r="C394" s="439">
        <f>'часть 1'!L400</f>
        <v>2360542</v>
      </c>
      <c r="D394" s="439">
        <v>0</v>
      </c>
      <c r="E394" s="439">
        <v>0</v>
      </c>
      <c r="F394" s="439">
        <v>0</v>
      </c>
      <c r="G394" s="439">
        <v>0</v>
      </c>
      <c r="H394" s="439">
        <v>0</v>
      </c>
      <c r="I394" s="439">
        <v>0</v>
      </c>
      <c r="J394" s="439">
        <v>0</v>
      </c>
      <c r="K394" s="439">
        <v>0</v>
      </c>
      <c r="L394" s="440">
        <v>0</v>
      </c>
      <c r="M394" s="439">
        <v>0</v>
      </c>
      <c r="N394" s="439">
        <v>752</v>
      </c>
      <c r="O394" s="439">
        <v>2360542</v>
      </c>
      <c r="P394" s="442">
        <v>0</v>
      </c>
      <c r="Q394" s="439">
        <v>0</v>
      </c>
      <c r="R394" s="439">
        <v>0</v>
      </c>
      <c r="S394" s="439">
        <v>0</v>
      </c>
      <c r="T394" s="440">
        <v>0</v>
      </c>
      <c r="U394" s="443">
        <v>0</v>
      </c>
      <c r="V394" s="282"/>
      <c r="W394" s="282">
        <f>O394/N394</f>
        <v>3139.0186170212764</v>
      </c>
      <c r="X394" s="282"/>
      <c r="Y394" s="27"/>
      <c r="Z394" s="27"/>
      <c r="AA394" s="27"/>
      <c r="AB394" s="27"/>
    </row>
    <row r="395" spans="1:36" ht="30">
      <c r="A395" s="198"/>
      <c r="B395" s="214" t="s">
        <v>593</v>
      </c>
      <c r="C395" s="211">
        <v>2543251</v>
      </c>
      <c r="D395" s="211"/>
      <c r="E395" s="211"/>
      <c r="F395" s="211"/>
      <c r="G395" s="211"/>
      <c r="H395" s="211"/>
      <c r="I395" s="211"/>
      <c r="J395" s="211"/>
      <c r="K395" s="211">
        <v>0</v>
      </c>
      <c r="L395" s="212">
        <v>0</v>
      </c>
      <c r="M395" s="211">
        <v>0</v>
      </c>
      <c r="N395" s="211">
        <v>1290.4000000000001</v>
      </c>
      <c r="O395" s="211">
        <v>2543251</v>
      </c>
      <c r="P395" s="213">
        <v>0</v>
      </c>
      <c r="Q395" s="211">
        <v>0</v>
      </c>
      <c r="R395" s="213">
        <v>0</v>
      </c>
      <c r="S395" s="211">
        <v>0</v>
      </c>
      <c r="T395" s="212">
        <v>0</v>
      </c>
      <c r="U395" s="290">
        <v>0</v>
      </c>
      <c r="V395" s="282"/>
      <c r="W395" s="282"/>
      <c r="X395" s="282"/>
      <c r="Y395" s="10"/>
      <c r="Z395" s="10"/>
      <c r="AA395" s="10"/>
      <c r="AB395" s="10"/>
    </row>
    <row r="396" spans="1:36">
      <c r="A396" s="430">
        <v>331</v>
      </c>
      <c r="B396" s="438" t="s">
        <v>594</v>
      </c>
      <c r="C396" s="439">
        <v>2543251</v>
      </c>
      <c r="D396" s="439"/>
      <c r="E396" s="439"/>
      <c r="F396" s="439"/>
      <c r="G396" s="439"/>
      <c r="H396" s="439"/>
      <c r="I396" s="439"/>
      <c r="J396" s="439"/>
      <c r="K396" s="439">
        <v>0</v>
      </c>
      <c r="L396" s="440">
        <v>0</v>
      </c>
      <c r="M396" s="439">
        <v>0</v>
      </c>
      <c r="N396" s="439">
        <v>1290.4000000000001</v>
      </c>
      <c r="O396" s="439">
        <v>2543251</v>
      </c>
      <c r="P396" s="442">
        <v>0</v>
      </c>
      <c r="Q396" s="439">
        <v>0</v>
      </c>
      <c r="R396" s="442">
        <v>0</v>
      </c>
      <c r="S396" s="439">
        <v>0</v>
      </c>
      <c r="T396" s="440">
        <v>0</v>
      </c>
      <c r="U396" s="443">
        <v>0</v>
      </c>
      <c r="V396" s="282"/>
      <c r="W396" s="282"/>
      <c r="X396" s="282"/>
      <c r="Y396" s="10"/>
      <c r="Z396" s="10"/>
      <c r="AA396" s="10"/>
      <c r="AB396" s="10"/>
    </row>
    <row r="397" spans="1:36" ht="30">
      <c r="A397" s="198"/>
      <c r="B397" s="214" t="s">
        <v>110</v>
      </c>
      <c r="C397" s="211">
        <f>C398</f>
        <v>2476043</v>
      </c>
      <c r="D397" s="211">
        <f t="shared" ref="D397:U397" si="46">D398</f>
        <v>0</v>
      </c>
      <c r="E397" s="211">
        <f t="shared" si="46"/>
        <v>0</v>
      </c>
      <c r="F397" s="211">
        <f t="shared" si="46"/>
        <v>0</v>
      </c>
      <c r="G397" s="211">
        <f t="shared" si="46"/>
        <v>0</v>
      </c>
      <c r="H397" s="211">
        <f t="shared" si="46"/>
        <v>0</v>
      </c>
      <c r="I397" s="211">
        <f t="shared" si="46"/>
        <v>0</v>
      </c>
      <c r="J397" s="211">
        <f t="shared" si="46"/>
        <v>0</v>
      </c>
      <c r="K397" s="211">
        <f t="shared" si="46"/>
        <v>0</v>
      </c>
      <c r="L397" s="211">
        <f t="shared" si="46"/>
        <v>0</v>
      </c>
      <c r="M397" s="211">
        <f t="shared" si="46"/>
        <v>0</v>
      </c>
      <c r="N397" s="211">
        <f t="shared" si="46"/>
        <v>783</v>
      </c>
      <c r="O397" s="211">
        <f t="shared" si="46"/>
        <v>2476043</v>
      </c>
      <c r="P397" s="211">
        <f t="shared" si="46"/>
        <v>0</v>
      </c>
      <c r="Q397" s="211">
        <f t="shared" si="46"/>
        <v>0</v>
      </c>
      <c r="R397" s="211">
        <f t="shared" si="46"/>
        <v>0</v>
      </c>
      <c r="S397" s="211">
        <f t="shared" si="46"/>
        <v>0</v>
      </c>
      <c r="T397" s="211">
        <f t="shared" si="46"/>
        <v>0</v>
      </c>
      <c r="U397" s="211">
        <f t="shared" si="46"/>
        <v>0</v>
      </c>
      <c r="V397" s="282"/>
      <c r="W397" s="282"/>
      <c r="X397" s="282"/>
      <c r="Y397" s="10"/>
      <c r="Z397" s="10"/>
      <c r="AA397" s="10"/>
      <c r="AB397" s="10"/>
    </row>
    <row r="398" spans="1:36">
      <c r="A398" s="430">
        <v>332</v>
      </c>
      <c r="B398" s="465" t="s">
        <v>472</v>
      </c>
      <c r="C398" s="439">
        <v>2476043</v>
      </c>
      <c r="D398" s="439">
        <v>0</v>
      </c>
      <c r="E398" s="439">
        <v>0</v>
      </c>
      <c r="F398" s="439">
        <v>0</v>
      </c>
      <c r="G398" s="439">
        <v>0</v>
      </c>
      <c r="H398" s="439">
        <v>0</v>
      </c>
      <c r="I398" s="439">
        <v>0</v>
      </c>
      <c r="J398" s="439">
        <v>0</v>
      </c>
      <c r="K398" s="439">
        <v>0</v>
      </c>
      <c r="L398" s="440">
        <v>0</v>
      </c>
      <c r="M398" s="439">
        <v>0</v>
      </c>
      <c r="N398" s="441">
        <v>783</v>
      </c>
      <c r="O398" s="439">
        <v>2476043</v>
      </c>
      <c r="P398" s="442">
        <v>0</v>
      </c>
      <c r="Q398" s="439">
        <v>0</v>
      </c>
      <c r="R398" s="442">
        <v>0</v>
      </c>
      <c r="S398" s="439">
        <v>0</v>
      </c>
      <c r="T398" s="440">
        <v>0</v>
      </c>
      <c r="U398" s="443">
        <v>0</v>
      </c>
      <c r="V398" s="436"/>
      <c r="W398" s="436">
        <f>O398/N398</f>
        <v>3162.2515964240101</v>
      </c>
      <c r="X398" s="43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</row>
    <row r="399" spans="1:36">
      <c r="A399" s="430"/>
      <c r="B399" s="438"/>
      <c r="C399" s="439"/>
      <c r="D399" s="439"/>
      <c r="E399" s="439"/>
      <c r="F399" s="439"/>
      <c r="G399" s="439"/>
      <c r="H399" s="439"/>
      <c r="I399" s="439"/>
      <c r="J399" s="439"/>
      <c r="K399" s="439"/>
      <c r="L399" s="440"/>
      <c r="M399" s="439"/>
      <c r="N399" s="439"/>
      <c r="O399" s="439"/>
      <c r="P399" s="442"/>
      <c r="Q399" s="439"/>
      <c r="R399" s="442"/>
      <c r="S399" s="439"/>
      <c r="T399" s="440"/>
      <c r="U399" s="443"/>
      <c r="V399" s="436"/>
      <c r="W399" s="436"/>
      <c r="X399" s="43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</row>
    <row r="400" spans="1:36" ht="30">
      <c r="A400" s="430"/>
      <c r="B400" s="438" t="s">
        <v>128</v>
      </c>
      <c r="C400" s="439">
        <f>C401+C402+C403+C404</f>
        <v>11027716</v>
      </c>
      <c r="D400" s="439">
        <f t="shared" ref="D400:V400" si="47">D401+D402+D403+D404</f>
        <v>0</v>
      </c>
      <c r="E400" s="439">
        <f t="shared" si="47"/>
        <v>0</v>
      </c>
      <c r="F400" s="439">
        <f t="shared" si="47"/>
        <v>0</v>
      </c>
      <c r="G400" s="439">
        <f t="shared" si="47"/>
        <v>0</v>
      </c>
      <c r="H400" s="439">
        <f t="shared" si="47"/>
        <v>0</v>
      </c>
      <c r="I400" s="439">
        <f t="shared" si="47"/>
        <v>0</v>
      </c>
      <c r="J400" s="439">
        <f t="shared" si="47"/>
        <v>0</v>
      </c>
      <c r="K400" s="439">
        <f t="shared" si="47"/>
        <v>0</v>
      </c>
      <c r="L400" s="439">
        <f t="shared" si="47"/>
        <v>0</v>
      </c>
      <c r="M400" s="439">
        <f t="shared" si="47"/>
        <v>0</v>
      </c>
      <c r="N400" s="439">
        <f t="shared" si="47"/>
        <v>4318.6000000000004</v>
      </c>
      <c r="O400" s="439">
        <f t="shared" si="47"/>
        <v>11027716</v>
      </c>
      <c r="P400" s="439">
        <f t="shared" si="47"/>
        <v>0</v>
      </c>
      <c r="Q400" s="439">
        <f t="shared" si="47"/>
        <v>0</v>
      </c>
      <c r="R400" s="439">
        <f t="shared" si="47"/>
        <v>0</v>
      </c>
      <c r="S400" s="439">
        <f t="shared" si="47"/>
        <v>0</v>
      </c>
      <c r="T400" s="439">
        <f t="shared" si="47"/>
        <v>0</v>
      </c>
      <c r="U400" s="439">
        <f t="shared" si="47"/>
        <v>0</v>
      </c>
      <c r="V400" s="211">
        <f t="shared" si="47"/>
        <v>0</v>
      </c>
      <c r="W400" s="282"/>
      <c r="X400" s="282"/>
    </row>
    <row r="401" spans="1:24" s="59" customFormat="1">
      <c r="A401" s="430">
        <v>334</v>
      </c>
      <c r="B401" s="467" t="s">
        <v>721</v>
      </c>
      <c r="C401" s="468">
        <f>'часть 1'!L406</f>
        <v>2009466</v>
      </c>
      <c r="D401" s="468">
        <f>E401+F401+G401+H401+I401+J401+K401</f>
        <v>0</v>
      </c>
      <c r="E401" s="468">
        <v>0</v>
      </c>
      <c r="F401" s="468">
        <v>0</v>
      </c>
      <c r="G401" s="468">
        <v>0</v>
      </c>
      <c r="H401" s="468">
        <v>0</v>
      </c>
      <c r="I401" s="468">
        <v>0</v>
      </c>
      <c r="J401" s="468">
        <v>0</v>
      </c>
      <c r="K401" s="468">
        <v>0</v>
      </c>
      <c r="L401" s="469">
        <v>0</v>
      </c>
      <c r="M401" s="468">
        <v>0</v>
      </c>
      <c r="N401" s="441">
        <v>811</v>
      </c>
      <c r="O401" s="468">
        <v>2009466</v>
      </c>
      <c r="P401" s="469">
        <v>0</v>
      </c>
      <c r="Q401" s="468">
        <v>0</v>
      </c>
      <c r="R401" s="469">
        <v>0</v>
      </c>
      <c r="S401" s="468">
        <v>0</v>
      </c>
      <c r="T401" s="638">
        <v>0</v>
      </c>
      <c r="U401" s="639">
        <v>0</v>
      </c>
      <c r="V401" s="282"/>
      <c r="W401" s="282">
        <f>O401/N401</f>
        <v>2477.7632552404439</v>
      </c>
      <c r="X401" s="282"/>
    </row>
    <row r="402" spans="1:24" s="59" customFormat="1">
      <c r="A402" s="430">
        <v>335</v>
      </c>
      <c r="B402" s="467" t="s">
        <v>722</v>
      </c>
      <c r="C402" s="468">
        <f>'часть 1'!L407</f>
        <v>1709729</v>
      </c>
      <c r="D402" s="468">
        <f t="shared" ref="D402:D404" si="48">E402+F402+G402+H402+I402+J402+K402</f>
        <v>0</v>
      </c>
      <c r="E402" s="468">
        <v>0</v>
      </c>
      <c r="F402" s="468">
        <v>0</v>
      </c>
      <c r="G402" s="468">
        <v>0</v>
      </c>
      <c r="H402" s="468">
        <v>0</v>
      </c>
      <c r="I402" s="468">
        <v>0</v>
      </c>
      <c r="J402" s="468">
        <v>0</v>
      </c>
      <c r="K402" s="468">
        <v>0</v>
      </c>
      <c r="L402" s="469">
        <v>0</v>
      </c>
      <c r="M402" s="468">
        <v>0</v>
      </c>
      <c r="N402" s="441">
        <v>543</v>
      </c>
      <c r="O402" s="468">
        <v>1709729</v>
      </c>
      <c r="P402" s="469">
        <v>0</v>
      </c>
      <c r="Q402" s="468">
        <v>0</v>
      </c>
      <c r="R402" s="469">
        <v>0</v>
      </c>
      <c r="S402" s="468">
        <v>0</v>
      </c>
      <c r="T402" s="638">
        <v>0</v>
      </c>
      <c r="U402" s="639">
        <v>0</v>
      </c>
      <c r="V402" s="282"/>
      <c r="W402" s="282">
        <f t="shared" ref="W402:W404" si="49">O402/N402</f>
        <v>3148.6721915285452</v>
      </c>
      <c r="X402" s="282"/>
    </row>
    <row r="403" spans="1:24" s="59" customFormat="1">
      <c r="A403" s="430">
        <v>336</v>
      </c>
      <c r="B403" s="467" t="s">
        <v>723</v>
      </c>
      <c r="C403" s="468">
        <f>'часть 1'!L408</f>
        <v>4267870</v>
      </c>
      <c r="D403" s="468">
        <f t="shared" si="48"/>
        <v>0</v>
      </c>
      <c r="E403" s="468">
        <v>0</v>
      </c>
      <c r="F403" s="468">
        <v>0</v>
      </c>
      <c r="G403" s="468">
        <v>0</v>
      </c>
      <c r="H403" s="468">
        <v>0</v>
      </c>
      <c r="I403" s="468">
        <v>0</v>
      </c>
      <c r="J403" s="468">
        <v>0</v>
      </c>
      <c r="K403" s="468">
        <v>0</v>
      </c>
      <c r="L403" s="469">
        <v>0</v>
      </c>
      <c r="M403" s="468">
        <v>0</v>
      </c>
      <c r="N403" s="441">
        <v>1732.6</v>
      </c>
      <c r="O403" s="468">
        <v>4267870</v>
      </c>
      <c r="P403" s="469">
        <v>0</v>
      </c>
      <c r="Q403" s="468">
        <v>0</v>
      </c>
      <c r="R403" s="469">
        <v>0</v>
      </c>
      <c r="S403" s="468">
        <v>0</v>
      </c>
      <c r="T403" s="638">
        <v>0</v>
      </c>
      <c r="U403" s="639">
        <v>0</v>
      </c>
      <c r="V403" s="282"/>
      <c r="W403" s="282">
        <f t="shared" si="49"/>
        <v>2463.2748470506754</v>
      </c>
      <c r="X403" s="282"/>
    </row>
    <row r="404" spans="1:24" s="59" customFormat="1">
      <c r="A404" s="430">
        <v>337</v>
      </c>
      <c r="B404" s="467" t="s">
        <v>724</v>
      </c>
      <c r="C404" s="468">
        <f>'часть 1'!L409</f>
        <v>3040651</v>
      </c>
      <c r="D404" s="468">
        <f t="shared" si="48"/>
        <v>0</v>
      </c>
      <c r="E404" s="468">
        <v>0</v>
      </c>
      <c r="F404" s="468">
        <v>0</v>
      </c>
      <c r="G404" s="468">
        <v>0</v>
      </c>
      <c r="H404" s="468">
        <v>0</v>
      </c>
      <c r="I404" s="468">
        <v>0</v>
      </c>
      <c r="J404" s="468">
        <v>0</v>
      </c>
      <c r="K404" s="468">
        <v>0</v>
      </c>
      <c r="L404" s="469">
        <v>0</v>
      </c>
      <c r="M404" s="468">
        <v>0</v>
      </c>
      <c r="N404" s="441">
        <v>1232</v>
      </c>
      <c r="O404" s="468">
        <v>3040651</v>
      </c>
      <c r="P404" s="469">
        <v>0</v>
      </c>
      <c r="Q404" s="468">
        <v>0</v>
      </c>
      <c r="R404" s="469">
        <v>0</v>
      </c>
      <c r="S404" s="468">
        <v>0</v>
      </c>
      <c r="T404" s="638">
        <v>0</v>
      </c>
      <c r="U404" s="639">
        <v>0</v>
      </c>
      <c r="V404" s="282"/>
      <c r="W404" s="282">
        <f t="shared" si="49"/>
        <v>2468.0608766233768</v>
      </c>
      <c r="X404" s="282"/>
    </row>
    <row r="405" spans="1:24" s="59" customFormat="1">
      <c r="A405" s="430"/>
      <c r="B405" s="467"/>
      <c r="C405" s="468"/>
      <c r="D405" s="468"/>
      <c r="E405" s="468"/>
      <c r="F405" s="468"/>
      <c r="G405" s="468"/>
      <c r="H405" s="468"/>
      <c r="I405" s="468"/>
      <c r="J405" s="468"/>
      <c r="K405" s="468"/>
      <c r="L405" s="469"/>
      <c r="M405" s="468"/>
      <c r="N405" s="441"/>
      <c r="O405" s="468"/>
      <c r="P405" s="469"/>
      <c r="Q405" s="468"/>
      <c r="R405" s="469"/>
      <c r="S405" s="468"/>
      <c r="T405" s="638"/>
      <c r="U405" s="639"/>
      <c r="V405" s="282"/>
      <c r="W405" s="282"/>
      <c r="X405" s="282"/>
    </row>
    <row r="406" spans="1:24" s="59" customFormat="1">
      <c r="A406" s="430"/>
      <c r="B406" s="467"/>
      <c r="C406" s="468"/>
      <c r="D406" s="468"/>
      <c r="E406" s="468"/>
      <c r="F406" s="468"/>
      <c r="G406" s="468"/>
      <c r="H406" s="468"/>
      <c r="I406" s="468"/>
      <c r="J406" s="468"/>
      <c r="K406" s="468"/>
      <c r="L406" s="469"/>
      <c r="M406" s="468"/>
      <c r="N406" s="441"/>
      <c r="O406" s="468"/>
      <c r="P406" s="469"/>
      <c r="Q406" s="468"/>
      <c r="R406" s="469"/>
      <c r="S406" s="468"/>
      <c r="T406" s="638"/>
      <c r="U406" s="639"/>
      <c r="V406" s="282"/>
      <c r="W406" s="282"/>
      <c r="X406" s="282"/>
    </row>
    <row r="407" spans="1:24" s="59" customFormat="1" ht="30">
      <c r="A407" s="430"/>
      <c r="B407" s="467" t="s">
        <v>668</v>
      </c>
      <c r="C407" s="468">
        <f>C408+C409</f>
        <v>4521219</v>
      </c>
      <c r="D407" s="468">
        <f t="shared" ref="D407:U407" si="50">D408+D409</f>
        <v>0</v>
      </c>
      <c r="E407" s="468">
        <f t="shared" si="50"/>
        <v>0</v>
      </c>
      <c r="F407" s="468">
        <f t="shared" si="50"/>
        <v>0</v>
      </c>
      <c r="G407" s="468">
        <f t="shared" si="50"/>
        <v>0</v>
      </c>
      <c r="H407" s="468">
        <f t="shared" si="50"/>
        <v>0</v>
      </c>
      <c r="I407" s="468">
        <f t="shared" si="50"/>
        <v>0</v>
      </c>
      <c r="J407" s="468">
        <f t="shared" si="50"/>
        <v>0</v>
      </c>
      <c r="K407" s="468">
        <f t="shared" si="50"/>
        <v>0</v>
      </c>
      <c r="L407" s="468">
        <f t="shared" si="50"/>
        <v>0</v>
      </c>
      <c r="M407" s="468">
        <f t="shared" si="50"/>
        <v>0</v>
      </c>
      <c r="N407" s="468">
        <f t="shared" si="50"/>
        <v>1683.3</v>
      </c>
      <c r="O407" s="468">
        <f t="shared" si="50"/>
        <v>4521219</v>
      </c>
      <c r="P407" s="468">
        <f t="shared" si="50"/>
        <v>0</v>
      </c>
      <c r="Q407" s="468">
        <f t="shared" si="50"/>
        <v>0</v>
      </c>
      <c r="R407" s="468">
        <f t="shared" si="50"/>
        <v>0</v>
      </c>
      <c r="S407" s="468">
        <f t="shared" si="50"/>
        <v>0</v>
      </c>
      <c r="T407" s="468">
        <f t="shared" si="50"/>
        <v>0</v>
      </c>
      <c r="U407" s="468">
        <f t="shared" si="50"/>
        <v>0</v>
      </c>
      <c r="V407" s="282"/>
      <c r="W407" s="282"/>
      <c r="X407" s="282"/>
    </row>
    <row r="408" spans="1:24" s="59" customFormat="1">
      <c r="A408" s="430"/>
      <c r="B408" s="467" t="s">
        <v>669</v>
      </c>
      <c r="C408" s="468">
        <v>2857112</v>
      </c>
      <c r="D408" s="468">
        <v>0</v>
      </c>
      <c r="E408" s="468">
        <v>0</v>
      </c>
      <c r="F408" s="468">
        <v>0</v>
      </c>
      <c r="G408" s="468">
        <v>0</v>
      </c>
      <c r="H408" s="468">
        <v>0</v>
      </c>
      <c r="I408" s="468">
        <v>0</v>
      </c>
      <c r="J408" s="468">
        <v>0</v>
      </c>
      <c r="K408" s="468">
        <v>0</v>
      </c>
      <c r="L408" s="469">
        <v>0</v>
      </c>
      <c r="M408" s="468">
        <v>0</v>
      </c>
      <c r="N408" s="441">
        <v>1156</v>
      </c>
      <c r="O408" s="468">
        <v>2857112</v>
      </c>
      <c r="P408" s="469">
        <v>0</v>
      </c>
      <c r="Q408" s="468">
        <v>0</v>
      </c>
      <c r="R408" s="469">
        <v>0</v>
      </c>
      <c r="S408" s="468">
        <v>0</v>
      </c>
      <c r="T408" s="638">
        <v>0</v>
      </c>
      <c r="U408" s="639">
        <v>0</v>
      </c>
      <c r="V408" s="282"/>
      <c r="W408" s="282">
        <f>O408/N408</f>
        <v>2471.5501730103806</v>
      </c>
      <c r="X408" s="282"/>
    </row>
    <row r="409" spans="1:24" s="59" customFormat="1">
      <c r="A409" s="430"/>
      <c r="B409" s="467" t="s">
        <v>670</v>
      </c>
      <c r="C409" s="468">
        <v>1664107</v>
      </c>
      <c r="D409" s="468">
        <v>0</v>
      </c>
      <c r="E409" s="468">
        <v>0</v>
      </c>
      <c r="F409" s="468">
        <v>0</v>
      </c>
      <c r="G409" s="468">
        <v>0</v>
      </c>
      <c r="H409" s="468">
        <v>0</v>
      </c>
      <c r="I409" s="468">
        <v>0</v>
      </c>
      <c r="J409" s="468">
        <v>0</v>
      </c>
      <c r="K409" s="468">
        <v>0</v>
      </c>
      <c r="L409" s="469">
        <v>0</v>
      </c>
      <c r="M409" s="468">
        <v>0</v>
      </c>
      <c r="N409" s="441">
        <v>527.29999999999995</v>
      </c>
      <c r="O409" s="468">
        <v>1664107</v>
      </c>
      <c r="P409" s="469">
        <v>0</v>
      </c>
      <c r="Q409" s="468">
        <v>0</v>
      </c>
      <c r="R409" s="469">
        <v>0</v>
      </c>
      <c r="S409" s="468">
        <v>0</v>
      </c>
      <c r="T409" s="638">
        <v>0</v>
      </c>
      <c r="U409" s="639">
        <v>0</v>
      </c>
      <c r="V409" s="282"/>
      <c r="W409" s="282">
        <f>O409/N409</f>
        <v>3155.9017637018778</v>
      </c>
      <c r="X409" s="282"/>
    </row>
    <row r="410" spans="1:24" ht="30">
      <c r="A410" s="198"/>
      <c r="B410" s="214" t="s">
        <v>994</v>
      </c>
      <c r="C410" s="211">
        <f>C411</f>
        <v>1540610</v>
      </c>
      <c r="D410" s="211">
        <f t="shared" ref="D410:U410" si="51">D411</f>
        <v>0</v>
      </c>
      <c r="E410" s="211">
        <f t="shared" si="51"/>
        <v>0</v>
      </c>
      <c r="F410" s="211">
        <f t="shared" si="51"/>
        <v>0</v>
      </c>
      <c r="G410" s="211">
        <f t="shared" si="51"/>
        <v>0</v>
      </c>
      <c r="H410" s="211">
        <f t="shared" si="51"/>
        <v>0</v>
      </c>
      <c r="I410" s="211">
        <f t="shared" si="51"/>
        <v>0</v>
      </c>
      <c r="J410" s="211">
        <f t="shared" si="51"/>
        <v>0</v>
      </c>
      <c r="K410" s="211">
        <f t="shared" si="51"/>
        <v>0</v>
      </c>
      <c r="L410" s="211">
        <f t="shared" si="51"/>
        <v>0</v>
      </c>
      <c r="M410" s="211">
        <f t="shared" si="51"/>
        <v>0</v>
      </c>
      <c r="N410" s="211">
        <f t="shared" si="51"/>
        <v>625.9</v>
      </c>
      <c r="O410" s="211">
        <f t="shared" si="51"/>
        <v>1540610</v>
      </c>
      <c r="P410" s="211">
        <f t="shared" si="51"/>
        <v>0</v>
      </c>
      <c r="Q410" s="211">
        <f t="shared" si="51"/>
        <v>0</v>
      </c>
      <c r="R410" s="211">
        <f t="shared" si="51"/>
        <v>0</v>
      </c>
      <c r="S410" s="211">
        <f t="shared" si="51"/>
        <v>0</v>
      </c>
      <c r="T410" s="211">
        <f t="shared" si="51"/>
        <v>0</v>
      </c>
      <c r="U410" s="211">
        <f t="shared" si="51"/>
        <v>0</v>
      </c>
      <c r="V410" s="282"/>
      <c r="W410" s="282"/>
      <c r="X410" s="282"/>
    </row>
    <row r="411" spans="1:24" ht="34.9" customHeight="1">
      <c r="A411" s="198">
        <v>340</v>
      </c>
      <c r="B411" s="943" t="s">
        <v>995</v>
      </c>
      <c r="C411" s="211">
        <f>'часть 1'!L416</f>
        <v>1540610</v>
      </c>
      <c r="D411" s="211">
        <v>0</v>
      </c>
      <c r="E411" s="211">
        <v>0</v>
      </c>
      <c r="F411" s="211">
        <v>0</v>
      </c>
      <c r="G411" s="211">
        <v>0</v>
      </c>
      <c r="H411" s="211">
        <v>0</v>
      </c>
      <c r="I411" s="211">
        <v>0</v>
      </c>
      <c r="J411" s="211">
        <v>0</v>
      </c>
      <c r="K411" s="211">
        <v>0</v>
      </c>
      <c r="L411" s="212">
        <v>0</v>
      </c>
      <c r="M411" s="211">
        <v>0</v>
      </c>
      <c r="N411" s="211">
        <v>625.9</v>
      </c>
      <c r="O411" s="211">
        <v>1540610</v>
      </c>
      <c r="P411" s="213">
        <v>0</v>
      </c>
      <c r="Q411" s="211">
        <v>0</v>
      </c>
      <c r="R411" s="211">
        <v>0</v>
      </c>
      <c r="S411" s="211">
        <v>0</v>
      </c>
      <c r="T411" s="212">
        <v>0</v>
      </c>
      <c r="U411" s="290">
        <v>0</v>
      </c>
      <c r="V411" s="282"/>
      <c r="W411" s="282">
        <f>O411/N411</f>
        <v>2461.4315385844384</v>
      </c>
      <c r="X411" s="282"/>
    </row>
    <row r="412" spans="1:24" ht="30">
      <c r="A412" s="198"/>
      <c r="B412" s="214" t="s">
        <v>111</v>
      </c>
      <c r="C412" s="211">
        <v>657835.92000000004</v>
      </c>
      <c r="D412" s="211"/>
      <c r="E412" s="211"/>
      <c r="F412" s="211"/>
      <c r="G412" s="211"/>
      <c r="H412" s="211"/>
      <c r="I412" s="211"/>
      <c r="J412" s="211"/>
      <c r="K412" s="211">
        <v>0</v>
      </c>
      <c r="L412" s="213">
        <v>0</v>
      </c>
      <c r="M412" s="211">
        <v>0</v>
      </c>
      <c r="N412" s="211">
        <f>N413</f>
        <v>396</v>
      </c>
      <c r="O412" s="211">
        <v>657835.92000000004</v>
      </c>
      <c r="P412" s="213">
        <v>0</v>
      </c>
      <c r="Q412" s="240">
        <v>0</v>
      </c>
      <c r="R412" s="213">
        <v>0</v>
      </c>
      <c r="S412" s="240">
        <v>0</v>
      </c>
      <c r="T412" s="212">
        <v>0</v>
      </c>
      <c r="U412" s="293">
        <v>0</v>
      </c>
      <c r="V412" s="282"/>
      <c r="W412" s="282"/>
      <c r="X412" s="282"/>
    </row>
    <row r="413" spans="1:24" ht="30">
      <c r="A413" s="198">
        <v>341</v>
      </c>
      <c r="B413" s="214" t="s">
        <v>453</v>
      </c>
      <c r="C413" s="211">
        <v>657835.92000000004</v>
      </c>
      <c r="D413" s="211"/>
      <c r="E413" s="211"/>
      <c r="F413" s="211"/>
      <c r="G413" s="211"/>
      <c r="H413" s="211"/>
      <c r="I413" s="211"/>
      <c r="J413" s="211"/>
      <c r="K413" s="211">
        <v>0</v>
      </c>
      <c r="L413" s="212">
        <v>0</v>
      </c>
      <c r="M413" s="211">
        <v>0</v>
      </c>
      <c r="N413" s="199">
        <v>396</v>
      </c>
      <c r="O413" s="211">
        <v>657835.92000000004</v>
      </c>
      <c r="P413" s="213">
        <v>0</v>
      </c>
      <c r="Q413" s="211">
        <v>0</v>
      </c>
      <c r="R413" s="213">
        <v>0</v>
      </c>
      <c r="S413" s="211">
        <v>0</v>
      </c>
      <c r="T413" s="212">
        <v>0</v>
      </c>
      <c r="U413" s="290">
        <v>0</v>
      </c>
      <c r="V413" s="282"/>
      <c r="W413" s="282"/>
      <c r="X413" s="282"/>
    </row>
    <row r="414" spans="1:24" ht="30">
      <c r="A414" s="430"/>
      <c r="B414" s="438" t="s">
        <v>129</v>
      </c>
      <c r="C414" s="439">
        <f>C415+C416</f>
        <v>1473433</v>
      </c>
      <c r="D414" s="439">
        <f t="shared" ref="D414:V414" si="52">D415+D416</f>
        <v>0</v>
      </c>
      <c r="E414" s="439">
        <f t="shared" si="52"/>
        <v>0</v>
      </c>
      <c r="F414" s="439">
        <f t="shared" si="52"/>
        <v>0</v>
      </c>
      <c r="G414" s="439">
        <f t="shared" si="52"/>
        <v>0</v>
      </c>
      <c r="H414" s="439">
        <f t="shared" si="52"/>
        <v>0</v>
      </c>
      <c r="I414" s="439">
        <f t="shared" si="52"/>
        <v>0</v>
      </c>
      <c r="J414" s="439">
        <f t="shared" si="52"/>
        <v>0</v>
      </c>
      <c r="K414" s="439">
        <f t="shared" si="52"/>
        <v>0</v>
      </c>
      <c r="L414" s="439">
        <f t="shared" si="52"/>
        <v>0</v>
      </c>
      <c r="M414" s="439">
        <f t="shared" si="52"/>
        <v>0</v>
      </c>
      <c r="N414" s="439">
        <f t="shared" si="52"/>
        <v>0</v>
      </c>
      <c r="O414" s="439">
        <f t="shared" si="52"/>
        <v>0</v>
      </c>
      <c r="P414" s="439">
        <f t="shared" si="52"/>
        <v>0</v>
      </c>
      <c r="Q414" s="439">
        <f t="shared" si="52"/>
        <v>0</v>
      </c>
      <c r="R414" s="439">
        <f t="shared" si="52"/>
        <v>971.71</v>
      </c>
      <c r="S414" s="439">
        <f t="shared" si="52"/>
        <v>1473433</v>
      </c>
      <c r="T414" s="439">
        <f t="shared" si="52"/>
        <v>0</v>
      </c>
      <c r="U414" s="439">
        <f t="shared" si="52"/>
        <v>0</v>
      </c>
      <c r="V414" s="211">
        <f t="shared" si="52"/>
        <v>0</v>
      </c>
      <c r="W414" s="282"/>
      <c r="X414" s="282"/>
    </row>
    <row r="415" spans="1:24" s="60" customFormat="1" ht="24" customHeight="1">
      <c r="A415" s="430">
        <v>342</v>
      </c>
      <c r="B415" s="431" t="s">
        <v>680</v>
      </c>
      <c r="C415" s="432">
        <f>'часть 1'!L420</f>
        <v>734707</v>
      </c>
      <c r="D415" s="432">
        <v>0</v>
      </c>
      <c r="E415" s="432">
        <v>0</v>
      </c>
      <c r="F415" s="432">
        <v>0</v>
      </c>
      <c r="G415" s="432">
        <v>0</v>
      </c>
      <c r="H415" s="432">
        <v>0</v>
      </c>
      <c r="I415" s="432">
        <v>0</v>
      </c>
      <c r="J415" s="432">
        <v>0</v>
      </c>
      <c r="K415" s="439">
        <v>0</v>
      </c>
      <c r="L415" s="485">
        <v>0</v>
      </c>
      <c r="M415" s="439">
        <v>0</v>
      </c>
      <c r="N415" s="441">
        <v>0</v>
      </c>
      <c r="O415" s="432">
        <v>0</v>
      </c>
      <c r="P415" s="573">
        <v>0</v>
      </c>
      <c r="Q415" s="439">
        <v>0</v>
      </c>
      <c r="R415" s="435">
        <v>484.51</v>
      </c>
      <c r="S415" s="439">
        <v>734707</v>
      </c>
      <c r="T415" s="485">
        <v>0</v>
      </c>
      <c r="U415" s="443">
        <v>0</v>
      </c>
      <c r="V415" s="282"/>
      <c r="W415" s="282"/>
      <c r="X415" s="282">
        <f>S415/R415</f>
        <v>1516.391818538317</v>
      </c>
    </row>
    <row r="416" spans="1:24" s="60" customFormat="1" ht="21.6" customHeight="1">
      <c r="A416" s="430">
        <v>343</v>
      </c>
      <c r="B416" s="431" t="s">
        <v>681</v>
      </c>
      <c r="C416" s="432">
        <f>'часть 1'!L421</f>
        <v>738726</v>
      </c>
      <c r="D416" s="432">
        <v>0</v>
      </c>
      <c r="E416" s="432">
        <v>0</v>
      </c>
      <c r="F416" s="432">
        <v>0</v>
      </c>
      <c r="G416" s="432">
        <v>0</v>
      </c>
      <c r="H416" s="432">
        <v>0</v>
      </c>
      <c r="I416" s="432">
        <v>0</v>
      </c>
      <c r="J416" s="432">
        <v>0</v>
      </c>
      <c r="K416" s="439">
        <v>0</v>
      </c>
      <c r="L416" s="485">
        <v>0</v>
      </c>
      <c r="M416" s="439">
        <v>0</v>
      </c>
      <c r="N416" s="441">
        <v>0</v>
      </c>
      <c r="O416" s="432">
        <v>0</v>
      </c>
      <c r="P416" s="573">
        <v>0</v>
      </c>
      <c r="Q416" s="439">
        <v>0</v>
      </c>
      <c r="R416" s="435">
        <v>487.2</v>
      </c>
      <c r="S416" s="439">
        <v>738726</v>
      </c>
      <c r="T416" s="485">
        <v>0</v>
      </c>
      <c r="U416" s="443">
        <v>0</v>
      </c>
      <c r="V416" s="282"/>
      <c r="W416" s="282"/>
      <c r="X416" s="282">
        <f>S416/R416</f>
        <v>1516.268472906404</v>
      </c>
    </row>
    <row r="417" spans="1:53" s="60" customFormat="1">
      <c r="A417" s="430"/>
      <c r="B417" s="431"/>
      <c r="C417" s="432"/>
      <c r="D417" s="432"/>
      <c r="E417" s="432"/>
      <c r="F417" s="432"/>
      <c r="G417" s="432"/>
      <c r="H417" s="432"/>
      <c r="I417" s="432"/>
      <c r="J417" s="432"/>
      <c r="K417" s="439"/>
      <c r="L417" s="485"/>
      <c r="M417" s="439"/>
      <c r="N417" s="441"/>
      <c r="O417" s="432"/>
      <c r="P417" s="573"/>
      <c r="Q417" s="439"/>
      <c r="R417" s="573"/>
      <c r="S417" s="439"/>
      <c r="T417" s="485"/>
      <c r="U417" s="443"/>
      <c r="V417" s="282"/>
      <c r="W417" s="282"/>
      <c r="X417" s="282"/>
    </row>
    <row r="418" spans="1:53" s="60" customFormat="1">
      <c r="A418" s="430"/>
      <c r="B418" s="431"/>
      <c r="C418" s="432"/>
      <c r="D418" s="432"/>
      <c r="E418" s="432"/>
      <c r="F418" s="432"/>
      <c r="G418" s="432"/>
      <c r="H418" s="432"/>
      <c r="I418" s="432"/>
      <c r="J418" s="432"/>
      <c r="K418" s="439"/>
      <c r="L418" s="485"/>
      <c r="M418" s="439"/>
      <c r="N418" s="441"/>
      <c r="O418" s="432"/>
      <c r="P418" s="573"/>
      <c r="Q418" s="439"/>
      <c r="R418" s="439"/>
      <c r="S418" s="439"/>
      <c r="T418" s="485"/>
      <c r="U418" s="443"/>
      <c r="V418" s="282"/>
      <c r="W418" s="282"/>
      <c r="X418" s="282"/>
    </row>
    <row r="419" spans="1:53">
      <c r="A419" s="198"/>
      <c r="B419" s="216" t="s">
        <v>54</v>
      </c>
      <c r="C419" s="211">
        <v>2222747</v>
      </c>
      <c r="D419" s="211"/>
      <c r="E419" s="211"/>
      <c r="F419" s="211"/>
      <c r="G419" s="211"/>
      <c r="H419" s="211"/>
      <c r="I419" s="211"/>
      <c r="J419" s="211"/>
      <c r="K419" s="211">
        <v>0</v>
      </c>
      <c r="L419" s="212">
        <v>0</v>
      </c>
      <c r="M419" s="211">
        <v>0</v>
      </c>
      <c r="N419" s="211">
        <v>1115</v>
      </c>
      <c r="O419" s="211">
        <v>2222747</v>
      </c>
      <c r="P419" s="213">
        <v>0</v>
      </c>
      <c r="Q419" s="211">
        <v>0</v>
      </c>
      <c r="R419" s="213">
        <v>0</v>
      </c>
      <c r="S419" s="211">
        <v>0</v>
      </c>
      <c r="T419" s="212">
        <v>0</v>
      </c>
      <c r="U419" s="290">
        <v>0</v>
      </c>
      <c r="V419" s="282"/>
      <c r="W419" s="282"/>
      <c r="X419" s="282"/>
    </row>
    <row r="420" spans="1:53" ht="30">
      <c r="A420" s="198"/>
      <c r="B420" s="214" t="s">
        <v>112</v>
      </c>
      <c r="C420" s="211">
        <v>2222747</v>
      </c>
      <c r="D420" s="211"/>
      <c r="E420" s="211"/>
      <c r="F420" s="211"/>
      <c r="G420" s="211"/>
      <c r="H420" s="211"/>
      <c r="I420" s="211"/>
      <c r="J420" s="211"/>
      <c r="K420" s="211">
        <v>0</v>
      </c>
      <c r="L420" s="212">
        <v>0</v>
      </c>
      <c r="M420" s="211">
        <v>0</v>
      </c>
      <c r="N420" s="211">
        <v>1115</v>
      </c>
      <c r="O420" s="211">
        <v>2222747</v>
      </c>
      <c r="P420" s="213">
        <v>0</v>
      </c>
      <c r="Q420" s="211">
        <v>0</v>
      </c>
      <c r="R420" s="213">
        <v>0</v>
      </c>
      <c r="S420" s="211">
        <v>0</v>
      </c>
      <c r="T420" s="212">
        <v>0</v>
      </c>
      <c r="U420" s="290">
        <v>0</v>
      </c>
      <c r="V420" s="282"/>
      <c r="W420" s="282"/>
      <c r="X420" s="282"/>
    </row>
    <row r="421" spans="1:53">
      <c r="A421" s="198">
        <v>346</v>
      </c>
      <c r="B421" s="216" t="s">
        <v>422</v>
      </c>
      <c r="C421" s="211">
        <v>1003542</v>
      </c>
      <c r="D421" s="211"/>
      <c r="E421" s="211"/>
      <c r="F421" s="211"/>
      <c r="G421" s="211"/>
      <c r="H421" s="211"/>
      <c r="I421" s="211"/>
      <c r="J421" s="211"/>
      <c r="K421" s="211">
        <v>0</v>
      </c>
      <c r="L421" s="212">
        <v>0</v>
      </c>
      <c r="M421" s="211">
        <v>0</v>
      </c>
      <c r="N421" s="199">
        <v>510</v>
      </c>
      <c r="O421" s="211">
        <v>1003542</v>
      </c>
      <c r="P421" s="213">
        <v>0</v>
      </c>
      <c r="Q421" s="211">
        <v>0</v>
      </c>
      <c r="R421" s="213">
        <v>0</v>
      </c>
      <c r="S421" s="211">
        <v>0</v>
      </c>
      <c r="T421" s="212">
        <v>0</v>
      </c>
      <c r="U421" s="290">
        <v>0</v>
      </c>
      <c r="V421" s="282"/>
      <c r="W421" s="282"/>
      <c r="X421" s="282"/>
    </row>
    <row r="422" spans="1:53">
      <c r="A422" s="198">
        <v>347</v>
      </c>
      <c r="B422" s="216" t="s">
        <v>421</v>
      </c>
      <c r="C422" s="211">
        <v>740146</v>
      </c>
      <c r="D422" s="211"/>
      <c r="E422" s="211"/>
      <c r="F422" s="211"/>
      <c r="G422" s="211"/>
      <c r="H422" s="211"/>
      <c r="I422" s="211"/>
      <c r="J422" s="211"/>
      <c r="K422" s="211">
        <v>0</v>
      </c>
      <c r="L422" s="212">
        <v>0</v>
      </c>
      <c r="M422" s="211">
        <v>0</v>
      </c>
      <c r="N422" s="199">
        <v>373</v>
      </c>
      <c r="O422" s="211">
        <v>740146</v>
      </c>
      <c r="P422" s="213">
        <v>0</v>
      </c>
      <c r="Q422" s="211">
        <v>0</v>
      </c>
      <c r="R422" s="213">
        <v>0</v>
      </c>
      <c r="S422" s="211">
        <v>0</v>
      </c>
      <c r="T422" s="212">
        <v>0</v>
      </c>
      <c r="U422" s="290">
        <v>0</v>
      </c>
      <c r="V422" s="282"/>
      <c r="W422" s="282"/>
      <c r="X422" s="282"/>
    </row>
    <row r="423" spans="1:53">
      <c r="A423" s="198">
        <v>348</v>
      </c>
      <c r="B423" s="216" t="s">
        <v>423</v>
      </c>
      <c r="C423" s="211">
        <v>479059</v>
      </c>
      <c r="D423" s="211"/>
      <c r="E423" s="211"/>
      <c r="F423" s="211"/>
      <c r="G423" s="211"/>
      <c r="H423" s="211"/>
      <c r="I423" s="211"/>
      <c r="J423" s="211"/>
      <c r="K423" s="211">
        <v>0</v>
      </c>
      <c r="L423" s="212">
        <v>0</v>
      </c>
      <c r="M423" s="211">
        <v>0</v>
      </c>
      <c r="N423" s="211">
        <v>232</v>
      </c>
      <c r="O423" s="211">
        <v>479059</v>
      </c>
      <c r="P423" s="213">
        <v>0</v>
      </c>
      <c r="Q423" s="211">
        <v>0</v>
      </c>
      <c r="R423" s="213">
        <v>0</v>
      </c>
      <c r="S423" s="211">
        <v>0</v>
      </c>
      <c r="T423" s="212">
        <v>0</v>
      </c>
      <c r="U423" s="290">
        <v>0</v>
      </c>
      <c r="V423" s="282"/>
      <c r="W423" s="282"/>
      <c r="X423" s="282"/>
    </row>
    <row r="424" spans="1:53">
      <c r="A424" s="198"/>
      <c r="B424" s="216" t="s">
        <v>55</v>
      </c>
      <c r="C424" s="211">
        <f>C425</f>
        <v>2809430</v>
      </c>
      <c r="D424" s="211">
        <f t="shared" ref="D424:V424" si="53">D425</f>
        <v>0</v>
      </c>
      <c r="E424" s="211">
        <f t="shared" si="53"/>
        <v>0</v>
      </c>
      <c r="F424" s="211">
        <f t="shared" si="53"/>
        <v>0</v>
      </c>
      <c r="G424" s="211">
        <f t="shared" si="53"/>
        <v>0</v>
      </c>
      <c r="H424" s="211">
        <f t="shared" si="53"/>
        <v>0</v>
      </c>
      <c r="I424" s="211">
        <f t="shared" si="53"/>
        <v>0</v>
      </c>
      <c r="J424" s="211">
        <f t="shared" si="53"/>
        <v>408464</v>
      </c>
      <c r="K424" s="211">
        <f t="shared" si="53"/>
        <v>0</v>
      </c>
      <c r="L424" s="211">
        <f t="shared" si="53"/>
        <v>0</v>
      </c>
      <c r="M424" s="211">
        <f t="shared" si="53"/>
        <v>0</v>
      </c>
      <c r="N424" s="211">
        <f t="shared" si="53"/>
        <v>757</v>
      </c>
      <c r="O424" s="211">
        <f t="shared" si="53"/>
        <v>2400966</v>
      </c>
      <c r="P424" s="211">
        <f t="shared" si="53"/>
        <v>0</v>
      </c>
      <c r="Q424" s="211">
        <f t="shared" si="53"/>
        <v>0</v>
      </c>
      <c r="R424" s="211">
        <f t="shared" si="53"/>
        <v>0</v>
      </c>
      <c r="S424" s="211">
        <f t="shared" si="53"/>
        <v>0</v>
      </c>
      <c r="T424" s="211">
        <f t="shared" si="53"/>
        <v>0</v>
      </c>
      <c r="U424" s="211">
        <f t="shared" si="53"/>
        <v>0</v>
      </c>
      <c r="V424" s="211">
        <f t="shared" si="53"/>
        <v>0</v>
      </c>
      <c r="W424" s="282"/>
      <c r="X424" s="282"/>
    </row>
    <row r="425" spans="1:53" ht="30">
      <c r="A425" s="198"/>
      <c r="B425" s="214" t="s">
        <v>122</v>
      </c>
      <c r="C425" s="211">
        <f>C426+C427</f>
        <v>2809430</v>
      </c>
      <c r="D425" s="211">
        <f t="shared" ref="D425:V425" si="54">D426+D427</f>
        <v>0</v>
      </c>
      <c r="E425" s="211">
        <f t="shared" si="54"/>
        <v>0</v>
      </c>
      <c r="F425" s="211">
        <f t="shared" si="54"/>
        <v>0</v>
      </c>
      <c r="G425" s="211">
        <f t="shared" si="54"/>
        <v>0</v>
      </c>
      <c r="H425" s="211">
        <f t="shared" si="54"/>
        <v>0</v>
      </c>
      <c r="I425" s="211">
        <f t="shared" si="54"/>
        <v>0</v>
      </c>
      <c r="J425" s="211">
        <f t="shared" si="54"/>
        <v>408464</v>
      </c>
      <c r="K425" s="211">
        <f t="shared" si="54"/>
        <v>0</v>
      </c>
      <c r="L425" s="211">
        <f t="shared" si="54"/>
        <v>0</v>
      </c>
      <c r="M425" s="211">
        <f t="shared" si="54"/>
        <v>0</v>
      </c>
      <c r="N425" s="211">
        <f t="shared" si="54"/>
        <v>757</v>
      </c>
      <c r="O425" s="211">
        <f t="shared" si="54"/>
        <v>2400966</v>
      </c>
      <c r="P425" s="211">
        <f t="shared" si="54"/>
        <v>0</v>
      </c>
      <c r="Q425" s="211">
        <f t="shared" si="54"/>
        <v>0</v>
      </c>
      <c r="R425" s="211">
        <f t="shared" si="54"/>
        <v>0</v>
      </c>
      <c r="S425" s="211">
        <f t="shared" si="54"/>
        <v>0</v>
      </c>
      <c r="T425" s="211">
        <f t="shared" si="54"/>
        <v>0</v>
      </c>
      <c r="U425" s="211">
        <f t="shared" si="54"/>
        <v>0</v>
      </c>
      <c r="V425" s="211">
        <f t="shared" si="54"/>
        <v>0</v>
      </c>
      <c r="W425" s="282"/>
      <c r="X425" s="282"/>
    </row>
    <row r="426" spans="1:53" s="28" customFormat="1">
      <c r="A426" s="430">
        <v>349</v>
      </c>
      <c r="B426" s="438" t="s">
        <v>598</v>
      </c>
      <c r="C426" s="556">
        <v>1550741</v>
      </c>
      <c r="D426" s="556">
        <v>0</v>
      </c>
      <c r="E426" s="556">
        <v>0</v>
      </c>
      <c r="F426" s="556">
        <v>0</v>
      </c>
      <c r="G426" s="556">
        <v>0</v>
      </c>
      <c r="H426" s="556">
        <v>0</v>
      </c>
      <c r="I426" s="556">
        <v>0</v>
      </c>
      <c r="J426" s="556">
        <v>251869</v>
      </c>
      <c r="K426" s="432">
        <v>0</v>
      </c>
      <c r="L426" s="440">
        <v>0</v>
      </c>
      <c r="M426" s="439">
        <v>0</v>
      </c>
      <c r="N426" s="441">
        <v>410</v>
      </c>
      <c r="O426" s="432">
        <v>1298872</v>
      </c>
      <c r="P426" s="442">
        <v>0</v>
      </c>
      <c r="Q426" s="439">
        <v>0</v>
      </c>
      <c r="R426" s="439">
        <v>0</v>
      </c>
      <c r="S426" s="439">
        <v>0</v>
      </c>
      <c r="T426" s="440">
        <v>0</v>
      </c>
      <c r="U426" s="443">
        <v>0</v>
      </c>
      <c r="V426" s="282"/>
      <c r="W426" s="282">
        <f>O426/N426</f>
        <v>3167.9804878048781</v>
      </c>
      <c r="X426" s="282"/>
      <c r="AD426" s="28">
        <f>J426/'часть 1'!I431</f>
        <v>513.49439347604482</v>
      </c>
    </row>
    <row r="427" spans="1:53">
      <c r="A427" s="430">
        <v>350</v>
      </c>
      <c r="B427" s="438" t="s">
        <v>599</v>
      </c>
      <c r="C427" s="432">
        <v>1258689</v>
      </c>
      <c r="D427" s="432">
        <v>0</v>
      </c>
      <c r="E427" s="432">
        <v>0</v>
      </c>
      <c r="F427" s="432">
        <v>0</v>
      </c>
      <c r="G427" s="432">
        <v>0</v>
      </c>
      <c r="H427" s="432">
        <v>0</v>
      </c>
      <c r="I427" s="432">
        <v>0</v>
      </c>
      <c r="J427" s="432">
        <v>156595</v>
      </c>
      <c r="K427" s="432">
        <v>0</v>
      </c>
      <c r="L427" s="440">
        <v>0</v>
      </c>
      <c r="M427" s="439">
        <v>0</v>
      </c>
      <c r="N427" s="439">
        <v>347</v>
      </c>
      <c r="O427" s="439">
        <v>1102094</v>
      </c>
      <c r="P427" s="442">
        <v>0</v>
      </c>
      <c r="Q427" s="439">
        <v>0</v>
      </c>
      <c r="R427" s="442">
        <v>0</v>
      </c>
      <c r="S427" s="439">
        <v>0</v>
      </c>
      <c r="T427" s="440">
        <v>0</v>
      </c>
      <c r="U427" s="443">
        <v>0</v>
      </c>
      <c r="V427" s="282"/>
      <c r="W427" s="282">
        <f>O427/N427</f>
        <v>3176.0634005763691</v>
      </c>
      <c r="X427" s="282"/>
      <c r="AD427" s="1">
        <f>J427/'часть 1'!I432</f>
        <v>514.43823915900134</v>
      </c>
    </row>
    <row r="428" spans="1:53">
      <c r="A428" s="430"/>
      <c r="B428" s="438"/>
      <c r="C428" s="432"/>
      <c r="D428" s="432"/>
      <c r="E428" s="432"/>
      <c r="F428" s="432"/>
      <c r="G428" s="432"/>
      <c r="H428" s="432"/>
      <c r="I428" s="432"/>
      <c r="J428" s="432"/>
      <c r="K428" s="432"/>
      <c r="L428" s="440"/>
      <c r="M428" s="439"/>
      <c r="N428" s="441"/>
      <c r="O428" s="432"/>
      <c r="P428" s="442"/>
      <c r="Q428" s="439"/>
      <c r="R428" s="439"/>
      <c r="S428" s="439"/>
      <c r="T428" s="440"/>
      <c r="U428" s="443"/>
      <c r="V428" s="282"/>
      <c r="W428" s="282"/>
      <c r="X428" s="282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</row>
    <row r="429" spans="1:53">
      <c r="A429" s="198"/>
      <c r="B429" s="216" t="s">
        <v>56</v>
      </c>
      <c r="C429" s="211">
        <v>13352826.959999999</v>
      </c>
      <c r="D429" s="211"/>
      <c r="E429" s="211"/>
      <c r="F429" s="211"/>
      <c r="G429" s="211"/>
      <c r="H429" s="211"/>
      <c r="I429" s="211"/>
      <c r="J429" s="211"/>
      <c r="K429" s="211">
        <v>8292103.96</v>
      </c>
      <c r="L429" s="211">
        <v>0</v>
      </c>
      <c r="M429" s="211">
        <v>0</v>
      </c>
      <c r="N429" s="211">
        <v>2564.5</v>
      </c>
      <c r="O429" s="211">
        <v>5060723</v>
      </c>
      <c r="P429" s="213">
        <v>0</v>
      </c>
      <c r="Q429" s="211">
        <v>0</v>
      </c>
      <c r="R429" s="213">
        <v>0</v>
      </c>
      <c r="S429" s="211">
        <v>0</v>
      </c>
      <c r="T429" s="212">
        <v>0</v>
      </c>
      <c r="U429" s="290">
        <v>0</v>
      </c>
      <c r="V429" s="282"/>
      <c r="W429" s="282"/>
      <c r="X429" s="282"/>
    </row>
    <row r="430" spans="1:53" ht="30">
      <c r="A430" s="430"/>
      <c r="B430" s="438" t="s">
        <v>424</v>
      </c>
      <c r="C430" s="439">
        <f>C431+C432+C433+C434+C435</f>
        <v>6762929</v>
      </c>
      <c r="D430" s="439">
        <f t="shared" ref="D430:U430" si="55">D431+D432+D433+D434+D435</f>
        <v>3371412</v>
      </c>
      <c r="E430" s="439">
        <f t="shared" si="55"/>
        <v>857533</v>
      </c>
      <c r="F430" s="439">
        <f t="shared" si="55"/>
        <v>0</v>
      </c>
      <c r="G430" s="439">
        <f t="shared" si="55"/>
        <v>295597</v>
      </c>
      <c r="H430" s="439">
        <f t="shared" si="55"/>
        <v>0</v>
      </c>
      <c r="I430" s="439">
        <f t="shared" si="55"/>
        <v>1349920</v>
      </c>
      <c r="J430" s="439">
        <f t="shared" si="55"/>
        <v>868362</v>
      </c>
      <c r="K430" s="439">
        <f t="shared" si="55"/>
        <v>0</v>
      </c>
      <c r="L430" s="439">
        <f t="shared" si="55"/>
        <v>0</v>
      </c>
      <c r="M430" s="439">
        <f t="shared" si="55"/>
        <v>0</v>
      </c>
      <c r="N430" s="439">
        <f t="shared" si="55"/>
        <v>858.22</v>
      </c>
      <c r="O430" s="439">
        <f t="shared" si="55"/>
        <v>2715174</v>
      </c>
      <c r="P430" s="439">
        <f t="shared" si="55"/>
        <v>79.900000000000006</v>
      </c>
      <c r="Q430" s="439">
        <f t="shared" si="55"/>
        <v>80873</v>
      </c>
      <c r="R430" s="439">
        <f t="shared" si="55"/>
        <v>391.83</v>
      </c>
      <c r="S430" s="439">
        <f t="shared" si="55"/>
        <v>595470</v>
      </c>
      <c r="T430" s="439">
        <f t="shared" si="55"/>
        <v>0</v>
      </c>
      <c r="U430" s="439">
        <f t="shared" si="55"/>
        <v>0</v>
      </c>
      <c r="V430" s="282"/>
      <c r="W430" s="282"/>
      <c r="X430" s="282"/>
    </row>
    <row r="431" spans="1:53">
      <c r="A431" s="430">
        <v>352</v>
      </c>
      <c r="B431" s="747" t="s">
        <v>703</v>
      </c>
      <c r="C431" s="439">
        <f>'часть 1'!L436</f>
        <v>749745</v>
      </c>
      <c r="D431" s="439">
        <f>E431+F431+G431+H431+I431+J431+K431</f>
        <v>73402</v>
      </c>
      <c r="E431" s="439">
        <v>0</v>
      </c>
      <c r="F431" s="439">
        <v>0</v>
      </c>
      <c r="G431" s="439">
        <v>73402</v>
      </c>
      <c r="H431" s="439">
        <v>0</v>
      </c>
      <c r="I431" s="439">
        <v>0</v>
      </c>
      <c r="J431" s="439">
        <v>0</v>
      </c>
      <c r="K431" s="439">
        <v>0</v>
      </c>
      <c r="L431" s="439">
        <v>0</v>
      </c>
      <c r="M431" s="439">
        <v>0</v>
      </c>
      <c r="N431" s="439">
        <v>0</v>
      </c>
      <c r="O431" s="439">
        <v>0</v>
      </c>
      <c r="P431" s="748">
        <v>79.900000000000006</v>
      </c>
      <c r="Q431" s="439">
        <v>80873</v>
      </c>
      <c r="R431" s="442">
        <v>391.83</v>
      </c>
      <c r="S431" s="439">
        <v>595470</v>
      </c>
      <c r="T431" s="440">
        <v>0</v>
      </c>
      <c r="U431" s="443">
        <v>0</v>
      </c>
      <c r="V431" s="282"/>
      <c r="W431" s="282"/>
      <c r="X431" s="282">
        <f>S431/R431</f>
        <v>1519.7151826047011</v>
      </c>
      <c r="Z431" s="1">
        <f>G431/'часть 1'!I436</f>
        <v>262.71295633500358</v>
      </c>
      <c r="AE431" s="1">
        <f>Q431/P431</f>
        <v>1012.1777221526908</v>
      </c>
    </row>
    <row r="432" spans="1:53">
      <c r="A432" s="430">
        <v>353</v>
      </c>
      <c r="B432" s="749" t="s">
        <v>704</v>
      </c>
      <c r="C432" s="439">
        <f>'часть 1'!L437</f>
        <v>2218282</v>
      </c>
      <c r="D432" s="439">
        <f t="shared" ref="D432:D435" si="56">E432+F432+G432+H432+I432+J432+K432</f>
        <v>2218282</v>
      </c>
      <c r="E432" s="439">
        <v>0</v>
      </c>
      <c r="F432" s="439">
        <v>0</v>
      </c>
      <c r="G432" s="439">
        <v>0</v>
      </c>
      <c r="H432" s="439">
        <v>0</v>
      </c>
      <c r="I432" s="439">
        <v>1349920</v>
      </c>
      <c r="J432" s="439">
        <v>868362</v>
      </c>
      <c r="K432" s="439">
        <v>0</v>
      </c>
      <c r="L432" s="439">
        <v>0</v>
      </c>
      <c r="M432" s="439">
        <v>0</v>
      </c>
      <c r="N432" s="439">
        <v>0</v>
      </c>
      <c r="O432" s="439">
        <v>0</v>
      </c>
      <c r="P432" s="748">
        <v>0</v>
      </c>
      <c r="Q432" s="439">
        <v>0</v>
      </c>
      <c r="R432" s="442">
        <v>0</v>
      </c>
      <c r="S432" s="439">
        <v>0</v>
      </c>
      <c r="T432" s="440">
        <v>0</v>
      </c>
      <c r="U432" s="443">
        <v>0</v>
      </c>
      <c r="V432" s="282"/>
      <c r="W432" s="282"/>
      <c r="X432" s="282"/>
      <c r="AC432" s="1">
        <f>I432/'часть 1'!I437</f>
        <v>867.55784061696659</v>
      </c>
      <c r="AD432" s="1">
        <f>J432/'часть 1'!I437</f>
        <v>558.07326478149105</v>
      </c>
    </row>
    <row r="433" spans="1:31" ht="30">
      <c r="A433" s="430">
        <v>354</v>
      </c>
      <c r="B433" s="747" t="s">
        <v>705</v>
      </c>
      <c r="C433" s="439">
        <f>'часть 1'!L438</f>
        <v>1808957</v>
      </c>
      <c r="D433" s="439">
        <f t="shared" si="56"/>
        <v>313119</v>
      </c>
      <c r="E433" s="439">
        <v>313119</v>
      </c>
      <c r="F433" s="439">
        <v>0</v>
      </c>
      <c r="G433" s="439">
        <v>0</v>
      </c>
      <c r="H433" s="439">
        <v>0</v>
      </c>
      <c r="I433" s="439">
        <v>0</v>
      </c>
      <c r="J433" s="439">
        <v>0</v>
      </c>
      <c r="K433" s="439">
        <v>0</v>
      </c>
      <c r="L433" s="439">
        <v>0</v>
      </c>
      <c r="M433" s="439">
        <v>0</v>
      </c>
      <c r="N433" s="439">
        <v>473.62</v>
      </c>
      <c r="O433" s="439">
        <v>1495838</v>
      </c>
      <c r="P433" s="748">
        <v>0</v>
      </c>
      <c r="Q433" s="439">
        <v>0</v>
      </c>
      <c r="R433" s="442">
        <v>0</v>
      </c>
      <c r="S433" s="439">
        <v>0</v>
      </c>
      <c r="T433" s="440">
        <v>0</v>
      </c>
      <c r="U433" s="443">
        <v>0</v>
      </c>
      <c r="V433" s="282"/>
      <c r="W433" s="282">
        <f>O433/N433</f>
        <v>3158.3083484650142</v>
      </c>
      <c r="X433" s="282"/>
      <c r="Y433" s="1">
        <f>E433/'часть 1'!I438</f>
        <v>682.32512529962958</v>
      </c>
    </row>
    <row r="434" spans="1:31">
      <c r="A434" s="430">
        <v>355</v>
      </c>
      <c r="B434" s="747" t="s">
        <v>706</v>
      </c>
      <c r="C434" s="439">
        <f>'часть 1'!L439</f>
        <v>275807</v>
      </c>
      <c r="D434" s="439">
        <f t="shared" si="56"/>
        <v>275807</v>
      </c>
      <c r="E434" s="439">
        <v>275807</v>
      </c>
      <c r="F434" s="439">
        <v>0</v>
      </c>
      <c r="G434" s="439">
        <v>0</v>
      </c>
      <c r="H434" s="439">
        <v>0</v>
      </c>
      <c r="I434" s="439">
        <v>0</v>
      </c>
      <c r="J434" s="439">
        <v>0</v>
      </c>
      <c r="K434" s="439">
        <v>0</v>
      </c>
      <c r="L434" s="439">
        <v>0</v>
      </c>
      <c r="M434" s="439">
        <v>0</v>
      </c>
      <c r="N434" s="439">
        <v>0</v>
      </c>
      <c r="O434" s="439">
        <v>0</v>
      </c>
      <c r="P434" s="748">
        <v>0</v>
      </c>
      <c r="Q434" s="439">
        <v>0</v>
      </c>
      <c r="R434" s="442">
        <v>0</v>
      </c>
      <c r="S434" s="439">
        <v>0</v>
      </c>
      <c r="T434" s="440">
        <v>0</v>
      </c>
      <c r="U434" s="443">
        <v>0</v>
      </c>
      <c r="V434" s="282"/>
      <c r="W434" s="282"/>
      <c r="X434" s="282"/>
      <c r="Y434" s="1">
        <f>E434/'часть 1'!I439</f>
        <v>684.21483502852891</v>
      </c>
    </row>
    <row r="435" spans="1:31">
      <c r="A435" s="430">
        <v>357</v>
      </c>
      <c r="B435" s="750" t="s">
        <v>707</v>
      </c>
      <c r="C435" s="439">
        <f>'часть 1'!L440</f>
        <v>1710138</v>
      </c>
      <c r="D435" s="439">
        <f t="shared" si="56"/>
        <v>490802</v>
      </c>
      <c r="E435" s="439">
        <v>268607</v>
      </c>
      <c r="F435" s="439">
        <v>0</v>
      </c>
      <c r="G435" s="439">
        <v>222195</v>
      </c>
      <c r="H435" s="439">
        <v>0</v>
      </c>
      <c r="I435" s="439">
        <v>0</v>
      </c>
      <c r="J435" s="439">
        <v>0</v>
      </c>
      <c r="K435" s="439">
        <v>0</v>
      </c>
      <c r="L435" s="439">
        <v>0</v>
      </c>
      <c r="M435" s="439">
        <v>0</v>
      </c>
      <c r="N435" s="439">
        <v>384.6</v>
      </c>
      <c r="O435" s="439">
        <v>1219336</v>
      </c>
      <c r="P435" s="748">
        <v>0</v>
      </c>
      <c r="Q435" s="439">
        <v>0</v>
      </c>
      <c r="R435" s="442">
        <v>0</v>
      </c>
      <c r="S435" s="439">
        <v>0</v>
      </c>
      <c r="T435" s="440">
        <v>0</v>
      </c>
      <c r="U435" s="443">
        <v>0</v>
      </c>
      <c r="V435" s="282"/>
      <c r="W435" s="282">
        <f>O435/N435</f>
        <v>3170.4004160166405</v>
      </c>
      <c r="X435" s="282"/>
      <c r="Y435" s="1">
        <f>E435/'часть 1'!I440</f>
        <v>688.03022540983613</v>
      </c>
      <c r="Z435" s="1">
        <f>G435/'часть 1'!I440</f>
        <v>569.14702868852464</v>
      </c>
    </row>
    <row r="436" spans="1:31" ht="30">
      <c r="A436" s="198"/>
      <c r="B436" s="214" t="s">
        <v>121</v>
      </c>
      <c r="C436" s="211">
        <f>C437</f>
        <v>2515554</v>
      </c>
      <c r="D436" s="211">
        <f t="shared" ref="D436:V436" si="57">D437</f>
        <v>0</v>
      </c>
      <c r="E436" s="211">
        <f t="shared" si="57"/>
        <v>0</v>
      </c>
      <c r="F436" s="211">
        <f t="shared" si="57"/>
        <v>0</v>
      </c>
      <c r="G436" s="211">
        <f t="shared" si="57"/>
        <v>0</v>
      </c>
      <c r="H436" s="211">
        <f t="shared" si="57"/>
        <v>0</v>
      </c>
      <c r="I436" s="211">
        <f t="shared" si="57"/>
        <v>0</v>
      </c>
      <c r="J436" s="211">
        <f t="shared" si="57"/>
        <v>0</v>
      </c>
      <c r="K436" s="211">
        <f t="shared" si="57"/>
        <v>0</v>
      </c>
      <c r="L436" s="211">
        <f t="shared" si="57"/>
        <v>0</v>
      </c>
      <c r="M436" s="211">
        <f t="shared" si="57"/>
        <v>0</v>
      </c>
      <c r="N436" s="211">
        <f t="shared" si="57"/>
        <v>0</v>
      </c>
      <c r="O436" s="211">
        <f t="shared" si="57"/>
        <v>2515554</v>
      </c>
      <c r="P436" s="211">
        <f t="shared" si="57"/>
        <v>0</v>
      </c>
      <c r="Q436" s="211">
        <f t="shared" si="57"/>
        <v>0</v>
      </c>
      <c r="R436" s="211">
        <f t="shared" si="57"/>
        <v>0</v>
      </c>
      <c r="S436" s="211">
        <f t="shared" si="57"/>
        <v>0</v>
      </c>
      <c r="T436" s="211">
        <f t="shared" si="57"/>
        <v>0</v>
      </c>
      <c r="U436" s="211">
        <f t="shared" si="57"/>
        <v>0</v>
      </c>
      <c r="V436" s="211">
        <f t="shared" si="57"/>
        <v>0</v>
      </c>
      <c r="W436" s="282"/>
      <c r="X436" s="282"/>
    </row>
    <row r="437" spans="1:31" ht="21.6" customHeight="1">
      <c r="A437" s="198">
        <v>362</v>
      </c>
      <c r="B437" s="214" t="s">
        <v>989</v>
      </c>
      <c r="C437" s="211">
        <f>'часть 1'!L442</f>
        <v>2515554</v>
      </c>
      <c r="D437" s="211">
        <v>0</v>
      </c>
      <c r="E437" s="211">
        <v>0</v>
      </c>
      <c r="F437" s="211">
        <v>0</v>
      </c>
      <c r="G437" s="211">
        <v>0</v>
      </c>
      <c r="H437" s="211">
        <v>0</v>
      </c>
      <c r="I437" s="211">
        <v>0</v>
      </c>
      <c r="J437" s="211">
        <v>0</v>
      </c>
      <c r="K437" s="211">
        <v>0</v>
      </c>
      <c r="L437" s="212">
        <v>0</v>
      </c>
      <c r="M437" s="211">
        <v>0</v>
      </c>
      <c r="N437" s="939"/>
      <c r="O437" s="211">
        <v>2515554</v>
      </c>
      <c r="P437" s="213">
        <v>0</v>
      </c>
      <c r="Q437" s="211">
        <v>0</v>
      </c>
      <c r="R437" s="213">
        <v>0</v>
      </c>
      <c r="S437" s="211">
        <v>0</v>
      </c>
      <c r="T437" s="212">
        <v>0</v>
      </c>
      <c r="U437" s="290">
        <v>0</v>
      </c>
      <c r="V437" s="282"/>
      <c r="W437" s="282" t="e">
        <f>O437/N437</f>
        <v>#DIV/0!</v>
      </c>
      <c r="X437" s="282"/>
    </row>
    <row r="438" spans="1:31" s="18" customFormat="1" ht="30">
      <c r="A438" s="198"/>
      <c r="B438" s="214" t="s">
        <v>807</v>
      </c>
      <c r="C438" s="211">
        <f>C439</f>
        <v>1510788</v>
      </c>
      <c r="D438" s="211">
        <f t="shared" ref="D438:V438" si="58">D439</f>
        <v>0</v>
      </c>
      <c r="E438" s="211">
        <f t="shared" si="58"/>
        <v>0</v>
      </c>
      <c r="F438" s="211">
        <f t="shared" si="58"/>
        <v>0</v>
      </c>
      <c r="G438" s="211">
        <f t="shared" si="58"/>
        <v>0</v>
      </c>
      <c r="H438" s="211">
        <f t="shared" si="58"/>
        <v>0</v>
      </c>
      <c r="I438" s="211">
        <f t="shared" si="58"/>
        <v>0</v>
      </c>
      <c r="J438" s="211">
        <f t="shared" si="58"/>
        <v>0</v>
      </c>
      <c r="K438" s="211">
        <f t="shared" si="58"/>
        <v>0</v>
      </c>
      <c r="L438" s="211">
        <f t="shared" si="58"/>
        <v>0</v>
      </c>
      <c r="M438" s="211">
        <f t="shared" si="58"/>
        <v>0</v>
      </c>
      <c r="N438" s="211">
        <f t="shared" si="58"/>
        <v>612</v>
      </c>
      <c r="O438" s="211">
        <f t="shared" si="58"/>
        <v>1510788</v>
      </c>
      <c r="P438" s="211">
        <f t="shared" si="58"/>
        <v>0</v>
      </c>
      <c r="Q438" s="211">
        <f t="shared" si="58"/>
        <v>0</v>
      </c>
      <c r="R438" s="211">
        <f t="shared" si="58"/>
        <v>0</v>
      </c>
      <c r="S438" s="211">
        <f t="shared" si="58"/>
        <v>0</v>
      </c>
      <c r="T438" s="211">
        <f t="shared" si="58"/>
        <v>0</v>
      </c>
      <c r="U438" s="211">
        <f t="shared" si="58"/>
        <v>0</v>
      </c>
      <c r="V438" s="211">
        <f t="shared" si="58"/>
        <v>0</v>
      </c>
      <c r="W438" s="282"/>
      <c r="X438" s="282"/>
    </row>
    <row r="439" spans="1:31">
      <c r="A439" s="198">
        <v>363</v>
      </c>
      <c r="B439" s="216" t="s">
        <v>810</v>
      </c>
      <c r="C439" s="211">
        <f>'часть 1'!L444</f>
        <v>1510788</v>
      </c>
      <c r="D439" s="211">
        <v>0</v>
      </c>
      <c r="E439" s="211">
        <v>0</v>
      </c>
      <c r="F439" s="211">
        <v>0</v>
      </c>
      <c r="G439" s="211">
        <v>0</v>
      </c>
      <c r="H439" s="211">
        <v>0</v>
      </c>
      <c r="I439" s="211">
        <v>0</v>
      </c>
      <c r="J439" s="211">
        <v>0</v>
      </c>
      <c r="K439" s="211">
        <v>0</v>
      </c>
      <c r="L439" s="212">
        <v>0</v>
      </c>
      <c r="M439" s="211">
        <v>0</v>
      </c>
      <c r="N439" s="211">
        <v>612</v>
      </c>
      <c r="O439" s="211">
        <v>1510788</v>
      </c>
      <c r="P439" s="213">
        <v>0</v>
      </c>
      <c r="Q439" s="211">
        <v>0</v>
      </c>
      <c r="R439" s="213">
        <v>0</v>
      </c>
      <c r="S439" s="211">
        <v>0</v>
      </c>
      <c r="T439" s="212">
        <v>0</v>
      </c>
      <c r="U439" s="290">
        <v>0</v>
      </c>
      <c r="V439" s="282"/>
      <c r="W439" s="282">
        <f>O439/N439</f>
        <v>2468.6078431372548</v>
      </c>
      <c r="X439" s="282"/>
    </row>
    <row r="440" spans="1:31">
      <c r="A440" s="198"/>
      <c r="B440" s="216" t="s">
        <v>57</v>
      </c>
      <c r="C440" s="211">
        <v>2349784.02</v>
      </c>
      <c r="D440" s="211"/>
      <c r="E440" s="211"/>
      <c r="F440" s="211"/>
      <c r="G440" s="211"/>
      <c r="H440" s="211"/>
      <c r="I440" s="211"/>
      <c r="J440" s="211"/>
      <c r="K440" s="211">
        <v>0</v>
      </c>
      <c r="L440" s="212">
        <v>0</v>
      </c>
      <c r="M440" s="211">
        <v>0</v>
      </c>
      <c r="N440" s="211">
        <v>709</v>
      </c>
      <c r="O440" s="211">
        <v>2349784.02</v>
      </c>
      <c r="P440" s="213">
        <v>0</v>
      </c>
      <c r="Q440" s="211">
        <v>0</v>
      </c>
      <c r="R440" s="213">
        <v>0</v>
      </c>
      <c r="S440" s="211">
        <v>0</v>
      </c>
      <c r="T440" s="212">
        <v>0</v>
      </c>
      <c r="U440" s="290">
        <v>0</v>
      </c>
      <c r="V440" s="282"/>
      <c r="W440" s="282"/>
      <c r="X440" s="282"/>
    </row>
    <row r="441" spans="1:31" ht="30">
      <c r="A441" s="198"/>
      <c r="B441" s="214" t="s">
        <v>119</v>
      </c>
      <c r="C441" s="211">
        <f>C442+C443</f>
        <v>2579247</v>
      </c>
      <c r="D441" s="211">
        <f t="shared" ref="D441:U441" si="59">D442+D443</f>
        <v>1194767</v>
      </c>
      <c r="E441" s="211">
        <f t="shared" si="59"/>
        <v>1194767</v>
      </c>
      <c r="F441" s="211">
        <f t="shared" si="59"/>
        <v>0</v>
      </c>
      <c r="G441" s="211">
        <f t="shared" si="59"/>
        <v>0</v>
      </c>
      <c r="H441" s="211">
        <f t="shared" si="59"/>
        <v>0</v>
      </c>
      <c r="I441" s="211">
        <f t="shared" si="59"/>
        <v>0</v>
      </c>
      <c r="J441" s="211">
        <f t="shared" si="59"/>
        <v>0</v>
      </c>
      <c r="K441" s="211">
        <f t="shared" si="59"/>
        <v>0</v>
      </c>
      <c r="L441" s="211">
        <f t="shared" si="59"/>
        <v>0</v>
      </c>
      <c r="M441" s="211">
        <f t="shared" si="59"/>
        <v>0</v>
      </c>
      <c r="N441" s="211">
        <f t="shared" si="59"/>
        <v>0</v>
      </c>
      <c r="O441" s="211">
        <f t="shared" si="59"/>
        <v>0</v>
      </c>
      <c r="P441" s="211">
        <f t="shared" si="59"/>
        <v>1400</v>
      </c>
      <c r="Q441" s="211">
        <f t="shared" si="59"/>
        <v>1384480</v>
      </c>
      <c r="R441" s="211">
        <f t="shared" si="59"/>
        <v>0</v>
      </c>
      <c r="S441" s="211">
        <f t="shared" si="59"/>
        <v>0</v>
      </c>
      <c r="T441" s="211">
        <f t="shared" si="59"/>
        <v>0</v>
      </c>
      <c r="U441" s="211">
        <f t="shared" si="59"/>
        <v>0</v>
      </c>
      <c r="V441" s="282"/>
      <c r="W441" s="282"/>
      <c r="X441" s="282"/>
    </row>
    <row r="442" spans="1:31">
      <c r="A442" s="198">
        <v>364</v>
      </c>
      <c r="B442" s="214" t="s">
        <v>980</v>
      </c>
      <c r="C442" s="211">
        <f>'часть 1'!L447</f>
        <v>1384480</v>
      </c>
      <c r="D442" s="211">
        <f>E442+F442+G442+H442+I442+J442+K442</f>
        <v>0</v>
      </c>
      <c r="E442" s="211">
        <v>0</v>
      </c>
      <c r="F442" s="211">
        <v>0</v>
      </c>
      <c r="G442" s="211">
        <v>0</v>
      </c>
      <c r="H442" s="211">
        <v>0</v>
      </c>
      <c r="I442" s="211">
        <v>0</v>
      </c>
      <c r="J442" s="211">
        <v>0</v>
      </c>
      <c r="K442" s="211">
        <v>0</v>
      </c>
      <c r="L442" s="212">
        <v>0</v>
      </c>
      <c r="M442" s="211">
        <v>0</v>
      </c>
      <c r="N442" s="211">
        <v>0</v>
      </c>
      <c r="O442" s="211">
        <v>0</v>
      </c>
      <c r="P442" s="213">
        <v>1400</v>
      </c>
      <c r="Q442" s="211">
        <v>1384480</v>
      </c>
      <c r="R442" s="213">
        <v>0</v>
      </c>
      <c r="S442" s="211">
        <v>0</v>
      </c>
      <c r="T442" s="212">
        <v>0</v>
      </c>
      <c r="U442" s="290">
        <v>0</v>
      </c>
      <c r="V442" s="282"/>
      <c r="W442" s="282"/>
      <c r="X442" s="282"/>
      <c r="AE442" s="1">
        <f>Q442/P442</f>
        <v>988.91428571428571</v>
      </c>
    </row>
    <row r="443" spans="1:31">
      <c r="A443" s="198">
        <v>365</v>
      </c>
      <c r="B443" s="214" t="s">
        <v>981</v>
      </c>
      <c r="C443" s="211">
        <f>'часть 1'!L448</f>
        <v>1194767</v>
      </c>
      <c r="D443" s="211">
        <f>E443+F443+G443+H443+I443+J443+K443</f>
        <v>1194767</v>
      </c>
      <c r="E443" s="211">
        <v>1194767</v>
      </c>
      <c r="F443" s="211">
        <v>0</v>
      </c>
      <c r="G443" s="211">
        <v>0</v>
      </c>
      <c r="H443" s="211">
        <v>0</v>
      </c>
      <c r="I443" s="211">
        <v>0</v>
      </c>
      <c r="J443" s="211">
        <v>0</v>
      </c>
      <c r="K443" s="211">
        <v>0</v>
      </c>
      <c r="L443" s="212">
        <v>0</v>
      </c>
      <c r="M443" s="211">
        <v>0</v>
      </c>
      <c r="N443" s="211">
        <v>0</v>
      </c>
      <c r="O443" s="211">
        <v>0</v>
      </c>
      <c r="P443" s="213">
        <v>0</v>
      </c>
      <c r="Q443" s="211">
        <v>0</v>
      </c>
      <c r="R443" s="213">
        <v>0</v>
      </c>
      <c r="S443" s="211">
        <v>0</v>
      </c>
      <c r="T443" s="212">
        <v>0</v>
      </c>
      <c r="U443" s="290">
        <v>0</v>
      </c>
      <c r="V443" s="282"/>
      <c r="W443" s="282"/>
      <c r="X443" s="282"/>
      <c r="Y443" s="1">
        <f>E443/'часть 1'!I448</f>
        <v>745.75057736720555</v>
      </c>
    </row>
    <row r="444" spans="1:31">
      <c r="A444" s="198"/>
      <c r="B444" s="216" t="s">
        <v>58</v>
      </c>
      <c r="C444" s="211">
        <v>12228909</v>
      </c>
      <c r="D444" s="211"/>
      <c r="E444" s="211"/>
      <c r="F444" s="211"/>
      <c r="G444" s="211"/>
      <c r="H444" s="211"/>
      <c r="I444" s="211"/>
      <c r="J444" s="211"/>
      <c r="K444" s="211">
        <v>215709</v>
      </c>
      <c r="L444" s="212">
        <v>0</v>
      </c>
      <c r="M444" s="211">
        <v>0</v>
      </c>
      <c r="N444" s="211">
        <v>6001.34</v>
      </c>
      <c r="O444" s="211">
        <v>12013200</v>
      </c>
      <c r="P444" s="213">
        <v>0</v>
      </c>
      <c r="Q444" s="211">
        <v>0</v>
      </c>
      <c r="R444" s="213">
        <v>0</v>
      </c>
      <c r="S444" s="211">
        <v>0</v>
      </c>
      <c r="T444" s="212">
        <v>0</v>
      </c>
      <c r="U444" s="290">
        <v>0</v>
      </c>
      <c r="V444" s="282"/>
      <c r="W444" s="282"/>
      <c r="X444" s="282"/>
    </row>
    <row r="445" spans="1:31" ht="30">
      <c r="A445" s="198"/>
      <c r="B445" s="214" t="s">
        <v>87</v>
      </c>
      <c r="C445" s="211">
        <v>12228909</v>
      </c>
      <c r="D445" s="211"/>
      <c r="E445" s="211"/>
      <c r="F445" s="211"/>
      <c r="G445" s="211"/>
      <c r="H445" s="211"/>
      <c r="I445" s="211"/>
      <c r="J445" s="211"/>
      <c r="K445" s="211">
        <v>215709</v>
      </c>
      <c r="L445" s="212">
        <v>0</v>
      </c>
      <c r="M445" s="211">
        <v>0</v>
      </c>
      <c r="N445" s="211">
        <v>6001.34</v>
      </c>
      <c r="O445" s="211">
        <v>12013200</v>
      </c>
      <c r="P445" s="213">
        <v>0</v>
      </c>
      <c r="Q445" s="211">
        <v>0</v>
      </c>
      <c r="R445" s="213">
        <v>0</v>
      </c>
      <c r="S445" s="211">
        <v>0</v>
      </c>
      <c r="T445" s="212">
        <v>0</v>
      </c>
      <c r="U445" s="290">
        <v>0</v>
      </c>
      <c r="V445" s="282"/>
      <c r="W445" s="282"/>
      <c r="X445" s="282"/>
    </row>
    <row r="446" spans="1:31" s="29" customFormat="1">
      <c r="A446" s="198">
        <v>366</v>
      </c>
      <c r="B446" s="238" t="s">
        <v>84</v>
      </c>
      <c r="C446" s="232">
        <v>1668544</v>
      </c>
      <c r="D446" s="232"/>
      <c r="E446" s="232"/>
      <c r="F446" s="232"/>
      <c r="G446" s="232"/>
      <c r="H446" s="232"/>
      <c r="I446" s="232"/>
      <c r="J446" s="232"/>
      <c r="K446" s="196">
        <v>0</v>
      </c>
      <c r="L446" s="204">
        <v>0</v>
      </c>
      <c r="M446" s="209">
        <v>0</v>
      </c>
      <c r="N446" s="199">
        <v>840</v>
      </c>
      <c r="O446" s="237">
        <v>1668544</v>
      </c>
      <c r="P446" s="200">
        <v>0</v>
      </c>
      <c r="Q446" s="199">
        <v>0</v>
      </c>
      <c r="R446" s="200">
        <v>0</v>
      </c>
      <c r="S446" s="199">
        <v>0</v>
      </c>
      <c r="T446" s="208">
        <v>0</v>
      </c>
      <c r="U446" s="294">
        <v>0</v>
      </c>
      <c r="V446" s="282"/>
      <c r="W446" s="282"/>
      <c r="X446" s="282"/>
    </row>
    <row r="447" spans="1:31" s="29" customFormat="1">
      <c r="A447" s="198">
        <v>367</v>
      </c>
      <c r="B447" s="238" t="s">
        <v>425</v>
      </c>
      <c r="C447" s="211">
        <v>2239107</v>
      </c>
      <c r="D447" s="211"/>
      <c r="E447" s="211"/>
      <c r="F447" s="211"/>
      <c r="G447" s="211"/>
      <c r="H447" s="211"/>
      <c r="I447" s="211"/>
      <c r="J447" s="211"/>
      <c r="K447" s="196">
        <v>0</v>
      </c>
      <c r="L447" s="204">
        <v>0</v>
      </c>
      <c r="M447" s="209">
        <v>0</v>
      </c>
      <c r="N447" s="199">
        <v>1101</v>
      </c>
      <c r="O447" s="237">
        <v>2239107</v>
      </c>
      <c r="P447" s="200">
        <v>0</v>
      </c>
      <c r="Q447" s="199">
        <v>0</v>
      </c>
      <c r="R447" s="200">
        <v>0</v>
      </c>
      <c r="S447" s="199">
        <v>0</v>
      </c>
      <c r="T447" s="208">
        <v>0</v>
      </c>
      <c r="U447" s="294">
        <v>0</v>
      </c>
      <c r="V447" s="282"/>
      <c r="W447" s="282"/>
      <c r="X447" s="282"/>
    </row>
    <row r="448" spans="1:31" s="29" customFormat="1">
      <c r="A448" s="198">
        <v>368</v>
      </c>
      <c r="B448" s="238" t="s">
        <v>433</v>
      </c>
      <c r="C448" s="232">
        <v>215709</v>
      </c>
      <c r="D448" s="232"/>
      <c r="E448" s="232"/>
      <c r="F448" s="232"/>
      <c r="G448" s="232"/>
      <c r="H448" s="232"/>
      <c r="I448" s="232"/>
      <c r="J448" s="232"/>
      <c r="K448" s="196">
        <v>215709</v>
      </c>
      <c r="L448" s="204">
        <v>0</v>
      </c>
      <c r="M448" s="209">
        <v>0</v>
      </c>
      <c r="N448" s="199">
        <v>0</v>
      </c>
      <c r="O448" s="237">
        <v>0</v>
      </c>
      <c r="P448" s="200">
        <v>0</v>
      </c>
      <c r="Q448" s="199">
        <v>0</v>
      </c>
      <c r="R448" s="200">
        <v>0</v>
      </c>
      <c r="S448" s="199">
        <v>0</v>
      </c>
      <c r="T448" s="208">
        <v>0</v>
      </c>
      <c r="U448" s="294">
        <v>0</v>
      </c>
      <c r="V448" s="282"/>
      <c r="W448" s="282"/>
      <c r="X448" s="282"/>
    </row>
    <row r="449" spans="1:33" s="29" customFormat="1">
      <c r="A449" s="198">
        <v>369</v>
      </c>
      <c r="B449" s="238" t="s">
        <v>79</v>
      </c>
      <c r="C449" s="211">
        <v>706234</v>
      </c>
      <c r="D449" s="211"/>
      <c r="E449" s="211"/>
      <c r="F449" s="211"/>
      <c r="G449" s="211"/>
      <c r="H449" s="211"/>
      <c r="I449" s="211"/>
      <c r="J449" s="211"/>
      <c r="K449" s="196">
        <v>0</v>
      </c>
      <c r="L449" s="204">
        <v>0</v>
      </c>
      <c r="M449" s="209">
        <v>0</v>
      </c>
      <c r="N449" s="199">
        <v>348</v>
      </c>
      <c r="O449" s="237">
        <v>706234</v>
      </c>
      <c r="P449" s="200">
        <v>0</v>
      </c>
      <c r="Q449" s="199">
        <v>0</v>
      </c>
      <c r="R449" s="200">
        <v>0</v>
      </c>
      <c r="S449" s="199">
        <v>0</v>
      </c>
      <c r="T449" s="208">
        <v>0</v>
      </c>
      <c r="U449" s="294">
        <v>0</v>
      </c>
      <c r="V449" s="282"/>
      <c r="W449" s="282"/>
      <c r="X449" s="282"/>
    </row>
    <row r="450" spans="1:33" s="29" customFormat="1">
      <c r="A450" s="198">
        <v>370</v>
      </c>
      <c r="B450" s="238" t="s">
        <v>78</v>
      </c>
      <c r="C450" s="211">
        <v>651603</v>
      </c>
      <c r="D450" s="211"/>
      <c r="E450" s="211"/>
      <c r="F450" s="211"/>
      <c r="G450" s="211"/>
      <c r="H450" s="211"/>
      <c r="I450" s="211"/>
      <c r="J450" s="211"/>
      <c r="K450" s="196">
        <v>0</v>
      </c>
      <c r="L450" s="204">
        <v>0</v>
      </c>
      <c r="M450" s="209">
        <v>0</v>
      </c>
      <c r="N450" s="199">
        <v>320</v>
      </c>
      <c r="O450" s="237">
        <v>651603</v>
      </c>
      <c r="P450" s="200">
        <v>0</v>
      </c>
      <c r="Q450" s="199">
        <v>0</v>
      </c>
      <c r="R450" s="200">
        <v>0</v>
      </c>
      <c r="S450" s="199">
        <v>0</v>
      </c>
      <c r="T450" s="208">
        <v>0</v>
      </c>
      <c r="U450" s="294">
        <v>0</v>
      </c>
      <c r="V450" s="282"/>
      <c r="W450" s="282"/>
      <c r="X450" s="282"/>
    </row>
    <row r="451" spans="1:33" s="29" customFormat="1">
      <c r="A451" s="198">
        <v>371</v>
      </c>
      <c r="B451" s="238" t="s">
        <v>426</v>
      </c>
      <c r="C451" s="232">
        <v>698701</v>
      </c>
      <c r="D451" s="232"/>
      <c r="E451" s="232"/>
      <c r="F451" s="232"/>
      <c r="G451" s="232"/>
      <c r="H451" s="232"/>
      <c r="I451" s="232"/>
      <c r="J451" s="232"/>
      <c r="K451" s="196">
        <v>0</v>
      </c>
      <c r="L451" s="204">
        <v>0</v>
      </c>
      <c r="M451" s="209">
        <v>0</v>
      </c>
      <c r="N451" s="199">
        <v>352</v>
      </c>
      <c r="O451" s="237">
        <v>698701</v>
      </c>
      <c r="P451" s="200">
        <v>0</v>
      </c>
      <c r="Q451" s="199">
        <v>0</v>
      </c>
      <c r="R451" s="200">
        <v>0</v>
      </c>
      <c r="S451" s="199">
        <v>0</v>
      </c>
      <c r="T451" s="208">
        <v>0</v>
      </c>
      <c r="U451" s="294">
        <v>0</v>
      </c>
      <c r="V451" s="282"/>
      <c r="W451" s="282"/>
      <c r="X451" s="282"/>
    </row>
    <row r="452" spans="1:33" s="29" customFormat="1">
      <c r="A452" s="198">
        <v>372</v>
      </c>
      <c r="B452" s="238" t="s">
        <v>80</v>
      </c>
      <c r="C452" s="232">
        <v>1512903</v>
      </c>
      <c r="D452" s="232"/>
      <c r="E452" s="232"/>
      <c r="F452" s="232"/>
      <c r="G452" s="232"/>
      <c r="H452" s="232"/>
      <c r="I452" s="232"/>
      <c r="J452" s="232"/>
      <c r="K452" s="196">
        <v>0</v>
      </c>
      <c r="L452" s="204">
        <v>0</v>
      </c>
      <c r="M452" s="209">
        <v>0</v>
      </c>
      <c r="N452" s="199">
        <v>762</v>
      </c>
      <c r="O452" s="237">
        <v>1512903</v>
      </c>
      <c r="P452" s="200">
        <v>0</v>
      </c>
      <c r="Q452" s="199">
        <v>0</v>
      </c>
      <c r="R452" s="200">
        <v>0</v>
      </c>
      <c r="S452" s="199">
        <v>0</v>
      </c>
      <c r="T452" s="208">
        <v>0</v>
      </c>
      <c r="U452" s="294">
        <v>0</v>
      </c>
      <c r="V452" s="282"/>
      <c r="W452" s="282"/>
      <c r="X452" s="282"/>
    </row>
    <row r="453" spans="1:33" s="29" customFormat="1">
      <c r="A453" s="198">
        <v>373</v>
      </c>
      <c r="B453" s="238" t="s">
        <v>81</v>
      </c>
      <c r="C453" s="232">
        <v>2294873</v>
      </c>
      <c r="D453" s="232"/>
      <c r="E453" s="232"/>
      <c r="F453" s="232"/>
      <c r="G453" s="232"/>
      <c r="H453" s="232"/>
      <c r="I453" s="232"/>
      <c r="J453" s="232"/>
      <c r="K453" s="196">
        <v>0</v>
      </c>
      <c r="L453" s="204">
        <v>0</v>
      </c>
      <c r="M453" s="209">
        <v>0</v>
      </c>
      <c r="N453" s="199">
        <v>1162</v>
      </c>
      <c r="O453" s="237">
        <v>2294873</v>
      </c>
      <c r="P453" s="200">
        <v>0</v>
      </c>
      <c r="Q453" s="199">
        <v>0</v>
      </c>
      <c r="R453" s="230">
        <v>0</v>
      </c>
      <c r="S453" s="237">
        <v>0</v>
      </c>
      <c r="T453" s="208">
        <v>0</v>
      </c>
      <c r="U453" s="294">
        <v>0</v>
      </c>
      <c r="V453" s="282"/>
      <c r="W453" s="282"/>
      <c r="X453" s="282"/>
    </row>
    <row r="454" spans="1:33" s="29" customFormat="1">
      <c r="A454" s="198">
        <v>374</v>
      </c>
      <c r="B454" s="238" t="s">
        <v>82</v>
      </c>
      <c r="C454" s="232">
        <v>879987</v>
      </c>
      <c r="D454" s="232"/>
      <c r="E454" s="232"/>
      <c r="F454" s="232"/>
      <c r="G454" s="232"/>
      <c r="H454" s="232"/>
      <c r="I454" s="232"/>
      <c r="J454" s="232"/>
      <c r="K454" s="196">
        <v>0</v>
      </c>
      <c r="L454" s="204">
        <v>0</v>
      </c>
      <c r="M454" s="209">
        <v>0</v>
      </c>
      <c r="N454" s="199">
        <v>436.34</v>
      </c>
      <c r="O454" s="237">
        <v>879987</v>
      </c>
      <c r="P454" s="200">
        <v>0</v>
      </c>
      <c r="Q454" s="199">
        <v>0</v>
      </c>
      <c r="R454" s="200">
        <v>0</v>
      </c>
      <c r="S454" s="237">
        <v>0</v>
      </c>
      <c r="T454" s="208">
        <v>0</v>
      </c>
      <c r="U454" s="294">
        <v>0</v>
      </c>
      <c r="V454" s="282"/>
      <c r="W454" s="282"/>
      <c r="X454" s="282"/>
    </row>
    <row r="455" spans="1:33" s="29" customFormat="1">
      <c r="A455" s="198">
        <v>375</v>
      </c>
      <c r="B455" s="238" t="s">
        <v>83</v>
      </c>
      <c r="C455" s="232">
        <v>1361248</v>
      </c>
      <c r="D455" s="232"/>
      <c r="E455" s="232"/>
      <c r="F455" s="232"/>
      <c r="G455" s="232"/>
      <c r="H455" s="232"/>
      <c r="I455" s="232"/>
      <c r="J455" s="232"/>
      <c r="K455" s="196">
        <v>0</v>
      </c>
      <c r="L455" s="204">
        <v>0</v>
      </c>
      <c r="M455" s="209">
        <v>0</v>
      </c>
      <c r="N455" s="199">
        <v>680</v>
      </c>
      <c r="O455" s="237">
        <v>1361248</v>
      </c>
      <c r="P455" s="200">
        <v>0</v>
      </c>
      <c r="Q455" s="199">
        <v>0</v>
      </c>
      <c r="R455" s="230">
        <v>0</v>
      </c>
      <c r="S455" s="237">
        <v>0</v>
      </c>
      <c r="T455" s="208">
        <v>0</v>
      </c>
      <c r="U455" s="294">
        <v>0</v>
      </c>
      <c r="V455" s="282"/>
      <c r="W455" s="282"/>
      <c r="X455" s="282"/>
    </row>
    <row r="456" spans="1:33" ht="24" customHeight="1">
      <c r="A456" s="430"/>
      <c r="B456" s="464" t="s">
        <v>59</v>
      </c>
      <c r="C456" s="439">
        <f>C457+C465</f>
        <v>4724118</v>
      </c>
      <c r="D456" s="439">
        <f t="shared" ref="D456:V456" si="60">D457+D465</f>
        <v>1051127</v>
      </c>
      <c r="E456" s="439">
        <f t="shared" si="60"/>
        <v>210013</v>
      </c>
      <c r="F456" s="439">
        <f t="shared" si="60"/>
        <v>0</v>
      </c>
      <c r="G456" s="439">
        <f t="shared" si="60"/>
        <v>483326</v>
      </c>
      <c r="H456" s="439">
        <f t="shared" si="60"/>
        <v>162505</v>
      </c>
      <c r="I456" s="439">
        <f t="shared" si="60"/>
        <v>0</v>
      </c>
      <c r="J456" s="439">
        <f t="shared" si="60"/>
        <v>195283</v>
      </c>
      <c r="K456" s="439">
        <f t="shared" si="60"/>
        <v>0</v>
      </c>
      <c r="L456" s="439">
        <f t="shared" si="60"/>
        <v>0</v>
      </c>
      <c r="M456" s="439">
        <f t="shared" si="60"/>
        <v>0</v>
      </c>
      <c r="N456" s="439">
        <f t="shared" si="60"/>
        <v>1617</v>
      </c>
      <c r="O456" s="439">
        <f t="shared" si="60"/>
        <v>1131900</v>
      </c>
      <c r="P456" s="439">
        <f t="shared" si="60"/>
        <v>0</v>
      </c>
      <c r="Q456" s="439">
        <f t="shared" si="60"/>
        <v>0</v>
      </c>
      <c r="R456" s="439">
        <f t="shared" si="60"/>
        <v>136.30000000000004</v>
      </c>
      <c r="S456" s="439">
        <f t="shared" si="60"/>
        <v>1812817</v>
      </c>
      <c r="T456" s="439">
        <f t="shared" si="60"/>
        <v>799</v>
      </c>
      <c r="U456" s="439">
        <f t="shared" si="60"/>
        <v>728274</v>
      </c>
      <c r="V456" s="439">
        <f t="shared" si="60"/>
        <v>0</v>
      </c>
      <c r="W456" s="282"/>
      <c r="X456" s="282"/>
    </row>
    <row r="457" spans="1:33" ht="30">
      <c r="A457" s="430"/>
      <c r="B457" s="465" t="s">
        <v>86</v>
      </c>
      <c r="C457" s="556">
        <f>C458+C459+C460+C461+C462+C463+C464</f>
        <v>1839043</v>
      </c>
      <c r="D457" s="556">
        <f t="shared" ref="D457:U457" si="61">D458+D459+D460+D461+D462+D463+D464</f>
        <v>567801</v>
      </c>
      <c r="E457" s="556">
        <f t="shared" si="61"/>
        <v>210013</v>
      </c>
      <c r="F457" s="556">
        <f t="shared" si="61"/>
        <v>0</v>
      </c>
      <c r="G457" s="556">
        <f t="shared" si="61"/>
        <v>0</v>
      </c>
      <c r="H457" s="556">
        <f t="shared" si="61"/>
        <v>162505</v>
      </c>
      <c r="I457" s="556">
        <f t="shared" si="61"/>
        <v>0</v>
      </c>
      <c r="J457" s="556">
        <f t="shared" si="61"/>
        <v>195283</v>
      </c>
      <c r="K457" s="556">
        <f t="shared" si="61"/>
        <v>0</v>
      </c>
      <c r="L457" s="556">
        <f t="shared" si="61"/>
        <v>0</v>
      </c>
      <c r="M457" s="556">
        <f t="shared" si="61"/>
        <v>0</v>
      </c>
      <c r="N457" s="556">
        <f t="shared" si="61"/>
        <v>1617</v>
      </c>
      <c r="O457" s="556">
        <f t="shared" si="61"/>
        <v>1131900</v>
      </c>
      <c r="P457" s="556">
        <f t="shared" si="61"/>
        <v>0</v>
      </c>
      <c r="Q457" s="556">
        <f t="shared" si="61"/>
        <v>0</v>
      </c>
      <c r="R457" s="556">
        <f t="shared" si="61"/>
        <v>0</v>
      </c>
      <c r="S457" s="556">
        <f t="shared" si="61"/>
        <v>0</v>
      </c>
      <c r="T457" s="556">
        <f t="shared" si="61"/>
        <v>471</v>
      </c>
      <c r="U457" s="556">
        <f t="shared" si="61"/>
        <v>139342</v>
      </c>
      <c r="V457" s="282"/>
      <c r="W457" s="282"/>
      <c r="X457" s="282"/>
      <c r="Y457" s="30"/>
      <c r="Z457" s="30"/>
    </row>
    <row r="458" spans="1:33" ht="15.75">
      <c r="A458" s="430">
        <v>376</v>
      </c>
      <c r="B458" s="915" t="s">
        <v>361</v>
      </c>
      <c r="C458" s="556">
        <f>'часть 1'!L538</f>
        <v>392000</v>
      </c>
      <c r="D458" s="556">
        <f>E458+F458+G458+H458+I458+J458+K458</f>
        <v>0</v>
      </c>
      <c r="E458" s="556">
        <v>0</v>
      </c>
      <c r="F458" s="556">
        <v>0</v>
      </c>
      <c r="G458" s="556">
        <v>0</v>
      </c>
      <c r="H458" s="556">
        <v>0</v>
      </c>
      <c r="I458" s="556">
        <v>0</v>
      </c>
      <c r="J458" s="556">
        <v>0</v>
      </c>
      <c r="K458" s="556">
        <v>0</v>
      </c>
      <c r="L458" s="917">
        <v>0</v>
      </c>
      <c r="M458" s="556">
        <v>0</v>
      </c>
      <c r="N458" s="556">
        <v>560</v>
      </c>
      <c r="O458" s="556">
        <v>392000</v>
      </c>
      <c r="P458" s="918">
        <v>0</v>
      </c>
      <c r="Q458" s="556">
        <v>0</v>
      </c>
      <c r="R458" s="556">
        <v>0</v>
      </c>
      <c r="S458" s="556">
        <v>0</v>
      </c>
      <c r="T458" s="917">
        <v>0</v>
      </c>
      <c r="U458" s="919">
        <v>0</v>
      </c>
      <c r="V458" s="282"/>
      <c r="W458" s="282">
        <f>O458/N458</f>
        <v>700</v>
      </c>
      <c r="X458" s="282"/>
      <c r="Y458" s="92"/>
      <c r="Z458" s="92"/>
    </row>
    <row r="459" spans="1:33" ht="15.75">
      <c r="A459" s="430">
        <v>377</v>
      </c>
      <c r="B459" s="915" t="s">
        <v>434</v>
      </c>
      <c r="C459" s="556">
        <f>'часть 1'!L539</f>
        <v>340900</v>
      </c>
      <c r="D459" s="556">
        <f t="shared" ref="D459:D464" si="62">E459+F459+G459+H459+I459+J459+K459</f>
        <v>0</v>
      </c>
      <c r="E459" s="556">
        <v>0</v>
      </c>
      <c r="F459" s="556">
        <v>0</v>
      </c>
      <c r="G459" s="556">
        <v>0</v>
      </c>
      <c r="H459" s="556">
        <v>0</v>
      </c>
      <c r="I459" s="556">
        <v>0</v>
      </c>
      <c r="J459" s="556">
        <v>0</v>
      </c>
      <c r="K459" s="556">
        <v>0</v>
      </c>
      <c r="L459" s="917">
        <v>0</v>
      </c>
      <c r="M459" s="556">
        <v>0</v>
      </c>
      <c r="N459" s="556">
        <v>487</v>
      </c>
      <c r="O459" s="556">
        <v>340900</v>
      </c>
      <c r="P459" s="918">
        <v>0</v>
      </c>
      <c r="Q459" s="556">
        <v>0</v>
      </c>
      <c r="R459" s="920">
        <v>0</v>
      </c>
      <c r="S459" s="556">
        <v>0</v>
      </c>
      <c r="T459" s="917">
        <v>0</v>
      </c>
      <c r="U459" s="919">
        <v>0</v>
      </c>
      <c r="V459" s="282"/>
      <c r="W459" s="282">
        <f>O459/N459</f>
        <v>700</v>
      </c>
      <c r="X459" s="282"/>
      <c r="Y459" s="92"/>
      <c r="Z459" s="92"/>
    </row>
    <row r="460" spans="1:33" ht="25.15" customHeight="1">
      <c r="A460" s="430">
        <v>378</v>
      </c>
      <c r="B460" s="915" t="s">
        <v>362</v>
      </c>
      <c r="C460" s="556">
        <f>'часть 1'!L540</f>
        <v>399000</v>
      </c>
      <c r="D460" s="556">
        <f t="shared" si="62"/>
        <v>0</v>
      </c>
      <c r="E460" s="556">
        <v>0</v>
      </c>
      <c r="F460" s="556">
        <v>0</v>
      </c>
      <c r="G460" s="556">
        <v>0</v>
      </c>
      <c r="H460" s="556">
        <v>0</v>
      </c>
      <c r="I460" s="556">
        <v>0</v>
      </c>
      <c r="J460" s="556">
        <v>0</v>
      </c>
      <c r="K460" s="556">
        <v>0</v>
      </c>
      <c r="L460" s="917">
        <v>0</v>
      </c>
      <c r="M460" s="556">
        <v>0</v>
      </c>
      <c r="N460" s="556">
        <v>570</v>
      </c>
      <c r="O460" s="556">
        <v>399000</v>
      </c>
      <c r="P460" s="918">
        <v>0</v>
      </c>
      <c r="Q460" s="556">
        <v>0</v>
      </c>
      <c r="R460" s="556">
        <v>0</v>
      </c>
      <c r="S460" s="556">
        <v>0</v>
      </c>
      <c r="T460" s="917">
        <v>0</v>
      </c>
      <c r="U460" s="919">
        <v>0</v>
      </c>
      <c r="V460" s="282"/>
      <c r="W460" s="282">
        <f>O460/N460</f>
        <v>700</v>
      </c>
      <c r="X460" s="282"/>
      <c r="Y460" s="92"/>
      <c r="Z460" s="92"/>
    </row>
    <row r="461" spans="1:33" ht="15.75">
      <c r="A461" s="430">
        <v>379</v>
      </c>
      <c r="B461" s="915" t="s">
        <v>363</v>
      </c>
      <c r="C461" s="556">
        <f>'часть 1'!L541</f>
        <v>216335</v>
      </c>
      <c r="D461" s="556">
        <f t="shared" si="62"/>
        <v>216335</v>
      </c>
      <c r="E461" s="556">
        <v>0</v>
      </c>
      <c r="F461" s="556">
        <v>0</v>
      </c>
      <c r="G461" s="556">
        <v>0</v>
      </c>
      <c r="H461" s="556">
        <v>60242</v>
      </c>
      <c r="I461" s="556"/>
      <c r="J461" s="556">
        <v>156093</v>
      </c>
      <c r="K461" s="556">
        <v>0</v>
      </c>
      <c r="L461" s="917">
        <v>0</v>
      </c>
      <c r="M461" s="556">
        <v>0</v>
      </c>
      <c r="N461" s="556">
        <v>0</v>
      </c>
      <c r="O461" s="556">
        <v>0</v>
      </c>
      <c r="P461" s="918">
        <v>0</v>
      </c>
      <c r="Q461" s="556">
        <v>0</v>
      </c>
      <c r="R461" s="556">
        <v>0</v>
      </c>
      <c r="S461" s="556">
        <v>0</v>
      </c>
      <c r="T461" s="917">
        <v>0</v>
      </c>
      <c r="U461" s="919">
        <v>0</v>
      </c>
      <c r="V461" s="282"/>
      <c r="W461" s="282"/>
      <c r="X461" s="282"/>
      <c r="Y461" s="92"/>
      <c r="Z461" s="92"/>
      <c r="AB461" s="1">
        <f>H461/'часть 1'!I541</f>
        <v>78.064014513411948</v>
      </c>
      <c r="AD461" s="1">
        <f>J461/'часть 1'!I541</f>
        <v>202.27160813787739</v>
      </c>
    </row>
    <row r="462" spans="1:33" ht="19.899999999999999" customHeight="1">
      <c r="A462" s="430">
        <v>380</v>
      </c>
      <c r="B462" s="915" t="s">
        <v>364</v>
      </c>
      <c r="C462" s="556">
        <f>'часть 1'!L542</f>
        <v>243345</v>
      </c>
      <c r="D462" s="556">
        <f t="shared" si="62"/>
        <v>243345</v>
      </c>
      <c r="E462" s="556">
        <v>210013</v>
      </c>
      <c r="F462" s="556">
        <v>0</v>
      </c>
      <c r="G462" s="556">
        <v>0</v>
      </c>
      <c r="H462" s="556">
        <v>0</v>
      </c>
      <c r="I462" s="556">
        <v>0</v>
      </c>
      <c r="J462" s="556">
        <v>33332</v>
      </c>
      <c r="K462" s="556">
        <v>0</v>
      </c>
      <c r="L462" s="917">
        <v>0</v>
      </c>
      <c r="M462" s="556">
        <v>0</v>
      </c>
      <c r="N462" s="556">
        <v>0</v>
      </c>
      <c r="O462" s="556">
        <v>0</v>
      </c>
      <c r="P462" s="918">
        <v>0</v>
      </c>
      <c r="Q462" s="556">
        <v>0</v>
      </c>
      <c r="R462" s="920">
        <v>0</v>
      </c>
      <c r="S462" s="556">
        <v>0</v>
      </c>
      <c r="T462" s="917">
        <v>0</v>
      </c>
      <c r="U462" s="919">
        <v>0</v>
      </c>
      <c r="V462" s="282"/>
      <c r="W462" s="282"/>
      <c r="X462" s="282"/>
      <c r="Y462" s="92">
        <f>E462/'часть 1'!I542</f>
        <v>695.40728476821187</v>
      </c>
      <c r="Z462" s="92"/>
      <c r="AD462" s="1">
        <f>J462/'часть 1'!I542</f>
        <v>110.37086092715232</v>
      </c>
    </row>
    <row r="463" spans="1:33" ht="22.15" customHeight="1">
      <c r="A463" s="430">
        <v>381</v>
      </c>
      <c r="B463" s="915" t="s">
        <v>365</v>
      </c>
      <c r="C463" s="556">
        <f>'часть 1'!L543</f>
        <v>139342</v>
      </c>
      <c r="D463" s="556">
        <f t="shared" si="62"/>
        <v>0</v>
      </c>
      <c r="E463" s="556">
        <v>0</v>
      </c>
      <c r="F463" s="556">
        <v>0</v>
      </c>
      <c r="G463" s="556">
        <v>0</v>
      </c>
      <c r="H463" s="556">
        <v>0</v>
      </c>
      <c r="I463" s="556">
        <v>0</v>
      </c>
      <c r="J463" s="556">
        <v>0</v>
      </c>
      <c r="K463" s="556">
        <v>0</v>
      </c>
      <c r="L463" s="917">
        <v>0</v>
      </c>
      <c r="M463" s="556">
        <v>0</v>
      </c>
      <c r="N463" s="556">
        <v>0</v>
      </c>
      <c r="O463" s="556">
        <v>0</v>
      </c>
      <c r="P463" s="918">
        <v>0</v>
      </c>
      <c r="Q463" s="556">
        <v>0</v>
      </c>
      <c r="R463" s="556">
        <v>0</v>
      </c>
      <c r="S463" s="556">
        <v>0</v>
      </c>
      <c r="T463" s="917">
        <v>471</v>
      </c>
      <c r="U463" s="919">
        <v>139342</v>
      </c>
      <c r="V463" s="282"/>
      <c r="W463" s="282"/>
      <c r="X463" s="282"/>
      <c r="Y463" s="92"/>
      <c r="Z463" s="92"/>
      <c r="AG463" s="1">
        <f>U463/T463</f>
        <v>295.84288747346073</v>
      </c>
    </row>
    <row r="464" spans="1:33" ht="29.45" customHeight="1">
      <c r="A464" s="430">
        <v>382</v>
      </c>
      <c r="B464" s="915" t="s">
        <v>366</v>
      </c>
      <c r="C464" s="556">
        <f>'часть 1'!L544</f>
        <v>108121</v>
      </c>
      <c r="D464" s="556">
        <f t="shared" si="62"/>
        <v>108121</v>
      </c>
      <c r="E464" s="556">
        <v>0</v>
      </c>
      <c r="F464" s="556">
        <v>0</v>
      </c>
      <c r="G464" s="556">
        <v>0</v>
      </c>
      <c r="H464" s="556">
        <v>102263</v>
      </c>
      <c r="I464" s="556">
        <v>0</v>
      </c>
      <c r="J464" s="556">
        <v>5858</v>
      </c>
      <c r="K464" s="556">
        <v>0</v>
      </c>
      <c r="L464" s="917">
        <v>0</v>
      </c>
      <c r="M464" s="556">
        <v>0</v>
      </c>
      <c r="N464" s="556">
        <v>0</v>
      </c>
      <c r="O464" s="556">
        <v>0</v>
      </c>
      <c r="P464" s="918">
        <v>0</v>
      </c>
      <c r="Q464" s="556">
        <v>0</v>
      </c>
      <c r="R464" s="556">
        <v>0</v>
      </c>
      <c r="S464" s="556">
        <v>0</v>
      </c>
      <c r="T464" s="917">
        <v>0</v>
      </c>
      <c r="U464" s="919">
        <v>0</v>
      </c>
      <c r="V464" s="282"/>
      <c r="W464" s="282"/>
      <c r="X464" s="282"/>
      <c r="Y464" s="92"/>
      <c r="Z464" s="92"/>
      <c r="AB464" s="1">
        <f>H464/'часть 1'!I544</f>
        <v>103.6834634492548</v>
      </c>
    </row>
    <row r="465" spans="1:33" ht="30">
      <c r="A465" s="430"/>
      <c r="B465" s="465" t="s">
        <v>85</v>
      </c>
      <c r="C465" s="556">
        <f>C466+C467+C468+C469+C470+C471+C472+C473+C474+C475+C476+C477+C478+C479+C480+C481+C482+C483+C484+C485+C486+C487+C488+C489+C490+C491+C492+C493+C494+C495+C496+C497+C498+C499+C500</f>
        <v>2885075</v>
      </c>
      <c r="D465" s="556">
        <f t="shared" ref="D465:V465" si="63">D466+D467+D468+D469+D470+D471+D472+D473+D474+D475+D476+D477+D478+D479+D480+D481+D482+D483+D484+D485+D486+D487+D488+D489+D490+D491+D492+D493+D494+D495+D496+D497+D498+D499+D500</f>
        <v>483326</v>
      </c>
      <c r="E465" s="556">
        <f t="shared" si="63"/>
        <v>0</v>
      </c>
      <c r="F465" s="556">
        <f t="shared" si="63"/>
        <v>0</v>
      </c>
      <c r="G465" s="556">
        <f t="shared" si="63"/>
        <v>483326</v>
      </c>
      <c r="H465" s="556">
        <f t="shared" si="63"/>
        <v>0</v>
      </c>
      <c r="I465" s="556">
        <f t="shared" si="63"/>
        <v>0</v>
      </c>
      <c r="J465" s="556">
        <f t="shared" si="63"/>
        <v>0</v>
      </c>
      <c r="K465" s="556">
        <f t="shared" si="63"/>
        <v>0</v>
      </c>
      <c r="L465" s="556">
        <f t="shared" si="63"/>
        <v>0</v>
      </c>
      <c r="M465" s="556">
        <f t="shared" si="63"/>
        <v>0</v>
      </c>
      <c r="N465" s="556">
        <f t="shared" si="63"/>
        <v>0</v>
      </c>
      <c r="O465" s="556">
        <f t="shared" si="63"/>
        <v>0</v>
      </c>
      <c r="P465" s="556">
        <f t="shared" si="63"/>
        <v>0</v>
      </c>
      <c r="Q465" s="556">
        <f t="shared" si="63"/>
        <v>0</v>
      </c>
      <c r="R465" s="556">
        <f t="shared" si="63"/>
        <v>136.30000000000004</v>
      </c>
      <c r="S465" s="556">
        <f t="shared" si="63"/>
        <v>1812817</v>
      </c>
      <c r="T465" s="556">
        <f t="shared" si="63"/>
        <v>328</v>
      </c>
      <c r="U465" s="556">
        <f t="shared" si="63"/>
        <v>588932</v>
      </c>
      <c r="V465" s="210">
        <f t="shared" si="63"/>
        <v>0</v>
      </c>
      <c r="W465" s="282"/>
      <c r="X465" s="282"/>
      <c r="Y465" s="92"/>
      <c r="Z465" s="92"/>
    </row>
    <row r="466" spans="1:33" ht="15.75">
      <c r="A466" s="430">
        <v>1</v>
      </c>
      <c r="B466" s="915" t="s">
        <v>890</v>
      </c>
      <c r="C466" s="556">
        <f>'часть 1'!L546</f>
        <v>25264</v>
      </c>
      <c r="D466" s="556">
        <f>E466+F466+G466+H466+I466+J466+K466</f>
        <v>0</v>
      </c>
      <c r="E466" s="556">
        <v>0</v>
      </c>
      <c r="F466" s="556">
        <v>0</v>
      </c>
      <c r="G466" s="556">
        <v>0</v>
      </c>
      <c r="H466" s="556">
        <v>0</v>
      </c>
      <c r="I466" s="556">
        <v>0</v>
      </c>
      <c r="J466" s="556">
        <v>0</v>
      </c>
      <c r="K466" s="556">
        <v>0</v>
      </c>
      <c r="L466" s="917">
        <v>0</v>
      </c>
      <c r="M466" s="556">
        <v>0</v>
      </c>
      <c r="N466" s="556">
        <v>0</v>
      </c>
      <c r="O466" s="556">
        <v>0</v>
      </c>
      <c r="P466" s="918">
        <v>0</v>
      </c>
      <c r="Q466" s="556">
        <v>0</v>
      </c>
      <c r="R466" s="556">
        <v>2.1</v>
      </c>
      <c r="S466" s="556">
        <v>25264</v>
      </c>
      <c r="T466" s="921">
        <v>0</v>
      </c>
      <c r="U466" s="922">
        <v>0</v>
      </c>
      <c r="V466" s="282"/>
      <c r="W466" s="282">
        <f>S466/R466</f>
        <v>12030.476190476191</v>
      </c>
      <c r="X466" s="282"/>
      <c r="Y466" s="92"/>
      <c r="Z466" s="92"/>
    </row>
    <row r="467" spans="1:33" ht="15.75">
      <c r="A467" s="430">
        <v>2</v>
      </c>
      <c r="B467" s="915" t="s">
        <v>891</v>
      </c>
      <c r="C467" s="556">
        <f>'часть 1'!L547</f>
        <v>25312</v>
      </c>
      <c r="D467" s="556">
        <f t="shared" ref="D467:D500" si="64">E467+F467+G467+H467+I467+J467+K467</f>
        <v>0</v>
      </c>
      <c r="E467" s="556">
        <v>0</v>
      </c>
      <c r="F467" s="556">
        <v>0</v>
      </c>
      <c r="G467" s="556">
        <v>0</v>
      </c>
      <c r="H467" s="556">
        <v>0</v>
      </c>
      <c r="I467" s="556">
        <v>0</v>
      </c>
      <c r="J467" s="556">
        <v>0</v>
      </c>
      <c r="K467" s="556">
        <v>0</v>
      </c>
      <c r="L467" s="917">
        <v>0</v>
      </c>
      <c r="M467" s="556">
        <v>0</v>
      </c>
      <c r="N467" s="556">
        <v>0</v>
      </c>
      <c r="O467" s="556">
        <v>0</v>
      </c>
      <c r="P467" s="918">
        <v>0</v>
      </c>
      <c r="Q467" s="556">
        <v>0</v>
      </c>
      <c r="R467" s="556">
        <v>2.1</v>
      </c>
      <c r="S467" s="556">
        <v>25312</v>
      </c>
      <c r="T467" s="921">
        <v>0</v>
      </c>
      <c r="U467" s="922">
        <v>0</v>
      </c>
      <c r="V467" s="282"/>
      <c r="W467" s="282"/>
      <c r="X467" s="282"/>
      <c r="Y467" s="92"/>
      <c r="Z467" s="92"/>
    </row>
    <row r="468" spans="1:33" ht="15.75">
      <c r="A468" s="430">
        <v>3</v>
      </c>
      <c r="B468" s="915" t="s">
        <v>892</v>
      </c>
      <c r="C468" s="556">
        <f>'часть 1'!L548</f>
        <v>25264</v>
      </c>
      <c r="D468" s="556">
        <f t="shared" si="64"/>
        <v>0</v>
      </c>
      <c r="E468" s="556">
        <v>0</v>
      </c>
      <c r="F468" s="556">
        <v>0</v>
      </c>
      <c r="G468" s="556">
        <v>0</v>
      </c>
      <c r="H468" s="556">
        <v>0</v>
      </c>
      <c r="I468" s="556">
        <v>0</v>
      </c>
      <c r="J468" s="556">
        <v>0</v>
      </c>
      <c r="K468" s="556">
        <v>0</v>
      </c>
      <c r="L468" s="917">
        <v>0</v>
      </c>
      <c r="M468" s="556">
        <v>0</v>
      </c>
      <c r="N468" s="556">
        <v>0</v>
      </c>
      <c r="O468" s="556">
        <v>0</v>
      </c>
      <c r="P468" s="918">
        <v>0</v>
      </c>
      <c r="Q468" s="556">
        <v>0</v>
      </c>
      <c r="R468" s="556">
        <v>1.9</v>
      </c>
      <c r="S468" s="556">
        <v>25264</v>
      </c>
      <c r="T468" s="921">
        <v>0</v>
      </c>
      <c r="U468" s="922">
        <v>0</v>
      </c>
      <c r="V468" s="282"/>
      <c r="W468" s="282"/>
      <c r="X468" s="282"/>
      <c r="Y468" s="92"/>
      <c r="Z468" s="92"/>
    </row>
    <row r="469" spans="1:33" ht="15.75">
      <c r="A469" s="430">
        <v>4</v>
      </c>
      <c r="B469" s="915" t="s">
        <v>893</v>
      </c>
      <c r="C469" s="556">
        <f>'часть 1'!L549</f>
        <v>284600</v>
      </c>
      <c r="D469" s="556">
        <f t="shared" si="64"/>
        <v>234120</v>
      </c>
      <c r="E469" s="556">
        <v>0</v>
      </c>
      <c r="F469" s="556">
        <v>0</v>
      </c>
      <c r="G469" s="556">
        <v>234120</v>
      </c>
      <c r="H469" s="556">
        <v>0</v>
      </c>
      <c r="I469" s="556">
        <v>0</v>
      </c>
      <c r="J469" s="556">
        <v>0</v>
      </c>
      <c r="K469" s="556">
        <v>0</v>
      </c>
      <c r="L469" s="917">
        <v>0</v>
      </c>
      <c r="M469" s="556">
        <v>0</v>
      </c>
      <c r="N469" s="556">
        <v>0</v>
      </c>
      <c r="O469" s="556">
        <v>0</v>
      </c>
      <c r="P469" s="918">
        <v>0</v>
      </c>
      <c r="Q469" s="556">
        <v>0</v>
      </c>
      <c r="R469" s="556">
        <v>4.3</v>
      </c>
      <c r="S469" s="556">
        <v>50480</v>
      </c>
      <c r="T469" s="921">
        <v>0</v>
      </c>
      <c r="U469" s="922">
        <v>0</v>
      </c>
      <c r="V469" s="282"/>
      <c r="W469" s="282"/>
      <c r="X469" s="282"/>
      <c r="Y469" s="92"/>
      <c r="Z469" s="92"/>
    </row>
    <row r="470" spans="1:33" ht="15.75">
      <c r="A470" s="430">
        <v>5</v>
      </c>
      <c r="B470" s="915" t="s">
        <v>894</v>
      </c>
      <c r="C470" s="556">
        <f>'часть 1'!L550</f>
        <v>25505</v>
      </c>
      <c r="D470" s="556">
        <f t="shared" si="64"/>
        <v>0</v>
      </c>
      <c r="E470" s="556">
        <v>0</v>
      </c>
      <c r="F470" s="556">
        <v>0</v>
      </c>
      <c r="G470" s="556">
        <v>0</v>
      </c>
      <c r="H470" s="556">
        <v>0</v>
      </c>
      <c r="I470" s="556">
        <v>0</v>
      </c>
      <c r="J470" s="556">
        <v>0</v>
      </c>
      <c r="K470" s="556">
        <v>0</v>
      </c>
      <c r="L470" s="917">
        <v>0</v>
      </c>
      <c r="M470" s="556">
        <v>0</v>
      </c>
      <c r="N470" s="556">
        <v>0</v>
      </c>
      <c r="O470" s="556">
        <v>0</v>
      </c>
      <c r="P470" s="918">
        <v>0</v>
      </c>
      <c r="Q470" s="556">
        <v>0</v>
      </c>
      <c r="R470" s="556">
        <v>1.9</v>
      </c>
      <c r="S470" s="556">
        <v>25505</v>
      </c>
      <c r="T470" s="921">
        <v>0</v>
      </c>
      <c r="U470" s="922">
        <v>0</v>
      </c>
      <c r="V470" s="282"/>
      <c r="W470" s="282"/>
      <c r="X470" s="282"/>
      <c r="Y470" s="92"/>
      <c r="Z470" s="92"/>
    </row>
    <row r="471" spans="1:33" ht="15.75">
      <c r="A471" s="430">
        <v>6</v>
      </c>
      <c r="B471" s="915" t="s">
        <v>895</v>
      </c>
      <c r="C471" s="556">
        <f>'часть 1'!L551</f>
        <v>25168</v>
      </c>
      <c r="D471" s="556">
        <f t="shared" si="64"/>
        <v>0</v>
      </c>
      <c r="E471" s="556">
        <v>0</v>
      </c>
      <c r="F471" s="556">
        <v>0</v>
      </c>
      <c r="G471" s="556">
        <v>0</v>
      </c>
      <c r="H471" s="556">
        <v>0</v>
      </c>
      <c r="I471" s="556">
        <v>0</v>
      </c>
      <c r="J471" s="556">
        <v>0</v>
      </c>
      <c r="K471" s="556">
        <v>0</v>
      </c>
      <c r="L471" s="917">
        <v>0</v>
      </c>
      <c r="M471" s="556">
        <v>0</v>
      </c>
      <c r="N471" s="556">
        <v>0</v>
      </c>
      <c r="O471" s="556">
        <v>0</v>
      </c>
      <c r="P471" s="918">
        <v>0</v>
      </c>
      <c r="Q471" s="556">
        <v>0</v>
      </c>
      <c r="R471" s="556">
        <v>2.1</v>
      </c>
      <c r="S471" s="556">
        <v>25168</v>
      </c>
      <c r="T471" s="921">
        <v>0</v>
      </c>
      <c r="U471" s="922">
        <v>0</v>
      </c>
      <c r="V471" s="282"/>
      <c r="W471" s="282"/>
      <c r="X471" s="282"/>
      <c r="Y471" s="92"/>
      <c r="Z471" s="92"/>
    </row>
    <row r="472" spans="1:33" ht="15.75">
      <c r="A472" s="430">
        <v>7</v>
      </c>
      <c r="B472" s="915" t="s">
        <v>896</v>
      </c>
      <c r="C472" s="556">
        <f>'часть 1'!L552</f>
        <v>299445</v>
      </c>
      <c r="D472" s="556">
        <f t="shared" si="64"/>
        <v>249206</v>
      </c>
      <c r="E472" s="556">
        <v>0</v>
      </c>
      <c r="F472" s="556">
        <v>0</v>
      </c>
      <c r="G472" s="556">
        <v>249206</v>
      </c>
      <c r="H472" s="556">
        <v>0</v>
      </c>
      <c r="I472" s="556">
        <v>0</v>
      </c>
      <c r="J472" s="556">
        <v>0</v>
      </c>
      <c r="K472" s="556">
        <v>0</v>
      </c>
      <c r="L472" s="917">
        <v>0</v>
      </c>
      <c r="M472" s="556">
        <v>0</v>
      </c>
      <c r="N472" s="556">
        <v>0</v>
      </c>
      <c r="O472" s="556">
        <v>0</v>
      </c>
      <c r="P472" s="918">
        <v>0</v>
      </c>
      <c r="Q472" s="556">
        <v>0</v>
      </c>
      <c r="R472" s="556">
        <v>4.2</v>
      </c>
      <c r="S472" s="556">
        <v>50239</v>
      </c>
      <c r="T472" s="921">
        <v>0</v>
      </c>
      <c r="U472" s="922">
        <v>0</v>
      </c>
      <c r="V472" s="282"/>
      <c r="W472" s="282"/>
      <c r="X472" s="282"/>
      <c r="Y472" s="92"/>
      <c r="Z472" s="92"/>
    </row>
    <row r="473" spans="1:33" ht="15.75">
      <c r="A473" s="430">
        <v>8</v>
      </c>
      <c r="B473" s="915" t="s">
        <v>897</v>
      </c>
      <c r="C473" s="556">
        <f>'часть 1'!L553</f>
        <v>32502</v>
      </c>
      <c r="D473" s="556">
        <f t="shared" si="64"/>
        <v>0</v>
      </c>
      <c r="E473" s="556">
        <v>0</v>
      </c>
      <c r="F473" s="556">
        <v>0</v>
      </c>
      <c r="G473" s="556">
        <v>0</v>
      </c>
      <c r="H473" s="556">
        <v>0</v>
      </c>
      <c r="I473" s="556">
        <v>0</v>
      </c>
      <c r="J473" s="556">
        <v>0</v>
      </c>
      <c r="K473" s="556">
        <v>0</v>
      </c>
      <c r="L473" s="917">
        <v>0</v>
      </c>
      <c r="M473" s="556">
        <v>0</v>
      </c>
      <c r="N473" s="556">
        <v>0</v>
      </c>
      <c r="O473" s="556">
        <v>0</v>
      </c>
      <c r="P473" s="918">
        <v>0</v>
      </c>
      <c r="Q473" s="556">
        <v>0</v>
      </c>
      <c r="R473" s="556">
        <v>3.7</v>
      </c>
      <c r="S473" s="556">
        <v>32502</v>
      </c>
      <c r="T473" s="921">
        <v>0</v>
      </c>
      <c r="U473" s="922">
        <v>0</v>
      </c>
      <c r="V473" s="282"/>
      <c r="W473" s="282"/>
      <c r="X473" s="282"/>
      <c r="Y473" s="92"/>
      <c r="Z473" s="92"/>
    </row>
    <row r="474" spans="1:33" ht="15.75">
      <c r="A474" s="430">
        <v>9</v>
      </c>
      <c r="B474" s="915" t="s">
        <v>898</v>
      </c>
      <c r="C474" s="556">
        <f>'часть 1'!L554</f>
        <v>50721</v>
      </c>
      <c r="D474" s="556">
        <f t="shared" si="64"/>
        <v>0</v>
      </c>
      <c r="E474" s="556">
        <v>0</v>
      </c>
      <c r="F474" s="556">
        <v>0</v>
      </c>
      <c r="G474" s="556">
        <v>0</v>
      </c>
      <c r="H474" s="556">
        <v>0</v>
      </c>
      <c r="I474" s="556">
        <v>0</v>
      </c>
      <c r="J474" s="556">
        <v>0</v>
      </c>
      <c r="K474" s="556">
        <v>0</v>
      </c>
      <c r="L474" s="917">
        <v>0</v>
      </c>
      <c r="M474" s="556">
        <v>0</v>
      </c>
      <c r="N474" s="556">
        <v>0</v>
      </c>
      <c r="O474" s="556">
        <v>0</v>
      </c>
      <c r="P474" s="918">
        <v>0</v>
      </c>
      <c r="Q474" s="556">
        <v>0</v>
      </c>
      <c r="R474" s="556">
        <v>4.3</v>
      </c>
      <c r="S474" s="556">
        <v>50721</v>
      </c>
      <c r="T474" s="921">
        <v>0</v>
      </c>
      <c r="U474" s="922">
        <v>0</v>
      </c>
      <c r="V474" s="282"/>
      <c r="W474" s="282"/>
      <c r="X474" s="282"/>
      <c r="Y474" s="92"/>
      <c r="Z474" s="92"/>
    </row>
    <row r="475" spans="1:33" ht="15.75">
      <c r="A475" s="430">
        <v>10</v>
      </c>
      <c r="B475" s="915" t="s">
        <v>899</v>
      </c>
      <c r="C475" s="556">
        <f>'часть 1'!L555</f>
        <v>257869</v>
      </c>
      <c r="D475" s="556">
        <f t="shared" si="64"/>
        <v>0</v>
      </c>
      <c r="E475" s="556">
        <v>0</v>
      </c>
      <c r="F475" s="556">
        <v>0</v>
      </c>
      <c r="G475" s="556">
        <v>0</v>
      </c>
      <c r="H475" s="556">
        <v>0</v>
      </c>
      <c r="I475" s="556">
        <v>0</v>
      </c>
      <c r="J475" s="556">
        <v>0</v>
      </c>
      <c r="K475" s="556">
        <v>0</v>
      </c>
      <c r="L475" s="917">
        <v>0</v>
      </c>
      <c r="M475" s="556">
        <v>0</v>
      </c>
      <c r="N475" s="556">
        <v>0</v>
      </c>
      <c r="O475" s="556">
        <v>0</v>
      </c>
      <c r="P475" s="918">
        <v>0</v>
      </c>
      <c r="Q475" s="556">
        <v>0</v>
      </c>
      <c r="R475" s="556">
        <v>4.2</v>
      </c>
      <c r="S475" s="556">
        <v>50335</v>
      </c>
      <c r="T475" s="921">
        <v>116</v>
      </c>
      <c r="U475" s="922">
        <v>207534</v>
      </c>
      <c r="V475" s="282"/>
      <c r="W475" s="282"/>
      <c r="X475" s="282"/>
      <c r="Y475" s="92"/>
      <c r="Z475" s="92"/>
      <c r="AG475" s="1">
        <f>U475/T475</f>
        <v>1789.0862068965516</v>
      </c>
    </row>
    <row r="476" spans="1:33" ht="15.75">
      <c r="A476" s="430">
        <v>11</v>
      </c>
      <c r="B476" s="915" t="s">
        <v>900</v>
      </c>
      <c r="C476" s="556">
        <f>'часть 1'!L556</f>
        <v>28738</v>
      </c>
      <c r="D476" s="556">
        <f t="shared" si="64"/>
        <v>0</v>
      </c>
      <c r="E476" s="556">
        <v>0</v>
      </c>
      <c r="F476" s="556">
        <v>0</v>
      </c>
      <c r="G476" s="556">
        <v>0</v>
      </c>
      <c r="H476" s="556">
        <v>0</v>
      </c>
      <c r="I476" s="556">
        <v>0</v>
      </c>
      <c r="J476" s="556">
        <v>0</v>
      </c>
      <c r="K476" s="556">
        <v>0</v>
      </c>
      <c r="L476" s="917">
        <v>0</v>
      </c>
      <c r="M476" s="556">
        <v>0</v>
      </c>
      <c r="N476" s="556">
        <v>0</v>
      </c>
      <c r="O476" s="556">
        <v>0</v>
      </c>
      <c r="P476" s="918">
        <v>0</v>
      </c>
      <c r="Q476" s="556">
        <v>0</v>
      </c>
      <c r="R476" s="556">
        <v>2.6</v>
      </c>
      <c r="S476" s="556">
        <v>28738</v>
      </c>
      <c r="T476" s="921">
        <v>0</v>
      </c>
      <c r="U476" s="922">
        <v>0</v>
      </c>
      <c r="V476" s="282"/>
      <c r="W476" s="282"/>
      <c r="X476" s="282"/>
      <c r="Y476" s="92"/>
      <c r="Z476" s="92"/>
    </row>
    <row r="477" spans="1:33" ht="15.75">
      <c r="A477" s="430">
        <v>12</v>
      </c>
      <c r="B477" s="915" t="s">
        <v>901</v>
      </c>
      <c r="C477" s="556">
        <f>'часть 1'!L557</f>
        <v>32453</v>
      </c>
      <c r="D477" s="556">
        <f t="shared" si="64"/>
        <v>0</v>
      </c>
      <c r="E477" s="556">
        <v>0</v>
      </c>
      <c r="F477" s="556">
        <v>0</v>
      </c>
      <c r="G477" s="556">
        <v>0</v>
      </c>
      <c r="H477" s="556">
        <v>0</v>
      </c>
      <c r="I477" s="556">
        <v>0</v>
      </c>
      <c r="J477" s="556">
        <v>0</v>
      </c>
      <c r="K477" s="556">
        <v>0</v>
      </c>
      <c r="L477" s="917">
        <v>0</v>
      </c>
      <c r="M477" s="556">
        <v>0</v>
      </c>
      <c r="N477" s="556">
        <v>0</v>
      </c>
      <c r="O477" s="556">
        <v>0</v>
      </c>
      <c r="P477" s="918">
        <v>0</v>
      </c>
      <c r="Q477" s="556">
        <v>0</v>
      </c>
      <c r="R477" s="556">
        <v>3.7</v>
      </c>
      <c r="S477" s="556">
        <v>32453</v>
      </c>
      <c r="T477" s="921">
        <v>0</v>
      </c>
      <c r="U477" s="922">
        <v>0</v>
      </c>
      <c r="V477" s="282"/>
      <c r="W477" s="282"/>
      <c r="X477" s="282"/>
      <c r="Y477" s="92"/>
      <c r="Z477" s="92"/>
    </row>
    <row r="478" spans="1:33" ht="15.75">
      <c r="A478" s="430">
        <v>13</v>
      </c>
      <c r="B478" s="915" t="s">
        <v>902</v>
      </c>
      <c r="C478" s="556">
        <f>'часть 1'!L558</f>
        <v>25023</v>
      </c>
      <c r="D478" s="556">
        <f t="shared" si="64"/>
        <v>0</v>
      </c>
      <c r="E478" s="556">
        <v>0</v>
      </c>
      <c r="F478" s="556">
        <v>0</v>
      </c>
      <c r="G478" s="556">
        <v>0</v>
      </c>
      <c r="H478" s="556">
        <v>0</v>
      </c>
      <c r="I478" s="556">
        <v>0</v>
      </c>
      <c r="J478" s="556">
        <v>0</v>
      </c>
      <c r="K478" s="556">
        <v>0</v>
      </c>
      <c r="L478" s="917">
        <v>0</v>
      </c>
      <c r="M478" s="556">
        <v>0</v>
      </c>
      <c r="N478" s="556">
        <v>0</v>
      </c>
      <c r="O478" s="556">
        <v>0</v>
      </c>
      <c r="P478" s="918">
        <v>0</v>
      </c>
      <c r="Q478" s="556">
        <v>0</v>
      </c>
      <c r="R478" s="556">
        <v>2.1</v>
      </c>
      <c r="S478" s="556">
        <v>25023</v>
      </c>
      <c r="T478" s="921">
        <v>0</v>
      </c>
      <c r="U478" s="922">
        <v>0</v>
      </c>
      <c r="V478" s="282"/>
      <c r="W478" s="282"/>
      <c r="X478" s="282"/>
      <c r="Y478" s="92"/>
      <c r="Z478" s="92"/>
    </row>
    <row r="479" spans="1:33" ht="15.75">
      <c r="A479" s="430">
        <v>14</v>
      </c>
      <c r="B479" s="915" t="s">
        <v>903</v>
      </c>
      <c r="C479" s="556">
        <f>'часть 1'!L559</f>
        <v>25119</v>
      </c>
      <c r="D479" s="556">
        <f t="shared" si="64"/>
        <v>0</v>
      </c>
      <c r="E479" s="556">
        <v>0</v>
      </c>
      <c r="F479" s="556">
        <v>0</v>
      </c>
      <c r="G479" s="556">
        <v>0</v>
      </c>
      <c r="H479" s="556">
        <v>0</v>
      </c>
      <c r="I479" s="556">
        <v>0</v>
      </c>
      <c r="J479" s="556">
        <v>0</v>
      </c>
      <c r="K479" s="556">
        <v>0</v>
      </c>
      <c r="L479" s="917">
        <v>0</v>
      </c>
      <c r="M479" s="556">
        <v>0</v>
      </c>
      <c r="N479" s="556">
        <v>0</v>
      </c>
      <c r="O479" s="556">
        <v>0</v>
      </c>
      <c r="P479" s="918">
        <v>0</v>
      </c>
      <c r="Q479" s="556">
        <v>0</v>
      </c>
      <c r="R479" s="556">
        <v>2.1</v>
      </c>
      <c r="S479" s="556">
        <v>25119</v>
      </c>
      <c r="T479" s="921">
        <v>0</v>
      </c>
      <c r="U479" s="922">
        <v>0</v>
      </c>
      <c r="V479" s="282"/>
      <c r="W479" s="282"/>
      <c r="X479" s="282"/>
      <c r="Y479" s="92"/>
      <c r="Z479" s="92"/>
    </row>
    <row r="480" spans="1:33" ht="15.75">
      <c r="A480" s="430">
        <v>15</v>
      </c>
      <c r="B480" s="915" t="s">
        <v>904</v>
      </c>
      <c r="C480" s="556">
        <f>'часть 1'!L560</f>
        <v>51107</v>
      </c>
      <c r="D480" s="556">
        <f t="shared" si="64"/>
        <v>0</v>
      </c>
      <c r="E480" s="556">
        <v>0</v>
      </c>
      <c r="F480" s="556">
        <v>0</v>
      </c>
      <c r="G480" s="556">
        <v>0</v>
      </c>
      <c r="H480" s="556">
        <v>0</v>
      </c>
      <c r="I480" s="556">
        <v>0</v>
      </c>
      <c r="J480" s="556">
        <v>0</v>
      </c>
      <c r="K480" s="556">
        <v>0</v>
      </c>
      <c r="L480" s="917">
        <v>0</v>
      </c>
      <c r="M480" s="556">
        <v>0</v>
      </c>
      <c r="N480" s="556">
        <v>0</v>
      </c>
      <c r="O480" s="556">
        <v>0</v>
      </c>
      <c r="P480" s="918">
        <v>0</v>
      </c>
      <c r="Q480" s="556">
        <v>0</v>
      </c>
      <c r="R480" s="556">
        <v>4.5</v>
      </c>
      <c r="S480" s="556">
        <v>51107</v>
      </c>
      <c r="T480" s="921">
        <v>0</v>
      </c>
      <c r="U480" s="922">
        <v>0</v>
      </c>
      <c r="V480" s="282"/>
      <c r="W480" s="282"/>
      <c r="X480" s="282"/>
      <c r="Y480" s="92"/>
      <c r="Z480" s="92"/>
    </row>
    <row r="481" spans="1:33" ht="15.75">
      <c r="A481" s="430">
        <v>16</v>
      </c>
      <c r="B481" s="915" t="s">
        <v>905</v>
      </c>
      <c r="C481" s="556">
        <f>'часть 1'!L561</f>
        <v>87488</v>
      </c>
      <c r="D481" s="556">
        <f t="shared" si="64"/>
        <v>0</v>
      </c>
      <c r="E481" s="556">
        <v>0</v>
      </c>
      <c r="F481" s="556">
        <v>0</v>
      </c>
      <c r="G481" s="556">
        <v>0</v>
      </c>
      <c r="H481" s="556">
        <v>0</v>
      </c>
      <c r="I481" s="556">
        <v>0</v>
      </c>
      <c r="J481" s="556">
        <v>0</v>
      </c>
      <c r="K481" s="556">
        <v>0</v>
      </c>
      <c r="L481" s="917">
        <v>0</v>
      </c>
      <c r="M481" s="556">
        <v>0</v>
      </c>
      <c r="N481" s="556">
        <v>0</v>
      </c>
      <c r="O481" s="556">
        <v>0</v>
      </c>
      <c r="P481" s="918">
        <v>0</v>
      </c>
      <c r="Q481" s="556">
        <v>0</v>
      </c>
      <c r="R481" s="556">
        <v>1.5</v>
      </c>
      <c r="S481" s="556">
        <v>87488</v>
      </c>
      <c r="T481" s="921">
        <v>0</v>
      </c>
      <c r="U481" s="922">
        <v>0</v>
      </c>
      <c r="V481" s="282"/>
      <c r="W481" s="282"/>
      <c r="X481" s="282"/>
      <c r="Y481" s="92"/>
      <c r="Z481" s="92"/>
    </row>
    <row r="482" spans="1:33" ht="15.75">
      <c r="A482" s="430">
        <v>17</v>
      </c>
      <c r="B482" s="915" t="s">
        <v>906</v>
      </c>
      <c r="C482" s="556">
        <f>'часть 1'!L562</f>
        <v>87102</v>
      </c>
      <c r="D482" s="556">
        <f t="shared" si="64"/>
        <v>0</v>
      </c>
      <c r="E482" s="556">
        <v>0</v>
      </c>
      <c r="F482" s="556">
        <v>0</v>
      </c>
      <c r="G482" s="556">
        <v>0</v>
      </c>
      <c r="H482" s="556">
        <v>0</v>
      </c>
      <c r="I482" s="556">
        <v>0</v>
      </c>
      <c r="J482" s="556">
        <v>0</v>
      </c>
      <c r="K482" s="556">
        <v>0</v>
      </c>
      <c r="L482" s="917">
        <v>0</v>
      </c>
      <c r="M482" s="556">
        <v>0</v>
      </c>
      <c r="N482" s="556">
        <v>0</v>
      </c>
      <c r="O482" s="556">
        <v>0</v>
      </c>
      <c r="P482" s="918">
        <v>0</v>
      </c>
      <c r="Q482" s="556">
        <v>0</v>
      </c>
      <c r="R482" s="556">
        <v>1.4</v>
      </c>
      <c r="S482" s="556">
        <v>87102</v>
      </c>
      <c r="T482" s="921">
        <v>0</v>
      </c>
      <c r="U482" s="922">
        <v>0</v>
      </c>
      <c r="V482" s="282"/>
      <c r="W482" s="282"/>
      <c r="X482" s="282"/>
      <c r="Y482" s="92"/>
      <c r="Z482" s="92"/>
    </row>
    <row r="483" spans="1:33" ht="15.75">
      <c r="A483" s="430">
        <v>18</v>
      </c>
      <c r="B483" s="915" t="s">
        <v>907</v>
      </c>
      <c r="C483" s="556">
        <f>'часть 1'!L563</f>
        <v>53713</v>
      </c>
      <c r="D483" s="556">
        <f t="shared" si="64"/>
        <v>0</v>
      </c>
      <c r="E483" s="556">
        <v>0</v>
      </c>
      <c r="F483" s="556">
        <v>0</v>
      </c>
      <c r="G483" s="556">
        <v>0</v>
      </c>
      <c r="H483" s="556">
        <v>0</v>
      </c>
      <c r="I483" s="556">
        <v>0</v>
      </c>
      <c r="J483" s="556">
        <v>0</v>
      </c>
      <c r="K483" s="556">
        <v>0</v>
      </c>
      <c r="L483" s="917">
        <v>0</v>
      </c>
      <c r="M483" s="556">
        <v>0</v>
      </c>
      <c r="N483" s="556">
        <v>0</v>
      </c>
      <c r="O483" s="556">
        <v>0</v>
      </c>
      <c r="P483" s="918">
        <v>0</v>
      </c>
      <c r="Q483" s="556">
        <v>0</v>
      </c>
      <c r="R483" s="556">
        <v>5.2</v>
      </c>
      <c r="S483" s="556">
        <v>53713</v>
      </c>
      <c r="T483" s="921">
        <v>0</v>
      </c>
      <c r="U483" s="922">
        <v>0</v>
      </c>
      <c r="V483" s="282"/>
      <c r="W483" s="282"/>
      <c r="X483" s="282"/>
      <c r="Y483" s="92"/>
      <c r="Z483" s="92"/>
    </row>
    <row r="484" spans="1:33" ht="15.75">
      <c r="A484" s="430">
        <v>19</v>
      </c>
      <c r="B484" s="915" t="s">
        <v>908</v>
      </c>
      <c r="C484" s="556">
        <f>'часть 1'!L564</f>
        <v>242578</v>
      </c>
      <c r="D484" s="556">
        <f t="shared" si="64"/>
        <v>0</v>
      </c>
      <c r="E484" s="556">
        <v>0</v>
      </c>
      <c r="F484" s="556">
        <v>0</v>
      </c>
      <c r="G484" s="556">
        <v>0</v>
      </c>
      <c r="H484" s="556">
        <v>0</v>
      </c>
      <c r="I484" s="556">
        <v>0</v>
      </c>
      <c r="J484" s="556">
        <v>0</v>
      </c>
      <c r="K484" s="556">
        <v>0</v>
      </c>
      <c r="L484" s="917">
        <v>0</v>
      </c>
      <c r="M484" s="556">
        <v>0</v>
      </c>
      <c r="N484" s="556">
        <v>0</v>
      </c>
      <c r="O484" s="556">
        <v>0</v>
      </c>
      <c r="P484" s="918">
        <v>0</v>
      </c>
      <c r="Q484" s="556">
        <v>0</v>
      </c>
      <c r="R484" s="556">
        <v>4.7</v>
      </c>
      <c r="S484" s="556">
        <v>51879</v>
      </c>
      <c r="T484" s="921">
        <v>106</v>
      </c>
      <c r="U484" s="922">
        <v>190699</v>
      </c>
      <c r="V484" s="282"/>
      <c r="W484" s="282"/>
      <c r="X484" s="282"/>
      <c r="Y484" s="92"/>
      <c r="Z484" s="92"/>
      <c r="AG484" s="1">
        <f>U484/T484</f>
        <v>1799.0471698113208</v>
      </c>
    </row>
    <row r="485" spans="1:33" ht="15.75">
      <c r="A485" s="430">
        <v>20</v>
      </c>
      <c r="B485" s="915" t="s">
        <v>390</v>
      </c>
      <c r="C485" s="556">
        <f>'часть 1'!L565</f>
        <v>52265</v>
      </c>
      <c r="D485" s="556">
        <f t="shared" si="64"/>
        <v>0</v>
      </c>
      <c r="E485" s="556">
        <v>0</v>
      </c>
      <c r="F485" s="556">
        <v>0</v>
      </c>
      <c r="G485" s="556">
        <v>0</v>
      </c>
      <c r="H485" s="556">
        <v>0</v>
      </c>
      <c r="I485" s="556">
        <v>0</v>
      </c>
      <c r="J485" s="556">
        <v>0</v>
      </c>
      <c r="K485" s="556">
        <v>0</v>
      </c>
      <c r="L485" s="917">
        <v>0</v>
      </c>
      <c r="M485" s="556">
        <v>0</v>
      </c>
      <c r="N485" s="556">
        <v>0</v>
      </c>
      <c r="O485" s="556">
        <v>0</v>
      </c>
      <c r="P485" s="918">
        <v>0</v>
      </c>
      <c r="Q485" s="556">
        <v>0</v>
      </c>
      <c r="R485" s="556">
        <v>4.8</v>
      </c>
      <c r="S485" s="556">
        <v>52265</v>
      </c>
      <c r="T485" s="921">
        <v>0</v>
      </c>
      <c r="U485" s="922">
        <v>0</v>
      </c>
      <c r="V485" s="282"/>
      <c r="W485" s="282"/>
      <c r="X485" s="282"/>
      <c r="Y485" s="92"/>
      <c r="Z485" s="92"/>
    </row>
    <row r="486" spans="1:33" ht="15.75">
      <c r="A486" s="430">
        <v>21</v>
      </c>
      <c r="B486" s="915" t="s">
        <v>909</v>
      </c>
      <c r="C486" s="556">
        <f>'часть 1'!L566</f>
        <v>81602</v>
      </c>
      <c r="D486" s="556">
        <f t="shared" si="64"/>
        <v>0</v>
      </c>
      <c r="E486" s="556">
        <v>0</v>
      </c>
      <c r="F486" s="556">
        <v>0</v>
      </c>
      <c r="G486" s="556">
        <v>0</v>
      </c>
      <c r="H486" s="556">
        <v>0</v>
      </c>
      <c r="I486" s="556">
        <v>0</v>
      </c>
      <c r="J486" s="556">
        <v>0</v>
      </c>
      <c r="K486" s="556">
        <v>0</v>
      </c>
      <c r="L486" s="917">
        <v>0</v>
      </c>
      <c r="M486" s="556">
        <v>0</v>
      </c>
      <c r="N486" s="556">
        <v>0</v>
      </c>
      <c r="O486" s="556">
        <v>0</v>
      </c>
      <c r="P486" s="918">
        <v>0</v>
      </c>
      <c r="Q486" s="556">
        <v>0</v>
      </c>
      <c r="R486" s="556">
        <v>1.3</v>
      </c>
      <c r="S486" s="556">
        <v>81602</v>
      </c>
      <c r="T486" s="921">
        <v>0</v>
      </c>
      <c r="U486" s="922">
        <v>0</v>
      </c>
      <c r="V486" s="282"/>
      <c r="W486" s="282"/>
      <c r="X486" s="282"/>
      <c r="Y486" s="92"/>
      <c r="Z486" s="92"/>
    </row>
    <row r="487" spans="1:33" ht="15.75">
      <c r="A487" s="430">
        <v>22</v>
      </c>
      <c r="B487" s="915" t="s">
        <v>232</v>
      </c>
      <c r="C487" s="556">
        <f>'часть 1'!L567</f>
        <v>87295</v>
      </c>
      <c r="D487" s="556">
        <f t="shared" si="64"/>
        <v>0</v>
      </c>
      <c r="E487" s="556">
        <v>0</v>
      </c>
      <c r="F487" s="556">
        <v>0</v>
      </c>
      <c r="G487" s="556">
        <v>0</v>
      </c>
      <c r="H487" s="556">
        <v>0</v>
      </c>
      <c r="I487" s="556">
        <v>0</v>
      </c>
      <c r="J487" s="556">
        <v>0</v>
      </c>
      <c r="K487" s="556">
        <v>0</v>
      </c>
      <c r="L487" s="917">
        <v>0</v>
      </c>
      <c r="M487" s="556">
        <v>0</v>
      </c>
      <c r="N487" s="556">
        <v>0</v>
      </c>
      <c r="O487" s="556">
        <v>0</v>
      </c>
      <c r="P487" s="918">
        <v>0</v>
      </c>
      <c r="Q487" s="556">
        <v>0</v>
      </c>
      <c r="R487" s="556">
        <v>1.4</v>
      </c>
      <c r="S487" s="556">
        <v>87295</v>
      </c>
      <c r="T487" s="921">
        <v>0</v>
      </c>
      <c r="U487" s="922">
        <v>0</v>
      </c>
      <c r="V487" s="282"/>
      <c r="W487" s="282"/>
      <c r="X487" s="282"/>
      <c r="Y487" s="92"/>
      <c r="Z487" s="92"/>
    </row>
    <row r="488" spans="1:33" ht="15.75">
      <c r="A488" s="430">
        <v>23</v>
      </c>
      <c r="B488" s="915" t="s">
        <v>910</v>
      </c>
      <c r="C488" s="556">
        <f>'часть 1'!L568</f>
        <v>51879</v>
      </c>
      <c r="D488" s="556">
        <f t="shared" si="64"/>
        <v>0</v>
      </c>
      <c r="E488" s="556">
        <v>0</v>
      </c>
      <c r="F488" s="556">
        <v>0</v>
      </c>
      <c r="G488" s="556">
        <v>0</v>
      </c>
      <c r="H488" s="556">
        <v>0</v>
      </c>
      <c r="I488" s="556">
        <v>0</v>
      </c>
      <c r="J488" s="556">
        <v>0</v>
      </c>
      <c r="K488" s="556">
        <v>0</v>
      </c>
      <c r="L488" s="917">
        <v>0</v>
      </c>
      <c r="M488" s="556">
        <v>0</v>
      </c>
      <c r="N488" s="556">
        <v>0</v>
      </c>
      <c r="O488" s="556">
        <v>0</v>
      </c>
      <c r="P488" s="918">
        <v>0</v>
      </c>
      <c r="Q488" s="556">
        <v>0</v>
      </c>
      <c r="R488" s="556">
        <v>7</v>
      </c>
      <c r="S488" s="556">
        <v>51879</v>
      </c>
      <c r="T488" s="921">
        <v>0</v>
      </c>
      <c r="U488" s="922">
        <v>0</v>
      </c>
      <c r="V488" s="282"/>
      <c r="W488" s="282"/>
      <c r="X488" s="282"/>
      <c r="Y488" s="92"/>
      <c r="Z488" s="92"/>
    </row>
    <row r="489" spans="1:33" ht="15.75">
      <c r="A489" s="430">
        <v>24</v>
      </c>
      <c r="B489" s="915" t="s">
        <v>911</v>
      </c>
      <c r="C489" s="556">
        <f>'часть 1'!L569</f>
        <v>51879</v>
      </c>
      <c r="D489" s="556">
        <f t="shared" si="64"/>
        <v>0</v>
      </c>
      <c r="E489" s="556">
        <v>0</v>
      </c>
      <c r="F489" s="556">
        <v>0</v>
      </c>
      <c r="G489" s="556">
        <v>0</v>
      </c>
      <c r="H489" s="556">
        <v>0</v>
      </c>
      <c r="I489" s="556">
        <v>0</v>
      </c>
      <c r="J489" s="556">
        <v>0</v>
      </c>
      <c r="K489" s="556">
        <v>0</v>
      </c>
      <c r="L489" s="917">
        <v>0</v>
      </c>
      <c r="M489" s="556">
        <v>0</v>
      </c>
      <c r="N489" s="556">
        <v>0</v>
      </c>
      <c r="O489" s="556">
        <v>0</v>
      </c>
      <c r="P489" s="918">
        <v>0</v>
      </c>
      <c r="Q489" s="556">
        <v>0</v>
      </c>
      <c r="R489" s="556">
        <v>4.7</v>
      </c>
      <c r="S489" s="556">
        <v>51879</v>
      </c>
      <c r="T489" s="921">
        <v>0</v>
      </c>
      <c r="U489" s="922">
        <v>0</v>
      </c>
      <c r="V489" s="282"/>
      <c r="W489" s="282"/>
      <c r="X489" s="282"/>
      <c r="Y489" s="92"/>
      <c r="Z489" s="92"/>
    </row>
    <row r="490" spans="1:33" ht="15.75">
      <c r="A490" s="430">
        <v>25</v>
      </c>
      <c r="B490" s="915" t="s">
        <v>912</v>
      </c>
      <c r="C490" s="556">
        <f>'часть 1'!L570</f>
        <v>52072</v>
      </c>
      <c r="D490" s="556">
        <f t="shared" si="64"/>
        <v>0</v>
      </c>
      <c r="E490" s="556">
        <v>0</v>
      </c>
      <c r="F490" s="556">
        <v>0</v>
      </c>
      <c r="G490" s="556">
        <v>0</v>
      </c>
      <c r="H490" s="556">
        <v>0</v>
      </c>
      <c r="I490" s="556">
        <v>0</v>
      </c>
      <c r="J490" s="556">
        <v>0</v>
      </c>
      <c r="K490" s="556">
        <v>0</v>
      </c>
      <c r="L490" s="917">
        <v>0</v>
      </c>
      <c r="M490" s="556">
        <v>0</v>
      </c>
      <c r="N490" s="556">
        <v>0</v>
      </c>
      <c r="O490" s="556">
        <v>0</v>
      </c>
      <c r="P490" s="918">
        <v>0</v>
      </c>
      <c r="Q490" s="556">
        <v>0</v>
      </c>
      <c r="R490" s="556">
        <v>4.7</v>
      </c>
      <c r="S490" s="556">
        <v>52072</v>
      </c>
      <c r="T490" s="921">
        <v>0</v>
      </c>
      <c r="U490" s="922">
        <v>0</v>
      </c>
      <c r="V490" s="282"/>
      <c r="W490" s="282"/>
      <c r="X490" s="282"/>
      <c r="Y490" s="92"/>
      <c r="Z490" s="92"/>
    </row>
    <row r="491" spans="1:33" ht="15.75">
      <c r="A491" s="430">
        <v>26</v>
      </c>
      <c r="B491" s="915" t="s">
        <v>913</v>
      </c>
      <c r="C491" s="556">
        <f>'часть 1'!L571</f>
        <v>51879</v>
      </c>
      <c r="D491" s="556">
        <f t="shared" si="64"/>
        <v>0</v>
      </c>
      <c r="E491" s="556">
        <v>0</v>
      </c>
      <c r="F491" s="556">
        <v>0</v>
      </c>
      <c r="G491" s="556">
        <v>0</v>
      </c>
      <c r="H491" s="556">
        <v>0</v>
      </c>
      <c r="I491" s="556">
        <v>0</v>
      </c>
      <c r="J491" s="556">
        <v>0</v>
      </c>
      <c r="K491" s="556">
        <v>0</v>
      </c>
      <c r="L491" s="917">
        <v>0</v>
      </c>
      <c r="M491" s="556">
        <v>0</v>
      </c>
      <c r="N491" s="556">
        <v>0</v>
      </c>
      <c r="O491" s="556">
        <v>0</v>
      </c>
      <c r="P491" s="918">
        <v>0</v>
      </c>
      <c r="Q491" s="556">
        <v>0</v>
      </c>
      <c r="R491" s="556">
        <v>4.7</v>
      </c>
      <c r="S491" s="556">
        <v>51879</v>
      </c>
      <c r="T491" s="921">
        <v>0</v>
      </c>
      <c r="U491" s="922">
        <v>0</v>
      </c>
      <c r="V491" s="282"/>
      <c r="W491" s="282"/>
      <c r="X491" s="282"/>
      <c r="Y491" s="92"/>
      <c r="Z491" s="92"/>
    </row>
    <row r="492" spans="1:33" ht="15.75">
      <c r="A492" s="430">
        <v>27</v>
      </c>
      <c r="B492" s="915" t="s">
        <v>914</v>
      </c>
      <c r="C492" s="556">
        <f>'часть 1'!L572</f>
        <v>77819</v>
      </c>
      <c r="D492" s="556">
        <f t="shared" si="64"/>
        <v>0</v>
      </c>
      <c r="E492" s="556">
        <v>0</v>
      </c>
      <c r="F492" s="556">
        <v>0</v>
      </c>
      <c r="G492" s="556">
        <v>0</v>
      </c>
      <c r="H492" s="556">
        <v>0</v>
      </c>
      <c r="I492" s="556">
        <v>0</v>
      </c>
      <c r="J492" s="556">
        <v>0</v>
      </c>
      <c r="K492" s="556">
        <v>0</v>
      </c>
      <c r="L492" s="917">
        <v>0</v>
      </c>
      <c r="M492" s="556">
        <v>0</v>
      </c>
      <c r="N492" s="556">
        <v>0</v>
      </c>
      <c r="O492" s="556">
        <v>0</v>
      </c>
      <c r="P492" s="918">
        <v>0</v>
      </c>
      <c r="Q492" s="556">
        <v>0</v>
      </c>
      <c r="R492" s="556">
        <v>7.6</v>
      </c>
      <c r="S492" s="556">
        <v>77819</v>
      </c>
      <c r="T492" s="921">
        <v>0</v>
      </c>
      <c r="U492" s="922">
        <v>0</v>
      </c>
      <c r="V492" s="282"/>
      <c r="W492" s="282"/>
      <c r="X492" s="282"/>
      <c r="Y492" s="92"/>
      <c r="Z492" s="92"/>
    </row>
    <row r="493" spans="1:33" ht="15.75">
      <c r="A493" s="430">
        <v>28</v>
      </c>
      <c r="B493" s="915" t="s">
        <v>915</v>
      </c>
      <c r="C493" s="556">
        <f>'часть 1'!L573</f>
        <v>51879</v>
      </c>
      <c r="D493" s="556">
        <f t="shared" si="64"/>
        <v>0</v>
      </c>
      <c r="E493" s="556">
        <v>0</v>
      </c>
      <c r="F493" s="556">
        <v>0</v>
      </c>
      <c r="G493" s="556">
        <v>0</v>
      </c>
      <c r="H493" s="556">
        <v>0</v>
      </c>
      <c r="I493" s="556">
        <v>0</v>
      </c>
      <c r="J493" s="556">
        <v>0</v>
      </c>
      <c r="K493" s="556">
        <v>0</v>
      </c>
      <c r="L493" s="917">
        <v>0</v>
      </c>
      <c r="M493" s="556">
        <v>0</v>
      </c>
      <c r="N493" s="556">
        <v>0</v>
      </c>
      <c r="O493" s="556">
        <v>0</v>
      </c>
      <c r="P493" s="918">
        <v>0</v>
      </c>
      <c r="Q493" s="556">
        <v>0</v>
      </c>
      <c r="R493" s="556">
        <v>4.7</v>
      </c>
      <c r="S493" s="556">
        <v>51879</v>
      </c>
      <c r="T493" s="923">
        <v>0</v>
      </c>
      <c r="U493" s="922">
        <v>0</v>
      </c>
      <c r="V493" s="282"/>
      <c r="W493" s="282"/>
      <c r="X493" s="282"/>
      <c r="Y493" s="92"/>
      <c r="Z493" s="92"/>
    </row>
    <row r="494" spans="1:33" ht="15.75">
      <c r="A494" s="430">
        <v>29</v>
      </c>
      <c r="B494" s="915" t="s">
        <v>916</v>
      </c>
      <c r="C494" s="556">
        <f>'часть 1'!L574</f>
        <v>51783</v>
      </c>
      <c r="D494" s="556">
        <f t="shared" si="64"/>
        <v>0</v>
      </c>
      <c r="E494" s="556">
        <v>0</v>
      </c>
      <c r="F494" s="556">
        <v>0</v>
      </c>
      <c r="G494" s="556">
        <v>0</v>
      </c>
      <c r="H494" s="556">
        <v>0</v>
      </c>
      <c r="I494" s="556">
        <v>0</v>
      </c>
      <c r="J494" s="556">
        <v>0</v>
      </c>
      <c r="K494" s="556">
        <v>0</v>
      </c>
      <c r="L494" s="917">
        <v>0</v>
      </c>
      <c r="M494" s="556">
        <v>0</v>
      </c>
      <c r="N494" s="556">
        <v>0</v>
      </c>
      <c r="O494" s="556">
        <v>0</v>
      </c>
      <c r="P494" s="918">
        <v>0</v>
      </c>
      <c r="Q494" s="556">
        <v>0</v>
      </c>
      <c r="R494" s="556">
        <v>4.7</v>
      </c>
      <c r="S494" s="556">
        <v>51783</v>
      </c>
      <c r="T494" s="921">
        <v>0</v>
      </c>
      <c r="U494" s="922">
        <v>0</v>
      </c>
      <c r="V494" s="282"/>
      <c r="W494" s="282"/>
      <c r="X494" s="282"/>
      <c r="Y494" s="92"/>
      <c r="Z494" s="92"/>
    </row>
    <row r="495" spans="1:33" ht="15.75">
      <c r="A495" s="430">
        <v>30</v>
      </c>
      <c r="B495" s="915" t="s">
        <v>917</v>
      </c>
      <c r="C495" s="556">
        <f>'часть 1'!L575</f>
        <v>51011</v>
      </c>
      <c r="D495" s="556">
        <f t="shared" si="64"/>
        <v>0</v>
      </c>
      <c r="E495" s="556">
        <v>0</v>
      </c>
      <c r="F495" s="556">
        <v>0</v>
      </c>
      <c r="G495" s="556">
        <v>0</v>
      </c>
      <c r="H495" s="556">
        <v>0</v>
      </c>
      <c r="I495" s="556">
        <v>0</v>
      </c>
      <c r="J495" s="556">
        <v>0</v>
      </c>
      <c r="K495" s="556">
        <v>0</v>
      </c>
      <c r="L495" s="917">
        <v>0</v>
      </c>
      <c r="M495" s="556">
        <v>0</v>
      </c>
      <c r="N495" s="556">
        <v>0</v>
      </c>
      <c r="O495" s="556">
        <v>0</v>
      </c>
      <c r="P495" s="918">
        <v>0</v>
      </c>
      <c r="Q495" s="556">
        <v>0</v>
      </c>
      <c r="R495" s="556">
        <v>4.4000000000000004</v>
      </c>
      <c r="S495" s="556">
        <v>51011</v>
      </c>
      <c r="T495" s="923">
        <v>0</v>
      </c>
      <c r="U495" s="922">
        <v>0</v>
      </c>
      <c r="V495" s="282"/>
      <c r="W495" s="282"/>
      <c r="X495" s="282"/>
      <c r="Y495" s="92"/>
      <c r="Z495" s="92"/>
    </row>
    <row r="496" spans="1:33" ht="15.75">
      <c r="A496" s="430">
        <v>31</v>
      </c>
      <c r="B496" s="915" t="s">
        <v>918</v>
      </c>
      <c r="C496" s="556">
        <f>'часть 1'!L576</f>
        <v>78398</v>
      </c>
      <c r="D496" s="556">
        <f t="shared" si="64"/>
        <v>0</v>
      </c>
      <c r="E496" s="556">
        <v>0</v>
      </c>
      <c r="F496" s="556">
        <v>0</v>
      </c>
      <c r="G496" s="556">
        <v>0</v>
      </c>
      <c r="H496" s="556">
        <v>0</v>
      </c>
      <c r="I496" s="556">
        <v>0</v>
      </c>
      <c r="J496" s="556">
        <v>0</v>
      </c>
      <c r="K496" s="556">
        <v>0</v>
      </c>
      <c r="L496" s="917">
        <v>0</v>
      </c>
      <c r="M496" s="556">
        <v>0</v>
      </c>
      <c r="N496" s="556">
        <v>0</v>
      </c>
      <c r="O496" s="556">
        <v>0</v>
      </c>
      <c r="P496" s="918">
        <v>0</v>
      </c>
      <c r="Q496" s="556">
        <v>0</v>
      </c>
      <c r="R496" s="556">
        <v>7.2</v>
      </c>
      <c r="S496" s="556">
        <v>78398</v>
      </c>
      <c r="T496" s="921">
        <v>0</v>
      </c>
      <c r="U496" s="922">
        <v>0</v>
      </c>
      <c r="V496" s="282"/>
      <c r="W496" s="282"/>
      <c r="X496" s="282"/>
      <c r="Y496" s="92"/>
      <c r="Z496" s="92"/>
    </row>
    <row r="497" spans="1:26" ht="15.75">
      <c r="A497" s="430">
        <v>32</v>
      </c>
      <c r="B497" s="915" t="s">
        <v>919</v>
      </c>
      <c r="C497" s="556">
        <f>'часть 1'!L577</f>
        <v>78012</v>
      </c>
      <c r="D497" s="556">
        <f t="shared" si="64"/>
        <v>0</v>
      </c>
      <c r="E497" s="556">
        <v>0</v>
      </c>
      <c r="F497" s="556">
        <v>0</v>
      </c>
      <c r="G497" s="556">
        <v>0</v>
      </c>
      <c r="H497" s="556">
        <v>0</v>
      </c>
      <c r="I497" s="556">
        <v>0</v>
      </c>
      <c r="J497" s="556">
        <v>0</v>
      </c>
      <c r="K497" s="556">
        <v>0</v>
      </c>
      <c r="L497" s="917">
        <v>0</v>
      </c>
      <c r="M497" s="556">
        <v>0</v>
      </c>
      <c r="N497" s="556">
        <v>0</v>
      </c>
      <c r="O497" s="556">
        <v>0</v>
      </c>
      <c r="P497" s="918">
        <v>0</v>
      </c>
      <c r="Q497" s="556">
        <v>0</v>
      </c>
      <c r="R497" s="556">
        <v>7.1</v>
      </c>
      <c r="S497" s="556">
        <v>78012</v>
      </c>
      <c r="T497" s="923">
        <v>0</v>
      </c>
      <c r="U497" s="922">
        <v>0</v>
      </c>
      <c r="V497" s="282"/>
      <c r="W497" s="282"/>
      <c r="X497" s="282"/>
      <c r="Y497" s="92"/>
      <c r="Z497" s="92"/>
    </row>
    <row r="498" spans="1:26" ht="15.75">
      <c r="A498" s="430">
        <v>33</v>
      </c>
      <c r="B498" s="915" t="s">
        <v>920</v>
      </c>
      <c r="C498" s="556">
        <f>'часть 1'!L578</f>
        <v>52265</v>
      </c>
      <c r="D498" s="556">
        <f t="shared" si="64"/>
        <v>0</v>
      </c>
      <c r="E498" s="556">
        <v>0</v>
      </c>
      <c r="F498" s="556">
        <v>0</v>
      </c>
      <c r="G498" s="556">
        <v>0</v>
      </c>
      <c r="H498" s="556">
        <v>0</v>
      </c>
      <c r="I498" s="556">
        <v>0</v>
      </c>
      <c r="J498" s="556">
        <v>0</v>
      </c>
      <c r="K498" s="556">
        <v>0</v>
      </c>
      <c r="L498" s="917">
        <v>0</v>
      </c>
      <c r="M498" s="556">
        <v>0</v>
      </c>
      <c r="N498" s="556">
        <v>0</v>
      </c>
      <c r="O498" s="556">
        <v>0</v>
      </c>
      <c r="P498" s="918">
        <v>0</v>
      </c>
      <c r="Q498" s="556">
        <v>0</v>
      </c>
      <c r="R498" s="556">
        <v>7.2</v>
      </c>
      <c r="S498" s="556">
        <v>52265</v>
      </c>
      <c r="T498" s="921">
        <v>0</v>
      </c>
      <c r="U498" s="922">
        <v>0</v>
      </c>
      <c r="V498" s="282"/>
      <c r="W498" s="282"/>
      <c r="X498" s="282"/>
      <c r="Y498" s="92"/>
      <c r="Z498" s="92"/>
    </row>
    <row r="499" spans="1:26" ht="15.75">
      <c r="A499" s="430">
        <v>34</v>
      </c>
      <c r="B499" s="915" t="s">
        <v>921</v>
      </c>
      <c r="C499" s="556">
        <f>'часть 1'!L579</f>
        <v>242964</v>
      </c>
      <c r="D499" s="556">
        <f t="shared" si="64"/>
        <v>0</v>
      </c>
      <c r="E499" s="556">
        <v>0</v>
      </c>
      <c r="F499" s="556">
        <v>0</v>
      </c>
      <c r="G499" s="556">
        <v>0</v>
      </c>
      <c r="H499" s="556">
        <v>0</v>
      </c>
      <c r="I499" s="556">
        <v>0</v>
      </c>
      <c r="J499" s="556">
        <v>0</v>
      </c>
      <c r="K499" s="556">
        <v>0</v>
      </c>
      <c r="L499" s="917">
        <v>0</v>
      </c>
      <c r="M499" s="556">
        <v>0</v>
      </c>
      <c r="N499" s="556">
        <v>0</v>
      </c>
      <c r="O499" s="556">
        <v>0</v>
      </c>
      <c r="P499" s="918">
        <v>0</v>
      </c>
      <c r="Q499" s="556">
        <v>0</v>
      </c>
      <c r="R499" s="556">
        <v>4.8</v>
      </c>
      <c r="S499" s="556">
        <v>52265</v>
      </c>
      <c r="T499" s="921">
        <v>106</v>
      </c>
      <c r="U499" s="922">
        <v>190699</v>
      </c>
      <c r="V499" s="282"/>
      <c r="W499" s="282"/>
      <c r="X499" s="282"/>
      <c r="Y499" s="92"/>
      <c r="Z499" s="92"/>
    </row>
    <row r="500" spans="1:26" ht="15.75">
      <c r="A500" s="430">
        <v>35</v>
      </c>
      <c r="B500" s="915" t="s">
        <v>922</v>
      </c>
      <c r="C500" s="556">
        <f>'часть 1'!L580</f>
        <v>87102</v>
      </c>
      <c r="D500" s="556">
        <f t="shared" si="64"/>
        <v>0</v>
      </c>
      <c r="E500" s="556">
        <v>0</v>
      </c>
      <c r="F500" s="556">
        <v>0</v>
      </c>
      <c r="G500" s="556">
        <v>0</v>
      </c>
      <c r="H500" s="556">
        <v>0</v>
      </c>
      <c r="I500" s="556">
        <v>0</v>
      </c>
      <c r="J500" s="556">
        <v>0</v>
      </c>
      <c r="K500" s="556">
        <v>0</v>
      </c>
      <c r="L500" s="917">
        <v>0</v>
      </c>
      <c r="M500" s="556">
        <v>0</v>
      </c>
      <c r="N500" s="556">
        <v>0</v>
      </c>
      <c r="O500" s="556">
        <v>0</v>
      </c>
      <c r="P500" s="918">
        <v>0</v>
      </c>
      <c r="Q500" s="556">
        <v>0</v>
      </c>
      <c r="R500" s="556">
        <v>1.4</v>
      </c>
      <c r="S500" s="556">
        <v>87102</v>
      </c>
      <c r="T500" s="917">
        <v>0</v>
      </c>
      <c r="U500" s="922">
        <v>0</v>
      </c>
      <c r="V500" s="282"/>
      <c r="W500" s="282"/>
      <c r="X500" s="282"/>
      <c r="Y500" s="92"/>
      <c r="Z500" s="92"/>
    </row>
    <row r="501" spans="1:26">
      <c r="A501" s="198"/>
      <c r="B501" s="216" t="s">
        <v>60</v>
      </c>
      <c r="C501" s="211">
        <v>9462538</v>
      </c>
      <c r="D501" s="211"/>
      <c r="E501" s="211"/>
      <c r="F501" s="211"/>
      <c r="G501" s="211"/>
      <c r="H501" s="211"/>
      <c r="I501" s="211"/>
      <c r="J501" s="211"/>
      <c r="K501" s="211">
        <v>0</v>
      </c>
      <c r="L501" s="212">
        <v>0</v>
      </c>
      <c r="M501" s="211">
        <v>0</v>
      </c>
      <c r="N501" s="211">
        <v>0</v>
      </c>
      <c r="O501" s="211">
        <v>0</v>
      </c>
      <c r="P501" s="213">
        <v>0</v>
      </c>
      <c r="Q501" s="211">
        <v>0</v>
      </c>
      <c r="R501" s="211">
        <v>4347</v>
      </c>
      <c r="S501" s="211">
        <v>6288728</v>
      </c>
      <c r="T501" s="212">
        <v>0</v>
      </c>
      <c r="U501" s="290">
        <v>0</v>
      </c>
      <c r="V501" s="282"/>
      <c r="W501" s="282"/>
      <c r="X501" s="282"/>
    </row>
    <row r="502" spans="1:26" ht="30">
      <c r="A502" s="198"/>
      <c r="B502" s="214" t="s">
        <v>113</v>
      </c>
      <c r="C502" s="211">
        <v>9462538</v>
      </c>
      <c r="D502" s="211"/>
      <c r="E502" s="211"/>
      <c r="F502" s="211"/>
      <c r="G502" s="211"/>
      <c r="H502" s="211"/>
      <c r="I502" s="211"/>
      <c r="J502" s="211"/>
      <c r="K502" s="211">
        <v>0</v>
      </c>
      <c r="L502" s="212">
        <v>0</v>
      </c>
      <c r="M502" s="211">
        <v>0</v>
      </c>
      <c r="N502" s="211">
        <v>1596</v>
      </c>
      <c r="O502" s="211">
        <v>3173810</v>
      </c>
      <c r="P502" s="213">
        <v>0</v>
      </c>
      <c r="Q502" s="211">
        <v>0</v>
      </c>
      <c r="R502" s="211">
        <v>4347</v>
      </c>
      <c r="S502" s="211">
        <v>6288728</v>
      </c>
      <c r="T502" s="212">
        <v>0</v>
      </c>
      <c r="U502" s="290">
        <v>0</v>
      </c>
      <c r="V502" s="282"/>
      <c r="W502" s="282"/>
      <c r="X502" s="282"/>
      <c r="Y502" s="10"/>
      <c r="Z502" s="10"/>
    </row>
    <row r="503" spans="1:26" s="32" customFormat="1">
      <c r="A503" s="198">
        <v>435</v>
      </c>
      <c r="B503" s="206" t="s">
        <v>887</v>
      </c>
      <c r="C503" s="232">
        <f>'часть 1'!L462</f>
        <v>3626543</v>
      </c>
      <c r="D503" s="232"/>
      <c r="E503" s="232"/>
      <c r="F503" s="232"/>
      <c r="G503" s="232"/>
      <c r="H503" s="232"/>
      <c r="I503" s="232"/>
      <c r="J503" s="232"/>
      <c r="K503" s="211">
        <v>0</v>
      </c>
      <c r="L503" s="212">
        <v>0</v>
      </c>
      <c r="M503" s="211">
        <v>0</v>
      </c>
      <c r="N503" s="211">
        <v>0</v>
      </c>
      <c r="O503" s="211">
        <v>0</v>
      </c>
      <c r="P503" s="213">
        <v>0</v>
      </c>
      <c r="Q503" s="211">
        <v>0</v>
      </c>
      <c r="R503" s="232">
        <v>2511</v>
      </c>
      <c r="S503" s="232">
        <v>3626543</v>
      </c>
      <c r="T503" s="212">
        <v>0</v>
      </c>
      <c r="U503" s="290">
        <v>0</v>
      </c>
      <c r="V503" s="282"/>
      <c r="W503" s="282"/>
      <c r="X503" s="282"/>
      <c r="Y503" s="31"/>
      <c r="Z503" s="31"/>
    </row>
    <row r="504" spans="1:26" s="32" customFormat="1">
      <c r="A504" s="198">
        <v>436</v>
      </c>
      <c r="B504" s="206" t="s">
        <v>888</v>
      </c>
      <c r="C504" s="232">
        <f>'часть 1'!L463</f>
        <v>2160246</v>
      </c>
      <c r="D504" s="232"/>
      <c r="E504" s="232"/>
      <c r="F504" s="232"/>
      <c r="G504" s="232"/>
      <c r="H504" s="232"/>
      <c r="I504" s="232"/>
      <c r="J504" s="232"/>
      <c r="K504" s="211">
        <v>0</v>
      </c>
      <c r="L504" s="212">
        <v>0</v>
      </c>
      <c r="M504" s="211">
        <v>0</v>
      </c>
      <c r="N504" s="232">
        <v>1092</v>
      </c>
      <c r="O504" s="232">
        <v>2160246</v>
      </c>
      <c r="P504" s="213">
        <v>0</v>
      </c>
      <c r="Q504" s="211">
        <v>0</v>
      </c>
      <c r="R504" s="213">
        <v>0</v>
      </c>
      <c r="S504" s="211">
        <v>0</v>
      </c>
      <c r="T504" s="212">
        <v>0</v>
      </c>
      <c r="U504" s="290">
        <v>0</v>
      </c>
      <c r="V504" s="282"/>
      <c r="W504" s="282"/>
      <c r="X504" s="282"/>
      <c r="Y504" s="31"/>
      <c r="Z504" s="31"/>
    </row>
    <row r="505" spans="1:26" s="32" customFormat="1">
      <c r="A505" s="198">
        <v>437</v>
      </c>
      <c r="B505" s="206" t="s">
        <v>889</v>
      </c>
      <c r="C505" s="232">
        <f>'часть 1'!L464</f>
        <v>1013564</v>
      </c>
      <c r="D505" s="232"/>
      <c r="E505" s="232"/>
      <c r="F505" s="232"/>
      <c r="G505" s="232"/>
      <c r="H505" s="232"/>
      <c r="I505" s="232"/>
      <c r="J505" s="232"/>
      <c r="K505" s="211">
        <v>0</v>
      </c>
      <c r="L505" s="212">
        <v>0</v>
      </c>
      <c r="M505" s="211">
        <v>0</v>
      </c>
      <c r="N505" s="232">
        <v>504</v>
      </c>
      <c r="O505" s="232">
        <v>1013564</v>
      </c>
      <c r="P505" s="213">
        <v>0</v>
      </c>
      <c r="Q505" s="211">
        <v>0</v>
      </c>
      <c r="R505" s="213">
        <v>0</v>
      </c>
      <c r="S505" s="211">
        <v>0</v>
      </c>
      <c r="T505" s="212">
        <v>0</v>
      </c>
      <c r="U505" s="290">
        <v>0</v>
      </c>
      <c r="V505" s="282"/>
      <c r="W505" s="282"/>
      <c r="X505" s="282"/>
      <c r="Y505" s="31"/>
      <c r="Z505" s="31"/>
    </row>
    <row r="506" spans="1:26" s="32" customFormat="1">
      <c r="A506" s="198"/>
      <c r="B506" s="206" t="s">
        <v>208</v>
      </c>
      <c r="C506" s="232">
        <v>562350</v>
      </c>
      <c r="D506" s="232"/>
      <c r="E506" s="232"/>
      <c r="F506" s="232"/>
      <c r="G506" s="232"/>
      <c r="H506" s="232"/>
      <c r="I506" s="232"/>
      <c r="J506" s="232"/>
      <c r="K506" s="232">
        <v>0</v>
      </c>
      <c r="L506" s="239">
        <v>0</v>
      </c>
      <c r="M506" s="232">
        <v>0</v>
      </c>
      <c r="N506" s="232">
        <v>275</v>
      </c>
      <c r="O506" s="232">
        <v>562350</v>
      </c>
      <c r="P506" s="230">
        <v>0</v>
      </c>
      <c r="Q506" s="232">
        <v>0</v>
      </c>
      <c r="R506" s="230">
        <v>0</v>
      </c>
      <c r="S506" s="232">
        <v>0</v>
      </c>
      <c r="T506" s="230">
        <v>0</v>
      </c>
      <c r="U506" s="295">
        <v>0</v>
      </c>
      <c r="V506" s="282"/>
      <c r="W506" s="282"/>
      <c r="X506" s="282"/>
      <c r="Y506" s="31"/>
      <c r="Z506" s="31"/>
    </row>
    <row r="507" spans="1:26" s="32" customFormat="1" ht="30">
      <c r="A507" s="198"/>
      <c r="B507" s="214" t="s">
        <v>209</v>
      </c>
      <c r="C507" s="232">
        <f>C508</f>
        <v>1167102</v>
      </c>
      <c r="D507" s="232">
        <f t="shared" ref="D507:U507" si="65">D508</f>
        <v>0</v>
      </c>
      <c r="E507" s="232">
        <f t="shared" si="65"/>
        <v>0</v>
      </c>
      <c r="F507" s="232">
        <f t="shared" si="65"/>
        <v>0</v>
      </c>
      <c r="G507" s="232">
        <f t="shared" si="65"/>
        <v>0</v>
      </c>
      <c r="H507" s="232">
        <f t="shared" si="65"/>
        <v>0</v>
      </c>
      <c r="I507" s="232">
        <f t="shared" si="65"/>
        <v>0</v>
      </c>
      <c r="J507" s="232">
        <f t="shared" si="65"/>
        <v>0</v>
      </c>
      <c r="K507" s="232">
        <f t="shared" si="65"/>
        <v>0</v>
      </c>
      <c r="L507" s="232">
        <f t="shared" si="65"/>
        <v>0</v>
      </c>
      <c r="M507" s="232">
        <f t="shared" si="65"/>
        <v>0</v>
      </c>
      <c r="N507" s="232">
        <f t="shared" si="65"/>
        <v>368</v>
      </c>
      <c r="O507" s="232">
        <f t="shared" si="65"/>
        <v>1167102</v>
      </c>
      <c r="P507" s="232">
        <f t="shared" si="65"/>
        <v>0</v>
      </c>
      <c r="Q507" s="232">
        <f t="shared" si="65"/>
        <v>0</v>
      </c>
      <c r="R507" s="232">
        <f t="shared" si="65"/>
        <v>0</v>
      </c>
      <c r="S507" s="232">
        <f t="shared" si="65"/>
        <v>0</v>
      </c>
      <c r="T507" s="232">
        <f t="shared" si="65"/>
        <v>0</v>
      </c>
      <c r="U507" s="232">
        <f t="shared" si="65"/>
        <v>0</v>
      </c>
      <c r="V507" s="282"/>
      <c r="W507" s="282"/>
      <c r="X507" s="282"/>
      <c r="Y507" s="31"/>
      <c r="Z507" s="31"/>
    </row>
    <row r="508" spans="1:26" s="32" customFormat="1">
      <c r="A508" s="430">
        <v>439</v>
      </c>
      <c r="B508" s="467" t="s">
        <v>478</v>
      </c>
      <c r="C508" s="468">
        <v>1167102</v>
      </c>
      <c r="D508" s="468">
        <v>0</v>
      </c>
      <c r="E508" s="468">
        <v>0</v>
      </c>
      <c r="F508" s="468">
        <v>0</v>
      </c>
      <c r="G508" s="468">
        <v>0</v>
      </c>
      <c r="H508" s="468">
        <v>0</v>
      </c>
      <c r="I508" s="468">
        <v>0</v>
      </c>
      <c r="J508" s="468">
        <v>0</v>
      </c>
      <c r="K508" s="439">
        <v>0</v>
      </c>
      <c r="L508" s="440">
        <v>0</v>
      </c>
      <c r="M508" s="439">
        <v>0</v>
      </c>
      <c r="N508" s="439">
        <v>368</v>
      </c>
      <c r="O508" s="439">
        <v>1167102</v>
      </c>
      <c r="P508" s="442">
        <v>0</v>
      </c>
      <c r="Q508" s="439">
        <v>0</v>
      </c>
      <c r="R508" s="469">
        <v>0</v>
      </c>
      <c r="S508" s="468">
        <v>0</v>
      </c>
      <c r="T508" s="440">
        <v>0</v>
      </c>
      <c r="U508" s="443">
        <v>0</v>
      </c>
      <c r="V508" s="282"/>
      <c r="W508" s="282">
        <f>O508/N508</f>
        <v>3171.4728260869565</v>
      </c>
      <c r="X508" s="282"/>
      <c r="Y508" s="31"/>
      <c r="Z508" s="31"/>
    </row>
    <row r="509" spans="1:26">
      <c r="A509" s="198"/>
      <c r="B509" s="216" t="s">
        <v>61</v>
      </c>
      <c r="C509" s="211">
        <v>1267050</v>
      </c>
      <c r="D509" s="211"/>
      <c r="E509" s="211"/>
      <c r="F509" s="211"/>
      <c r="G509" s="211"/>
      <c r="H509" s="211"/>
      <c r="I509" s="211"/>
      <c r="J509" s="211"/>
      <c r="K509" s="211">
        <v>0</v>
      </c>
      <c r="L509" s="212">
        <v>0</v>
      </c>
      <c r="M509" s="211">
        <v>0</v>
      </c>
      <c r="N509" s="211">
        <v>643</v>
      </c>
      <c r="O509" s="211">
        <v>1267050</v>
      </c>
      <c r="P509" s="213">
        <v>0</v>
      </c>
      <c r="Q509" s="211">
        <v>0</v>
      </c>
      <c r="R509" s="213">
        <v>0</v>
      </c>
      <c r="S509" s="211">
        <v>0</v>
      </c>
      <c r="T509" s="212">
        <v>0</v>
      </c>
      <c r="U509" s="290">
        <v>0</v>
      </c>
      <c r="V509" s="282"/>
      <c r="W509" s="282"/>
      <c r="X509" s="282"/>
    </row>
    <row r="510" spans="1:26" ht="30">
      <c r="A510" s="198"/>
      <c r="B510" s="214" t="s">
        <v>118</v>
      </c>
      <c r="C510" s="211">
        <f>C511+C512</f>
        <v>3666180</v>
      </c>
      <c r="D510" s="211">
        <f t="shared" ref="D510:U510" si="66">D511+D512</f>
        <v>0</v>
      </c>
      <c r="E510" s="211">
        <f t="shared" si="66"/>
        <v>0</v>
      </c>
      <c r="F510" s="211">
        <f t="shared" si="66"/>
        <v>0</v>
      </c>
      <c r="G510" s="211">
        <f t="shared" si="66"/>
        <v>0</v>
      </c>
      <c r="H510" s="211">
        <f t="shared" si="66"/>
        <v>0</v>
      </c>
      <c r="I510" s="211">
        <f t="shared" si="66"/>
        <v>0</v>
      </c>
      <c r="J510" s="211">
        <f t="shared" si="66"/>
        <v>0</v>
      </c>
      <c r="K510" s="211">
        <f t="shared" si="66"/>
        <v>0</v>
      </c>
      <c r="L510" s="211">
        <f t="shared" si="66"/>
        <v>0</v>
      </c>
      <c r="M510" s="211">
        <f t="shared" si="66"/>
        <v>0</v>
      </c>
      <c r="N510" s="211">
        <f t="shared" si="66"/>
        <v>1481.5</v>
      </c>
      <c r="O510" s="211">
        <f t="shared" si="66"/>
        <v>3666180</v>
      </c>
      <c r="P510" s="211">
        <f t="shared" si="66"/>
        <v>0</v>
      </c>
      <c r="Q510" s="211">
        <f t="shared" si="66"/>
        <v>0</v>
      </c>
      <c r="R510" s="211">
        <f t="shared" si="66"/>
        <v>0</v>
      </c>
      <c r="S510" s="211">
        <f t="shared" si="66"/>
        <v>0</v>
      </c>
      <c r="T510" s="211">
        <f t="shared" si="66"/>
        <v>0</v>
      </c>
      <c r="U510" s="211">
        <f t="shared" si="66"/>
        <v>0</v>
      </c>
      <c r="V510" s="282"/>
      <c r="W510" s="282"/>
      <c r="X510" s="282"/>
    </row>
    <row r="511" spans="1:26">
      <c r="A511" s="430">
        <v>440</v>
      </c>
      <c r="B511" s="438" t="s">
        <v>495</v>
      </c>
      <c r="C511" s="439">
        <v>2553216</v>
      </c>
      <c r="D511" s="439">
        <v>0</v>
      </c>
      <c r="E511" s="439">
        <v>0</v>
      </c>
      <c r="F511" s="439">
        <v>0</v>
      </c>
      <c r="G511" s="439">
        <v>0</v>
      </c>
      <c r="H511" s="439">
        <v>0</v>
      </c>
      <c r="I511" s="439">
        <v>0</v>
      </c>
      <c r="J511" s="439">
        <v>0</v>
      </c>
      <c r="K511" s="439">
        <v>0</v>
      </c>
      <c r="L511" s="440">
        <v>0</v>
      </c>
      <c r="M511" s="439">
        <v>0</v>
      </c>
      <c r="N511" s="439">
        <v>1032</v>
      </c>
      <c r="O511" s="439">
        <v>2553216</v>
      </c>
      <c r="P511" s="442">
        <v>0</v>
      </c>
      <c r="Q511" s="439">
        <v>0</v>
      </c>
      <c r="R511" s="442">
        <v>0</v>
      </c>
      <c r="S511" s="439">
        <v>0</v>
      </c>
      <c r="T511" s="440">
        <v>0</v>
      </c>
      <c r="U511" s="443">
        <v>0</v>
      </c>
      <c r="V511" s="282"/>
      <c r="W511" s="282">
        <f>O511/N511</f>
        <v>2474.046511627907</v>
      </c>
      <c r="X511" s="282"/>
    </row>
    <row r="512" spans="1:26">
      <c r="A512" s="430"/>
      <c r="B512" s="438" t="s">
        <v>496</v>
      </c>
      <c r="C512" s="439">
        <v>1112964</v>
      </c>
      <c r="D512" s="439">
        <v>0</v>
      </c>
      <c r="E512" s="439">
        <v>0</v>
      </c>
      <c r="F512" s="439">
        <v>0</v>
      </c>
      <c r="G512" s="439">
        <v>0</v>
      </c>
      <c r="H512" s="439">
        <v>0</v>
      </c>
      <c r="I512" s="439">
        <v>0</v>
      </c>
      <c r="J512" s="439">
        <v>0</v>
      </c>
      <c r="K512" s="439">
        <v>0</v>
      </c>
      <c r="L512" s="440">
        <v>0</v>
      </c>
      <c r="M512" s="439">
        <v>0</v>
      </c>
      <c r="N512" s="439">
        <v>449.5</v>
      </c>
      <c r="O512" s="439">
        <v>1112964</v>
      </c>
      <c r="P512" s="442">
        <v>0</v>
      </c>
      <c r="Q512" s="439">
        <v>0</v>
      </c>
      <c r="R512" s="442">
        <v>0</v>
      </c>
      <c r="S512" s="439">
        <v>0</v>
      </c>
      <c r="T512" s="440">
        <v>0</v>
      </c>
      <c r="U512" s="443">
        <v>0</v>
      </c>
      <c r="V512" s="282"/>
      <c r="W512" s="282">
        <f>O512/N512</f>
        <v>2476.0044493882092</v>
      </c>
      <c r="X512" s="282"/>
    </row>
    <row r="513" spans="1:31" ht="25.15" customHeight="1">
      <c r="A513" s="194"/>
      <c r="B513" s="216" t="s">
        <v>649</v>
      </c>
      <c r="C513" s="211"/>
      <c r="D513" s="211">
        <f>D514</f>
        <v>204131</v>
      </c>
      <c r="E513" s="211">
        <f t="shared" ref="E513:U513" si="67">E514</f>
        <v>204131</v>
      </c>
      <c r="F513" s="211">
        <f t="shared" si="67"/>
        <v>0</v>
      </c>
      <c r="G513" s="211">
        <f t="shared" si="67"/>
        <v>0</v>
      </c>
      <c r="H513" s="211">
        <f t="shared" si="67"/>
        <v>0</v>
      </c>
      <c r="I513" s="211">
        <f t="shared" si="67"/>
        <v>0</v>
      </c>
      <c r="J513" s="211">
        <f t="shared" si="67"/>
        <v>0</v>
      </c>
      <c r="K513" s="211">
        <f t="shared" si="67"/>
        <v>0</v>
      </c>
      <c r="L513" s="211">
        <f t="shared" si="67"/>
        <v>0</v>
      </c>
      <c r="M513" s="211">
        <f t="shared" si="67"/>
        <v>0</v>
      </c>
      <c r="N513" s="211">
        <f t="shared" si="67"/>
        <v>0</v>
      </c>
      <c r="O513" s="211">
        <f t="shared" si="67"/>
        <v>0</v>
      </c>
      <c r="P513" s="211">
        <f t="shared" si="67"/>
        <v>0</v>
      </c>
      <c r="Q513" s="211">
        <f t="shared" si="67"/>
        <v>0</v>
      </c>
      <c r="R513" s="211">
        <f t="shared" si="67"/>
        <v>0</v>
      </c>
      <c r="S513" s="211">
        <f t="shared" si="67"/>
        <v>0</v>
      </c>
      <c r="T513" s="211">
        <f t="shared" si="67"/>
        <v>0</v>
      </c>
      <c r="U513" s="211">
        <f t="shared" si="67"/>
        <v>0</v>
      </c>
      <c r="V513" s="282"/>
      <c r="W513" s="282"/>
      <c r="X513" s="282"/>
    </row>
    <row r="514" spans="1:31" ht="30">
      <c r="A514" s="194"/>
      <c r="B514" s="214" t="s">
        <v>658</v>
      </c>
      <c r="C514" s="211"/>
      <c r="D514" s="211">
        <f>D515</f>
        <v>204131</v>
      </c>
      <c r="E514" s="211">
        <f t="shared" ref="E514:V514" si="68">E515</f>
        <v>204131</v>
      </c>
      <c r="F514" s="211">
        <f t="shared" si="68"/>
        <v>0</v>
      </c>
      <c r="G514" s="211">
        <f t="shared" si="68"/>
        <v>0</v>
      </c>
      <c r="H514" s="211">
        <f t="shared" si="68"/>
        <v>0</v>
      </c>
      <c r="I514" s="211">
        <f t="shared" si="68"/>
        <v>0</v>
      </c>
      <c r="J514" s="211">
        <f t="shared" si="68"/>
        <v>0</v>
      </c>
      <c r="K514" s="211">
        <f t="shared" si="68"/>
        <v>0</v>
      </c>
      <c r="L514" s="211">
        <f t="shared" si="68"/>
        <v>0</v>
      </c>
      <c r="M514" s="211">
        <f t="shared" si="68"/>
        <v>0</v>
      </c>
      <c r="N514" s="211">
        <f t="shared" si="68"/>
        <v>0</v>
      </c>
      <c r="O514" s="211">
        <f t="shared" si="68"/>
        <v>0</v>
      </c>
      <c r="P514" s="211">
        <f t="shared" si="68"/>
        <v>0</v>
      </c>
      <c r="Q514" s="211">
        <f t="shared" si="68"/>
        <v>0</v>
      </c>
      <c r="R514" s="211">
        <f t="shared" si="68"/>
        <v>0</v>
      </c>
      <c r="S514" s="211">
        <f t="shared" si="68"/>
        <v>0</v>
      </c>
      <c r="T514" s="211">
        <f t="shared" si="68"/>
        <v>0</v>
      </c>
      <c r="U514" s="211">
        <f t="shared" si="68"/>
        <v>0</v>
      </c>
      <c r="V514" s="211">
        <f t="shared" si="68"/>
        <v>0</v>
      </c>
      <c r="W514" s="282"/>
      <c r="X514" s="282"/>
    </row>
    <row r="515" spans="1:31">
      <c r="A515" s="194"/>
      <c r="B515" s="214" t="s">
        <v>651</v>
      </c>
      <c r="C515" s="211">
        <v>204131</v>
      </c>
      <c r="D515" s="211">
        <f>E515+F515+G515+H515+I515+J515+K515</f>
        <v>204131</v>
      </c>
      <c r="E515" s="211">
        <v>204131</v>
      </c>
      <c r="F515" s="211">
        <v>0</v>
      </c>
      <c r="G515" s="211">
        <v>0</v>
      </c>
      <c r="H515" s="211">
        <v>0</v>
      </c>
      <c r="I515" s="211">
        <v>0</v>
      </c>
      <c r="J515" s="211">
        <v>0</v>
      </c>
      <c r="K515" s="211">
        <v>0</v>
      </c>
      <c r="L515" s="212">
        <v>0</v>
      </c>
      <c r="M515" s="211">
        <v>0</v>
      </c>
      <c r="N515" s="211">
        <v>0</v>
      </c>
      <c r="O515" s="211">
        <v>0</v>
      </c>
      <c r="P515" s="213">
        <v>0</v>
      </c>
      <c r="Q515" s="211">
        <v>0</v>
      </c>
      <c r="R515" s="213">
        <v>0</v>
      </c>
      <c r="S515" s="211">
        <v>0</v>
      </c>
      <c r="T515" s="212">
        <v>0</v>
      </c>
      <c r="U515" s="290">
        <v>0</v>
      </c>
      <c r="V515" s="282"/>
      <c r="W515" s="282"/>
      <c r="X515" s="282"/>
      <c r="Y515" s="1">
        <f>E515/'часть 1'!I475</f>
        <v>465.62728102189783</v>
      </c>
    </row>
    <row r="516" spans="1:31">
      <c r="A516" s="198"/>
      <c r="B516" s="216" t="s">
        <v>62</v>
      </c>
      <c r="C516" s="211">
        <v>974618</v>
      </c>
      <c r="D516" s="211"/>
      <c r="E516" s="211"/>
      <c r="F516" s="211"/>
      <c r="G516" s="211"/>
      <c r="H516" s="211"/>
      <c r="I516" s="211"/>
      <c r="J516" s="211"/>
      <c r="K516" s="211">
        <v>0</v>
      </c>
      <c r="L516" s="212">
        <v>0</v>
      </c>
      <c r="M516" s="211">
        <v>0</v>
      </c>
      <c r="N516" s="211">
        <v>484</v>
      </c>
      <c r="O516" s="211">
        <v>974618</v>
      </c>
      <c r="P516" s="213">
        <v>0</v>
      </c>
      <c r="Q516" s="211">
        <v>0</v>
      </c>
      <c r="R516" s="213">
        <v>0</v>
      </c>
      <c r="S516" s="211">
        <v>0</v>
      </c>
      <c r="T516" s="212">
        <v>0</v>
      </c>
      <c r="U516" s="290">
        <v>0</v>
      </c>
      <c r="V516" s="282"/>
      <c r="W516" s="282"/>
      <c r="X516" s="282"/>
    </row>
    <row r="517" spans="1:31" ht="30">
      <c r="A517" s="198"/>
      <c r="B517" s="238" t="s">
        <v>117</v>
      </c>
      <c r="C517" s="211">
        <f>C518</f>
        <v>1214790</v>
      </c>
      <c r="D517" s="211">
        <f t="shared" ref="D517:V517" si="69">D518</f>
        <v>0</v>
      </c>
      <c r="E517" s="211">
        <f t="shared" si="69"/>
        <v>0</v>
      </c>
      <c r="F517" s="211">
        <f t="shared" si="69"/>
        <v>0</v>
      </c>
      <c r="G517" s="211">
        <f t="shared" si="69"/>
        <v>0</v>
      </c>
      <c r="H517" s="211">
        <f t="shared" si="69"/>
        <v>0</v>
      </c>
      <c r="I517" s="211">
        <f t="shared" si="69"/>
        <v>0</v>
      </c>
      <c r="J517" s="211">
        <f t="shared" si="69"/>
        <v>0</v>
      </c>
      <c r="K517" s="211">
        <f t="shared" si="69"/>
        <v>0</v>
      </c>
      <c r="L517" s="211">
        <f t="shared" si="69"/>
        <v>0</v>
      </c>
      <c r="M517" s="211">
        <f t="shared" si="69"/>
        <v>0</v>
      </c>
      <c r="N517" s="211">
        <f t="shared" si="69"/>
        <v>383</v>
      </c>
      <c r="O517" s="211">
        <f t="shared" si="69"/>
        <v>1214790</v>
      </c>
      <c r="P517" s="211">
        <f t="shared" si="69"/>
        <v>0</v>
      </c>
      <c r="Q517" s="211">
        <f t="shared" si="69"/>
        <v>0</v>
      </c>
      <c r="R517" s="211">
        <f t="shared" si="69"/>
        <v>0</v>
      </c>
      <c r="S517" s="211">
        <f t="shared" si="69"/>
        <v>0</v>
      </c>
      <c r="T517" s="211">
        <f t="shared" si="69"/>
        <v>0</v>
      </c>
      <c r="U517" s="211">
        <f t="shared" si="69"/>
        <v>0</v>
      </c>
      <c r="V517" s="211">
        <f t="shared" si="69"/>
        <v>0</v>
      </c>
      <c r="W517" s="211"/>
      <c r="X517" s="211"/>
      <c r="Y517" s="211"/>
      <c r="Z517" s="211"/>
      <c r="AA517" s="211"/>
      <c r="AB517" s="211"/>
      <c r="AC517" s="211"/>
      <c r="AD517" s="211"/>
      <c r="AE517" s="211"/>
    </row>
    <row r="518" spans="1:31">
      <c r="A518" s="430">
        <v>441</v>
      </c>
      <c r="B518" s="438" t="s">
        <v>486</v>
      </c>
      <c r="C518" s="439">
        <v>1214790</v>
      </c>
      <c r="D518" s="439">
        <v>0</v>
      </c>
      <c r="E518" s="439">
        <v>0</v>
      </c>
      <c r="F518" s="439">
        <v>0</v>
      </c>
      <c r="G518" s="439">
        <v>0</v>
      </c>
      <c r="H518" s="439">
        <v>0</v>
      </c>
      <c r="I518" s="439">
        <v>0</v>
      </c>
      <c r="J518" s="439">
        <v>0</v>
      </c>
      <c r="K518" s="439">
        <v>0</v>
      </c>
      <c r="L518" s="440">
        <v>0</v>
      </c>
      <c r="M518" s="439">
        <v>0</v>
      </c>
      <c r="N518" s="439">
        <v>383</v>
      </c>
      <c r="O518" s="439">
        <v>1214790</v>
      </c>
      <c r="P518" s="442">
        <v>0</v>
      </c>
      <c r="Q518" s="439">
        <v>0</v>
      </c>
      <c r="R518" s="442">
        <v>0</v>
      </c>
      <c r="S518" s="439">
        <v>0</v>
      </c>
      <c r="T518" s="440">
        <v>0</v>
      </c>
      <c r="U518" s="443">
        <v>0</v>
      </c>
      <c r="V518" s="282"/>
      <c r="W518" s="282">
        <f>O518/N518</f>
        <v>3171.7754569190602</v>
      </c>
      <c r="X518" s="282"/>
    </row>
    <row r="519" spans="1:31" ht="18.600000000000001" customHeight="1">
      <c r="A519" s="430"/>
      <c r="B519" s="464" t="s">
        <v>63</v>
      </c>
      <c r="C519" s="439">
        <f>C520</f>
        <v>3037109</v>
      </c>
      <c r="D519" s="439">
        <f t="shared" ref="D519:V519" si="70">D520</f>
        <v>0</v>
      </c>
      <c r="E519" s="439">
        <f t="shared" si="70"/>
        <v>0</v>
      </c>
      <c r="F519" s="439">
        <f t="shared" si="70"/>
        <v>0</v>
      </c>
      <c r="G519" s="439">
        <f t="shared" si="70"/>
        <v>0</v>
      </c>
      <c r="H519" s="439">
        <f t="shared" si="70"/>
        <v>0</v>
      </c>
      <c r="I519" s="439">
        <f t="shared" si="70"/>
        <v>0</v>
      </c>
      <c r="J519" s="439">
        <f t="shared" si="70"/>
        <v>0</v>
      </c>
      <c r="K519" s="439">
        <f t="shared" si="70"/>
        <v>0</v>
      </c>
      <c r="L519" s="439">
        <f t="shared" si="70"/>
        <v>0</v>
      </c>
      <c r="M519" s="439">
        <f t="shared" si="70"/>
        <v>0</v>
      </c>
      <c r="N519" s="439">
        <f t="shared" si="70"/>
        <v>1220.54</v>
      </c>
      <c r="O519" s="439">
        <f t="shared" si="70"/>
        <v>3037109</v>
      </c>
      <c r="P519" s="439">
        <f t="shared" si="70"/>
        <v>0</v>
      </c>
      <c r="Q519" s="439">
        <f t="shared" si="70"/>
        <v>0</v>
      </c>
      <c r="R519" s="439">
        <f t="shared" si="70"/>
        <v>0</v>
      </c>
      <c r="S519" s="439">
        <f t="shared" si="70"/>
        <v>0</v>
      </c>
      <c r="T519" s="439">
        <f t="shared" si="70"/>
        <v>0</v>
      </c>
      <c r="U519" s="439">
        <f t="shared" si="70"/>
        <v>0</v>
      </c>
      <c r="V519" s="211">
        <f t="shared" si="70"/>
        <v>0</v>
      </c>
      <c r="W519" s="282"/>
      <c r="X519" s="282"/>
    </row>
    <row r="520" spans="1:31" ht="30">
      <c r="A520" s="430"/>
      <c r="B520" s="438" t="s">
        <v>116</v>
      </c>
      <c r="C520" s="439">
        <f>C521+C522</f>
        <v>3037109</v>
      </c>
      <c r="D520" s="439">
        <f t="shared" ref="D520:U520" si="71">D521+D522</f>
        <v>0</v>
      </c>
      <c r="E520" s="439">
        <f t="shared" si="71"/>
        <v>0</v>
      </c>
      <c r="F520" s="439">
        <f t="shared" si="71"/>
        <v>0</v>
      </c>
      <c r="G520" s="439">
        <f t="shared" si="71"/>
        <v>0</v>
      </c>
      <c r="H520" s="439">
        <f t="shared" si="71"/>
        <v>0</v>
      </c>
      <c r="I520" s="439">
        <f t="shared" si="71"/>
        <v>0</v>
      </c>
      <c r="J520" s="439">
        <f t="shared" si="71"/>
        <v>0</v>
      </c>
      <c r="K520" s="439">
        <f t="shared" si="71"/>
        <v>0</v>
      </c>
      <c r="L520" s="439">
        <f t="shared" si="71"/>
        <v>0</v>
      </c>
      <c r="M520" s="439">
        <f t="shared" si="71"/>
        <v>0</v>
      </c>
      <c r="N520" s="439">
        <f t="shared" si="71"/>
        <v>1220.54</v>
      </c>
      <c r="O520" s="439">
        <f t="shared" si="71"/>
        <v>3037109</v>
      </c>
      <c r="P520" s="439">
        <f t="shared" si="71"/>
        <v>0</v>
      </c>
      <c r="Q520" s="439">
        <f t="shared" si="71"/>
        <v>0</v>
      </c>
      <c r="R520" s="439">
        <f t="shared" si="71"/>
        <v>0</v>
      </c>
      <c r="S520" s="439">
        <f t="shared" si="71"/>
        <v>0</v>
      </c>
      <c r="T520" s="439">
        <f t="shared" si="71"/>
        <v>0</v>
      </c>
      <c r="U520" s="439">
        <f t="shared" si="71"/>
        <v>0</v>
      </c>
      <c r="V520" s="282"/>
      <c r="W520" s="282"/>
      <c r="X520" s="282"/>
    </row>
    <row r="521" spans="1:31" ht="17.45" customHeight="1">
      <c r="A521" s="430">
        <v>442</v>
      </c>
      <c r="B521" s="438" t="s">
        <v>675</v>
      </c>
      <c r="C521" s="439">
        <f>'часть 1'!L481</f>
        <v>2012761</v>
      </c>
      <c r="D521" s="439">
        <v>0</v>
      </c>
      <c r="E521" s="439">
        <v>0</v>
      </c>
      <c r="F521" s="439">
        <v>0</v>
      </c>
      <c r="G521" s="439">
        <v>0</v>
      </c>
      <c r="H521" s="439">
        <v>0</v>
      </c>
      <c r="I521" s="439">
        <v>0</v>
      </c>
      <c r="J521" s="439">
        <v>0</v>
      </c>
      <c r="K521" s="439">
        <v>0</v>
      </c>
      <c r="L521" s="440">
        <v>0</v>
      </c>
      <c r="M521" s="439">
        <v>0</v>
      </c>
      <c r="N521" s="439">
        <v>811.74</v>
      </c>
      <c r="O521" s="439">
        <v>2012761</v>
      </c>
      <c r="P521" s="442">
        <v>0</v>
      </c>
      <c r="Q521" s="439">
        <v>0</v>
      </c>
      <c r="R521" s="442">
        <v>0</v>
      </c>
      <c r="S521" s="439">
        <v>0</v>
      </c>
      <c r="T521" s="440">
        <v>0</v>
      </c>
      <c r="U521" s="443">
        <v>0</v>
      </c>
      <c r="V521" s="282"/>
      <c r="W521" s="282">
        <f>O521/N521</f>
        <v>2479.5636533865522</v>
      </c>
      <c r="X521" s="282"/>
    </row>
    <row r="522" spans="1:31" ht="17.45" customHeight="1">
      <c r="A522" s="430"/>
      <c r="B522" s="438" t="s">
        <v>676</v>
      </c>
      <c r="C522" s="439">
        <f>'часть 1'!L482</f>
        <v>1024348</v>
      </c>
      <c r="D522" s="439">
        <v>0</v>
      </c>
      <c r="E522" s="439">
        <v>0</v>
      </c>
      <c r="F522" s="439">
        <v>0</v>
      </c>
      <c r="G522" s="439">
        <v>0</v>
      </c>
      <c r="H522" s="439">
        <v>0</v>
      </c>
      <c r="I522" s="439">
        <v>0</v>
      </c>
      <c r="J522" s="439">
        <v>0</v>
      </c>
      <c r="K522" s="439">
        <v>0</v>
      </c>
      <c r="L522" s="440">
        <v>0</v>
      </c>
      <c r="M522" s="439">
        <v>0</v>
      </c>
      <c r="N522" s="439">
        <v>408.8</v>
      </c>
      <c r="O522" s="439">
        <v>1024348</v>
      </c>
      <c r="P522" s="442">
        <v>0</v>
      </c>
      <c r="Q522" s="439">
        <v>0</v>
      </c>
      <c r="R522" s="442">
        <v>0</v>
      </c>
      <c r="S522" s="439">
        <v>0</v>
      </c>
      <c r="T522" s="440">
        <v>0</v>
      </c>
      <c r="U522" s="443">
        <v>0</v>
      </c>
      <c r="V522" s="282"/>
      <c r="W522" s="282">
        <f>O522/N522</f>
        <v>2505.7436399217222</v>
      </c>
      <c r="X522" s="282"/>
    </row>
    <row r="523" spans="1:31" ht="18.600000000000001" customHeight="1">
      <c r="A523" s="430"/>
      <c r="B523" s="438" t="s">
        <v>663</v>
      </c>
      <c r="C523" s="439">
        <f>C524</f>
        <v>1402598</v>
      </c>
      <c r="D523" s="439">
        <f t="shared" ref="D523:V524" si="72">D524</f>
        <v>0</v>
      </c>
      <c r="E523" s="439">
        <f t="shared" si="72"/>
        <v>0</v>
      </c>
      <c r="F523" s="439">
        <f t="shared" si="72"/>
        <v>0</v>
      </c>
      <c r="G523" s="439">
        <f t="shared" si="72"/>
        <v>0</v>
      </c>
      <c r="H523" s="439">
        <f t="shared" si="72"/>
        <v>0</v>
      </c>
      <c r="I523" s="439">
        <f t="shared" si="72"/>
        <v>0</v>
      </c>
      <c r="J523" s="439">
        <f t="shared" si="72"/>
        <v>0</v>
      </c>
      <c r="K523" s="439">
        <f t="shared" si="72"/>
        <v>0</v>
      </c>
      <c r="L523" s="439">
        <f t="shared" si="72"/>
        <v>0</v>
      </c>
      <c r="M523" s="439">
        <f t="shared" si="72"/>
        <v>0</v>
      </c>
      <c r="N523" s="439">
        <f t="shared" si="72"/>
        <v>443.4</v>
      </c>
      <c r="O523" s="439">
        <f t="shared" si="72"/>
        <v>1402598</v>
      </c>
      <c r="P523" s="439">
        <f t="shared" si="72"/>
        <v>0</v>
      </c>
      <c r="Q523" s="439">
        <f t="shared" si="72"/>
        <v>0</v>
      </c>
      <c r="R523" s="439">
        <f t="shared" si="72"/>
        <v>0</v>
      </c>
      <c r="S523" s="439">
        <f t="shared" si="72"/>
        <v>0</v>
      </c>
      <c r="T523" s="439">
        <f t="shared" si="72"/>
        <v>0</v>
      </c>
      <c r="U523" s="439">
        <f t="shared" si="72"/>
        <v>0</v>
      </c>
      <c r="V523" s="211">
        <f t="shared" si="72"/>
        <v>0</v>
      </c>
      <c r="W523" s="282"/>
      <c r="X523" s="282"/>
    </row>
    <row r="524" spans="1:31" ht="30">
      <c r="A524" s="430"/>
      <c r="B524" s="438" t="s">
        <v>667</v>
      </c>
      <c r="C524" s="439">
        <f>C525</f>
        <v>1402598</v>
      </c>
      <c r="D524" s="439">
        <f t="shared" si="72"/>
        <v>0</v>
      </c>
      <c r="E524" s="439">
        <f t="shared" si="72"/>
        <v>0</v>
      </c>
      <c r="F524" s="439">
        <f t="shared" si="72"/>
        <v>0</v>
      </c>
      <c r="G524" s="439">
        <f t="shared" si="72"/>
        <v>0</v>
      </c>
      <c r="H524" s="439">
        <f t="shared" si="72"/>
        <v>0</v>
      </c>
      <c r="I524" s="439">
        <f t="shared" si="72"/>
        <v>0</v>
      </c>
      <c r="J524" s="439">
        <f t="shared" si="72"/>
        <v>0</v>
      </c>
      <c r="K524" s="439">
        <f t="shared" si="72"/>
        <v>0</v>
      </c>
      <c r="L524" s="439">
        <f t="shared" si="72"/>
        <v>0</v>
      </c>
      <c r="M524" s="439">
        <f t="shared" si="72"/>
        <v>0</v>
      </c>
      <c r="N524" s="439">
        <f t="shared" si="72"/>
        <v>443.4</v>
      </c>
      <c r="O524" s="439">
        <f t="shared" si="72"/>
        <v>1402598</v>
      </c>
      <c r="P524" s="439">
        <f t="shared" si="72"/>
        <v>0</v>
      </c>
      <c r="Q524" s="439">
        <f t="shared" si="72"/>
        <v>0</v>
      </c>
      <c r="R524" s="439">
        <f t="shared" si="72"/>
        <v>0</v>
      </c>
      <c r="S524" s="439">
        <f t="shared" si="72"/>
        <v>0</v>
      </c>
      <c r="T524" s="439">
        <f t="shared" si="72"/>
        <v>0</v>
      </c>
      <c r="U524" s="439">
        <f t="shared" si="72"/>
        <v>0</v>
      </c>
      <c r="V524" s="439">
        <f t="shared" si="72"/>
        <v>0</v>
      </c>
      <c r="W524" s="282"/>
      <c r="X524" s="282"/>
    </row>
    <row r="525" spans="1:31" ht="17.45" customHeight="1">
      <c r="A525" s="430">
        <v>443</v>
      </c>
      <c r="B525" s="438" t="s">
        <v>835</v>
      </c>
      <c r="C525" s="439">
        <f>'часть 1'!L484</f>
        <v>1402598</v>
      </c>
      <c r="D525" s="439">
        <v>0</v>
      </c>
      <c r="E525" s="439">
        <v>0</v>
      </c>
      <c r="F525" s="439">
        <v>0</v>
      </c>
      <c r="G525" s="439">
        <v>0</v>
      </c>
      <c r="H525" s="439">
        <v>0</v>
      </c>
      <c r="I525" s="439">
        <v>0</v>
      </c>
      <c r="J525" s="439">
        <v>0</v>
      </c>
      <c r="K525" s="439">
        <v>0</v>
      </c>
      <c r="L525" s="440">
        <v>0</v>
      </c>
      <c r="M525" s="439">
        <v>0</v>
      </c>
      <c r="N525" s="432">
        <v>443.4</v>
      </c>
      <c r="O525" s="439">
        <v>1402598</v>
      </c>
      <c r="P525" s="442">
        <v>0</v>
      </c>
      <c r="Q525" s="439">
        <v>0</v>
      </c>
      <c r="R525" s="442">
        <v>0</v>
      </c>
      <c r="S525" s="439">
        <v>0</v>
      </c>
      <c r="T525" s="440">
        <v>0</v>
      </c>
      <c r="U525" s="443">
        <v>0</v>
      </c>
      <c r="V525" s="282"/>
      <c r="W525" s="282">
        <f>O525/N525</f>
        <v>3163.2792061344162</v>
      </c>
      <c r="X525" s="282"/>
    </row>
    <row r="526" spans="1:31">
      <c r="A526" s="198"/>
      <c r="B526" s="216" t="s">
        <v>64</v>
      </c>
      <c r="C526" s="211">
        <v>6928539</v>
      </c>
      <c r="D526" s="211"/>
      <c r="E526" s="211"/>
      <c r="F526" s="211"/>
      <c r="G526" s="211"/>
      <c r="H526" s="211"/>
      <c r="I526" s="211"/>
      <c r="J526" s="211"/>
      <c r="K526" s="211">
        <v>0</v>
      </c>
      <c r="L526" s="212">
        <v>0</v>
      </c>
      <c r="M526" s="211">
        <v>0</v>
      </c>
      <c r="N526" s="211">
        <v>3103</v>
      </c>
      <c r="O526" s="211">
        <v>6183896</v>
      </c>
      <c r="P526" s="213">
        <v>0</v>
      </c>
      <c r="Q526" s="211">
        <v>0</v>
      </c>
      <c r="R526" s="211">
        <v>512.4</v>
      </c>
      <c r="S526" s="211">
        <v>744643</v>
      </c>
      <c r="T526" s="212">
        <v>0</v>
      </c>
      <c r="U526" s="290">
        <v>0</v>
      </c>
      <c r="V526" s="282"/>
      <c r="W526" s="282"/>
      <c r="X526" s="282"/>
    </row>
    <row r="527" spans="1:31" ht="30">
      <c r="A527" s="430"/>
      <c r="B527" s="438" t="s">
        <v>115</v>
      </c>
      <c r="C527" s="439">
        <f>C528+C529+C530+C531</f>
        <v>5743338</v>
      </c>
      <c r="D527" s="439">
        <f t="shared" ref="D527:U527" si="73">D528+D529+D530+D531</f>
        <v>287932</v>
      </c>
      <c r="E527" s="439">
        <f t="shared" si="73"/>
        <v>287932</v>
      </c>
      <c r="F527" s="439">
        <f t="shared" si="73"/>
        <v>0</v>
      </c>
      <c r="G527" s="439">
        <f t="shared" si="73"/>
        <v>0</v>
      </c>
      <c r="H527" s="439">
        <f t="shared" si="73"/>
        <v>0</v>
      </c>
      <c r="I527" s="439">
        <f t="shared" si="73"/>
        <v>0</v>
      </c>
      <c r="J527" s="439">
        <f t="shared" si="73"/>
        <v>0</v>
      </c>
      <c r="K527" s="439">
        <f t="shared" si="73"/>
        <v>0</v>
      </c>
      <c r="L527" s="439">
        <f t="shared" si="73"/>
        <v>0</v>
      </c>
      <c r="M527" s="439">
        <f t="shared" si="73"/>
        <v>0</v>
      </c>
      <c r="N527" s="439">
        <f t="shared" si="73"/>
        <v>1384</v>
      </c>
      <c r="O527" s="439">
        <f t="shared" si="73"/>
        <v>4388060</v>
      </c>
      <c r="P527" s="439">
        <f t="shared" si="73"/>
        <v>0</v>
      </c>
      <c r="Q527" s="439">
        <f t="shared" si="73"/>
        <v>0</v>
      </c>
      <c r="R527" s="439">
        <f t="shared" si="73"/>
        <v>703</v>
      </c>
      <c r="S527" s="439">
        <f t="shared" si="73"/>
        <v>1067346</v>
      </c>
      <c r="T527" s="439">
        <f t="shared" si="73"/>
        <v>0</v>
      </c>
      <c r="U527" s="439">
        <f t="shared" si="73"/>
        <v>0</v>
      </c>
      <c r="V527" s="282"/>
      <c r="W527" s="282"/>
      <c r="X527" s="282"/>
      <c r="Y527" s="25"/>
      <c r="Z527" s="25"/>
    </row>
    <row r="528" spans="1:31">
      <c r="A528" s="198">
        <v>444</v>
      </c>
      <c r="B528" s="214" t="s">
        <v>608</v>
      </c>
      <c r="C528" s="211">
        <f>E528+O528+S528</f>
        <v>2311572</v>
      </c>
      <c r="D528" s="211">
        <f>E528+F528+G528+H528+I528+J528+K528</f>
        <v>203804</v>
      </c>
      <c r="E528" s="211">
        <v>203804</v>
      </c>
      <c r="F528" s="211">
        <v>0</v>
      </c>
      <c r="G528" s="211">
        <v>0</v>
      </c>
      <c r="H528" s="211">
        <v>0</v>
      </c>
      <c r="I528" s="211">
        <v>0</v>
      </c>
      <c r="J528" s="211">
        <v>0</v>
      </c>
      <c r="K528" s="211">
        <v>0</v>
      </c>
      <c r="L528" s="212">
        <v>0</v>
      </c>
      <c r="M528" s="211">
        <v>0</v>
      </c>
      <c r="N528" s="211">
        <v>413</v>
      </c>
      <c r="O528" s="211">
        <v>1306584</v>
      </c>
      <c r="P528" s="213">
        <v>0</v>
      </c>
      <c r="Q528" s="211">
        <v>0</v>
      </c>
      <c r="R528" s="213">
        <v>530</v>
      </c>
      <c r="S528" s="211">
        <v>801184</v>
      </c>
      <c r="T528" s="212">
        <v>0</v>
      </c>
      <c r="U528" s="290">
        <v>0</v>
      </c>
      <c r="V528" s="282"/>
      <c r="W528" s="282">
        <f>O528/N528</f>
        <v>3163.641646489104</v>
      </c>
      <c r="X528" s="865">
        <f>S528/R528</f>
        <v>1511.6679245283019</v>
      </c>
      <c r="Y528" s="1">
        <f>E528/'часть 1'!I487</f>
        <v>700.35738831615117</v>
      </c>
    </row>
    <row r="529" spans="1:35" ht="30">
      <c r="A529" s="198">
        <v>445</v>
      </c>
      <c r="B529" s="214" t="s">
        <v>609</v>
      </c>
      <c r="C529" s="211">
        <f t="shared" ref="C529:C531" si="74">E529+O529+S529</f>
        <v>968625</v>
      </c>
      <c r="D529" s="211">
        <f t="shared" ref="D529:D531" si="75">E529+F529+G529+H529+I529+J529+K529</f>
        <v>84128</v>
      </c>
      <c r="E529" s="211">
        <v>84128</v>
      </c>
      <c r="F529" s="211">
        <v>0</v>
      </c>
      <c r="G529" s="211">
        <v>0</v>
      </c>
      <c r="H529" s="211">
        <v>0</v>
      </c>
      <c r="I529" s="211">
        <v>0</v>
      </c>
      <c r="J529" s="211">
        <v>0</v>
      </c>
      <c r="K529" s="211">
        <v>0</v>
      </c>
      <c r="L529" s="212">
        <v>0</v>
      </c>
      <c r="M529" s="211">
        <v>0</v>
      </c>
      <c r="N529" s="211">
        <v>194</v>
      </c>
      <c r="O529" s="211">
        <v>618335</v>
      </c>
      <c r="P529" s="213">
        <v>0</v>
      </c>
      <c r="Q529" s="211">
        <v>0</v>
      </c>
      <c r="R529" s="213">
        <v>173</v>
      </c>
      <c r="S529" s="211">
        <v>266162</v>
      </c>
      <c r="T529" s="212">
        <v>0</v>
      </c>
      <c r="U529" s="290">
        <v>0</v>
      </c>
      <c r="V529" s="282"/>
      <c r="W529" s="282">
        <f t="shared" ref="W529:W531" si="76">O529/N529</f>
        <v>3187.2938144329896</v>
      </c>
      <c r="X529" s="282">
        <f>S529/R529</f>
        <v>1538.5086705202311</v>
      </c>
      <c r="Y529" s="1">
        <f>E529/'часть 1'!I488</f>
        <v>701.06666666666672</v>
      </c>
    </row>
    <row r="530" spans="1:35">
      <c r="A530" s="198">
        <v>446</v>
      </c>
      <c r="B530" s="214" t="s">
        <v>610</v>
      </c>
      <c r="C530" s="211">
        <f t="shared" si="74"/>
        <v>1139852</v>
      </c>
      <c r="D530" s="211">
        <f t="shared" si="75"/>
        <v>0</v>
      </c>
      <c r="E530" s="211">
        <v>0</v>
      </c>
      <c r="F530" s="211">
        <v>0</v>
      </c>
      <c r="G530" s="211">
        <v>0</v>
      </c>
      <c r="H530" s="211">
        <v>0</v>
      </c>
      <c r="I530" s="211">
        <v>0</v>
      </c>
      <c r="J530" s="211">
        <v>0</v>
      </c>
      <c r="K530" s="211">
        <v>0</v>
      </c>
      <c r="L530" s="212">
        <v>0</v>
      </c>
      <c r="M530" s="211">
        <v>0</v>
      </c>
      <c r="N530" s="211">
        <v>359</v>
      </c>
      <c r="O530" s="211">
        <v>1139852</v>
      </c>
      <c r="P530" s="213">
        <v>0</v>
      </c>
      <c r="Q530" s="211">
        <v>0</v>
      </c>
      <c r="R530" s="211">
        <v>0</v>
      </c>
      <c r="S530" s="211">
        <v>0</v>
      </c>
      <c r="T530" s="212">
        <v>0</v>
      </c>
      <c r="U530" s="290">
        <v>0</v>
      </c>
      <c r="V530" s="282"/>
      <c r="W530" s="282">
        <f t="shared" si="76"/>
        <v>3175.075208913649</v>
      </c>
      <c r="X530" s="282"/>
      <c r="Y530" s="25"/>
      <c r="Z530" s="25"/>
    </row>
    <row r="531" spans="1:35">
      <c r="A531" s="198">
        <v>447</v>
      </c>
      <c r="B531" s="214" t="s">
        <v>611</v>
      </c>
      <c r="C531" s="211">
        <f t="shared" si="74"/>
        <v>1323289</v>
      </c>
      <c r="D531" s="211">
        <f t="shared" si="75"/>
        <v>0</v>
      </c>
      <c r="E531" s="211">
        <v>0</v>
      </c>
      <c r="F531" s="211">
        <v>0</v>
      </c>
      <c r="G531" s="211">
        <v>0</v>
      </c>
      <c r="H531" s="211">
        <v>0</v>
      </c>
      <c r="I531" s="211">
        <v>0</v>
      </c>
      <c r="J531" s="211">
        <v>0</v>
      </c>
      <c r="K531" s="211">
        <v>0</v>
      </c>
      <c r="L531" s="212">
        <v>0</v>
      </c>
      <c r="M531" s="211">
        <v>0</v>
      </c>
      <c r="N531" s="211">
        <v>418</v>
      </c>
      <c r="O531" s="211">
        <v>1323289</v>
      </c>
      <c r="P531" s="213">
        <v>0</v>
      </c>
      <c r="Q531" s="211">
        <v>0</v>
      </c>
      <c r="R531" s="213">
        <v>0</v>
      </c>
      <c r="S531" s="211">
        <v>0</v>
      </c>
      <c r="T531" s="212">
        <v>0</v>
      </c>
      <c r="U531" s="290">
        <v>0</v>
      </c>
      <c r="V531" s="282"/>
      <c r="W531" s="282">
        <f t="shared" si="76"/>
        <v>3165.7631578947367</v>
      </c>
      <c r="X531" s="282"/>
    </row>
    <row r="532" spans="1:35">
      <c r="A532" s="198"/>
      <c r="B532" s="216" t="s">
        <v>65</v>
      </c>
      <c r="C532" s="211">
        <f>C533+C535</f>
        <v>2988909</v>
      </c>
      <c r="D532" s="211">
        <f t="shared" ref="D532:U532" si="77">D533+D535</f>
        <v>0</v>
      </c>
      <c r="E532" s="211">
        <f t="shared" si="77"/>
        <v>0</v>
      </c>
      <c r="F532" s="211">
        <f t="shared" si="77"/>
        <v>0</v>
      </c>
      <c r="G532" s="211">
        <f t="shared" si="77"/>
        <v>0</v>
      </c>
      <c r="H532" s="211">
        <f t="shared" si="77"/>
        <v>0</v>
      </c>
      <c r="I532" s="211">
        <f t="shared" si="77"/>
        <v>0</v>
      </c>
      <c r="J532" s="211">
        <f t="shared" si="77"/>
        <v>0</v>
      </c>
      <c r="K532" s="211">
        <f t="shared" si="77"/>
        <v>0</v>
      </c>
      <c r="L532" s="211">
        <f t="shared" si="77"/>
        <v>0</v>
      </c>
      <c r="M532" s="211">
        <f t="shared" si="77"/>
        <v>0</v>
      </c>
      <c r="N532" s="211">
        <f t="shared" si="77"/>
        <v>946.68000000000006</v>
      </c>
      <c r="O532" s="211">
        <f t="shared" si="77"/>
        <v>2988909</v>
      </c>
      <c r="P532" s="211">
        <f t="shared" si="77"/>
        <v>0</v>
      </c>
      <c r="Q532" s="211">
        <f t="shared" si="77"/>
        <v>0</v>
      </c>
      <c r="R532" s="211">
        <f t="shared" si="77"/>
        <v>0</v>
      </c>
      <c r="S532" s="211">
        <f t="shared" si="77"/>
        <v>0</v>
      </c>
      <c r="T532" s="211">
        <f t="shared" si="77"/>
        <v>0</v>
      </c>
      <c r="U532" s="211">
        <f t="shared" si="77"/>
        <v>0</v>
      </c>
      <c r="V532" s="282"/>
      <c r="W532" s="282"/>
      <c r="X532" s="282"/>
    </row>
    <row r="533" spans="1:35" ht="30">
      <c r="A533" s="198"/>
      <c r="B533" s="214" t="s">
        <v>629</v>
      </c>
      <c r="C533" s="211">
        <f>C534</f>
        <v>1537679</v>
      </c>
      <c r="D533" s="211">
        <f t="shared" ref="D533:U533" si="78">D534</f>
        <v>0</v>
      </c>
      <c r="E533" s="211">
        <f t="shared" si="78"/>
        <v>0</v>
      </c>
      <c r="F533" s="211">
        <f t="shared" si="78"/>
        <v>0</v>
      </c>
      <c r="G533" s="211">
        <f t="shared" si="78"/>
        <v>0</v>
      </c>
      <c r="H533" s="211">
        <f t="shared" si="78"/>
        <v>0</v>
      </c>
      <c r="I533" s="211">
        <f t="shared" si="78"/>
        <v>0</v>
      </c>
      <c r="J533" s="211">
        <f t="shared" si="78"/>
        <v>0</v>
      </c>
      <c r="K533" s="211">
        <f t="shared" si="78"/>
        <v>0</v>
      </c>
      <c r="L533" s="211">
        <f t="shared" si="78"/>
        <v>0</v>
      </c>
      <c r="M533" s="211">
        <f t="shared" si="78"/>
        <v>0</v>
      </c>
      <c r="N533" s="211">
        <f t="shared" si="78"/>
        <v>487.68</v>
      </c>
      <c r="O533" s="211">
        <f t="shared" si="78"/>
        <v>1537679</v>
      </c>
      <c r="P533" s="211">
        <f t="shared" si="78"/>
        <v>0</v>
      </c>
      <c r="Q533" s="211">
        <f t="shared" si="78"/>
        <v>0</v>
      </c>
      <c r="R533" s="211">
        <f t="shared" si="78"/>
        <v>0</v>
      </c>
      <c r="S533" s="211">
        <f t="shared" si="78"/>
        <v>0</v>
      </c>
      <c r="T533" s="211">
        <f t="shared" si="78"/>
        <v>0</v>
      </c>
      <c r="U533" s="211">
        <f t="shared" si="78"/>
        <v>0</v>
      </c>
      <c r="V533" s="282"/>
      <c r="W533" s="282"/>
      <c r="X533" s="282"/>
    </row>
    <row r="534" spans="1:35">
      <c r="A534" s="198">
        <v>448</v>
      </c>
      <c r="B534" s="214" t="s">
        <v>630</v>
      </c>
      <c r="C534" s="211">
        <v>1537679</v>
      </c>
      <c r="D534" s="211">
        <v>0</v>
      </c>
      <c r="E534" s="211">
        <v>0</v>
      </c>
      <c r="F534" s="211">
        <v>0</v>
      </c>
      <c r="G534" s="211">
        <v>0</v>
      </c>
      <c r="H534" s="211">
        <v>0</v>
      </c>
      <c r="I534" s="211">
        <v>0</v>
      </c>
      <c r="J534" s="211">
        <v>0</v>
      </c>
      <c r="K534" s="211">
        <v>0</v>
      </c>
      <c r="L534" s="212">
        <v>0</v>
      </c>
      <c r="M534" s="211">
        <v>0</v>
      </c>
      <c r="N534" s="211">
        <v>487.68</v>
      </c>
      <c r="O534" s="211">
        <v>1537679</v>
      </c>
      <c r="P534" s="213">
        <v>0</v>
      </c>
      <c r="Q534" s="211">
        <v>0</v>
      </c>
      <c r="R534" s="213">
        <v>0</v>
      </c>
      <c r="S534" s="211">
        <v>0</v>
      </c>
      <c r="T534" s="212">
        <v>0</v>
      </c>
      <c r="U534" s="290">
        <v>0</v>
      </c>
      <c r="V534" s="282"/>
      <c r="W534" s="282">
        <f>O534/N534</f>
        <v>3153.0491305774276</v>
      </c>
      <c r="X534" s="282"/>
    </row>
    <row r="535" spans="1:35" ht="30">
      <c r="A535" s="198"/>
      <c r="B535" s="214" t="s">
        <v>631</v>
      </c>
      <c r="C535" s="211">
        <f>C536</f>
        <v>1451230</v>
      </c>
      <c r="D535" s="211">
        <f t="shared" ref="D535:V535" si="79">D536</f>
        <v>0</v>
      </c>
      <c r="E535" s="211">
        <f t="shared" si="79"/>
        <v>0</v>
      </c>
      <c r="F535" s="211">
        <f t="shared" si="79"/>
        <v>0</v>
      </c>
      <c r="G535" s="211">
        <f t="shared" si="79"/>
        <v>0</v>
      </c>
      <c r="H535" s="211">
        <f t="shared" si="79"/>
        <v>0</v>
      </c>
      <c r="I535" s="211">
        <f t="shared" si="79"/>
        <v>0</v>
      </c>
      <c r="J535" s="211">
        <f t="shared" si="79"/>
        <v>0</v>
      </c>
      <c r="K535" s="211">
        <f t="shared" si="79"/>
        <v>0</v>
      </c>
      <c r="L535" s="211">
        <f t="shared" si="79"/>
        <v>0</v>
      </c>
      <c r="M535" s="211">
        <f t="shared" si="79"/>
        <v>0</v>
      </c>
      <c r="N535" s="211">
        <f t="shared" si="79"/>
        <v>459</v>
      </c>
      <c r="O535" s="211">
        <f t="shared" si="79"/>
        <v>1451230</v>
      </c>
      <c r="P535" s="211">
        <f t="shared" si="79"/>
        <v>0</v>
      </c>
      <c r="Q535" s="211">
        <f t="shared" si="79"/>
        <v>0</v>
      </c>
      <c r="R535" s="211">
        <f t="shared" si="79"/>
        <v>0</v>
      </c>
      <c r="S535" s="211">
        <f t="shared" si="79"/>
        <v>0</v>
      </c>
      <c r="T535" s="211">
        <f t="shared" si="79"/>
        <v>0</v>
      </c>
      <c r="U535" s="211">
        <f t="shared" si="79"/>
        <v>0</v>
      </c>
      <c r="V535" s="211">
        <f t="shared" si="79"/>
        <v>0</v>
      </c>
      <c r="W535" s="282"/>
      <c r="X535" s="282"/>
    </row>
    <row r="536" spans="1:35">
      <c r="A536" s="198">
        <v>449</v>
      </c>
      <c r="B536" s="214" t="s">
        <v>632</v>
      </c>
      <c r="C536" s="211">
        <v>1451230</v>
      </c>
      <c r="D536" s="211">
        <v>0</v>
      </c>
      <c r="E536" s="211">
        <v>0</v>
      </c>
      <c r="F536" s="211">
        <v>0</v>
      </c>
      <c r="G536" s="211">
        <v>0</v>
      </c>
      <c r="H536" s="211">
        <v>0</v>
      </c>
      <c r="I536" s="211">
        <v>0</v>
      </c>
      <c r="J536" s="211">
        <v>0</v>
      </c>
      <c r="K536" s="211">
        <v>0</v>
      </c>
      <c r="L536" s="212">
        <v>0</v>
      </c>
      <c r="M536" s="211">
        <v>0</v>
      </c>
      <c r="N536" s="211">
        <v>459</v>
      </c>
      <c r="O536" s="211">
        <v>1451230</v>
      </c>
      <c r="P536" s="213">
        <v>0</v>
      </c>
      <c r="Q536" s="211">
        <v>0</v>
      </c>
      <c r="R536" s="213">
        <v>0</v>
      </c>
      <c r="S536" s="211">
        <v>0</v>
      </c>
      <c r="T536" s="212">
        <v>0</v>
      </c>
      <c r="U536" s="290">
        <v>0</v>
      </c>
      <c r="V536" s="282"/>
      <c r="W536" s="282">
        <f>O536/N536</f>
        <v>3161.7211328976036</v>
      </c>
      <c r="X536" s="282"/>
    </row>
    <row r="537" spans="1:35">
      <c r="A537" s="198"/>
      <c r="B537" s="216" t="s">
        <v>66</v>
      </c>
      <c r="C537" s="211">
        <f>C540+C538</f>
        <v>4692143</v>
      </c>
      <c r="D537" s="211">
        <f t="shared" ref="D537:V537" si="80">D540+D538</f>
        <v>346938</v>
      </c>
      <c r="E537" s="211">
        <f t="shared" si="80"/>
        <v>0</v>
      </c>
      <c r="F537" s="211">
        <f t="shared" si="80"/>
        <v>0</v>
      </c>
      <c r="G537" s="211">
        <f t="shared" si="80"/>
        <v>0</v>
      </c>
      <c r="H537" s="211">
        <f t="shared" si="80"/>
        <v>0</v>
      </c>
      <c r="I537" s="211">
        <f t="shared" si="80"/>
        <v>0</v>
      </c>
      <c r="J537" s="211">
        <f t="shared" si="80"/>
        <v>346938</v>
      </c>
      <c r="K537" s="211">
        <f t="shared" si="80"/>
        <v>0</v>
      </c>
      <c r="L537" s="211">
        <f t="shared" si="80"/>
        <v>0</v>
      </c>
      <c r="M537" s="211">
        <f t="shared" si="80"/>
        <v>0</v>
      </c>
      <c r="N537" s="211">
        <f t="shared" si="80"/>
        <v>1369.3</v>
      </c>
      <c r="O537" s="211">
        <f t="shared" si="80"/>
        <v>4345205</v>
      </c>
      <c r="P537" s="211">
        <f t="shared" si="80"/>
        <v>0</v>
      </c>
      <c r="Q537" s="211">
        <f t="shared" si="80"/>
        <v>0</v>
      </c>
      <c r="R537" s="211">
        <f t="shared" si="80"/>
        <v>0</v>
      </c>
      <c r="S537" s="211">
        <f t="shared" si="80"/>
        <v>0</v>
      </c>
      <c r="T537" s="211">
        <f t="shared" si="80"/>
        <v>0</v>
      </c>
      <c r="U537" s="211">
        <f t="shared" si="80"/>
        <v>0</v>
      </c>
      <c r="V537" s="211">
        <f t="shared" si="80"/>
        <v>0</v>
      </c>
      <c r="W537" s="282"/>
      <c r="X537" s="282"/>
    </row>
    <row r="538" spans="1:35" ht="30">
      <c r="A538" s="430"/>
      <c r="B538" s="438" t="s">
        <v>641</v>
      </c>
      <c r="C538" s="439">
        <f>C539</f>
        <v>346938</v>
      </c>
      <c r="D538" s="439">
        <f t="shared" ref="D538:V538" si="81">D539</f>
        <v>346938</v>
      </c>
      <c r="E538" s="439">
        <f t="shared" si="81"/>
        <v>0</v>
      </c>
      <c r="F538" s="439">
        <f t="shared" si="81"/>
        <v>0</v>
      </c>
      <c r="G538" s="439">
        <f t="shared" si="81"/>
        <v>0</v>
      </c>
      <c r="H538" s="439">
        <f t="shared" si="81"/>
        <v>0</v>
      </c>
      <c r="I538" s="439">
        <f t="shared" si="81"/>
        <v>0</v>
      </c>
      <c r="J538" s="439">
        <f t="shared" si="81"/>
        <v>346938</v>
      </c>
      <c r="K538" s="439">
        <f t="shared" si="81"/>
        <v>0</v>
      </c>
      <c r="L538" s="439">
        <f t="shared" si="81"/>
        <v>0</v>
      </c>
      <c r="M538" s="439">
        <f t="shared" si="81"/>
        <v>0</v>
      </c>
      <c r="N538" s="439">
        <f t="shared" si="81"/>
        <v>0</v>
      </c>
      <c r="O538" s="439">
        <f t="shared" si="81"/>
        <v>0</v>
      </c>
      <c r="P538" s="439">
        <f t="shared" si="81"/>
        <v>0</v>
      </c>
      <c r="Q538" s="439">
        <f t="shared" si="81"/>
        <v>0</v>
      </c>
      <c r="R538" s="439">
        <f t="shared" si="81"/>
        <v>0</v>
      </c>
      <c r="S538" s="439">
        <f t="shared" si="81"/>
        <v>0</v>
      </c>
      <c r="T538" s="439">
        <f t="shared" si="81"/>
        <v>0</v>
      </c>
      <c r="U538" s="439">
        <f t="shared" si="81"/>
        <v>0</v>
      </c>
      <c r="V538" s="211">
        <f t="shared" si="81"/>
        <v>0</v>
      </c>
      <c r="W538" s="282"/>
      <c r="X538" s="282"/>
    </row>
    <row r="539" spans="1:35">
      <c r="A539" s="430"/>
      <c r="B539" s="464" t="s">
        <v>642</v>
      </c>
      <c r="C539" s="439">
        <v>346938</v>
      </c>
      <c r="D539" s="439">
        <f>E539+F539+G539+H539+I539+J539+K539</f>
        <v>346938</v>
      </c>
      <c r="E539" s="439">
        <v>0</v>
      </c>
      <c r="F539" s="439">
        <v>0</v>
      </c>
      <c r="G539" s="439">
        <v>0</v>
      </c>
      <c r="H539" s="439">
        <v>0</v>
      </c>
      <c r="I539" s="439">
        <v>0</v>
      </c>
      <c r="J539" s="439">
        <v>346938</v>
      </c>
      <c r="K539" s="439">
        <v>0</v>
      </c>
      <c r="L539" s="439">
        <v>0</v>
      </c>
      <c r="M539" s="439">
        <v>0</v>
      </c>
      <c r="N539" s="439">
        <v>0</v>
      </c>
      <c r="O539" s="439">
        <v>0</v>
      </c>
      <c r="P539" s="439">
        <v>0</v>
      </c>
      <c r="Q539" s="439">
        <v>0</v>
      </c>
      <c r="R539" s="439">
        <v>0</v>
      </c>
      <c r="S539" s="439">
        <v>0</v>
      </c>
      <c r="T539" s="439">
        <v>0</v>
      </c>
      <c r="U539" s="439">
        <v>0</v>
      </c>
      <c r="V539" s="282"/>
      <c r="W539" s="282"/>
      <c r="X539" s="282"/>
      <c r="AD539" s="1">
        <f>J539/'часть 1'!I498</f>
        <v>553.86015325670496</v>
      </c>
    </row>
    <row r="540" spans="1:35" ht="30">
      <c r="A540" s="198"/>
      <c r="B540" s="214" t="s">
        <v>114</v>
      </c>
      <c r="C540" s="211">
        <f>C541+C542+C543</f>
        <v>4345205</v>
      </c>
      <c r="D540" s="211">
        <f t="shared" ref="D540:U540" si="82">D541+D542+D543</f>
        <v>0</v>
      </c>
      <c r="E540" s="211">
        <f t="shared" si="82"/>
        <v>0</v>
      </c>
      <c r="F540" s="211">
        <f t="shared" si="82"/>
        <v>0</v>
      </c>
      <c r="G540" s="211">
        <f t="shared" si="82"/>
        <v>0</v>
      </c>
      <c r="H540" s="211">
        <f t="shared" si="82"/>
        <v>0</v>
      </c>
      <c r="I540" s="211">
        <f t="shared" si="82"/>
        <v>0</v>
      </c>
      <c r="J540" s="211">
        <f t="shared" si="82"/>
        <v>0</v>
      </c>
      <c r="K540" s="211">
        <f t="shared" si="82"/>
        <v>0</v>
      </c>
      <c r="L540" s="211">
        <f>L541+L542+L543</f>
        <v>0</v>
      </c>
      <c r="M540" s="211">
        <f t="shared" si="82"/>
        <v>0</v>
      </c>
      <c r="N540" s="211">
        <f t="shared" si="82"/>
        <v>1369.3</v>
      </c>
      <c r="O540" s="211">
        <f t="shared" si="82"/>
        <v>4345205</v>
      </c>
      <c r="P540" s="211">
        <f t="shared" si="82"/>
        <v>0</v>
      </c>
      <c r="Q540" s="211">
        <f t="shared" si="82"/>
        <v>0</v>
      </c>
      <c r="R540" s="211">
        <f t="shared" si="82"/>
        <v>0</v>
      </c>
      <c r="S540" s="211">
        <f t="shared" si="82"/>
        <v>0</v>
      </c>
      <c r="T540" s="211">
        <f t="shared" si="82"/>
        <v>0</v>
      </c>
      <c r="U540" s="211">
        <f t="shared" si="82"/>
        <v>0</v>
      </c>
      <c r="V540" s="282"/>
      <c r="W540" s="282"/>
      <c r="X540" s="282"/>
    </row>
    <row r="541" spans="1:35" ht="15.75">
      <c r="A541" s="430">
        <v>450</v>
      </c>
      <c r="B541" s="363" t="s">
        <v>497</v>
      </c>
      <c r="C541" s="439">
        <v>784601</v>
      </c>
      <c r="D541" s="439">
        <v>0</v>
      </c>
      <c r="E541" s="439">
        <v>0</v>
      </c>
      <c r="F541" s="439">
        <v>0</v>
      </c>
      <c r="G541" s="439">
        <v>0</v>
      </c>
      <c r="H541" s="439">
        <v>0</v>
      </c>
      <c r="I541" s="439">
        <v>0</v>
      </c>
      <c r="J541" s="439">
        <v>0</v>
      </c>
      <c r="K541" s="439">
        <v>0</v>
      </c>
      <c r="L541" s="440">
        <v>0</v>
      </c>
      <c r="M541" s="439">
        <v>0</v>
      </c>
      <c r="N541" s="439">
        <v>245</v>
      </c>
      <c r="O541" s="439">
        <v>784601</v>
      </c>
      <c r="P541" s="442">
        <v>0</v>
      </c>
      <c r="Q541" s="439">
        <v>0</v>
      </c>
      <c r="R541" s="442">
        <v>0</v>
      </c>
      <c r="S541" s="439">
        <v>0</v>
      </c>
      <c r="T541" s="440">
        <v>0</v>
      </c>
      <c r="U541" s="443">
        <v>0</v>
      </c>
      <c r="V541" s="282"/>
      <c r="W541" s="282">
        <f>O541/N541</f>
        <v>3202.4530612244898</v>
      </c>
      <c r="X541" s="282"/>
    </row>
    <row r="542" spans="1:35" ht="15.75">
      <c r="A542" s="430">
        <v>451</v>
      </c>
      <c r="B542" s="363" t="s">
        <v>498</v>
      </c>
      <c r="C542" s="439">
        <v>1513632</v>
      </c>
      <c r="D542" s="439">
        <v>0</v>
      </c>
      <c r="E542" s="439">
        <v>0</v>
      </c>
      <c r="F542" s="439">
        <v>0</v>
      </c>
      <c r="G542" s="439">
        <v>0</v>
      </c>
      <c r="H542" s="439">
        <v>0</v>
      </c>
      <c r="I542" s="439">
        <v>0</v>
      </c>
      <c r="J542" s="439">
        <v>0</v>
      </c>
      <c r="K542" s="439">
        <v>0</v>
      </c>
      <c r="L542" s="440">
        <v>0</v>
      </c>
      <c r="M542" s="439">
        <v>0</v>
      </c>
      <c r="N542" s="439">
        <v>479.3</v>
      </c>
      <c r="O542" s="439">
        <v>1513632</v>
      </c>
      <c r="P542" s="442">
        <v>0</v>
      </c>
      <c r="Q542" s="439">
        <v>0</v>
      </c>
      <c r="R542" s="442">
        <v>0</v>
      </c>
      <c r="S542" s="439">
        <v>0</v>
      </c>
      <c r="T542" s="440">
        <v>0</v>
      </c>
      <c r="U542" s="443">
        <v>0</v>
      </c>
      <c r="V542" s="282"/>
      <c r="W542" s="282">
        <f t="shared" ref="W542:W551" si="83">O542/N542</f>
        <v>3158.0054245775086</v>
      </c>
      <c r="X542" s="282"/>
    </row>
    <row r="543" spans="1:35" ht="15.75">
      <c r="A543" s="430">
        <v>452</v>
      </c>
      <c r="B543" s="363" t="s">
        <v>499</v>
      </c>
      <c r="C543" s="439">
        <v>2046972</v>
      </c>
      <c r="D543" s="439">
        <v>0</v>
      </c>
      <c r="E543" s="439">
        <v>0</v>
      </c>
      <c r="F543" s="439">
        <v>0</v>
      </c>
      <c r="G543" s="439">
        <v>0</v>
      </c>
      <c r="H543" s="439">
        <v>0</v>
      </c>
      <c r="I543" s="439">
        <v>0</v>
      </c>
      <c r="J543" s="439">
        <v>0</v>
      </c>
      <c r="K543" s="439">
        <v>0</v>
      </c>
      <c r="L543" s="440">
        <v>0</v>
      </c>
      <c r="M543" s="439">
        <v>0</v>
      </c>
      <c r="N543" s="439">
        <v>645</v>
      </c>
      <c r="O543" s="439">
        <v>2046972</v>
      </c>
      <c r="P543" s="442">
        <v>0</v>
      </c>
      <c r="Q543" s="439">
        <v>0</v>
      </c>
      <c r="R543" s="442">
        <v>0</v>
      </c>
      <c r="S543" s="439">
        <v>0</v>
      </c>
      <c r="T543" s="440">
        <v>0</v>
      </c>
      <c r="U543" s="443">
        <v>0</v>
      </c>
      <c r="V543" s="282"/>
      <c r="W543" s="282">
        <f t="shared" si="83"/>
        <v>3173.6</v>
      </c>
      <c r="X543" s="282"/>
    </row>
    <row r="544" spans="1:35">
      <c r="A544" s="198"/>
      <c r="B544" s="214" t="s">
        <v>207</v>
      </c>
      <c r="C544" s="211">
        <f>C545+C546+C547+C548+C549+C550+C551</f>
        <v>21667282</v>
      </c>
      <c r="D544" s="211">
        <f t="shared" ref="D544:V544" si="84">D545+D546+D547+D548+D549+D550+D551</f>
        <v>0</v>
      </c>
      <c r="E544" s="211">
        <f t="shared" si="84"/>
        <v>0</v>
      </c>
      <c r="F544" s="211">
        <f t="shared" si="84"/>
        <v>0</v>
      </c>
      <c r="G544" s="211">
        <f t="shared" si="84"/>
        <v>0</v>
      </c>
      <c r="H544" s="211">
        <f t="shared" si="84"/>
        <v>0</v>
      </c>
      <c r="I544" s="211">
        <f t="shared" si="84"/>
        <v>0</v>
      </c>
      <c r="J544" s="211">
        <f t="shared" si="84"/>
        <v>0</v>
      </c>
      <c r="K544" s="211">
        <f t="shared" si="84"/>
        <v>0</v>
      </c>
      <c r="L544" s="211">
        <f t="shared" si="84"/>
        <v>0</v>
      </c>
      <c r="M544" s="211">
        <f t="shared" si="84"/>
        <v>0</v>
      </c>
      <c r="N544" s="211">
        <f t="shared" si="84"/>
        <v>8726</v>
      </c>
      <c r="O544" s="211">
        <f t="shared" si="84"/>
        <v>21667282</v>
      </c>
      <c r="P544" s="211">
        <f t="shared" si="84"/>
        <v>0</v>
      </c>
      <c r="Q544" s="211">
        <f t="shared" si="84"/>
        <v>0</v>
      </c>
      <c r="R544" s="211">
        <f t="shared" si="84"/>
        <v>0</v>
      </c>
      <c r="S544" s="211">
        <f t="shared" si="84"/>
        <v>0</v>
      </c>
      <c r="T544" s="211">
        <f t="shared" si="84"/>
        <v>0</v>
      </c>
      <c r="U544" s="211">
        <f t="shared" si="84"/>
        <v>0</v>
      </c>
      <c r="V544" s="211">
        <f t="shared" si="84"/>
        <v>0</v>
      </c>
      <c r="W544" s="282">
        <f t="shared" si="83"/>
        <v>2483.0715104286041</v>
      </c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  <c r="AH544" s="211"/>
      <c r="AI544" s="211"/>
    </row>
    <row r="545" spans="1:24">
      <c r="A545" s="430">
        <v>453</v>
      </c>
      <c r="B545" s="458" t="s">
        <v>569</v>
      </c>
      <c r="C545" s="439">
        <v>2609742</v>
      </c>
      <c r="D545" s="439">
        <v>0</v>
      </c>
      <c r="E545" s="439">
        <v>0</v>
      </c>
      <c r="F545" s="439">
        <v>0</v>
      </c>
      <c r="G545" s="439">
        <v>0</v>
      </c>
      <c r="H545" s="439">
        <v>0</v>
      </c>
      <c r="I545" s="439">
        <v>0</v>
      </c>
      <c r="J545" s="439">
        <v>0</v>
      </c>
      <c r="K545" s="439">
        <v>0</v>
      </c>
      <c r="L545" s="440">
        <v>0</v>
      </c>
      <c r="M545" s="439">
        <v>0</v>
      </c>
      <c r="N545" s="435">
        <v>1055</v>
      </c>
      <c r="O545" s="439">
        <v>2609742</v>
      </c>
      <c r="P545" s="440">
        <v>0</v>
      </c>
      <c r="Q545" s="439">
        <v>0</v>
      </c>
      <c r="R545" s="442">
        <v>0</v>
      </c>
      <c r="S545" s="439">
        <v>0</v>
      </c>
      <c r="T545" s="440">
        <v>0</v>
      </c>
      <c r="U545" s="443">
        <v>0</v>
      </c>
      <c r="V545" s="282"/>
      <c r="W545" s="282">
        <f t="shared" si="83"/>
        <v>2473.6890995260665</v>
      </c>
      <c r="X545" s="282"/>
    </row>
    <row r="546" spans="1:24">
      <c r="A546" s="430">
        <v>454</v>
      </c>
      <c r="B546" s="458" t="s">
        <v>570</v>
      </c>
      <c r="C546" s="439">
        <v>2313974</v>
      </c>
      <c r="D546" s="439">
        <v>0</v>
      </c>
      <c r="E546" s="439">
        <v>0</v>
      </c>
      <c r="F546" s="439">
        <v>0</v>
      </c>
      <c r="G546" s="439">
        <v>0</v>
      </c>
      <c r="H546" s="439">
        <v>0</v>
      </c>
      <c r="I546" s="439">
        <v>0</v>
      </c>
      <c r="J546" s="439">
        <v>0</v>
      </c>
      <c r="K546" s="439">
        <v>0</v>
      </c>
      <c r="L546" s="440">
        <v>0</v>
      </c>
      <c r="M546" s="439">
        <v>0</v>
      </c>
      <c r="N546" s="435">
        <v>927</v>
      </c>
      <c r="O546" s="439">
        <v>2313974</v>
      </c>
      <c r="P546" s="440">
        <v>0</v>
      </c>
      <c r="Q546" s="439">
        <v>0</v>
      </c>
      <c r="R546" s="442">
        <v>0</v>
      </c>
      <c r="S546" s="439">
        <v>0</v>
      </c>
      <c r="T546" s="440">
        <v>0</v>
      </c>
      <c r="U546" s="443">
        <v>0</v>
      </c>
      <c r="V546" s="282"/>
      <c r="W546" s="282">
        <f t="shared" si="83"/>
        <v>2496.1963322545848</v>
      </c>
      <c r="X546" s="282"/>
    </row>
    <row r="547" spans="1:24">
      <c r="A547" s="430">
        <v>455</v>
      </c>
      <c r="B547" s="458" t="s">
        <v>571</v>
      </c>
      <c r="C547" s="439">
        <v>4688365</v>
      </c>
      <c r="D547" s="439">
        <v>0</v>
      </c>
      <c r="E547" s="439">
        <v>0</v>
      </c>
      <c r="F547" s="439">
        <v>0</v>
      </c>
      <c r="G547" s="439">
        <v>0</v>
      </c>
      <c r="H547" s="439">
        <v>0</v>
      </c>
      <c r="I547" s="439">
        <v>0</v>
      </c>
      <c r="J547" s="439">
        <v>0</v>
      </c>
      <c r="K547" s="439">
        <v>0</v>
      </c>
      <c r="L547" s="440">
        <v>0</v>
      </c>
      <c r="M547" s="439">
        <v>0</v>
      </c>
      <c r="N547" s="439">
        <v>1894</v>
      </c>
      <c r="O547" s="439">
        <v>4688365</v>
      </c>
      <c r="P547" s="440">
        <v>0</v>
      </c>
      <c r="Q547" s="439">
        <v>0</v>
      </c>
      <c r="R547" s="442">
        <v>0</v>
      </c>
      <c r="S547" s="439">
        <v>0</v>
      </c>
      <c r="T547" s="440">
        <v>0</v>
      </c>
      <c r="U547" s="443">
        <v>0</v>
      </c>
      <c r="V547" s="282"/>
      <c r="W547" s="282">
        <f t="shared" si="83"/>
        <v>2475.3775079197467</v>
      </c>
      <c r="X547" s="282"/>
    </row>
    <row r="548" spans="1:24">
      <c r="A548" s="430">
        <v>456</v>
      </c>
      <c r="B548" s="458" t="s">
        <v>572</v>
      </c>
      <c r="C548" s="439">
        <v>924354</v>
      </c>
      <c r="D548" s="439">
        <v>0</v>
      </c>
      <c r="E548" s="439">
        <v>0</v>
      </c>
      <c r="F548" s="439">
        <v>0</v>
      </c>
      <c r="G548" s="439">
        <v>0</v>
      </c>
      <c r="H548" s="439">
        <v>0</v>
      </c>
      <c r="I548" s="439">
        <v>0</v>
      </c>
      <c r="J548" s="439">
        <v>0</v>
      </c>
      <c r="K548" s="439">
        <v>0</v>
      </c>
      <c r="L548" s="440">
        <v>0</v>
      </c>
      <c r="M548" s="439">
        <v>0</v>
      </c>
      <c r="N548" s="435">
        <v>362</v>
      </c>
      <c r="O548" s="439">
        <v>924354</v>
      </c>
      <c r="P548" s="440">
        <v>0</v>
      </c>
      <c r="Q548" s="439">
        <v>0</v>
      </c>
      <c r="R548" s="442">
        <v>0</v>
      </c>
      <c r="S548" s="439">
        <v>0</v>
      </c>
      <c r="T548" s="440">
        <v>0</v>
      </c>
      <c r="U548" s="443">
        <v>0</v>
      </c>
      <c r="V548" s="282"/>
      <c r="W548" s="282">
        <f t="shared" si="83"/>
        <v>2553.46408839779</v>
      </c>
      <c r="X548" s="282"/>
    </row>
    <row r="549" spans="1:24">
      <c r="A549" s="430">
        <v>457</v>
      </c>
      <c r="B549" s="458" t="s">
        <v>573</v>
      </c>
      <c r="C549" s="439">
        <v>1813705</v>
      </c>
      <c r="D549" s="439">
        <v>0</v>
      </c>
      <c r="E549" s="439">
        <v>0</v>
      </c>
      <c r="F549" s="439">
        <v>0</v>
      </c>
      <c r="G549" s="439">
        <v>0</v>
      </c>
      <c r="H549" s="439">
        <v>0</v>
      </c>
      <c r="I549" s="439">
        <v>0</v>
      </c>
      <c r="J549" s="439">
        <v>0</v>
      </c>
      <c r="K549" s="439">
        <v>0</v>
      </c>
      <c r="L549" s="440">
        <v>0</v>
      </c>
      <c r="M549" s="439">
        <v>0</v>
      </c>
      <c r="N549" s="435">
        <v>724</v>
      </c>
      <c r="O549" s="439">
        <v>1813705</v>
      </c>
      <c r="P549" s="440">
        <v>0</v>
      </c>
      <c r="Q549" s="439">
        <v>0</v>
      </c>
      <c r="R549" s="442">
        <v>0</v>
      </c>
      <c r="S549" s="439">
        <v>0</v>
      </c>
      <c r="T549" s="440">
        <v>0</v>
      </c>
      <c r="U549" s="443">
        <v>0</v>
      </c>
      <c r="V549" s="282"/>
      <c r="W549" s="282">
        <f t="shared" si="83"/>
        <v>2505.1174033149173</v>
      </c>
      <c r="X549" s="282"/>
    </row>
    <row r="550" spans="1:24">
      <c r="A550" s="430">
        <v>458</v>
      </c>
      <c r="B550" s="458" t="s">
        <v>574</v>
      </c>
      <c r="C550" s="439">
        <v>4665548</v>
      </c>
      <c r="D550" s="439">
        <v>0</v>
      </c>
      <c r="E550" s="439">
        <v>0</v>
      </c>
      <c r="F550" s="439">
        <v>0</v>
      </c>
      <c r="G550" s="439">
        <v>0</v>
      </c>
      <c r="H550" s="439">
        <v>0</v>
      </c>
      <c r="I550" s="439">
        <v>0</v>
      </c>
      <c r="J550" s="439">
        <v>0</v>
      </c>
      <c r="K550" s="439">
        <v>0</v>
      </c>
      <c r="L550" s="440">
        <v>0</v>
      </c>
      <c r="M550" s="439">
        <v>0</v>
      </c>
      <c r="N550" s="435">
        <v>1885</v>
      </c>
      <c r="O550" s="439">
        <v>4665548</v>
      </c>
      <c r="P550" s="440">
        <v>0</v>
      </c>
      <c r="Q550" s="439">
        <v>0</v>
      </c>
      <c r="R550" s="442">
        <v>0</v>
      </c>
      <c r="S550" s="439">
        <v>0</v>
      </c>
      <c r="T550" s="440">
        <v>0</v>
      </c>
      <c r="U550" s="443">
        <v>0</v>
      </c>
      <c r="V550" s="282"/>
      <c r="W550" s="282">
        <f t="shared" si="83"/>
        <v>2475.0917771883287</v>
      </c>
      <c r="X550" s="282"/>
    </row>
    <row r="551" spans="1:24">
      <c r="A551" s="430">
        <v>459</v>
      </c>
      <c r="B551" s="458" t="s">
        <v>575</v>
      </c>
      <c r="C551" s="439">
        <v>4651594</v>
      </c>
      <c r="D551" s="439">
        <v>0</v>
      </c>
      <c r="E551" s="439">
        <v>0</v>
      </c>
      <c r="F551" s="439">
        <v>0</v>
      </c>
      <c r="G551" s="439">
        <v>0</v>
      </c>
      <c r="H551" s="439">
        <v>0</v>
      </c>
      <c r="I551" s="439">
        <v>0</v>
      </c>
      <c r="J551" s="439">
        <v>0</v>
      </c>
      <c r="K551" s="439">
        <v>0</v>
      </c>
      <c r="L551" s="440">
        <v>0</v>
      </c>
      <c r="M551" s="439">
        <v>0</v>
      </c>
      <c r="N551" s="435">
        <v>1879</v>
      </c>
      <c r="O551" s="439">
        <v>4651594</v>
      </c>
      <c r="P551" s="440">
        <v>0</v>
      </c>
      <c r="Q551" s="439">
        <v>0</v>
      </c>
      <c r="R551" s="442">
        <v>0</v>
      </c>
      <c r="S551" s="439">
        <v>0</v>
      </c>
      <c r="T551" s="440">
        <v>0</v>
      </c>
      <c r="U551" s="443">
        <v>0</v>
      </c>
      <c r="V551" s="282"/>
      <c r="W551" s="282">
        <f t="shared" si="83"/>
        <v>2475.5689196381054</v>
      </c>
      <c r="X551" s="282"/>
    </row>
    <row r="552" spans="1:24">
      <c r="A552" s="430"/>
      <c r="B552" s="457"/>
      <c r="C552" s="439"/>
      <c r="D552" s="439"/>
      <c r="E552" s="439"/>
      <c r="F552" s="439"/>
      <c r="G552" s="439"/>
      <c r="H552" s="439"/>
      <c r="I552" s="439"/>
      <c r="J552" s="439"/>
      <c r="K552" s="439"/>
      <c r="L552" s="440"/>
      <c r="M552" s="439"/>
      <c r="N552" s="435"/>
      <c r="O552" s="439"/>
      <c r="P552" s="440"/>
      <c r="Q552" s="439"/>
      <c r="R552" s="442"/>
      <c r="S552" s="439"/>
      <c r="T552" s="440"/>
      <c r="U552" s="443"/>
      <c r="V552" s="282"/>
      <c r="W552" s="282"/>
      <c r="X552" s="282"/>
    </row>
    <row r="553" spans="1:24">
      <c r="A553" s="430"/>
      <c r="B553" s="457"/>
      <c r="C553" s="439"/>
      <c r="D553" s="439"/>
      <c r="E553" s="439"/>
      <c r="F553" s="439"/>
      <c r="G553" s="439"/>
      <c r="H553" s="439"/>
      <c r="I553" s="439"/>
      <c r="J553" s="439"/>
      <c r="K553" s="439"/>
      <c r="L553" s="440"/>
      <c r="M553" s="439"/>
      <c r="N553" s="435"/>
      <c r="O553" s="439"/>
      <c r="P553" s="440"/>
      <c r="Q553" s="439"/>
      <c r="R553" s="442"/>
      <c r="S553" s="439"/>
      <c r="T553" s="440"/>
      <c r="U553" s="443"/>
      <c r="V553" s="282"/>
      <c r="W553" s="282"/>
      <c r="X553" s="282"/>
    </row>
    <row r="554" spans="1:24">
      <c r="A554" s="430"/>
      <c r="B554" s="457"/>
      <c r="C554" s="439"/>
      <c r="D554" s="439"/>
      <c r="E554" s="439"/>
      <c r="F554" s="439"/>
      <c r="G554" s="439"/>
      <c r="H554" s="439"/>
      <c r="I554" s="439"/>
      <c r="J554" s="439"/>
      <c r="K554" s="439"/>
      <c r="L554" s="440"/>
      <c r="M554" s="439"/>
      <c r="N554" s="435"/>
      <c r="O554" s="439"/>
      <c r="P554" s="440"/>
      <c r="Q554" s="439"/>
      <c r="R554" s="442"/>
      <c r="S554" s="439"/>
      <c r="T554" s="440"/>
      <c r="U554" s="443"/>
      <c r="V554" s="282"/>
      <c r="W554" s="282"/>
      <c r="X554" s="282"/>
    </row>
    <row r="555" spans="1:24">
      <c r="A555" s="430"/>
      <c r="B555" s="457"/>
      <c r="C555" s="439"/>
      <c r="D555" s="439"/>
      <c r="E555" s="439"/>
      <c r="F555" s="439"/>
      <c r="G555" s="439"/>
      <c r="H555" s="439"/>
      <c r="I555" s="439"/>
      <c r="J555" s="439"/>
      <c r="K555" s="439"/>
      <c r="L555" s="440"/>
      <c r="M555" s="439"/>
      <c r="N555" s="435"/>
      <c r="O555" s="439"/>
      <c r="P555" s="440"/>
      <c r="Q555" s="439"/>
      <c r="R555" s="442"/>
      <c r="S555" s="439"/>
      <c r="T555" s="440"/>
      <c r="U555" s="443"/>
      <c r="V555" s="282"/>
      <c r="W555" s="282"/>
      <c r="X555" s="282"/>
    </row>
    <row r="556" spans="1:24">
      <c r="A556" s="198"/>
      <c r="B556" s="216" t="s">
        <v>67</v>
      </c>
      <c r="C556" s="211">
        <v>2507155.0699999998</v>
      </c>
      <c r="D556" s="211"/>
      <c r="E556" s="211"/>
      <c r="F556" s="211"/>
      <c r="G556" s="211"/>
      <c r="H556" s="211"/>
      <c r="I556" s="211"/>
      <c r="J556" s="211"/>
      <c r="K556" s="211">
        <v>0</v>
      </c>
      <c r="L556" s="212">
        <v>0</v>
      </c>
      <c r="M556" s="211">
        <v>0</v>
      </c>
      <c r="N556" s="211">
        <v>1630.2</v>
      </c>
      <c r="O556" s="211">
        <v>2507155.0699999998</v>
      </c>
      <c r="P556" s="212">
        <v>0</v>
      </c>
      <c r="Q556" s="211">
        <v>0</v>
      </c>
      <c r="R556" s="213">
        <v>0</v>
      </c>
      <c r="S556" s="211">
        <v>0</v>
      </c>
      <c r="T556" s="212">
        <v>0</v>
      </c>
      <c r="U556" s="290">
        <v>0</v>
      </c>
      <c r="V556" s="282"/>
      <c r="W556" s="282"/>
      <c r="X556" s="282"/>
    </row>
    <row r="557" spans="1:24" ht="30">
      <c r="A557" s="198"/>
      <c r="B557" s="214" t="s">
        <v>90</v>
      </c>
      <c r="C557" s="211">
        <v>728197.07</v>
      </c>
      <c r="D557" s="211"/>
      <c r="E557" s="211"/>
      <c r="F557" s="211"/>
      <c r="G557" s="211"/>
      <c r="H557" s="211"/>
      <c r="I557" s="211"/>
      <c r="J557" s="211"/>
      <c r="K557" s="211">
        <v>0</v>
      </c>
      <c r="L557" s="212">
        <v>0</v>
      </c>
      <c r="M557" s="211">
        <v>0</v>
      </c>
      <c r="N557" s="211">
        <v>731.2</v>
      </c>
      <c r="O557" s="211">
        <v>728197.07</v>
      </c>
      <c r="P557" s="212">
        <v>0</v>
      </c>
      <c r="Q557" s="211">
        <v>0</v>
      </c>
      <c r="R557" s="213">
        <v>0</v>
      </c>
      <c r="S557" s="211">
        <v>0</v>
      </c>
      <c r="T557" s="212">
        <v>0</v>
      </c>
      <c r="U557" s="290">
        <v>0</v>
      </c>
      <c r="V557" s="282"/>
      <c r="W557" s="282"/>
      <c r="X557" s="282"/>
    </row>
    <row r="558" spans="1:24" s="23" customFormat="1">
      <c r="A558" s="198">
        <v>464</v>
      </c>
      <c r="B558" s="241" t="s">
        <v>429</v>
      </c>
      <c r="C558" s="211">
        <v>728197.07</v>
      </c>
      <c r="D558" s="211"/>
      <c r="E558" s="211"/>
      <c r="F558" s="211"/>
      <c r="G558" s="211"/>
      <c r="H558" s="211"/>
      <c r="I558" s="211"/>
      <c r="J558" s="211"/>
      <c r="K558" s="211">
        <v>0</v>
      </c>
      <c r="L558" s="212">
        <v>0</v>
      </c>
      <c r="M558" s="211">
        <v>0</v>
      </c>
      <c r="N558" s="211">
        <v>731.2</v>
      </c>
      <c r="O558" s="211">
        <v>728197.07</v>
      </c>
      <c r="P558" s="212">
        <v>0</v>
      </c>
      <c r="Q558" s="211">
        <v>0</v>
      </c>
      <c r="R558" s="213">
        <v>0</v>
      </c>
      <c r="S558" s="211">
        <v>0</v>
      </c>
      <c r="T558" s="212">
        <v>0</v>
      </c>
      <c r="U558" s="290">
        <v>0</v>
      </c>
      <c r="V558" s="282"/>
      <c r="W558" s="282"/>
      <c r="X558" s="282"/>
    </row>
    <row r="559" spans="1:24" ht="30">
      <c r="A559" s="430"/>
      <c r="B559" s="438" t="s">
        <v>127</v>
      </c>
      <c r="C559" s="439">
        <f>C560</f>
        <v>2131086</v>
      </c>
      <c r="D559" s="439">
        <f t="shared" ref="D559:V559" si="85">D560</f>
        <v>0</v>
      </c>
      <c r="E559" s="439">
        <f t="shared" si="85"/>
        <v>0</v>
      </c>
      <c r="F559" s="439">
        <f t="shared" si="85"/>
        <v>0</v>
      </c>
      <c r="G559" s="439">
        <f t="shared" si="85"/>
        <v>0</v>
      </c>
      <c r="H559" s="439">
        <f t="shared" si="85"/>
        <v>0</v>
      </c>
      <c r="I559" s="439">
        <f t="shared" si="85"/>
        <v>0</v>
      </c>
      <c r="J559" s="439">
        <f t="shared" si="85"/>
        <v>0</v>
      </c>
      <c r="K559" s="439">
        <f t="shared" si="85"/>
        <v>0</v>
      </c>
      <c r="L559" s="439">
        <f t="shared" si="85"/>
        <v>0</v>
      </c>
      <c r="M559" s="439">
        <f t="shared" si="85"/>
        <v>0</v>
      </c>
      <c r="N559" s="439">
        <f t="shared" si="85"/>
        <v>860</v>
      </c>
      <c r="O559" s="439">
        <f t="shared" si="85"/>
        <v>2131086</v>
      </c>
      <c r="P559" s="439">
        <f t="shared" si="85"/>
        <v>0</v>
      </c>
      <c r="Q559" s="439">
        <f t="shared" si="85"/>
        <v>0</v>
      </c>
      <c r="R559" s="439">
        <f t="shared" si="85"/>
        <v>0</v>
      </c>
      <c r="S559" s="439">
        <f t="shared" si="85"/>
        <v>0</v>
      </c>
      <c r="T559" s="439">
        <f t="shared" si="85"/>
        <v>0</v>
      </c>
      <c r="U559" s="439">
        <f t="shared" si="85"/>
        <v>0</v>
      </c>
      <c r="V559" s="211">
        <f t="shared" si="85"/>
        <v>0</v>
      </c>
      <c r="W559" s="282"/>
      <c r="X559" s="282"/>
    </row>
    <row r="560" spans="1:24" ht="24" customHeight="1">
      <c r="A560" s="430">
        <v>465</v>
      </c>
      <c r="B560" s="438" t="s">
        <v>686</v>
      </c>
      <c r="C560" s="439">
        <f>'часть 1'!L519</f>
        <v>2131086</v>
      </c>
      <c r="D560" s="439">
        <v>0</v>
      </c>
      <c r="E560" s="439">
        <v>0</v>
      </c>
      <c r="F560" s="439">
        <v>0</v>
      </c>
      <c r="G560" s="439">
        <v>0</v>
      </c>
      <c r="H560" s="439">
        <v>0</v>
      </c>
      <c r="I560" s="439">
        <v>0</v>
      </c>
      <c r="J560" s="439">
        <v>0</v>
      </c>
      <c r="K560" s="439">
        <v>0</v>
      </c>
      <c r="L560" s="440">
        <v>0</v>
      </c>
      <c r="M560" s="439">
        <v>0</v>
      </c>
      <c r="N560" s="439">
        <v>860</v>
      </c>
      <c r="O560" s="439">
        <v>2131086</v>
      </c>
      <c r="P560" s="440">
        <v>0</v>
      </c>
      <c r="Q560" s="439">
        <v>0</v>
      </c>
      <c r="R560" s="442">
        <v>0</v>
      </c>
      <c r="S560" s="439">
        <v>0</v>
      </c>
      <c r="T560" s="440">
        <v>0</v>
      </c>
      <c r="U560" s="443">
        <v>0</v>
      </c>
      <c r="V560" s="282"/>
      <c r="W560" s="282">
        <f>O560/N560</f>
        <v>2478.006976744186</v>
      </c>
      <c r="X560" s="282"/>
    </row>
    <row r="561" spans="1:49" ht="18.75" customHeight="1">
      <c r="A561" s="487"/>
      <c r="B561" s="488" t="s">
        <v>89</v>
      </c>
      <c r="C561" s="489">
        <f>SUM(C562:C729)</f>
        <v>336230870.63</v>
      </c>
      <c r="D561" s="489"/>
      <c r="E561" s="489"/>
      <c r="F561" s="489"/>
      <c r="G561" s="489"/>
      <c r="H561" s="489"/>
      <c r="I561" s="489"/>
      <c r="J561" s="489"/>
      <c r="K561" s="489" t="e">
        <f>SUM(K562:K729)</f>
        <v>#REF!</v>
      </c>
      <c r="L561" s="490">
        <v>45</v>
      </c>
      <c r="M561" s="489">
        <f>SUM(M562:M729)</f>
        <v>84665172</v>
      </c>
      <c r="N561" s="489">
        <f t="shared" ref="N561" si="86">SUM(N562:N729)</f>
        <v>64824.649999999994</v>
      </c>
      <c r="O561" s="489">
        <f>SUM(O562:O729)</f>
        <v>127943364.07000001</v>
      </c>
      <c r="P561" s="489">
        <f t="shared" ref="P561" si="87">SUM(P562:P729)</f>
        <v>682</v>
      </c>
      <c r="Q561" s="489">
        <f>SUM(Q562:Q729)</f>
        <v>662518</v>
      </c>
      <c r="R561" s="489">
        <f t="shared" ref="R561" si="88">SUM(R562:R729)</f>
        <v>29106.850000000002</v>
      </c>
      <c r="S561" s="489">
        <f>SUM(S562:S729)</f>
        <v>38255949.950000003</v>
      </c>
      <c r="T561" s="490">
        <v>0</v>
      </c>
      <c r="U561" s="491">
        <v>0</v>
      </c>
      <c r="V561" s="436"/>
      <c r="W561" s="436"/>
      <c r="X561" s="436"/>
      <c r="Y561" s="437"/>
      <c r="Z561" s="437"/>
      <c r="AA561" s="437"/>
      <c r="AB561" s="437"/>
      <c r="AC561" s="437"/>
      <c r="AD561" s="437"/>
      <c r="AE561" s="437"/>
      <c r="AF561" s="437"/>
      <c r="AG561" s="437"/>
      <c r="AH561" s="437"/>
      <c r="AI561" s="437"/>
    </row>
    <row r="562" spans="1:49" s="59" customFormat="1">
      <c r="A562" s="198">
        <v>1</v>
      </c>
      <c r="B562" s="195" t="s">
        <v>324</v>
      </c>
      <c r="C562" s="196">
        <v>5982216</v>
      </c>
      <c r="D562" s="196"/>
      <c r="E562" s="196"/>
      <c r="F562" s="196"/>
      <c r="G562" s="196"/>
      <c r="H562" s="196"/>
      <c r="I562" s="196"/>
      <c r="J562" s="196"/>
      <c r="K562" s="196">
        <v>0</v>
      </c>
      <c r="L562" s="194">
        <v>0</v>
      </c>
      <c r="M562" s="196">
        <v>0</v>
      </c>
      <c r="N562" s="196">
        <v>0</v>
      </c>
      <c r="O562" s="196">
        <v>0</v>
      </c>
      <c r="P562" s="194">
        <v>0</v>
      </c>
      <c r="Q562" s="196">
        <v>0</v>
      </c>
      <c r="R562" s="199">
        <v>4158.84</v>
      </c>
      <c r="S562" s="196">
        <v>5982216</v>
      </c>
      <c r="T562" s="197">
        <v>0</v>
      </c>
      <c r="U562" s="288">
        <v>0</v>
      </c>
      <c r="V562" s="282" t="e">
        <f>C562-'часть 1'!#REF!</f>
        <v>#REF!</v>
      </c>
      <c r="W562" s="282"/>
      <c r="X562" s="28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296"/>
    </row>
    <row r="563" spans="1:49" s="89" customFormat="1">
      <c r="A563" s="198">
        <v>2</v>
      </c>
      <c r="B563" s="195" t="s">
        <v>325</v>
      </c>
      <c r="C563" s="196">
        <v>9379653</v>
      </c>
      <c r="D563" s="196"/>
      <c r="E563" s="196"/>
      <c r="F563" s="196"/>
      <c r="G563" s="196"/>
      <c r="H563" s="196"/>
      <c r="I563" s="196"/>
      <c r="J563" s="196"/>
      <c r="K563" s="196">
        <v>0</v>
      </c>
      <c r="L563" s="194">
        <v>5</v>
      </c>
      <c r="M563" s="196">
        <v>9379653</v>
      </c>
      <c r="N563" s="196">
        <v>0</v>
      </c>
      <c r="O563" s="196">
        <v>0</v>
      </c>
      <c r="P563" s="194">
        <v>0</v>
      </c>
      <c r="Q563" s="196">
        <v>0</v>
      </c>
      <c r="R563" s="197">
        <v>0</v>
      </c>
      <c r="S563" s="196">
        <v>0</v>
      </c>
      <c r="T563" s="197">
        <v>0</v>
      </c>
      <c r="U563" s="288">
        <v>0</v>
      </c>
      <c r="V563" s="282" t="e">
        <f>C563-'часть 1'!#REF!</f>
        <v>#REF!</v>
      </c>
      <c r="W563" s="282"/>
      <c r="X563" s="28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296"/>
      <c r="AJ563" s="59"/>
      <c r="AK563" s="59"/>
      <c r="AL563" s="59"/>
      <c r="AM563" s="59"/>
      <c r="AN563" s="59"/>
      <c r="AO563" s="59"/>
      <c r="AP563" s="59"/>
      <c r="AQ563" s="59"/>
      <c r="AR563" s="59"/>
      <c r="AS563" s="59"/>
      <c r="AT563" s="59"/>
      <c r="AU563" s="59"/>
      <c r="AV563" s="59"/>
      <c r="AW563" s="59"/>
    </row>
    <row r="564" spans="1:49" s="59" customFormat="1">
      <c r="A564" s="198">
        <v>3</v>
      </c>
      <c r="B564" s="195" t="s">
        <v>321</v>
      </c>
      <c r="C564" s="196">
        <v>3763756</v>
      </c>
      <c r="D564" s="196"/>
      <c r="E564" s="196"/>
      <c r="F564" s="196"/>
      <c r="G564" s="196"/>
      <c r="H564" s="196"/>
      <c r="I564" s="196"/>
      <c r="J564" s="196"/>
      <c r="K564" s="196">
        <v>0</v>
      </c>
      <c r="L564" s="194">
        <v>2</v>
      </c>
      <c r="M564" s="196">
        <v>3763756</v>
      </c>
      <c r="N564" s="196">
        <v>0</v>
      </c>
      <c r="O564" s="196">
        <v>0</v>
      </c>
      <c r="P564" s="194">
        <v>0</v>
      </c>
      <c r="Q564" s="196">
        <v>0</v>
      </c>
      <c r="R564" s="200">
        <v>0</v>
      </c>
      <c r="S564" s="196">
        <v>0</v>
      </c>
      <c r="T564" s="197">
        <v>0</v>
      </c>
      <c r="U564" s="288">
        <v>0</v>
      </c>
      <c r="V564" s="282" t="e">
        <f>C564-'часть 1'!#REF!</f>
        <v>#REF!</v>
      </c>
      <c r="W564" s="282"/>
      <c r="X564" s="28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296"/>
    </row>
    <row r="565" spans="1:49" s="59" customFormat="1">
      <c r="A565" s="198">
        <v>4</v>
      </c>
      <c r="B565" s="195" t="s">
        <v>346</v>
      </c>
      <c r="C565" s="196">
        <v>1095812</v>
      </c>
      <c r="D565" s="196"/>
      <c r="E565" s="196"/>
      <c r="F565" s="196"/>
      <c r="G565" s="196"/>
      <c r="H565" s="196"/>
      <c r="I565" s="196"/>
      <c r="J565" s="196"/>
      <c r="K565" s="196">
        <v>1095812</v>
      </c>
      <c r="L565" s="194">
        <v>0</v>
      </c>
      <c r="M565" s="196">
        <v>0</v>
      </c>
      <c r="N565" s="196">
        <v>0</v>
      </c>
      <c r="O565" s="196">
        <v>0</v>
      </c>
      <c r="P565" s="194">
        <v>0</v>
      </c>
      <c r="Q565" s="196">
        <v>0</v>
      </c>
      <c r="R565" s="200">
        <v>0</v>
      </c>
      <c r="S565" s="196">
        <v>0</v>
      </c>
      <c r="T565" s="197">
        <v>0</v>
      </c>
      <c r="U565" s="288">
        <v>0</v>
      </c>
      <c r="V565" s="282" t="e">
        <f>C565-'часть 1'!#REF!</f>
        <v>#REF!</v>
      </c>
      <c r="W565" s="282"/>
      <c r="X565" s="28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296"/>
    </row>
    <row r="566" spans="1:49" s="59" customFormat="1">
      <c r="A566" s="198">
        <v>5</v>
      </c>
      <c r="B566" s="195" t="s">
        <v>322</v>
      </c>
      <c r="C566" s="196">
        <v>5619141</v>
      </c>
      <c r="D566" s="196"/>
      <c r="E566" s="196"/>
      <c r="F566" s="196"/>
      <c r="G566" s="196"/>
      <c r="H566" s="196"/>
      <c r="I566" s="196"/>
      <c r="J566" s="196"/>
      <c r="K566" s="196">
        <v>0</v>
      </c>
      <c r="L566" s="194">
        <v>3</v>
      </c>
      <c r="M566" s="196">
        <v>5619141</v>
      </c>
      <c r="N566" s="196">
        <v>0</v>
      </c>
      <c r="O566" s="196">
        <v>0</v>
      </c>
      <c r="P566" s="194">
        <v>0</v>
      </c>
      <c r="Q566" s="196">
        <v>0</v>
      </c>
      <c r="R566" s="200">
        <v>0</v>
      </c>
      <c r="S566" s="196">
        <v>0</v>
      </c>
      <c r="T566" s="197">
        <v>0</v>
      </c>
      <c r="U566" s="288">
        <v>0</v>
      </c>
      <c r="V566" s="282" t="e">
        <f>C566-'часть 1'!#REF!</f>
        <v>#REF!</v>
      </c>
      <c r="W566" s="282"/>
      <c r="X566" s="28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296"/>
    </row>
    <row r="567" spans="1:49" s="59" customFormat="1">
      <c r="A567" s="198">
        <v>6</v>
      </c>
      <c r="B567" s="195" t="s">
        <v>320</v>
      </c>
      <c r="C567" s="196">
        <v>3748388</v>
      </c>
      <c r="D567" s="196"/>
      <c r="E567" s="196"/>
      <c r="F567" s="196"/>
      <c r="G567" s="196"/>
      <c r="H567" s="196"/>
      <c r="I567" s="196"/>
      <c r="J567" s="196"/>
      <c r="K567" s="196">
        <v>0</v>
      </c>
      <c r="L567" s="194">
        <v>2</v>
      </c>
      <c r="M567" s="196">
        <v>3748388</v>
      </c>
      <c r="N567" s="196">
        <v>0</v>
      </c>
      <c r="O567" s="196">
        <v>0</v>
      </c>
      <c r="P567" s="194">
        <v>0</v>
      </c>
      <c r="Q567" s="196">
        <v>0</v>
      </c>
      <c r="R567" s="197">
        <v>0</v>
      </c>
      <c r="S567" s="196">
        <v>0</v>
      </c>
      <c r="T567" s="197">
        <v>0</v>
      </c>
      <c r="U567" s="288">
        <v>0</v>
      </c>
      <c r="V567" s="282" t="e">
        <f>C567-'часть 1'!#REF!</f>
        <v>#REF!</v>
      </c>
      <c r="W567" s="282"/>
      <c r="X567" s="28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296"/>
    </row>
    <row r="568" spans="1:49" s="59" customFormat="1">
      <c r="A568" s="198">
        <v>7</v>
      </c>
      <c r="B568" s="195" t="s">
        <v>327</v>
      </c>
      <c r="C568" s="196">
        <v>15157748</v>
      </c>
      <c r="D568" s="196"/>
      <c r="E568" s="196"/>
      <c r="F568" s="196"/>
      <c r="G568" s="196"/>
      <c r="H568" s="196"/>
      <c r="I568" s="196"/>
      <c r="J568" s="196"/>
      <c r="K568" s="196">
        <v>0</v>
      </c>
      <c r="L568" s="194">
        <v>8</v>
      </c>
      <c r="M568" s="196">
        <f>C568</f>
        <v>15157748</v>
      </c>
      <c r="N568" s="196">
        <v>0</v>
      </c>
      <c r="O568" s="196">
        <v>0</v>
      </c>
      <c r="P568" s="194">
        <v>0</v>
      </c>
      <c r="Q568" s="196">
        <v>0</v>
      </c>
      <c r="R568" s="197">
        <v>0</v>
      </c>
      <c r="S568" s="196">
        <v>0</v>
      </c>
      <c r="T568" s="197">
        <v>0</v>
      </c>
      <c r="U568" s="288">
        <v>0</v>
      </c>
      <c r="V568" s="282" t="e">
        <f>C568-'часть 1'!#REF!</f>
        <v>#REF!</v>
      </c>
      <c r="W568" s="282"/>
      <c r="X568" s="28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296"/>
    </row>
    <row r="569" spans="1:49" s="59" customFormat="1">
      <c r="A569" s="198">
        <v>8</v>
      </c>
      <c r="B569" s="195" t="s">
        <v>323</v>
      </c>
      <c r="C569" s="196">
        <v>1030213</v>
      </c>
      <c r="D569" s="196"/>
      <c r="E569" s="196"/>
      <c r="F569" s="196"/>
      <c r="G569" s="196"/>
      <c r="H569" s="196"/>
      <c r="I569" s="196"/>
      <c r="J569" s="196"/>
      <c r="K569" s="196">
        <v>0</v>
      </c>
      <c r="L569" s="194">
        <v>0</v>
      </c>
      <c r="M569" s="196">
        <v>0</v>
      </c>
      <c r="N569" s="196">
        <v>513.79999999999995</v>
      </c>
      <c r="O569" s="199">
        <f>C569</f>
        <v>1030213</v>
      </c>
      <c r="P569" s="194">
        <v>0</v>
      </c>
      <c r="Q569" s="196">
        <v>0</v>
      </c>
      <c r="R569" s="200">
        <v>0</v>
      </c>
      <c r="S569" s="196">
        <v>0</v>
      </c>
      <c r="T569" s="197">
        <v>0</v>
      </c>
      <c r="U569" s="288">
        <v>0</v>
      </c>
      <c r="V569" s="282" t="e">
        <f>C569-'часть 1'!#REF!</f>
        <v>#REF!</v>
      </c>
      <c r="W569" s="282"/>
      <c r="X569" s="28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296"/>
    </row>
    <row r="570" spans="1:49" s="59" customFormat="1">
      <c r="A570" s="198">
        <v>9</v>
      </c>
      <c r="B570" s="195" t="s">
        <v>319</v>
      </c>
      <c r="C570" s="196">
        <v>530465</v>
      </c>
      <c r="D570" s="196"/>
      <c r="E570" s="196"/>
      <c r="F570" s="196"/>
      <c r="G570" s="196"/>
      <c r="H570" s="196"/>
      <c r="I570" s="196"/>
      <c r="J570" s="196"/>
      <c r="K570" s="196" t="e">
        <f>#REF!</f>
        <v>#REF!</v>
      </c>
      <c r="L570" s="194">
        <v>0</v>
      </c>
      <c r="M570" s="196">
        <v>0</v>
      </c>
      <c r="N570" s="199">
        <v>0</v>
      </c>
      <c r="O570" s="196">
        <v>0</v>
      </c>
      <c r="P570" s="194">
        <v>0</v>
      </c>
      <c r="Q570" s="196">
        <v>0</v>
      </c>
      <c r="R570" s="200">
        <v>0</v>
      </c>
      <c r="S570" s="196">
        <v>0</v>
      </c>
      <c r="T570" s="197">
        <v>0</v>
      </c>
      <c r="U570" s="288">
        <v>0</v>
      </c>
      <c r="V570" s="282">
        <f>C570-'часть 1'!L581</f>
        <v>530465</v>
      </c>
      <c r="W570" s="282"/>
      <c r="X570" s="28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296"/>
    </row>
    <row r="571" spans="1:49" s="59" customFormat="1">
      <c r="A571" s="198">
        <v>10</v>
      </c>
      <c r="B571" s="195" t="s">
        <v>326</v>
      </c>
      <c r="C571" s="196">
        <v>1983854</v>
      </c>
      <c r="D571" s="196"/>
      <c r="E571" s="196"/>
      <c r="F571" s="196"/>
      <c r="G571" s="196"/>
      <c r="H571" s="196"/>
      <c r="I571" s="196"/>
      <c r="J571" s="196"/>
      <c r="K571" s="196">
        <v>0</v>
      </c>
      <c r="L571" s="194">
        <v>0</v>
      </c>
      <c r="M571" s="196">
        <v>0</v>
      </c>
      <c r="N571" s="196">
        <v>1000</v>
      </c>
      <c r="O571" s="196">
        <v>1983854</v>
      </c>
      <c r="P571" s="194">
        <v>0</v>
      </c>
      <c r="Q571" s="196">
        <v>0</v>
      </c>
      <c r="R571" s="197">
        <v>0</v>
      </c>
      <c r="S571" s="196">
        <v>0</v>
      </c>
      <c r="T571" s="197">
        <v>0</v>
      </c>
      <c r="U571" s="288">
        <v>0</v>
      </c>
      <c r="V571" s="282">
        <f>C571-'часть 1'!L582</f>
        <v>1983854</v>
      </c>
      <c r="W571" s="282"/>
      <c r="X571" s="28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296"/>
    </row>
    <row r="572" spans="1:49" s="59" customFormat="1">
      <c r="A572" s="198">
        <v>11</v>
      </c>
      <c r="B572" s="195" t="s">
        <v>388</v>
      </c>
      <c r="C572" s="196">
        <v>1206304</v>
      </c>
      <c r="D572" s="196"/>
      <c r="E572" s="196"/>
      <c r="F572" s="196"/>
      <c r="G572" s="196"/>
      <c r="H572" s="196"/>
      <c r="I572" s="196"/>
      <c r="J572" s="196"/>
      <c r="K572" s="196">
        <v>0</v>
      </c>
      <c r="L572" s="194">
        <v>0</v>
      </c>
      <c r="M572" s="196">
        <v>0</v>
      </c>
      <c r="N572" s="196">
        <v>576</v>
      </c>
      <c r="O572" s="196">
        <v>1206304</v>
      </c>
      <c r="P572" s="194">
        <v>0</v>
      </c>
      <c r="Q572" s="196">
        <v>0</v>
      </c>
      <c r="R572" s="197">
        <v>0</v>
      </c>
      <c r="S572" s="196">
        <v>0</v>
      </c>
      <c r="T572" s="197">
        <v>0</v>
      </c>
      <c r="U572" s="288">
        <v>0</v>
      </c>
      <c r="V572" s="282">
        <f>C572-'часть 1'!L583</f>
        <v>-607454255.45000005</v>
      </c>
      <c r="W572" s="282"/>
      <c r="X572" s="28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296"/>
    </row>
    <row r="573" spans="1:49" s="59" customFormat="1" ht="30">
      <c r="A573" s="198">
        <v>12</v>
      </c>
      <c r="B573" s="195" t="s">
        <v>419</v>
      </c>
      <c r="C573" s="196">
        <v>402530.2</v>
      </c>
      <c r="D573" s="196"/>
      <c r="E573" s="196"/>
      <c r="F573" s="196"/>
      <c r="G573" s="196"/>
      <c r="H573" s="196"/>
      <c r="I573" s="196"/>
      <c r="J573" s="196"/>
      <c r="K573" s="196">
        <v>402530.2</v>
      </c>
      <c r="L573" s="194">
        <v>0</v>
      </c>
      <c r="M573" s="196">
        <v>0</v>
      </c>
      <c r="N573" s="196">
        <v>0</v>
      </c>
      <c r="O573" s="196">
        <v>0</v>
      </c>
      <c r="P573" s="194">
        <v>0</v>
      </c>
      <c r="Q573" s="196">
        <v>0</v>
      </c>
      <c r="R573" s="197">
        <v>0</v>
      </c>
      <c r="S573" s="196">
        <v>0</v>
      </c>
      <c r="T573" s="197">
        <v>0</v>
      </c>
      <c r="U573" s="288">
        <v>0</v>
      </c>
      <c r="V573" s="282">
        <f>C573-'часть 1'!L584</f>
        <v>-335828340.43000001</v>
      </c>
      <c r="W573" s="282"/>
      <c r="X573" s="28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296"/>
    </row>
    <row r="574" spans="1:49" s="59" customFormat="1">
      <c r="A574" s="198">
        <v>13</v>
      </c>
      <c r="B574" s="195" t="s">
        <v>387</v>
      </c>
      <c r="C574" s="196">
        <v>2861497</v>
      </c>
      <c r="D574" s="196"/>
      <c r="E574" s="196"/>
      <c r="F574" s="196"/>
      <c r="G574" s="196"/>
      <c r="H574" s="196"/>
      <c r="I574" s="196"/>
      <c r="J574" s="196"/>
      <c r="K574" s="196">
        <v>0</v>
      </c>
      <c r="L574" s="194">
        <v>0</v>
      </c>
      <c r="M574" s="196">
        <v>0</v>
      </c>
      <c r="N574" s="196">
        <v>1450</v>
      </c>
      <c r="O574" s="196">
        <v>2861497</v>
      </c>
      <c r="P574" s="194">
        <v>0</v>
      </c>
      <c r="Q574" s="196">
        <v>0</v>
      </c>
      <c r="R574" s="197">
        <v>0</v>
      </c>
      <c r="S574" s="196">
        <v>0</v>
      </c>
      <c r="T574" s="197">
        <v>0</v>
      </c>
      <c r="U574" s="288">
        <v>0</v>
      </c>
      <c r="V574" s="282">
        <f>C574-'часть 1'!L585</f>
        <v>-3120719</v>
      </c>
      <c r="W574" s="282"/>
      <c r="X574" s="28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296"/>
    </row>
    <row r="575" spans="1:49" s="59" customFormat="1">
      <c r="A575" s="198">
        <v>14</v>
      </c>
      <c r="B575" s="195" t="s">
        <v>334</v>
      </c>
      <c r="C575" s="196">
        <v>1535065.47</v>
      </c>
      <c r="D575" s="196"/>
      <c r="E575" s="196"/>
      <c r="F575" s="196"/>
      <c r="G575" s="196"/>
      <c r="H575" s="196"/>
      <c r="I575" s="196"/>
      <c r="J575" s="196"/>
      <c r="K575" s="196">
        <v>0</v>
      </c>
      <c r="L575" s="194">
        <v>0</v>
      </c>
      <c r="M575" s="196">
        <v>0</v>
      </c>
      <c r="N575" s="196">
        <v>0</v>
      </c>
      <c r="O575" s="196">
        <v>0</v>
      </c>
      <c r="P575" s="194">
        <v>0</v>
      </c>
      <c r="Q575" s="196">
        <v>0</v>
      </c>
      <c r="R575" s="196">
        <v>1641</v>
      </c>
      <c r="S575" s="196">
        <v>1535065.47</v>
      </c>
      <c r="T575" s="197">
        <v>0</v>
      </c>
      <c r="U575" s="288">
        <v>0</v>
      </c>
      <c r="V575" s="282">
        <f>C575-'часть 1'!L586</f>
        <v>-7844587.5300000003</v>
      </c>
      <c r="W575" s="282"/>
      <c r="X575" s="28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296"/>
    </row>
    <row r="576" spans="1:49" s="59" customFormat="1">
      <c r="A576" s="198">
        <v>15</v>
      </c>
      <c r="B576" s="195" t="s">
        <v>330</v>
      </c>
      <c r="C576" s="196">
        <v>930534</v>
      </c>
      <c r="D576" s="196"/>
      <c r="E576" s="196"/>
      <c r="F576" s="196"/>
      <c r="G576" s="196"/>
      <c r="H576" s="196"/>
      <c r="I576" s="196"/>
      <c r="J576" s="196"/>
      <c r="K576" s="196">
        <v>930534</v>
      </c>
      <c r="L576" s="194">
        <v>0</v>
      </c>
      <c r="M576" s="196">
        <v>0</v>
      </c>
      <c r="N576" s="196">
        <v>0</v>
      </c>
      <c r="O576" s="196">
        <v>0</v>
      </c>
      <c r="P576" s="194">
        <v>0</v>
      </c>
      <c r="Q576" s="196">
        <v>0</v>
      </c>
      <c r="R576" s="200">
        <v>0</v>
      </c>
      <c r="S576" s="196">
        <v>0</v>
      </c>
      <c r="T576" s="197">
        <v>0</v>
      </c>
      <c r="U576" s="288">
        <v>0</v>
      </c>
      <c r="V576" s="282">
        <f>C576-'часть 1'!L587</f>
        <v>-2833222</v>
      </c>
      <c r="W576" s="282"/>
      <c r="X576" s="282"/>
      <c r="Y576" s="4"/>
      <c r="Z576" s="12"/>
      <c r="AA576" s="12"/>
      <c r="AB576" s="12"/>
      <c r="AC576" s="12"/>
      <c r="AD576" s="12"/>
      <c r="AE576" s="12"/>
      <c r="AF576" s="12"/>
      <c r="AG576" s="12"/>
      <c r="AH576" s="12"/>
      <c r="AI576" s="296"/>
    </row>
    <row r="577" spans="1:49" s="59" customFormat="1">
      <c r="A577" s="198">
        <v>16</v>
      </c>
      <c r="B577" s="195" t="s">
        <v>328</v>
      </c>
      <c r="C577" s="196">
        <v>662518</v>
      </c>
      <c r="D577" s="196"/>
      <c r="E577" s="196"/>
      <c r="F577" s="196"/>
      <c r="G577" s="196"/>
      <c r="H577" s="196"/>
      <c r="I577" s="196"/>
      <c r="J577" s="196"/>
      <c r="K577" s="196">
        <v>0</v>
      </c>
      <c r="L577" s="194">
        <v>0</v>
      </c>
      <c r="M577" s="196">
        <v>0</v>
      </c>
      <c r="N577" s="196">
        <v>0</v>
      </c>
      <c r="O577" s="196">
        <v>0</v>
      </c>
      <c r="P577" s="196">
        <v>682</v>
      </c>
      <c r="Q577" s="196">
        <f>C577</f>
        <v>662518</v>
      </c>
      <c r="R577" s="197">
        <v>0</v>
      </c>
      <c r="S577" s="196">
        <v>0</v>
      </c>
      <c r="T577" s="197">
        <v>0</v>
      </c>
      <c r="U577" s="288">
        <v>0</v>
      </c>
      <c r="V577" s="282">
        <f>C577-'часть 1'!L588</f>
        <v>-433294</v>
      </c>
      <c r="W577" s="282"/>
      <c r="X577" s="28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296"/>
    </row>
    <row r="578" spans="1:49" s="59" customFormat="1">
      <c r="A578" s="198">
        <v>17</v>
      </c>
      <c r="B578" s="195" t="s">
        <v>333</v>
      </c>
      <c r="C578" s="196">
        <v>2346663</v>
      </c>
      <c r="D578" s="196"/>
      <c r="E578" s="196"/>
      <c r="F578" s="196"/>
      <c r="G578" s="196"/>
      <c r="H578" s="196"/>
      <c r="I578" s="196"/>
      <c r="J578" s="196"/>
      <c r="K578" s="196">
        <v>2346663</v>
      </c>
      <c r="L578" s="194">
        <v>0</v>
      </c>
      <c r="M578" s="196">
        <v>0</v>
      </c>
      <c r="N578" s="199">
        <v>0</v>
      </c>
      <c r="O578" s="196">
        <v>0</v>
      </c>
      <c r="P578" s="194">
        <v>0</v>
      </c>
      <c r="Q578" s="196">
        <v>0</v>
      </c>
      <c r="R578" s="200">
        <v>0</v>
      </c>
      <c r="S578" s="196">
        <v>0</v>
      </c>
      <c r="T578" s="197">
        <v>0</v>
      </c>
      <c r="U578" s="288">
        <v>0</v>
      </c>
      <c r="V578" s="282">
        <f>C578-'часть 1'!L589</f>
        <v>-3272478</v>
      </c>
      <c r="W578" s="282"/>
      <c r="X578" s="282"/>
      <c r="Y578" s="12"/>
      <c r="Z578" s="12"/>
      <c r="AA578" s="12"/>
      <c r="AB578" s="12"/>
      <c r="AC578" s="12"/>
      <c r="AD578" s="12"/>
      <c r="AE578" s="15"/>
      <c r="AF578" s="12"/>
      <c r="AG578" s="12"/>
      <c r="AH578" s="12"/>
      <c r="AI578" s="296"/>
    </row>
    <row r="579" spans="1:49" s="59" customFormat="1">
      <c r="A579" s="198">
        <v>18</v>
      </c>
      <c r="B579" s="195" t="s">
        <v>331</v>
      </c>
      <c r="C579" s="196">
        <v>727019</v>
      </c>
      <c r="D579" s="196"/>
      <c r="E579" s="196"/>
      <c r="F579" s="196"/>
      <c r="G579" s="196"/>
      <c r="H579" s="196"/>
      <c r="I579" s="196"/>
      <c r="J579" s="196"/>
      <c r="K579" s="196">
        <v>727019</v>
      </c>
      <c r="L579" s="194">
        <v>0</v>
      </c>
      <c r="M579" s="196">
        <v>0</v>
      </c>
      <c r="N579" s="196">
        <v>0</v>
      </c>
      <c r="O579" s="196">
        <v>0</v>
      </c>
      <c r="P579" s="194">
        <v>0</v>
      </c>
      <c r="Q579" s="196">
        <v>0</v>
      </c>
      <c r="R579" s="200">
        <v>0</v>
      </c>
      <c r="S579" s="196">
        <v>0</v>
      </c>
      <c r="T579" s="197">
        <v>0</v>
      </c>
      <c r="U579" s="288">
        <v>0</v>
      </c>
      <c r="V579" s="282">
        <f>C579-'часть 1'!L590</f>
        <v>-3021369</v>
      </c>
      <c r="W579" s="282"/>
      <c r="X579" s="28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296"/>
    </row>
    <row r="580" spans="1:49" s="59" customFormat="1">
      <c r="A580" s="198">
        <v>19</v>
      </c>
      <c r="B580" s="195" t="s">
        <v>329</v>
      </c>
      <c r="C580" s="196">
        <v>538121</v>
      </c>
      <c r="D580" s="196"/>
      <c r="E580" s="196"/>
      <c r="F580" s="196"/>
      <c r="G580" s="196"/>
      <c r="H580" s="196"/>
      <c r="I580" s="196"/>
      <c r="J580" s="196"/>
      <c r="K580" s="196">
        <v>538121</v>
      </c>
      <c r="L580" s="194">
        <v>0</v>
      </c>
      <c r="M580" s="196">
        <v>0</v>
      </c>
      <c r="N580" s="196">
        <v>0</v>
      </c>
      <c r="O580" s="196">
        <v>0</v>
      </c>
      <c r="P580" s="194">
        <v>0</v>
      </c>
      <c r="Q580" s="196">
        <v>0</v>
      </c>
      <c r="R580" s="197">
        <v>0</v>
      </c>
      <c r="S580" s="196">
        <v>0</v>
      </c>
      <c r="T580" s="197">
        <v>0</v>
      </c>
      <c r="U580" s="288">
        <v>0</v>
      </c>
      <c r="V580" s="282">
        <f>C580-'часть 1'!L591</f>
        <v>-14619627</v>
      </c>
      <c r="W580" s="282"/>
      <c r="X580" s="282"/>
      <c r="Y580" s="4"/>
      <c r="Z580" s="12"/>
      <c r="AA580" s="12"/>
      <c r="AB580" s="12"/>
      <c r="AC580" s="12"/>
      <c r="AD580" s="12"/>
      <c r="AE580" s="12"/>
      <c r="AF580" s="12"/>
      <c r="AG580" s="12"/>
      <c r="AH580" s="12"/>
      <c r="AI580" s="296"/>
    </row>
    <row r="581" spans="1:49" s="59" customFormat="1">
      <c r="A581" s="198">
        <v>20</v>
      </c>
      <c r="B581" s="195" t="s">
        <v>332</v>
      </c>
      <c r="C581" s="196">
        <v>1756852</v>
      </c>
      <c r="D581" s="196"/>
      <c r="E581" s="196"/>
      <c r="F581" s="196"/>
      <c r="G581" s="196"/>
      <c r="H581" s="196"/>
      <c r="I581" s="196"/>
      <c r="J581" s="196"/>
      <c r="K581" s="196">
        <v>0</v>
      </c>
      <c r="L581" s="194">
        <v>0</v>
      </c>
      <c r="M581" s="196">
        <v>0</v>
      </c>
      <c r="N581" s="196">
        <v>891</v>
      </c>
      <c r="O581" s="196">
        <v>1756852</v>
      </c>
      <c r="P581" s="194">
        <v>0</v>
      </c>
      <c r="Q581" s="196">
        <v>0</v>
      </c>
      <c r="R581" s="197">
        <v>0</v>
      </c>
      <c r="S581" s="196">
        <v>0</v>
      </c>
      <c r="T581" s="197">
        <v>0</v>
      </c>
      <c r="U581" s="288">
        <v>0</v>
      </c>
      <c r="V581" s="282">
        <f>C581-'часть 1'!L592</f>
        <v>726639</v>
      </c>
      <c r="W581" s="282"/>
      <c r="X581" s="28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296"/>
    </row>
    <row r="582" spans="1:49" s="59" customFormat="1">
      <c r="A582" s="198">
        <v>21</v>
      </c>
      <c r="B582" s="195" t="s">
        <v>316</v>
      </c>
      <c r="C582" s="196">
        <v>676398.28</v>
      </c>
      <c r="D582" s="196"/>
      <c r="E582" s="196"/>
      <c r="F582" s="196"/>
      <c r="G582" s="196"/>
      <c r="H582" s="196"/>
      <c r="I582" s="196"/>
      <c r="J582" s="196"/>
      <c r="K582" s="196">
        <v>0</v>
      </c>
      <c r="L582" s="194">
        <v>0</v>
      </c>
      <c r="M582" s="196">
        <v>0</v>
      </c>
      <c r="N582" s="196">
        <v>0</v>
      </c>
      <c r="O582" s="196">
        <v>0</v>
      </c>
      <c r="P582" s="194">
        <v>0</v>
      </c>
      <c r="Q582" s="196">
        <v>0</v>
      </c>
      <c r="R582" s="196">
        <v>1444</v>
      </c>
      <c r="S582" s="196">
        <v>676398.28</v>
      </c>
      <c r="T582" s="197">
        <v>0</v>
      </c>
      <c r="U582" s="288">
        <v>0</v>
      </c>
      <c r="V582" s="282">
        <f>C582-'часть 1'!L593</f>
        <v>145933.28000000003</v>
      </c>
      <c r="W582" s="282"/>
      <c r="X582" s="28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296"/>
    </row>
    <row r="583" spans="1:49" s="59" customFormat="1">
      <c r="A583" s="198">
        <v>22</v>
      </c>
      <c r="B583" s="195" t="s">
        <v>313</v>
      </c>
      <c r="C583" s="196">
        <v>766539</v>
      </c>
      <c r="D583" s="196"/>
      <c r="E583" s="196"/>
      <c r="F583" s="196"/>
      <c r="G583" s="196"/>
      <c r="H583" s="196"/>
      <c r="I583" s="196"/>
      <c r="J583" s="196"/>
      <c r="K583" s="196">
        <v>0</v>
      </c>
      <c r="L583" s="194">
        <v>0</v>
      </c>
      <c r="M583" s="196">
        <v>0</v>
      </c>
      <c r="N583" s="196">
        <v>378.5</v>
      </c>
      <c r="O583" s="196">
        <v>766539</v>
      </c>
      <c r="P583" s="194">
        <v>0</v>
      </c>
      <c r="Q583" s="196">
        <v>0</v>
      </c>
      <c r="R583" s="197">
        <v>0</v>
      </c>
      <c r="S583" s="196">
        <v>0</v>
      </c>
      <c r="T583" s="197">
        <v>0</v>
      </c>
      <c r="U583" s="288">
        <v>0</v>
      </c>
      <c r="V583" s="282">
        <f>C583-'часть 1'!L594</f>
        <v>-1217315</v>
      </c>
      <c r="W583" s="282"/>
      <c r="X583" s="28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296"/>
      <c r="AJ583" s="89"/>
      <c r="AK583" s="89"/>
      <c r="AL583" s="89"/>
      <c r="AM583" s="89"/>
      <c r="AN583" s="89"/>
      <c r="AO583" s="89"/>
      <c r="AP583" s="89"/>
      <c r="AQ583" s="89"/>
      <c r="AR583" s="89"/>
      <c r="AS583" s="89"/>
      <c r="AT583" s="89"/>
      <c r="AU583" s="89"/>
      <c r="AV583" s="89"/>
      <c r="AW583" s="89"/>
    </row>
    <row r="584" spans="1:49" s="59" customFormat="1">
      <c r="A584" s="198">
        <v>23</v>
      </c>
      <c r="B584" s="195" t="s">
        <v>312</v>
      </c>
      <c r="C584" s="196">
        <v>1186114</v>
      </c>
      <c r="D584" s="196"/>
      <c r="E584" s="196"/>
      <c r="F584" s="196"/>
      <c r="G584" s="196"/>
      <c r="H584" s="196"/>
      <c r="I584" s="196"/>
      <c r="J584" s="196"/>
      <c r="K584" s="196">
        <v>0</v>
      </c>
      <c r="L584" s="194">
        <v>0</v>
      </c>
      <c r="M584" s="196">
        <v>0</v>
      </c>
      <c r="N584" s="196">
        <v>586.29999999999995</v>
      </c>
      <c r="O584" s="196">
        <v>1186114</v>
      </c>
      <c r="P584" s="194">
        <v>0</v>
      </c>
      <c r="Q584" s="196">
        <v>0</v>
      </c>
      <c r="R584" s="197">
        <v>0</v>
      </c>
      <c r="S584" s="196">
        <v>0</v>
      </c>
      <c r="T584" s="197">
        <v>0</v>
      </c>
      <c r="U584" s="288">
        <v>0</v>
      </c>
      <c r="V584" s="282">
        <f>C584-'часть 1'!L595</f>
        <v>-20190</v>
      </c>
      <c r="W584" s="282"/>
      <c r="X584" s="28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296"/>
    </row>
    <row r="585" spans="1:49" s="89" customFormat="1">
      <c r="A585" s="198">
        <v>24</v>
      </c>
      <c r="B585" s="195" t="s">
        <v>311</v>
      </c>
      <c r="C585" s="196">
        <v>178272.59</v>
      </c>
      <c r="D585" s="196"/>
      <c r="E585" s="196"/>
      <c r="F585" s="196"/>
      <c r="G585" s="196"/>
      <c r="H585" s="196"/>
      <c r="I585" s="196"/>
      <c r="J585" s="196"/>
      <c r="K585" s="196">
        <v>178272.59</v>
      </c>
      <c r="L585" s="194">
        <v>0</v>
      </c>
      <c r="M585" s="196">
        <v>0</v>
      </c>
      <c r="N585" s="199">
        <v>0</v>
      </c>
      <c r="O585" s="196">
        <v>0</v>
      </c>
      <c r="P585" s="194">
        <v>0</v>
      </c>
      <c r="Q585" s="196">
        <v>0</v>
      </c>
      <c r="R585" s="200">
        <v>0</v>
      </c>
      <c r="S585" s="196">
        <v>0</v>
      </c>
      <c r="T585" s="197">
        <v>0</v>
      </c>
      <c r="U585" s="288">
        <v>0</v>
      </c>
      <c r="V585" s="282">
        <f>C585-'часть 1'!L596</f>
        <v>-224257.61000000002</v>
      </c>
      <c r="W585" s="282"/>
      <c r="X585" s="28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296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</row>
    <row r="586" spans="1:49" s="59" customFormat="1">
      <c r="A586" s="198">
        <v>25</v>
      </c>
      <c r="B586" s="195" t="s">
        <v>315</v>
      </c>
      <c r="C586" s="196">
        <v>1087116</v>
      </c>
      <c r="D586" s="196"/>
      <c r="E586" s="196"/>
      <c r="F586" s="196"/>
      <c r="G586" s="196"/>
      <c r="H586" s="196"/>
      <c r="I586" s="196"/>
      <c r="J586" s="196"/>
      <c r="K586" s="196" t="e">
        <f>#REF!</f>
        <v>#REF!</v>
      </c>
      <c r="L586" s="194">
        <v>0</v>
      </c>
      <c r="M586" s="196">
        <v>0</v>
      </c>
      <c r="N586" s="196">
        <v>0</v>
      </c>
      <c r="O586" s="196">
        <v>0</v>
      </c>
      <c r="P586" s="194">
        <v>0</v>
      </c>
      <c r="Q586" s="196">
        <v>0</v>
      </c>
      <c r="R586" s="197">
        <v>0</v>
      </c>
      <c r="S586" s="196">
        <v>0</v>
      </c>
      <c r="T586" s="197">
        <v>0</v>
      </c>
      <c r="U586" s="288">
        <v>0</v>
      </c>
      <c r="V586" s="282">
        <f>C586-'часть 1'!L597</f>
        <v>-1774381</v>
      </c>
      <c r="W586" s="282"/>
      <c r="X586" s="28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296"/>
    </row>
    <row r="587" spans="1:49" s="59" customFormat="1">
      <c r="A587" s="198">
        <v>26</v>
      </c>
      <c r="B587" s="195" t="s">
        <v>351</v>
      </c>
      <c r="C587" s="196">
        <v>1411363</v>
      </c>
      <c r="D587" s="196"/>
      <c r="E587" s="196"/>
      <c r="F587" s="196"/>
      <c r="G587" s="196"/>
      <c r="H587" s="196"/>
      <c r="I587" s="196"/>
      <c r="J587" s="196"/>
      <c r="K587" s="196">
        <v>0</v>
      </c>
      <c r="L587" s="194">
        <v>0</v>
      </c>
      <c r="M587" s="196">
        <v>0</v>
      </c>
      <c r="N587" s="196">
        <v>702</v>
      </c>
      <c r="O587" s="196">
        <v>1411363</v>
      </c>
      <c r="P587" s="194">
        <v>0</v>
      </c>
      <c r="Q587" s="196">
        <v>0</v>
      </c>
      <c r="R587" s="197">
        <v>0</v>
      </c>
      <c r="S587" s="196">
        <v>0</v>
      </c>
      <c r="T587" s="197">
        <v>0</v>
      </c>
      <c r="U587" s="288">
        <v>0</v>
      </c>
      <c r="V587" s="282">
        <f>C587-'часть 1'!L598</f>
        <v>-123702.46999999997</v>
      </c>
      <c r="W587" s="282"/>
      <c r="X587" s="28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296"/>
    </row>
    <row r="588" spans="1:49" s="59" customFormat="1">
      <c r="A588" s="198">
        <v>27</v>
      </c>
      <c r="B588" s="195" t="s">
        <v>314</v>
      </c>
      <c r="C588" s="196">
        <v>1136666</v>
      </c>
      <c r="D588" s="196"/>
      <c r="E588" s="196"/>
      <c r="F588" s="196"/>
      <c r="G588" s="196"/>
      <c r="H588" s="196"/>
      <c r="I588" s="196"/>
      <c r="J588" s="196"/>
      <c r="K588" s="196">
        <v>0</v>
      </c>
      <c r="L588" s="194">
        <v>0</v>
      </c>
      <c r="M588" s="196">
        <v>0</v>
      </c>
      <c r="N588" s="196">
        <v>552</v>
      </c>
      <c r="O588" s="196">
        <v>1136666</v>
      </c>
      <c r="P588" s="194">
        <v>0</v>
      </c>
      <c r="Q588" s="196">
        <v>0</v>
      </c>
      <c r="R588" s="200">
        <v>0</v>
      </c>
      <c r="S588" s="196">
        <v>0</v>
      </c>
      <c r="T588" s="197">
        <v>0</v>
      </c>
      <c r="U588" s="288">
        <v>0</v>
      </c>
      <c r="V588" s="282">
        <f>C588-'часть 1'!L599</f>
        <v>206132</v>
      </c>
      <c r="W588" s="282"/>
      <c r="X588" s="28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296"/>
    </row>
    <row r="589" spans="1:49" s="59" customFormat="1">
      <c r="A589" s="198">
        <v>28</v>
      </c>
      <c r="B589" s="195" t="s">
        <v>369</v>
      </c>
      <c r="C589" s="196">
        <v>1385674</v>
      </c>
      <c r="D589" s="196"/>
      <c r="E589" s="196"/>
      <c r="F589" s="196"/>
      <c r="G589" s="196"/>
      <c r="H589" s="196"/>
      <c r="I589" s="196"/>
      <c r="J589" s="196"/>
      <c r="K589" s="196">
        <v>1385674</v>
      </c>
      <c r="L589" s="194">
        <v>0</v>
      </c>
      <c r="M589" s="196">
        <v>0</v>
      </c>
      <c r="N589" s="196">
        <v>0</v>
      </c>
      <c r="O589" s="196">
        <v>0</v>
      </c>
      <c r="P589" s="194">
        <v>0</v>
      </c>
      <c r="Q589" s="196">
        <v>0</v>
      </c>
      <c r="R589" s="197">
        <v>0</v>
      </c>
      <c r="S589" s="196">
        <v>0</v>
      </c>
      <c r="T589" s="197">
        <v>0</v>
      </c>
      <c r="U589" s="288">
        <v>0</v>
      </c>
      <c r="V589" s="282">
        <f>C589-'часть 1'!L600</f>
        <v>723156</v>
      </c>
      <c r="W589" s="282"/>
      <c r="X589" s="28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296"/>
    </row>
    <row r="590" spans="1:49" s="59" customFormat="1">
      <c r="A590" s="198">
        <v>29</v>
      </c>
      <c r="B590" s="195" t="s">
        <v>370</v>
      </c>
      <c r="C590" s="196">
        <v>4619990</v>
      </c>
      <c r="D590" s="196"/>
      <c r="E590" s="196"/>
      <c r="F590" s="196"/>
      <c r="G590" s="196"/>
      <c r="H590" s="196"/>
      <c r="I590" s="196"/>
      <c r="J590" s="196"/>
      <c r="K590" s="196">
        <v>0</v>
      </c>
      <c r="L590" s="194">
        <v>0</v>
      </c>
      <c r="M590" s="196">
        <v>0</v>
      </c>
      <c r="N590" s="196">
        <v>2319</v>
      </c>
      <c r="O590" s="196">
        <v>4619990</v>
      </c>
      <c r="P590" s="194">
        <v>0</v>
      </c>
      <c r="Q590" s="196">
        <v>0</v>
      </c>
      <c r="R590" s="200">
        <v>0</v>
      </c>
      <c r="S590" s="196">
        <v>0</v>
      </c>
      <c r="T590" s="197">
        <v>0</v>
      </c>
      <c r="U590" s="288">
        <v>0</v>
      </c>
      <c r="V590" s="282">
        <f>C590-'часть 1'!L601</f>
        <v>2273327</v>
      </c>
      <c r="W590" s="282"/>
      <c r="X590" s="28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296"/>
    </row>
    <row r="591" spans="1:49" s="59" customFormat="1">
      <c r="A591" s="198">
        <v>30</v>
      </c>
      <c r="B591" s="195" t="s">
        <v>373</v>
      </c>
      <c r="C591" s="196">
        <v>1865304</v>
      </c>
      <c r="D591" s="196"/>
      <c r="E591" s="196"/>
      <c r="F591" s="196"/>
      <c r="G591" s="196"/>
      <c r="H591" s="196"/>
      <c r="I591" s="196"/>
      <c r="J591" s="196"/>
      <c r="K591" s="196">
        <v>0</v>
      </c>
      <c r="L591" s="194">
        <v>0</v>
      </c>
      <c r="M591" s="196">
        <v>0</v>
      </c>
      <c r="N591" s="196">
        <v>924</v>
      </c>
      <c r="O591" s="196">
        <v>1865304</v>
      </c>
      <c r="P591" s="194">
        <v>0</v>
      </c>
      <c r="Q591" s="196">
        <v>0</v>
      </c>
      <c r="R591" s="197">
        <v>0</v>
      </c>
      <c r="S591" s="196">
        <v>0</v>
      </c>
      <c r="T591" s="197">
        <v>0</v>
      </c>
      <c r="U591" s="288">
        <v>0</v>
      </c>
      <c r="V591" s="282">
        <f>C591-'часть 1'!L602</f>
        <v>1138285</v>
      </c>
      <c r="W591" s="282"/>
      <c r="X591" s="28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296"/>
    </row>
    <row r="592" spans="1:49" s="59" customFormat="1">
      <c r="A592" s="198">
        <v>31</v>
      </c>
      <c r="B592" s="195" t="s">
        <v>381</v>
      </c>
      <c r="C592" s="196">
        <v>1870910</v>
      </c>
      <c r="D592" s="196"/>
      <c r="E592" s="196"/>
      <c r="F592" s="196"/>
      <c r="G592" s="196"/>
      <c r="H592" s="196"/>
      <c r="I592" s="196"/>
      <c r="J592" s="196"/>
      <c r="K592" s="196">
        <v>0</v>
      </c>
      <c r="L592" s="194">
        <v>0</v>
      </c>
      <c r="M592" s="196">
        <v>0</v>
      </c>
      <c r="N592" s="196">
        <v>946.3</v>
      </c>
      <c r="O592" s="196">
        <v>1870910</v>
      </c>
      <c r="P592" s="194">
        <v>0</v>
      </c>
      <c r="Q592" s="196">
        <v>0</v>
      </c>
      <c r="R592" s="197">
        <v>0</v>
      </c>
      <c r="S592" s="196">
        <v>0</v>
      </c>
      <c r="T592" s="197">
        <v>0</v>
      </c>
      <c r="U592" s="288">
        <v>0</v>
      </c>
      <c r="V592" s="282">
        <f>C592-'часть 1'!L603</f>
        <v>1332789</v>
      </c>
      <c r="W592" s="282"/>
      <c r="X592" s="28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296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s="59" customFormat="1">
      <c r="A593" s="198">
        <v>32</v>
      </c>
      <c r="B593" s="195" t="s">
        <v>382</v>
      </c>
      <c r="C593" s="196">
        <v>1533757</v>
      </c>
      <c r="D593" s="196"/>
      <c r="E593" s="196"/>
      <c r="F593" s="196"/>
      <c r="G593" s="196"/>
      <c r="H593" s="196"/>
      <c r="I593" s="196"/>
      <c r="J593" s="196"/>
      <c r="K593" s="196">
        <v>0</v>
      </c>
      <c r="L593" s="194">
        <v>0</v>
      </c>
      <c r="M593" s="196">
        <v>0</v>
      </c>
      <c r="N593" s="196">
        <v>772.9</v>
      </c>
      <c r="O593" s="196">
        <v>1533757</v>
      </c>
      <c r="P593" s="194">
        <v>0</v>
      </c>
      <c r="Q593" s="196">
        <v>0</v>
      </c>
      <c r="R593" s="197">
        <v>0</v>
      </c>
      <c r="S593" s="196">
        <v>0</v>
      </c>
      <c r="T593" s="197">
        <v>0</v>
      </c>
      <c r="U593" s="288">
        <v>0</v>
      </c>
      <c r="V593" s="282">
        <f>C593-'часть 1'!L604</f>
        <v>-223095</v>
      </c>
      <c r="W593" s="282"/>
      <c r="X593" s="28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296"/>
    </row>
    <row r="594" spans="1:49">
      <c r="A594" s="194">
        <v>33</v>
      </c>
      <c r="B594" s="195" t="s">
        <v>371</v>
      </c>
      <c r="C594" s="196">
        <v>939858</v>
      </c>
      <c r="D594" s="196"/>
      <c r="E594" s="196"/>
      <c r="F594" s="196"/>
      <c r="G594" s="196"/>
      <c r="H594" s="196"/>
      <c r="I594" s="196"/>
      <c r="J594" s="196"/>
      <c r="K594" s="196">
        <v>939858</v>
      </c>
      <c r="L594" s="194">
        <v>0</v>
      </c>
      <c r="M594" s="196">
        <v>0</v>
      </c>
      <c r="N594" s="196">
        <v>0</v>
      </c>
      <c r="O594" s="196">
        <v>0</v>
      </c>
      <c r="P594" s="194">
        <v>0</v>
      </c>
      <c r="Q594" s="196">
        <v>0</v>
      </c>
      <c r="R594" s="200">
        <v>0</v>
      </c>
      <c r="S594" s="196">
        <v>0</v>
      </c>
      <c r="T594" s="197">
        <v>0</v>
      </c>
      <c r="U594" s="288">
        <v>0</v>
      </c>
      <c r="V594" s="282">
        <f>C594-'часть 1'!L605</f>
        <v>263459.71999999997</v>
      </c>
      <c r="W594" s="282"/>
      <c r="X594" s="28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296"/>
      <c r="AJ594" s="89"/>
      <c r="AK594" s="89"/>
      <c r="AL594" s="89"/>
      <c r="AM594" s="89"/>
      <c r="AN594" s="89"/>
      <c r="AO594" s="89"/>
      <c r="AP594" s="89"/>
      <c r="AQ594" s="89"/>
      <c r="AR594" s="89"/>
      <c r="AS594" s="89"/>
      <c r="AT594" s="89"/>
      <c r="AU594" s="89"/>
      <c r="AV594" s="89"/>
      <c r="AW594" s="89"/>
    </row>
    <row r="595" spans="1:49" s="59" customFormat="1">
      <c r="A595" s="198">
        <v>34</v>
      </c>
      <c r="B595" s="195" t="s">
        <v>377</v>
      </c>
      <c r="C595" s="196">
        <v>2368392</v>
      </c>
      <c r="D595" s="196"/>
      <c r="E595" s="196"/>
      <c r="F595" s="196"/>
      <c r="G595" s="196"/>
      <c r="H595" s="196"/>
      <c r="I595" s="196"/>
      <c r="J595" s="196"/>
      <c r="K595" s="196">
        <v>0</v>
      </c>
      <c r="L595" s="194">
        <v>0</v>
      </c>
      <c r="M595" s="196">
        <v>0</v>
      </c>
      <c r="N595" s="196">
        <v>1200</v>
      </c>
      <c r="O595" s="199">
        <v>2368392</v>
      </c>
      <c r="P595" s="194">
        <v>0</v>
      </c>
      <c r="Q595" s="196">
        <v>0</v>
      </c>
      <c r="R595" s="197">
        <v>0</v>
      </c>
      <c r="S595" s="196">
        <v>0</v>
      </c>
      <c r="T595" s="197">
        <v>0</v>
      </c>
      <c r="U595" s="288">
        <v>0</v>
      </c>
      <c r="V595" s="282">
        <f>C595-'часть 1'!L606</f>
        <v>1601853</v>
      </c>
      <c r="W595" s="282"/>
      <c r="X595" s="28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296"/>
    </row>
    <row r="596" spans="1:49" s="89" customFormat="1">
      <c r="A596" s="198">
        <v>35</v>
      </c>
      <c r="B596" s="195" t="s">
        <v>378</v>
      </c>
      <c r="C596" s="196">
        <v>2433930.91</v>
      </c>
      <c r="D596" s="196"/>
      <c r="E596" s="196"/>
      <c r="F596" s="196"/>
      <c r="G596" s="196"/>
      <c r="H596" s="196"/>
      <c r="I596" s="196"/>
      <c r="J596" s="196"/>
      <c r="K596" s="196">
        <v>1478520.9100000001</v>
      </c>
      <c r="L596" s="194">
        <v>0</v>
      </c>
      <c r="M596" s="196">
        <v>0</v>
      </c>
      <c r="N596" s="196">
        <v>526.79999999999995</v>
      </c>
      <c r="O596" s="196">
        <v>955410</v>
      </c>
      <c r="P596" s="194">
        <v>0</v>
      </c>
      <c r="Q596" s="196">
        <v>0</v>
      </c>
      <c r="R596" s="200">
        <v>0</v>
      </c>
      <c r="S596" s="196">
        <v>0</v>
      </c>
      <c r="T596" s="197">
        <v>0</v>
      </c>
      <c r="U596" s="288">
        <v>0</v>
      </c>
      <c r="V596" s="282">
        <f>C596-'часть 1'!L607</f>
        <v>1247816.9100000001</v>
      </c>
      <c r="W596" s="282"/>
      <c r="X596" s="28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296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U596" s="59"/>
      <c r="AV596" s="59"/>
      <c r="AW596" s="59"/>
    </row>
    <row r="597" spans="1:49" s="59" customFormat="1">
      <c r="A597" s="198">
        <v>36</v>
      </c>
      <c r="B597" s="195" t="s">
        <v>383</v>
      </c>
      <c r="C597" s="196">
        <v>1721850</v>
      </c>
      <c r="D597" s="196"/>
      <c r="E597" s="196"/>
      <c r="F597" s="196"/>
      <c r="G597" s="196"/>
      <c r="H597" s="196"/>
      <c r="I597" s="196"/>
      <c r="J597" s="196"/>
      <c r="K597" s="196">
        <v>0</v>
      </c>
      <c r="L597" s="194">
        <v>0</v>
      </c>
      <c r="M597" s="196">
        <v>0</v>
      </c>
      <c r="N597" s="196">
        <v>868.68</v>
      </c>
      <c r="O597" s="196">
        <v>1721850</v>
      </c>
      <c r="P597" s="194">
        <v>0</v>
      </c>
      <c r="Q597" s="196">
        <v>0</v>
      </c>
      <c r="R597" s="197">
        <v>0</v>
      </c>
      <c r="S597" s="196">
        <v>0</v>
      </c>
      <c r="T597" s="197">
        <v>0</v>
      </c>
      <c r="U597" s="288">
        <v>0</v>
      </c>
      <c r="V597" s="282">
        <f>C597-'часть 1'!L608</f>
        <v>1543577.41</v>
      </c>
      <c r="W597" s="282"/>
      <c r="X597" s="28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296"/>
    </row>
    <row r="598" spans="1:49" s="59" customFormat="1">
      <c r="A598" s="198">
        <v>37</v>
      </c>
      <c r="B598" s="195" t="s">
        <v>368</v>
      </c>
      <c r="C598" s="196">
        <v>814117</v>
      </c>
      <c r="D598" s="196"/>
      <c r="E598" s="196"/>
      <c r="F598" s="196"/>
      <c r="G598" s="196"/>
      <c r="H598" s="196"/>
      <c r="I598" s="196"/>
      <c r="J598" s="196"/>
      <c r="K598" s="196">
        <v>814117</v>
      </c>
      <c r="L598" s="194">
        <v>0</v>
      </c>
      <c r="M598" s="196">
        <v>0</v>
      </c>
      <c r="N598" s="196">
        <v>0</v>
      </c>
      <c r="O598" s="196">
        <v>0</v>
      </c>
      <c r="P598" s="194">
        <v>0</v>
      </c>
      <c r="Q598" s="196">
        <v>0</v>
      </c>
      <c r="R598" s="197">
        <v>0</v>
      </c>
      <c r="S598" s="196">
        <v>0</v>
      </c>
      <c r="T598" s="197">
        <v>0</v>
      </c>
      <c r="U598" s="288">
        <v>0</v>
      </c>
      <c r="V598" s="282">
        <f>C598-'часть 1'!L609</f>
        <v>-272999</v>
      </c>
      <c r="W598" s="282"/>
      <c r="X598" s="28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296"/>
    </row>
    <row r="599" spans="1:49" s="59" customFormat="1">
      <c r="A599" s="198">
        <v>38</v>
      </c>
      <c r="B599" s="195" t="s">
        <v>375</v>
      </c>
      <c r="C599" s="196">
        <v>3045081</v>
      </c>
      <c r="D599" s="196"/>
      <c r="E599" s="196"/>
      <c r="F599" s="196"/>
      <c r="G599" s="196"/>
      <c r="H599" s="196"/>
      <c r="I599" s="196"/>
      <c r="J599" s="196"/>
      <c r="K599" s="196">
        <v>0</v>
      </c>
      <c r="L599" s="194">
        <v>0</v>
      </c>
      <c r="M599" s="196">
        <v>0</v>
      </c>
      <c r="N599" s="196">
        <v>0</v>
      </c>
      <c r="O599" s="196">
        <v>0</v>
      </c>
      <c r="P599" s="194">
        <v>0</v>
      </c>
      <c r="Q599" s="196">
        <v>0</v>
      </c>
      <c r="R599" s="196">
        <v>2108</v>
      </c>
      <c r="S599" s="196">
        <v>3045081</v>
      </c>
      <c r="T599" s="197">
        <v>0</v>
      </c>
      <c r="U599" s="288">
        <v>0</v>
      </c>
      <c r="V599" s="282">
        <f>C599-'часть 1'!L610</f>
        <v>1633718</v>
      </c>
      <c r="W599" s="282"/>
      <c r="X599" s="28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296"/>
    </row>
    <row r="600" spans="1:49" s="59" customFormat="1">
      <c r="A600" s="198">
        <v>39</v>
      </c>
      <c r="B600" s="195" t="s">
        <v>380</v>
      </c>
      <c r="C600" s="196">
        <v>2244806</v>
      </c>
      <c r="D600" s="196"/>
      <c r="E600" s="196"/>
      <c r="F600" s="196"/>
      <c r="G600" s="196"/>
      <c r="H600" s="196"/>
      <c r="I600" s="196"/>
      <c r="J600" s="196"/>
      <c r="K600" s="196">
        <v>0</v>
      </c>
      <c r="L600" s="194">
        <v>0</v>
      </c>
      <c r="M600" s="196">
        <v>0</v>
      </c>
      <c r="N600" s="199">
        <v>1120</v>
      </c>
      <c r="O600" s="196">
        <v>2244806</v>
      </c>
      <c r="P600" s="194">
        <v>0</v>
      </c>
      <c r="Q600" s="196">
        <v>0</v>
      </c>
      <c r="R600" s="200">
        <v>0</v>
      </c>
      <c r="S600" s="196">
        <v>0</v>
      </c>
      <c r="T600" s="197">
        <v>0</v>
      </c>
      <c r="U600" s="288">
        <v>0</v>
      </c>
      <c r="V600" s="282">
        <f>C600-'часть 1'!L611</f>
        <v>1108140</v>
      </c>
      <c r="W600" s="282"/>
      <c r="X600" s="28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296"/>
    </row>
    <row r="601" spans="1:49" s="59" customFormat="1">
      <c r="A601" s="198">
        <v>40</v>
      </c>
      <c r="B601" s="195" t="s">
        <v>374</v>
      </c>
      <c r="C601" s="196">
        <v>1361273</v>
      </c>
      <c r="D601" s="196"/>
      <c r="E601" s="196"/>
      <c r="F601" s="196"/>
      <c r="G601" s="196"/>
      <c r="H601" s="196"/>
      <c r="I601" s="196"/>
      <c r="J601" s="196"/>
      <c r="K601" s="196">
        <v>347471</v>
      </c>
      <c r="L601" s="194">
        <v>0</v>
      </c>
      <c r="M601" s="196">
        <v>0</v>
      </c>
      <c r="N601" s="196">
        <v>0</v>
      </c>
      <c r="O601" s="196">
        <v>0</v>
      </c>
      <c r="P601" s="194">
        <v>0</v>
      </c>
      <c r="Q601" s="196">
        <v>0</v>
      </c>
      <c r="R601" s="196">
        <v>1105</v>
      </c>
      <c r="S601" s="196">
        <v>1013802</v>
      </c>
      <c r="T601" s="197">
        <v>0</v>
      </c>
      <c r="U601" s="288">
        <v>0</v>
      </c>
      <c r="V601" s="282">
        <f>C601-'часть 1'!L612</f>
        <v>-24401</v>
      </c>
      <c r="W601" s="282"/>
      <c r="X601" s="28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296"/>
    </row>
    <row r="602" spans="1:49" s="59" customFormat="1">
      <c r="A602" s="198">
        <v>41</v>
      </c>
      <c r="B602" s="195" t="s">
        <v>376</v>
      </c>
      <c r="C602" s="196">
        <v>2421596</v>
      </c>
      <c r="D602" s="196"/>
      <c r="E602" s="196"/>
      <c r="F602" s="196"/>
      <c r="G602" s="196"/>
      <c r="H602" s="196"/>
      <c r="I602" s="196"/>
      <c r="J602" s="196"/>
      <c r="K602" s="196">
        <v>0</v>
      </c>
      <c r="L602" s="194">
        <v>0</v>
      </c>
      <c r="M602" s="196">
        <v>0</v>
      </c>
      <c r="N602" s="196">
        <v>1230.72</v>
      </c>
      <c r="O602" s="199">
        <v>2421596</v>
      </c>
      <c r="P602" s="194">
        <v>0</v>
      </c>
      <c r="Q602" s="196">
        <v>0</v>
      </c>
      <c r="R602" s="197">
        <v>0</v>
      </c>
      <c r="S602" s="196">
        <v>0</v>
      </c>
      <c r="T602" s="197">
        <v>0</v>
      </c>
      <c r="U602" s="288">
        <v>0</v>
      </c>
      <c r="V602" s="282">
        <f>C602-'часть 1'!L613</f>
        <v>-2198394</v>
      </c>
      <c r="W602" s="282"/>
      <c r="X602" s="28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296"/>
    </row>
    <row r="603" spans="1:49" s="59" customFormat="1">
      <c r="A603" s="198">
        <v>42</v>
      </c>
      <c r="B603" s="195" t="s">
        <v>379</v>
      </c>
      <c r="C603" s="196">
        <v>2056315</v>
      </c>
      <c r="D603" s="196"/>
      <c r="E603" s="196"/>
      <c r="F603" s="196"/>
      <c r="G603" s="196"/>
      <c r="H603" s="196"/>
      <c r="I603" s="196"/>
      <c r="J603" s="196"/>
      <c r="K603" s="196">
        <v>0</v>
      </c>
      <c r="L603" s="194">
        <v>0</v>
      </c>
      <c r="M603" s="196">
        <v>0</v>
      </c>
      <c r="N603" s="196">
        <v>978</v>
      </c>
      <c r="O603" s="196">
        <v>2056315</v>
      </c>
      <c r="P603" s="194">
        <v>0</v>
      </c>
      <c r="Q603" s="196">
        <v>0</v>
      </c>
      <c r="R603" s="200">
        <v>0</v>
      </c>
      <c r="S603" s="196">
        <v>0</v>
      </c>
      <c r="T603" s="197">
        <v>0</v>
      </c>
      <c r="U603" s="288">
        <v>0</v>
      </c>
      <c r="V603" s="282">
        <f>C603-'часть 1'!L614</f>
        <v>191011</v>
      </c>
      <c r="W603" s="282"/>
      <c r="X603" s="28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296"/>
    </row>
    <row r="604" spans="1:49" s="59" customFormat="1">
      <c r="A604" s="198">
        <v>43</v>
      </c>
      <c r="B604" s="195" t="s">
        <v>372</v>
      </c>
      <c r="C604" s="196">
        <v>9473593</v>
      </c>
      <c r="D604" s="196"/>
      <c r="E604" s="196"/>
      <c r="F604" s="196"/>
      <c r="G604" s="196"/>
      <c r="H604" s="196"/>
      <c r="I604" s="196"/>
      <c r="J604" s="196"/>
      <c r="K604" s="196">
        <v>0</v>
      </c>
      <c r="L604" s="194">
        <v>5</v>
      </c>
      <c r="M604" s="196">
        <v>9473593</v>
      </c>
      <c r="N604" s="196">
        <v>0</v>
      </c>
      <c r="O604" s="196">
        <v>0</v>
      </c>
      <c r="P604" s="194">
        <v>0</v>
      </c>
      <c r="Q604" s="196">
        <v>0</v>
      </c>
      <c r="R604" s="197">
        <v>0</v>
      </c>
      <c r="S604" s="196">
        <v>0</v>
      </c>
      <c r="T604" s="197">
        <v>0</v>
      </c>
      <c r="U604" s="288">
        <v>0</v>
      </c>
      <c r="V604" s="282">
        <f>C604-'часть 1'!L615</f>
        <v>7602683</v>
      </c>
      <c r="W604" s="282"/>
      <c r="X604" s="28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296"/>
    </row>
    <row r="605" spans="1:49" s="59" customFormat="1">
      <c r="A605" s="198">
        <v>44</v>
      </c>
      <c r="B605" s="195" t="s">
        <v>344</v>
      </c>
      <c r="C605" s="196">
        <v>4441828</v>
      </c>
      <c r="D605" s="196"/>
      <c r="E605" s="196"/>
      <c r="F605" s="196"/>
      <c r="G605" s="196"/>
      <c r="H605" s="196"/>
      <c r="I605" s="196"/>
      <c r="J605" s="196"/>
      <c r="K605" s="196">
        <v>0</v>
      </c>
      <c r="L605" s="194">
        <v>0</v>
      </c>
      <c r="M605" s="196">
        <v>0</v>
      </c>
      <c r="N605" s="196">
        <v>0</v>
      </c>
      <c r="O605" s="196">
        <v>0</v>
      </c>
      <c r="P605" s="194">
        <v>0</v>
      </c>
      <c r="Q605" s="196">
        <v>0</v>
      </c>
      <c r="R605" s="196">
        <v>3081.4</v>
      </c>
      <c r="S605" s="196">
        <v>4441828</v>
      </c>
      <c r="T605" s="197">
        <v>0</v>
      </c>
      <c r="U605" s="288">
        <v>0</v>
      </c>
      <c r="V605" s="282">
        <f>C605-'часть 1'!L616</f>
        <v>2908071</v>
      </c>
      <c r="W605" s="282"/>
      <c r="X605" s="28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296"/>
    </row>
    <row r="606" spans="1:49" s="59" customFormat="1">
      <c r="A606" s="198">
        <v>45</v>
      </c>
      <c r="B606" s="195" t="s">
        <v>348</v>
      </c>
      <c r="C606" s="196">
        <v>3051089</v>
      </c>
      <c r="D606" s="196"/>
      <c r="E606" s="196"/>
      <c r="F606" s="196"/>
      <c r="G606" s="196"/>
      <c r="H606" s="196"/>
      <c r="I606" s="196"/>
      <c r="J606" s="196"/>
      <c r="K606" s="196">
        <v>0</v>
      </c>
      <c r="L606" s="194">
        <v>0</v>
      </c>
      <c r="M606" s="196">
        <v>0</v>
      </c>
      <c r="N606" s="196">
        <v>1549</v>
      </c>
      <c r="O606" s="196">
        <v>3051089</v>
      </c>
      <c r="P606" s="194">
        <v>0</v>
      </c>
      <c r="Q606" s="196">
        <v>0</v>
      </c>
      <c r="R606" s="197">
        <v>0</v>
      </c>
      <c r="S606" s="196">
        <v>0</v>
      </c>
      <c r="T606" s="197">
        <v>0</v>
      </c>
      <c r="U606" s="288">
        <v>0</v>
      </c>
      <c r="V606" s="282">
        <f>C606-'часть 1'!L617</f>
        <v>2111231</v>
      </c>
      <c r="W606" s="282"/>
      <c r="X606" s="28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296"/>
    </row>
    <row r="607" spans="1:49" s="59" customFormat="1">
      <c r="A607" s="198">
        <v>46</v>
      </c>
      <c r="B607" s="195" t="s">
        <v>386</v>
      </c>
      <c r="C607" s="196">
        <v>869749</v>
      </c>
      <c r="D607" s="196"/>
      <c r="E607" s="196"/>
      <c r="F607" s="196"/>
      <c r="G607" s="196"/>
      <c r="H607" s="196"/>
      <c r="I607" s="196"/>
      <c r="J607" s="196"/>
      <c r="K607" s="196">
        <v>0</v>
      </c>
      <c r="L607" s="194">
        <v>0</v>
      </c>
      <c r="M607" s="196">
        <v>0</v>
      </c>
      <c r="N607" s="196">
        <v>431.5</v>
      </c>
      <c r="O607" s="196">
        <f>C607</f>
        <v>869749</v>
      </c>
      <c r="P607" s="194">
        <v>0</v>
      </c>
      <c r="Q607" s="196">
        <v>0</v>
      </c>
      <c r="R607" s="197">
        <v>0</v>
      </c>
      <c r="S607" s="196">
        <v>0</v>
      </c>
      <c r="T607" s="197">
        <v>0</v>
      </c>
      <c r="U607" s="288">
        <v>0</v>
      </c>
      <c r="V607" s="282">
        <f>C607-'часть 1'!L618</f>
        <v>-1498643</v>
      </c>
      <c r="W607" s="282"/>
      <c r="X607" s="28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296"/>
    </row>
    <row r="608" spans="1:49" s="59" customFormat="1">
      <c r="A608" s="198">
        <v>47</v>
      </c>
      <c r="B608" s="195" t="s">
        <v>461</v>
      </c>
      <c r="C608" s="196">
        <v>869880</v>
      </c>
      <c r="D608" s="196"/>
      <c r="E608" s="196"/>
      <c r="F608" s="196"/>
      <c r="G608" s="196"/>
      <c r="H608" s="196"/>
      <c r="I608" s="196"/>
      <c r="J608" s="196"/>
      <c r="K608" s="196">
        <v>0</v>
      </c>
      <c r="L608" s="194">
        <v>0</v>
      </c>
      <c r="M608" s="196">
        <v>0</v>
      </c>
      <c r="N608" s="196">
        <v>431.5</v>
      </c>
      <c r="O608" s="199">
        <f>C608</f>
        <v>869880</v>
      </c>
      <c r="P608" s="194">
        <v>0</v>
      </c>
      <c r="Q608" s="196">
        <v>0</v>
      </c>
      <c r="R608" s="200">
        <v>0</v>
      </c>
      <c r="S608" s="196">
        <v>0</v>
      </c>
      <c r="T608" s="197">
        <v>0</v>
      </c>
      <c r="U608" s="288">
        <v>0</v>
      </c>
      <c r="V608" s="282">
        <f>C608-'часть 1'!L619</f>
        <v>-1564050.9100000001</v>
      </c>
      <c r="W608" s="282"/>
      <c r="X608" s="28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296"/>
    </row>
    <row r="609" spans="1:49" s="59" customFormat="1" ht="30">
      <c r="A609" s="198">
        <v>48</v>
      </c>
      <c r="B609" s="195" t="s">
        <v>462</v>
      </c>
      <c r="C609" s="196">
        <v>172302</v>
      </c>
      <c r="D609" s="196"/>
      <c r="E609" s="196"/>
      <c r="F609" s="196"/>
      <c r="G609" s="196"/>
      <c r="H609" s="196"/>
      <c r="I609" s="196"/>
      <c r="J609" s="196"/>
      <c r="K609" s="196">
        <v>172302</v>
      </c>
      <c r="L609" s="194">
        <v>0</v>
      </c>
      <c r="M609" s="196">
        <v>0</v>
      </c>
      <c r="N609" s="196">
        <v>0</v>
      </c>
      <c r="O609" s="196">
        <v>0</v>
      </c>
      <c r="P609" s="194">
        <v>0</v>
      </c>
      <c r="Q609" s="196">
        <v>0</v>
      </c>
      <c r="R609" s="197">
        <v>0</v>
      </c>
      <c r="S609" s="196">
        <v>0</v>
      </c>
      <c r="T609" s="197">
        <v>0</v>
      </c>
      <c r="U609" s="288">
        <v>0</v>
      </c>
      <c r="V609" s="282">
        <f>C609-'часть 1'!L620</f>
        <v>-1549548</v>
      </c>
      <c r="W609" s="282"/>
      <c r="X609" s="28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296"/>
      <c r="AJ609" s="89"/>
      <c r="AK609" s="89"/>
      <c r="AL609" s="89"/>
      <c r="AM609" s="89"/>
      <c r="AN609" s="89"/>
      <c r="AO609" s="89"/>
      <c r="AP609" s="89"/>
      <c r="AQ609" s="89"/>
      <c r="AR609" s="89"/>
      <c r="AS609" s="89"/>
      <c r="AT609" s="89"/>
      <c r="AU609" s="89"/>
      <c r="AV609" s="89"/>
      <c r="AW609" s="89"/>
    </row>
    <row r="610" spans="1:49" s="59" customFormat="1">
      <c r="A610" s="198">
        <v>49</v>
      </c>
      <c r="B610" s="195" t="s">
        <v>389</v>
      </c>
      <c r="C610" s="196">
        <v>3706393</v>
      </c>
      <c r="D610" s="196"/>
      <c r="E610" s="196"/>
      <c r="F610" s="196"/>
      <c r="G610" s="196"/>
      <c r="H610" s="196"/>
      <c r="I610" s="196"/>
      <c r="J610" s="196"/>
      <c r="K610" s="196" t="e">
        <f>#REF!</f>
        <v>#REF!</v>
      </c>
      <c r="L610" s="194">
        <v>0</v>
      </c>
      <c r="M610" s="196">
        <v>0</v>
      </c>
      <c r="N610" s="196">
        <v>0</v>
      </c>
      <c r="O610" s="196">
        <v>0</v>
      </c>
      <c r="P610" s="194">
        <v>0</v>
      </c>
      <c r="Q610" s="196">
        <v>0</v>
      </c>
      <c r="R610" s="197">
        <v>0</v>
      </c>
      <c r="S610" s="196">
        <v>0</v>
      </c>
      <c r="T610" s="197">
        <v>0</v>
      </c>
      <c r="U610" s="288">
        <v>0</v>
      </c>
      <c r="V610" s="282">
        <f>C610-'часть 1'!L621</f>
        <v>2892276</v>
      </c>
      <c r="W610" s="282"/>
      <c r="X610" s="28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296"/>
    </row>
    <row r="611" spans="1:49" s="59" customFormat="1">
      <c r="A611" s="198">
        <v>50</v>
      </c>
      <c r="B611" s="195" t="s">
        <v>317</v>
      </c>
      <c r="C611" s="196">
        <v>698585</v>
      </c>
      <c r="D611" s="196"/>
      <c r="E611" s="196"/>
      <c r="F611" s="196"/>
      <c r="G611" s="196"/>
      <c r="H611" s="196"/>
      <c r="I611" s="196"/>
      <c r="J611" s="196"/>
      <c r="K611" s="196">
        <v>698585</v>
      </c>
      <c r="L611" s="194">
        <v>0</v>
      </c>
      <c r="M611" s="196">
        <v>0</v>
      </c>
      <c r="N611" s="199">
        <v>0</v>
      </c>
      <c r="O611" s="196">
        <v>0</v>
      </c>
      <c r="P611" s="194">
        <v>0</v>
      </c>
      <c r="Q611" s="196">
        <v>0</v>
      </c>
      <c r="R611" s="200">
        <v>0</v>
      </c>
      <c r="S611" s="196">
        <v>0</v>
      </c>
      <c r="T611" s="197">
        <v>0</v>
      </c>
      <c r="U611" s="288">
        <v>0</v>
      </c>
      <c r="V611" s="282">
        <f>C611-'часть 1'!L622</f>
        <v>-2346496</v>
      </c>
      <c r="W611" s="282"/>
      <c r="X611" s="28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296"/>
    </row>
    <row r="612" spans="1:49" s="59" customFormat="1">
      <c r="A612" s="198">
        <v>51</v>
      </c>
      <c r="B612" s="195" t="s">
        <v>384</v>
      </c>
      <c r="C612" s="196">
        <v>951740</v>
      </c>
      <c r="D612" s="196"/>
      <c r="E612" s="196"/>
      <c r="F612" s="196"/>
      <c r="G612" s="196"/>
      <c r="H612" s="196"/>
      <c r="I612" s="196"/>
      <c r="J612" s="196"/>
      <c r="K612" s="196">
        <v>0</v>
      </c>
      <c r="L612" s="194">
        <v>0</v>
      </c>
      <c r="M612" s="196">
        <v>0</v>
      </c>
      <c r="N612" s="196">
        <v>471.1</v>
      </c>
      <c r="O612" s="196">
        <v>951740</v>
      </c>
      <c r="P612" s="194">
        <v>0</v>
      </c>
      <c r="Q612" s="196">
        <v>0</v>
      </c>
      <c r="R612" s="197">
        <v>0</v>
      </c>
      <c r="S612" s="196">
        <v>0</v>
      </c>
      <c r="T612" s="197">
        <v>0</v>
      </c>
      <c r="U612" s="288">
        <v>0</v>
      </c>
      <c r="V612" s="282">
        <f>C612-'часть 1'!L623</f>
        <v>-1293066</v>
      </c>
      <c r="W612" s="282"/>
      <c r="X612" s="28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296"/>
    </row>
    <row r="613" spans="1:49">
      <c r="A613" s="198">
        <v>52</v>
      </c>
      <c r="B613" s="195" t="s">
        <v>247</v>
      </c>
      <c r="C613" s="196">
        <v>2056139</v>
      </c>
      <c r="D613" s="196"/>
      <c r="E613" s="196"/>
      <c r="F613" s="196"/>
      <c r="G613" s="196"/>
      <c r="H613" s="196"/>
      <c r="I613" s="196"/>
      <c r="J613" s="196"/>
      <c r="K613" s="196">
        <v>0</v>
      </c>
      <c r="L613" s="194">
        <v>0</v>
      </c>
      <c r="M613" s="196">
        <v>0</v>
      </c>
      <c r="N613" s="196">
        <v>1020</v>
      </c>
      <c r="O613" s="196">
        <v>2056139</v>
      </c>
      <c r="P613" s="194">
        <v>0</v>
      </c>
      <c r="Q613" s="196">
        <v>0</v>
      </c>
      <c r="R613" s="200">
        <v>0</v>
      </c>
      <c r="S613" s="196">
        <v>0</v>
      </c>
      <c r="T613" s="197">
        <v>0</v>
      </c>
      <c r="U613" s="288">
        <v>0</v>
      </c>
      <c r="V613" s="282">
        <f>C613-'часть 1'!L624</f>
        <v>694866</v>
      </c>
      <c r="W613" s="282"/>
      <c r="X613" s="28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296"/>
    </row>
    <row r="614" spans="1:49">
      <c r="A614" s="198">
        <v>53</v>
      </c>
      <c r="B614" s="195" t="s">
        <v>274</v>
      </c>
      <c r="C614" s="196">
        <v>1321356</v>
      </c>
      <c r="D614" s="196"/>
      <c r="E614" s="196"/>
      <c r="F614" s="196"/>
      <c r="G614" s="196"/>
      <c r="H614" s="196"/>
      <c r="I614" s="196"/>
      <c r="J614" s="196"/>
      <c r="K614" s="196">
        <v>0</v>
      </c>
      <c r="L614" s="194">
        <v>0</v>
      </c>
      <c r="M614" s="196">
        <v>0</v>
      </c>
      <c r="N614" s="196">
        <v>662</v>
      </c>
      <c r="O614" s="199">
        <v>1321356</v>
      </c>
      <c r="P614" s="194">
        <v>0</v>
      </c>
      <c r="Q614" s="196">
        <v>0</v>
      </c>
      <c r="R614" s="197">
        <v>0</v>
      </c>
      <c r="S614" s="196">
        <v>0</v>
      </c>
      <c r="T614" s="197">
        <v>0</v>
      </c>
      <c r="U614" s="288">
        <v>0</v>
      </c>
      <c r="V614" s="282">
        <f>C614-'часть 1'!L625</f>
        <v>-1100240</v>
      </c>
      <c r="W614" s="282"/>
      <c r="X614" s="28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296"/>
    </row>
    <row r="615" spans="1:49" ht="30">
      <c r="A615" s="198">
        <v>54</v>
      </c>
      <c r="B615" s="195" t="s">
        <v>338</v>
      </c>
      <c r="C615" s="196">
        <v>1679278</v>
      </c>
      <c r="D615" s="196"/>
      <c r="E615" s="196"/>
      <c r="F615" s="196"/>
      <c r="G615" s="196"/>
      <c r="H615" s="196"/>
      <c r="I615" s="196"/>
      <c r="J615" s="196"/>
      <c r="K615" s="196">
        <v>355519</v>
      </c>
      <c r="L615" s="194">
        <v>0</v>
      </c>
      <c r="M615" s="196">
        <v>0</v>
      </c>
      <c r="N615" s="196">
        <v>663.3</v>
      </c>
      <c r="O615" s="196">
        <v>1323759</v>
      </c>
      <c r="P615" s="194">
        <v>0</v>
      </c>
      <c r="Q615" s="196">
        <v>0</v>
      </c>
      <c r="R615" s="197">
        <v>0</v>
      </c>
      <c r="S615" s="196">
        <v>0</v>
      </c>
      <c r="T615" s="197">
        <v>0</v>
      </c>
      <c r="U615" s="288">
        <v>0</v>
      </c>
      <c r="V615" s="282">
        <f>C615-'часть 1'!L626</f>
        <v>-377037</v>
      </c>
      <c r="W615" s="282"/>
      <c r="X615" s="282"/>
      <c r="Y615" s="12"/>
      <c r="Z615" s="12"/>
      <c r="AA615" s="12"/>
      <c r="AB615" s="12"/>
      <c r="AC615" s="12"/>
      <c r="AD615" s="12"/>
      <c r="AE615" s="12"/>
      <c r="AF615" s="12"/>
      <c r="AG615" s="4"/>
      <c r="AH615" s="12"/>
      <c r="AI615" s="296"/>
    </row>
    <row r="616" spans="1:49" s="11" customFormat="1">
      <c r="A616" s="198">
        <v>55</v>
      </c>
      <c r="B616" s="195" t="s">
        <v>272</v>
      </c>
      <c r="C616" s="196">
        <v>1100896</v>
      </c>
      <c r="D616" s="196"/>
      <c r="E616" s="196"/>
      <c r="F616" s="196"/>
      <c r="G616" s="196"/>
      <c r="H616" s="196"/>
      <c r="I616" s="196"/>
      <c r="J616" s="196"/>
      <c r="K616" s="196">
        <v>0</v>
      </c>
      <c r="L616" s="194">
        <v>0</v>
      </c>
      <c r="M616" s="196">
        <v>0</v>
      </c>
      <c r="N616" s="196">
        <v>549</v>
      </c>
      <c r="O616" s="199">
        <v>1100896</v>
      </c>
      <c r="P616" s="194">
        <v>0</v>
      </c>
      <c r="Q616" s="196">
        <v>0</v>
      </c>
      <c r="R616" s="197">
        <v>0</v>
      </c>
      <c r="S616" s="196">
        <v>0</v>
      </c>
      <c r="T616" s="197">
        <v>0</v>
      </c>
      <c r="U616" s="288">
        <v>0</v>
      </c>
      <c r="V616" s="282">
        <f>C616-'часть 1'!L627</f>
        <v>-8372697</v>
      </c>
      <c r="W616" s="282"/>
      <c r="X616" s="28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296"/>
    </row>
    <row r="617" spans="1:49" ht="30">
      <c r="A617" s="198">
        <v>56</v>
      </c>
      <c r="B617" s="195" t="s">
        <v>337</v>
      </c>
      <c r="C617" s="196">
        <v>1729707</v>
      </c>
      <c r="D617" s="196"/>
      <c r="E617" s="196"/>
      <c r="F617" s="196"/>
      <c r="G617" s="196"/>
      <c r="H617" s="196"/>
      <c r="I617" s="196"/>
      <c r="J617" s="196"/>
      <c r="K617" s="196">
        <v>630140</v>
      </c>
      <c r="L617" s="194">
        <v>0</v>
      </c>
      <c r="M617" s="196">
        <v>0</v>
      </c>
      <c r="N617" s="196">
        <v>0</v>
      </c>
      <c r="O617" s="196">
        <v>0</v>
      </c>
      <c r="P617" s="194">
        <v>0</v>
      </c>
      <c r="Q617" s="196">
        <v>0</v>
      </c>
      <c r="R617" s="196">
        <v>760.3</v>
      </c>
      <c r="S617" s="196">
        <v>1099567</v>
      </c>
      <c r="T617" s="197">
        <v>0</v>
      </c>
      <c r="U617" s="288">
        <v>0</v>
      </c>
      <c r="V617" s="282">
        <f>C617-'часть 1'!L628</f>
        <v>-2712121</v>
      </c>
      <c r="W617" s="282"/>
      <c r="X617" s="28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296"/>
    </row>
    <row r="618" spans="1:49" s="59" customFormat="1">
      <c r="A618" s="198">
        <v>57</v>
      </c>
      <c r="B618" s="195" t="s">
        <v>257</v>
      </c>
      <c r="C618" s="196">
        <v>451222.57</v>
      </c>
      <c r="D618" s="196"/>
      <c r="E618" s="196"/>
      <c r="F618" s="196"/>
      <c r="G618" s="196"/>
      <c r="H618" s="196"/>
      <c r="I618" s="196"/>
      <c r="J618" s="196"/>
      <c r="K618" s="196">
        <v>451222.57</v>
      </c>
      <c r="L618" s="194">
        <v>0</v>
      </c>
      <c r="M618" s="196">
        <v>0</v>
      </c>
      <c r="N618" s="196">
        <v>0</v>
      </c>
      <c r="O618" s="196">
        <v>0</v>
      </c>
      <c r="P618" s="194">
        <v>0</v>
      </c>
      <c r="Q618" s="196">
        <v>0</v>
      </c>
      <c r="R618" s="197">
        <v>0</v>
      </c>
      <c r="S618" s="196">
        <v>0</v>
      </c>
      <c r="T618" s="197">
        <v>0</v>
      </c>
      <c r="U618" s="288">
        <v>0</v>
      </c>
      <c r="V618" s="282">
        <f>C618-'часть 1'!L629</f>
        <v>-2599866.4300000002</v>
      </c>
      <c r="W618" s="282"/>
      <c r="X618" s="282"/>
      <c r="Y618" s="12"/>
      <c r="Z618" s="12"/>
      <c r="AA618" s="4"/>
      <c r="AB618" s="12"/>
      <c r="AC618" s="12"/>
      <c r="AD618" s="12"/>
      <c r="AE618" s="12"/>
      <c r="AF618" s="12"/>
      <c r="AG618" s="12"/>
      <c r="AH618" s="12"/>
      <c r="AI618" s="296"/>
    </row>
    <row r="619" spans="1:49" ht="30">
      <c r="A619" s="198">
        <v>58</v>
      </c>
      <c r="B619" s="195" t="s">
        <v>307</v>
      </c>
      <c r="C619" s="196">
        <v>703675.57</v>
      </c>
      <c r="D619" s="196"/>
      <c r="E619" s="196"/>
      <c r="F619" s="196"/>
      <c r="G619" s="196"/>
      <c r="H619" s="196"/>
      <c r="I619" s="196"/>
      <c r="J619" s="196"/>
      <c r="K619" s="196">
        <v>0</v>
      </c>
      <c r="L619" s="194">
        <v>0</v>
      </c>
      <c r="M619" s="196">
        <v>0</v>
      </c>
      <c r="N619" s="196">
        <v>378</v>
      </c>
      <c r="O619" s="196">
        <v>703675.57</v>
      </c>
      <c r="P619" s="194">
        <v>0</v>
      </c>
      <c r="Q619" s="196">
        <v>0</v>
      </c>
      <c r="R619" s="197">
        <v>0</v>
      </c>
      <c r="S619" s="196">
        <v>0</v>
      </c>
      <c r="T619" s="197">
        <v>0</v>
      </c>
      <c r="U619" s="288">
        <v>0</v>
      </c>
      <c r="V619" s="282">
        <f>C619-'часть 1'!L630</f>
        <v>-166073.43000000005</v>
      </c>
      <c r="W619" s="282"/>
      <c r="X619" s="28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296"/>
    </row>
    <row r="620" spans="1:49">
      <c r="A620" s="198">
        <v>59</v>
      </c>
      <c r="B620" s="195" t="s">
        <v>268</v>
      </c>
      <c r="C620" s="196">
        <v>1053533.22</v>
      </c>
      <c r="D620" s="196"/>
      <c r="E620" s="196"/>
      <c r="F620" s="196"/>
      <c r="G620" s="196"/>
      <c r="H620" s="196"/>
      <c r="I620" s="196"/>
      <c r="J620" s="196"/>
      <c r="K620" s="196">
        <v>1053533.22</v>
      </c>
      <c r="L620" s="194">
        <v>0</v>
      </c>
      <c r="M620" s="196">
        <v>0</v>
      </c>
      <c r="N620" s="196">
        <v>0</v>
      </c>
      <c r="O620" s="196">
        <v>0</v>
      </c>
      <c r="P620" s="194">
        <v>0</v>
      </c>
      <c r="Q620" s="196">
        <v>0</v>
      </c>
      <c r="R620" s="197">
        <v>0</v>
      </c>
      <c r="S620" s="196">
        <v>0</v>
      </c>
      <c r="T620" s="197">
        <v>0</v>
      </c>
      <c r="U620" s="288">
        <v>0</v>
      </c>
      <c r="V620" s="282">
        <f>C620-'часть 1'!L631</f>
        <v>183653.21999999997</v>
      </c>
      <c r="W620" s="282"/>
      <c r="X620" s="28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296"/>
      <c r="AJ620" s="11"/>
      <c r="AK620" s="11"/>
      <c r="AL620" s="11"/>
    </row>
    <row r="621" spans="1:49">
      <c r="A621" s="198">
        <v>60</v>
      </c>
      <c r="B621" s="195" t="s">
        <v>246</v>
      </c>
      <c r="C621" s="196">
        <v>1253738</v>
      </c>
      <c r="D621" s="196"/>
      <c r="E621" s="196"/>
      <c r="F621" s="196"/>
      <c r="G621" s="196"/>
      <c r="H621" s="196"/>
      <c r="I621" s="196"/>
      <c r="J621" s="196"/>
      <c r="K621" s="196">
        <v>0</v>
      </c>
      <c r="L621" s="194">
        <v>0</v>
      </c>
      <c r="M621" s="196">
        <v>0</v>
      </c>
      <c r="N621" s="196">
        <v>622</v>
      </c>
      <c r="O621" s="196">
        <v>1253738</v>
      </c>
      <c r="P621" s="194">
        <v>0</v>
      </c>
      <c r="Q621" s="196">
        <v>0</v>
      </c>
      <c r="R621" s="200">
        <v>0</v>
      </c>
      <c r="S621" s="196">
        <v>0</v>
      </c>
      <c r="T621" s="197">
        <v>0</v>
      </c>
      <c r="U621" s="288">
        <v>0</v>
      </c>
      <c r="V621" s="282">
        <f>C621-'часть 1'!L632</f>
        <v>1081436</v>
      </c>
      <c r="W621" s="282"/>
      <c r="X621" s="28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296"/>
    </row>
    <row r="622" spans="1:49" s="11" customFormat="1">
      <c r="A622" s="198">
        <v>61</v>
      </c>
      <c r="B622" s="195" t="s">
        <v>470</v>
      </c>
      <c r="C622" s="196">
        <v>1870046</v>
      </c>
      <c r="D622" s="196"/>
      <c r="E622" s="196"/>
      <c r="F622" s="196"/>
      <c r="G622" s="196"/>
      <c r="H622" s="196"/>
      <c r="I622" s="196"/>
      <c r="J622" s="196"/>
      <c r="K622" s="196">
        <v>0</v>
      </c>
      <c r="L622" s="194">
        <v>1</v>
      </c>
      <c r="M622" s="196">
        <v>1870046</v>
      </c>
      <c r="N622" s="196">
        <v>0</v>
      </c>
      <c r="O622" s="196">
        <v>0</v>
      </c>
      <c r="P622" s="194">
        <v>0</v>
      </c>
      <c r="Q622" s="196">
        <v>0</v>
      </c>
      <c r="R622" s="197">
        <v>0</v>
      </c>
      <c r="S622" s="196">
        <v>0</v>
      </c>
      <c r="T622" s="197">
        <v>0</v>
      </c>
      <c r="U622" s="288">
        <v>0</v>
      </c>
      <c r="V622" s="282">
        <f>C622-'часть 1'!L633</f>
        <v>-1836347</v>
      </c>
      <c r="W622" s="282"/>
      <c r="X622" s="28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296"/>
      <c r="AJ622" s="1"/>
      <c r="AK622" s="1"/>
      <c r="AL622" s="1"/>
    </row>
    <row r="623" spans="1:49">
      <c r="A623" s="198">
        <v>62</v>
      </c>
      <c r="B623" s="195" t="s">
        <v>350</v>
      </c>
      <c r="C623" s="196">
        <v>3720676</v>
      </c>
      <c r="D623" s="196"/>
      <c r="E623" s="196"/>
      <c r="F623" s="196"/>
      <c r="G623" s="196"/>
      <c r="H623" s="196"/>
      <c r="I623" s="196"/>
      <c r="J623" s="196"/>
      <c r="K623" s="196">
        <v>0</v>
      </c>
      <c r="L623" s="194">
        <v>2</v>
      </c>
      <c r="M623" s="196">
        <v>3720676</v>
      </c>
      <c r="N623" s="196">
        <v>0</v>
      </c>
      <c r="O623" s="196">
        <v>0</v>
      </c>
      <c r="P623" s="194">
        <v>0</v>
      </c>
      <c r="Q623" s="196">
        <v>0</v>
      </c>
      <c r="R623" s="197">
        <v>0</v>
      </c>
      <c r="S623" s="196">
        <v>0</v>
      </c>
      <c r="T623" s="197">
        <v>0</v>
      </c>
      <c r="U623" s="288">
        <v>0</v>
      </c>
      <c r="V623" s="282">
        <f>C623-'часть 1'!L634</f>
        <v>3022091</v>
      </c>
      <c r="W623" s="282"/>
      <c r="X623" s="28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296"/>
    </row>
    <row r="624" spans="1:49">
      <c r="A624" s="198">
        <v>63</v>
      </c>
      <c r="B624" s="195" t="s">
        <v>251</v>
      </c>
      <c r="C624" s="196">
        <v>3687908</v>
      </c>
      <c r="D624" s="196"/>
      <c r="E624" s="196"/>
      <c r="F624" s="196"/>
      <c r="G624" s="196"/>
      <c r="H624" s="196"/>
      <c r="I624" s="196"/>
      <c r="J624" s="196"/>
      <c r="K624" s="196">
        <v>3687908</v>
      </c>
      <c r="L624" s="194">
        <v>0</v>
      </c>
      <c r="M624" s="196">
        <v>0</v>
      </c>
      <c r="N624" s="196">
        <v>0</v>
      </c>
      <c r="O624" s="196">
        <v>0</v>
      </c>
      <c r="P624" s="194">
        <v>0</v>
      </c>
      <c r="Q624" s="196">
        <v>0</v>
      </c>
      <c r="R624" s="200">
        <v>0</v>
      </c>
      <c r="S624" s="196">
        <v>0</v>
      </c>
      <c r="T624" s="197">
        <v>0</v>
      </c>
      <c r="U624" s="288">
        <v>0</v>
      </c>
      <c r="V624" s="282">
        <f>C624-'часть 1'!L635</f>
        <v>2736168</v>
      </c>
      <c r="W624" s="282"/>
      <c r="X624" s="282"/>
      <c r="Y624" s="12"/>
      <c r="Z624" s="12"/>
      <c r="AA624" s="12"/>
      <c r="AB624" s="12"/>
      <c r="AC624" s="12"/>
      <c r="AD624" s="12"/>
      <c r="AE624" s="64"/>
      <c r="AF624" s="12"/>
      <c r="AG624" s="12"/>
      <c r="AH624" s="12"/>
      <c r="AI624" s="296"/>
    </row>
    <row r="625" spans="1:35">
      <c r="A625" s="198">
        <v>64</v>
      </c>
      <c r="B625" s="195" t="s">
        <v>226</v>
      </c>
      <c r="C625" s="196">
        <v>1760967.35</v>
      </c>
      <c r="D625" s="196"/>
      <c r="E625" s="196"/>
      <c r="F625" s="196"/>
      <c r="G625" s="196"/>
      <c r="H625" s="196"/>
      <c r="I625" s="196"/>
      <c r="J625" s="196"/>
      <c r="K625" s="196">
        <v>0</v>
      </c>
      <c r="L625" s="194">
        <v>0</v>
      </c>
      <c r="M625" s="196">
        <v>0</v>
      </c>
      <c r="N625" s="196">
        <v>881</v>
      </c>
      <c r="O625" s="196">
        <v>1760967.35</v>
      </c>
      <c r="P625" s="194">
        <v>0</v>
      </c>
      <c r="Q625" s="196">
        <v>0</v>
      </c>
      <c r="R625" s="200">
        <v>0</v>
      </c>
      <c r="S625" s="196">
        <v>0</v>
      </c>
      <c r="T625" s="197">
        <v>0</v>
      </c>
      <c r="U625" s="288">
        <v>0</v>
      </c>
      <c r="V625" s="282">
        <f>C625-'часть 1'!L636</f>
        <v>-295171.64999999991</v>
      </c>
      <c r="W625" s="282"/>
      <c r="X625" s="28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296"/>
    </row>
    <row r="626" spans="1:35">
      <c r="A626" s="198">
        <v>65</v>
      </c>
      <c r="B626" s="195" t="s">
        <v>271</v>
      </c>
      <c r="C626" s="196">
        <v>881947</v>
      </c>
      <c r="D626" s="196"/>
      <c r="E626" s="196"/>
      <c r="F626" s="196"/>
      <c r="G626" s="196"/>
      <c r="H626" s="196"/>
      <c r="I626" s="196"/>
      <c r="J626" s="196"/>
      <c r="K626" s="196">
        <v>881947</v>
      </c>
      <c r="L626" s="194">
        <v>0</v>
      </c>
      <c r="M626" s="196">
        <v>0</v>
      </c>
      <c r="N626" s="196">
        <v>0</v>
      </c>
      <c r="O626" s="196">
        <v>0</v>
      </c>
      <c r="P626" s="194">
        <v>0</v>
      </c>
      <c r="Q626" s="196">
        <v>0</v>
      </c>
      <c r="R626" s="197">
        <v>0</v>
      </c>
      <c r="S626" s="196">
        <v>0</v>
      </c>
      <c r="T626" s="197">
        <v>0</v>
      </c>
      <c r="U626" s="288">
        <v>0</v>
      </c>
      <c r="V626" s="282">
        <f>C626-'часть 1'!L637</f>
        <v>-439409</v>
      </c>
      <c r="W626" s="282"/>
      <c r="X626" s="282"/>
      <c r="Y626" s="4"/>
      <c r="Z626" s="12"/>
      <c r="AA626" s="12"/>
      <c r="AB626" s="12"/>
      <c r="AC626" s="12"/>
      <c r="AD626" s="12"/>
      <c r="AE626" s="12"/>
      <c r="AF626" s="12"/>
      <c r="AG626" s="12"/>
      <c r="AH626" s="12"/>
      <c r="AI626" s="296"/>
    </row>
    <row r="627" spans="1:35">
      <c r="A627" s="198">
        <v>66</v>
      </c>
      <c r="B627" s="195" t="s">
        <v>287</v>
      </c>
      <c r="C627" s="196">
        <v>517739</v>
      </c>
      <c r="D627" s="196"/>
      <c r="E627" s="196"/>
      <c r="F627" s="196"/>
      <c r="G627" s="196"/>
      <c r="H627" s="196"/>
      <c r="I627" s="196"/>
      <c r="J627" s="196"/>
      <c r="K627" s="196">
        <v>0</v>
      </c>
      <c r="L627" s="194">
        <v>0</v>
      </c>
      <c r="M627" s="196">
        <v>0</v>
      </c>
      <c r="N627" s="196">
        <v>252</v>
      </c>
      <c r="O627" s="199">
        <v>517739</v>
      </c>
      <c r="P627" s="194">
        <v>0</v>
      </c>
      <c r="Q627" s="196">
        <v>0</v>
      </c>
      <c r="R627" s="197">
        <v>0</v>
      </c>
      <c r="S627" s="196">
        <v>0</v>
      </c>
      <c r="T627" s="197">
        <v>0</v>
      </c>
      <c r="U627" s="288">
        <v>0</v>
      </c>
      <c r="V627" s="282">
        <f>C627-'часть 1'!L638</f>
        <v>-1161539</v>
      </c>
      <c r="W627" s="282"/>
      <c r="X627" s="28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296"/>
    </row>
    <row r="628" spans="1:35">
      <c r="A628" s="198">
        <v>67</v>
      </c>
      <c r="B628" s="195" t="s">
        <v>289</v>
      </c>
      <c r="C628" s="196">
        <v>1728895</v>
      </c>
      <c r="D628" s="196"/>
      <c r="E628" s="196"/>
      <c r="F628" s="196"/>
      <c r="G628" s="196"/>
      <c r="H628" s="196"/>
      <c r="I628" s="196"/>
      <c r="J628" s="196"/>
      <c r="K628" s="196">
        <v>0</v>
      </c>
      <c r="L628" s="194">
        <v>0</v>
      </c>
      <c r="M628" s="196">
        <v>0</v>
      </c>
      <c r="N628" s="196">
        <v>873.06</v>
      </c>
      <c r="O628" s="196">
        <v>1728895</v>
      </c>
      <c r="P628" s="201">
        <v>0</v>
      </c>
      <c r="Q628" s="196">
        <v>0</v>
      </c>
      <c r="R628" s="200">
        <v>0</v>
      </c>
      <c r="S628" s="196">
        <v>0</v>
      </c>
      <c r="T628" s="197">
        <v>0</v>
      </c>
      <c r="U628" s="288">
        <v>0</v>
      </c>
      <c r="V628" s="282">
        <f>C628-'часть 1'!L639</f>
        <v>627999</v>
      </c>
      <c r="W628" s="282"/>
      <c r="X628" s="28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296"/>
    </row>
    <row r="629" spans="1:35">
      <c r="A629" s="198">
        <v>68</v>
      </c>
      <c r="B629" s="195" t="s">
        <v>259</v>
      </c>
      <c r="C629" s="196">
        <v>682529</v>
      </c>
      <c r="D629" s="196"/>
      <c r="E629" s="196"/>
      <c r="F629" s="196"/>
      <c r="G629" s="196"/>
      <c r="H629" s="196"/>
      <c r="I629" s="196"/>
      <c r="J629" s="196"/>
      <c r="K629" s="196">
        <v>0</v>
      </c>
      <c r="L629" s="194">
        <v>0</v>
      </c>
      <c r="M629" s="196">
        <v>0</v>
      </c>
      <c r="N629" s="196">
        <v>335.6</v>
      </c>
      <c r="O629" s="196">
        <v>682529</v>
      </c>
      <c r="P629" s="194">
        <v>0</v>
      </c>
      <c r="Q629" s="196">
        <v>0</v>
      </c>
      <c r="R629" s="197">
        <v>0</v>
      </c>
      <c r="S629" s="196">
        <v>0</v>
      </c>
      <c r="T629" s="197">
        <v>0</v>
      </c>
      <c r="U629" s="288">
        <v>0</v>
      </c>
      <c r="V629" s="282">
        <f>C629-'часть 1'!L640</f>
        <v>-1047178</v>
      </c>
      <c r="W629" s="282"/>
      <c r="X629" s="28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296"/>
    </row>
    <row r="630" spans="1:35">
      <c r="A630" s="198">
        <v>69</v>
      </c>
      <c r="B630" s="195" t="s">
        <v>291</v>
      </c>
      <c r="C630" s="196">
        <v>582157</v>
      </c>
      <c r="D630" s="196"/>
      <c r="E630" s="196"/>
      <c r="F630" s="196"/>
      <c r="G630" s="196"/>
      <c r="H630" s="196"/>
      <c r="I630" s="196"/>
      <c r="J630" s="196"/>
      <c r="K630" s="196">
        <v>0</v>
      </c>
      <c r="L630" s="194">
        <v>0</v>
      </c>
      <c r="M630" s="196">
        <v>0</v>
      </c>
      <c r="N630" s="196">
        <v>285</v>
      </c>
      <c r="O630" s="196">
        <v>582157</v>
      </c>
      <c r="P630" s="194">
        <v>0</v>
      </c>
      <c r="Q630" s="196">
        <v>0</v>
      </c>
      <c r="R630" s="200">
        <v>0</v>
      </c>
      <c r="S630" s="196">
        <v>0</v>
      </c>
      <c r="T630" s="197">
        <v>0</v>
      </c>
      <c r="U630" s="288">
        <v>0</v>
      </c>
      <c r="V630" s="282">
        <f>C630-'часть 1'!L641</f>
        <v>130934.43</v>
      </c>
      <c r="W630" s="282"/>
      <c r="X630" s="28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296"/>
    </row>
    <row r="631" spans="1:35">
      <c r="A631" s="198">
        <v>70</v>
      </c>
      <c r="B631" s="195" t="s">
        <v>224</v>
      </c>
      <c r="C631" s="196">
        <v>701704</v>
      </c>
      <c r="D631" s="196"/>
      <c r="E631" s="196"/>
      <c r="F631" s="196"/>
      <c r="G631" s="196"/>
      <c r="H631" s="196"/>
      <c r="I631" s="196"/>
      <c r="J631" s="196"/>
      <c r="K631" s="196">
        <v>701704</v>
      </c>
      <c r="L631" s="194">
        <v>0</v>
      </c>
      <c r="M631" s="196">
        <v>0</v>
      </c>
      <c r="N631" s="199">
        <v>0</v>
      </c>
      <c r="O631" s="196">
        <v>0</v>
      </c>
      <c r="P631" s="194">
        <v>0</v>
      </c>
      <c r="Q631" s="196">
        <v>0</v>
      </c>
      <c r="R631" s="200">
        <v>0</v>
      </c>
      <c r="S631" s="196">
        <v>0</v>
      </c>
      <c r="T631" s="197">
        <v>0</v>
      </c>
      <c r="U631" s="288">
        <v>0</v>
      </c>
      <c r="V631" s="282">
        <f>C631-'часть 1'!L642</f>
        <v>-1971.5699999999488</v>
      </c>
      <c r="W631" s="282"/>
      <c r="X631" s="282"/>
      <c r="Y631" s="4"/>
      <c r="Z631" s="12"/>
      <c r="AA631" s="12"/>
      <c r="AB631" s="12"/>
      <c r="AC631" s="12"/>
      <c r="AD631" s="12"/>
      <c r="AE631" s="12"/>
      <c r="AF631" s="12"/>
      <c r="AG631" s="12"/>
      <c r="AH631" s="12"/>
      <c r="AI631" s="296"/>
    </row>
    <row r="632" spans="1:35">
      <c r="A632" s="198">
        <v>71</v>
      </c>
      <c r="B632" s="195" t="s">
        <v>261</v>
      </c>
      <c r="C632" s="196">
        <v>1969149</v>
      </c>
      <c r="D632" s="196"/>
      <c r="E632" s="196"/>
      <c r="F632" s="196"/>
      <c r="G632" s="196"/>
      <c r="H632" s="196"/>
      <c r="I632" s="196"/>
      <c r="J632" s="196"/>
      <c r="K632" s="196">
        <v>0</v>
      </c>
      <c r="L632" s="194">
        <v>0</v>
      </c>
      <c r="M632" s="196">
        <v>0</v>
      </c>
      <c r="N632" s="196">
        <v>995.8</v>
      </c>
      <c r="O632" s="196">
        <v>1969149</v>
      </c>
      <c r="P632" s="194">
        <v>0</v>
      </c>
      <c r="Q632" s="196">
        <v>0</v>
      </c>
      <c r="R632" s="197">
        <v>0</v>
      </c>
      <c r="S632" s="196">
        <v>0</v>
      </c>
      <c r="T632" s="197">
        <v>0</v>
      </c>
      <c r="U632" s="288">
        <v>0</v>
      </c>
      <c r="V632" s="282">
        <f>C632-'часть 1'!L643</f>
        <v>915615.78</v>
      </c>
      <c r="W632" s="282"/>
      <c r="X632" s="28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296"/>
    </row>
    <row r="633" spans="1:35">
      <c r="A633" s="198">
        <v>72</v>
      </c>
      <c r="B633" s="195" t="s">
        <v>239</v>
      </c>
      <c r="C633" s="196">
        <v>1023088</v>
      </c>
      <c r="D633" s="196"/>
      <c r="E633" s="196"/>
      <c r="F633" s="196"/>
      <c r="G633" s="196"/>
      <c r="H633" s="196"/>
      <c r="I633" s="196"/>
      <c r="J633" s="196"/>
      <c r="K633" s="196">
        <v>0</v>
      </c>
      <c r="L633" s="194">
        <v>0</v>
      </c>
      <c r="M633" s="196">
        <v>0</v>
      </c>
      <c r="N633" s="196">
        <v>0</v>
      </c>
      <c r="O633" s="196">
        <v>0</v>
      </c>
      <c r="P633" s="194">
        <v>0</v>
      </c>
      <c r="Q633" s="196">
        <v>0</v>
      </c>
      <c r="R633" s="196">
        <v>694</v>
      </c>
      <c r="S633" s="199">
        <v>1023088</v>
      </c>
      <c r="T633" s="197">
        <v>0</v>
      </c>
      <c r="U633" s="288">
        <v>0</v>
      </c>
      <c r="V633" s="282">
        <f>C633-'часть 1'!L644</f>
        <v>-230650</v>
      </c>
      <c r="W633" s="282"/>
      <c r="X633" s="28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296"/>
    </row>
    <row r="634" spans="1:35">
      <c r="A634" s="198">
        <v>73</v>
      </c>
      <c r="B634" s="195" t="s">
        <v>336</v>
      </c>
      <c r="C634" s="196">
        <v>3334570</v>
      </c>
      <c r="D634" s="196"/>
      <c r="E634" s="196"/>
      <c r="F634" s="196"/>
      <c r="G634" s="196"/>
      <c r="H634" s="196"/>
      <c r="I634" s="196"/>
      <c r="J634" s="196"/>
      <c r="K634" s="196" t="e">
        <f>#REF!</f>
        <v>#REF!</v>
      </c>
      <c r="L634" s="194">
        <v>0</v>
      </c>
      <c r="M634" s="196">
        <v>0</v>
      </c>
      <c r="N634" s="199">
        <v>0</v>
      </c>
      <c r="O634" s="196">
        <v>0</v>
      </c>
      <c r="P634" s="194">
        <v>0</v>
      </c>
      <c r="Q634" s="196">
        <v>0</v>
      </c>
      <c r="R634" s="197">
        <v>0</v>
      </c>
      <c r="S634" s="196">
        <v>0</v>
      </c>
      <c r="T634" s="197">
        <v>0</v>
      </c>
      <c r="U634" s="288">
        <v>0</v>
      </c>
      <c r="V634" s="282">
        <f>C634-'часть 1'!L645</f>
        <v>1464524</v>
      </c>
      <c r="W634" s="282"/>
      <c r="X634" s="282"/>
      <c r="Y634" s="12"/>
      <c r="Z634" s="12"/>
      <c r="AA634" s="12"/>
      <c r="AB634" s="12"/>
      <c r="AC634" s="12"/>
      <c r="AD634" s="12"/>
      <c r="AE634" s="15"/>
      <c r="AF634" s="12"/>
      <c r="AG634" s="12"/>
      <c r="AH634" s="12"/>
      <c r="AI634" s="296"/>
    </row>
    <row r="635" spans="1:35">
      <c r="A635" s="198">
        <v>74</v>
      </c>
      <c r="B635" s="195" t="s">
        <v>306</v>
      </c>
      <c r="C635" s="196">
        <v>1127374.33</v>
      </c>
      <c r="D635" s="196"/>
      <c r="E635" s="196"/>
      <c r="F635" s="196"/>
      <c r="G635" s="196"/>
      <c r="H635" s="196"/>
      <c r="I635" s="196"/>
      <c r="J635" s="196"/>
      <c r="K635" s="196">
        <v>1127374.33</v>
      </c>
      <c r="L635" s="194">
        <v>0</v>
      </c>
      <c r="M635" s="196">
        <v>0</v>
      </c>
      <c r="N635" s="196">
        <v>0</v>
      </c>
      <c r="O635" s="196">
        <v>0</v>
      </c>
      <c r="P635" s="194">
        <v>0</v>
      </c>
      <c r="Q635" s="196">
        <v>0</v>
      </c>
      <c r="R635" s="197">
        <v>0</v>
      </c>
      <c r="S635" s="196">
        <v>0</v>
      </c>
      <c r="T635" s="197">
        <v>0</v>
      </c>
      <c r="U635" s="288">
        <v>0</v>
      </c>
      <c r="V635" s="282">
        <f>C635-'часть 1'!L646</f>
        <v>-2593301.67</v>
      </c>
      <c r="W635" s="282"/>
      <c r="X635" s="28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296"/>
    </row>
    <row r="636" spans="1:35">
      <c r="A636" s="198">
        <v>75</v>
      </c>
      <c r="B636" s="195" t="s">
        <v>234</v>
      </c>
      <c r="C636" s="196">
        <v>1161456</v>
      </c>
      <c r="D636" s="196"/>
      <c r="E636" s="196"/>
      <c r="F636" s="196"/>
      <c r="G636" s="196"/>
      <c r="H636" s="196"/>
      <c r="I636" s="196"/>
      <c r="J636" s="196"/>
      <c r="K636" s="196">
        <v>1161456</v>
      </c>
      <c r="L636" s="194">
        <v>0</v>
      </c>
      <c r="M636" s="196">
        <v>0</v>
      </c>
      <c r="N636" s="196">
        <v>0</v>
      </c>
      <c r="O636" s="196">
        <v>0</v>
      </c>
      <c r="P636" s="194">
        <v>0</v>
      </c>
      <c r="Q636" s="196">
        <v>0</v>
      </c>
      <c r="R636" s="197">
        <v>0</v>
      </c>
      <c r="S636" s="196">
        <v>0</v>
      </c>
      <c r="T636" s="197">
        <v>0</v>
      </c>
      <c r="U636" s="288">
        <v>0</v>
      </c>
      <c r="V636" s="282">
        <f>C636-'часть 1'!L647</f>
        <v>-2526452</v>
      </c>
      <c r="W636" s="282"/>
      <c r="X636" s="28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296"/>
    </row>
    <row r="637" spans="1:35">
      <c r="A637" s="198">
        <v>76</v>
      </c>
      <c r="B637" s="195" t="s">
        <v>277</v>
      </c>
      <c r="C637" s="196">
        <v>1197250.23</v>
      </c>
      <c r="D637" s="196"/>
      <c r="E637" s="196"/>
      <c r="F637" s="196"/>
      <c r="G637" s="196"/>
      <c r="H637" s="196"/>
      <c r="I637" s="196"/>
      <c r="J637" s="196"/>
      <c r="K637" s="196">
        <v>1197250.23</v>
      </c>
      <c r="L637" s="194">
        <v>0</v>
      </c>
      <c r="M637" s="196">
        <v>0</v>
      </c>
      <c r="N637" s="199">
        <v>0</v>
      </c>
      <c r="O637" s="196">
        <v>0</v>
      </c>
      <c r="P637" s="194">
        <v>0</v>
      </c>
      <c r="Q637" s="196">
        <v>0</v>
      </c>
      <c r="R637" s="197">
        <v>0</v>
      </c>
      <c r="S637" s="196">
        <v>0</v>
      </c>
      <c r="T637" s="197">
        <v>0</v>
      </c>
      <c r="U637" s="288">
        <v>0</v>
      </c>
      <c r="V637" s="282">
        <f>C637-'часть 1'!L648</f>
        <v>-563717.12000000011</v>
      </c>
      <c r="W637" s="282"/>
      <c r="X637" s="28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296"/>
    </row>
    <row r="638" spans="1:35">
      <c r="A638" s="198">
        <v>77</v>
      </c>
      <c r="B638" s="195" t="s">
        <v>303</v>
      </c>
      <c r="C638" s="196">
        <v>2784233</v>
      </c>
      <c r="D638" s="196"/>
      <c r="E638" s="196"/>
      <c r="F638" s="196"/>
      <c r="G638" s="196"/>
      <c r="H638" s="196"/>
      <c r="I638" s="196"/>
      <c r="J638" s="196"/>
      <c r="K638" s="196">
        <v>0</v>
      </c>
      <c r="L638" s="194">
        <v>0</v>
      </c>
      <c r="M638" s="196">
        <v>0</v>
      </c>
      <c r="N638" s="196">
        <v>1391</v>
      </c>
      <c r="O638" s="196">
        <v>2784233</v>
      </c>
      <c r="P638" s="194">
        <v>0</v>
      </c>
      <c r="Q638" s="196">
        <v>0</v>
      </c>
      <c r="R638" s="197">
        <v>0</v>
      </c>
      <c r="S638" s="196">
        <v>0</v>
      </c>
      <c r="T638" s="197">
        <v>0</v>
      </c>
      <c r="U638" s="288">
        <v>0</v>
      </c>
      <c r="V638" s="282">
        <f>C638-'часть 1'!L649</f>
        <v>1902286</v>
      </c>
      <c r="W638" s="282"/>
      <c r="X638" s="28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296"/>
    </row>
    <row r="639" spans="1:35">
      <c r="A639" s="198">
        <v>78</v>
      </c>
      <c r="B639" s="195" t="s">
        <v>293</v>
      </c>
      <c r="C639" s="196">
        <v>2369961</v>
      </c>
      <c r="D639" s="196"/>
      <c r="E639" s="196"/>
      <c r="F639" s="196"/>
      <c r="G639" s="196"/>
      <c r="H639" s="196"/>
      <c r="I639" s="196"/>
      <c r="J639" s="196"/>
      <c r="K639" s="196">
        <v>2369961</v>
      </c>
      <c r="L639" s="194">
        <v>0</v>
      </c>
      <c r="M639" s="196">
        <v>0</v>
      </c>
      <c r="N639" s="196">
        <v>0</v>
      </c>
      <c r="O639" s="196">
        <v>0</v>
      </c>
      <c r="P639" s="194">
        <v>0</v>
      </c>
      <c r="Q639" s="196">
        <v>0</v>
      </c>
      <c r="R639" s="200">
        <v>0</v>
      </c>
      <c r="S639" s="196">
        <v>0</v>
      </c>
      <c r="T639" s="197">
        <v>0</v>
      </c>
      <c r="U639" s="288">
        <v>0</v>
      </c>
      <c r="V639" s="282">
        <f>C639-'часть 1'!L650</f>
        <v>1852222</v>
      </c>
      <c r="W639" s="282"/>
      <c r="X639" s="28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296"/>
    </row>
    <row r="640" spans="1:35">
      <c r="A640" s="198">
        <v>79</v>
      </c>
      <c r="B640" s="195" t="s">
        <v>463</v>
      </c>
      <c r="C640" s="196">
        <v>672819</v>
      </c>
      <c r="D640" s="196"/>
      <c r="E640" s="196"/>
      <c r="F640" s="196"/>
      <c r="G640" s="196"/>
      <c r="H640" s="196"/>
      <c r="I640" s="196"/>
      <c r="J640" s="196"/>
      <c r="K640" s="196">
        <v>0</v>
      </c>
      <c r="L640" s="194">
        <v>0</v>
      </c>
      <c r="M640" s="196">
        <v>0</v>
      </c>
      <c r="N640" s="196">
        <v>331.4</v>
      </c>
      <c r="O640" s="196">
        <v>672819</v>
      </c>
      <c r="P640" s="194">
        <v>0</v>
      </c>
      <c r="Q640" s="196">
        <v>0</v>
      </c>
      <c r="R640" s="200">
        <v>0</v>
      </c>
      <c r="S640" s="196">
        <v>0</v>
      </c>
      <c r="T640" s="197">
        <v>0</v>
      </c>
      <c r="U640" s="288">
        <v>0</v>
      </c>
      <c r="V640" s="282">
        <f>C640-'часть 1'!L651</f>
        <v>-1056076</v>
      </c>
      <c r="W640" s="282"/>
      <c r="X640" s="28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296"/>
    </row>
    <row r="641" spans="1:35">
      <c r="A641" s="198">
        <v>80</v>
      </c>
      <c r="B641" s="195" t="s">
        <v>340</v>
      </c>
      <c r="C641" s="196">
        <v>1651491</v>
      </c>
      <c r="D641" s="196"/>
      <c r="E641" s="196"/>
      <c r="F641" s="196"/>
      <c r="G641" s="196"/>
      <c r="H641" s="196"/>
      <c r="I641" s="196"/>
      <c r="J641" s="196"/>
      <c r="K641" s="196">
        <v>1651491</v>
      </c>
      <c r="L641" s="194">
        <v>0</v>
      </c>
      <c r="M641" s="196">
        <v>0</v>
      </c>
      <c r="N641" s="196">
        <v>0</v>
      </c>
      <c r="O641" s="196">
        <v>0</v>
      </c>
      <c r="P641" s="194">
        <v>0</v>
      </c>
      <c r="Q641" s="196">
        <v>0</v>
      </c>
      <c r="R641" s="197">
        <v>0</v>
      </c>
      <c r="S641" s="196">
        <v>0</v>
      </c>
      <c r="T641" s="197">
        <v>0</v>
      </c>
      <c r="U641" s="288">
        <v>0</v>
      </c>
      <c r="V641" s="282">
        <f>C641-'часть 1'!L652</f>
        <v>968962</v>
      </c>
      <c r="W641" s="282"/>
      <c r="X641" s="28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296"/>
    </row>
    <row r="642" spans="1:35">
      <c r="A642" s="198">
        <v>81</v>
      </c>
      <c r="B642" s="195" t="s">
        <v>254</v>
      </c>
      <c r="C642" s="196">
        <v>1432926</v>
      </c>
      <c r="D642" s="196"/>
      <c r="E642" s="196"/>
      <c r="F642" s="196"/>
      <c r="G642" s="196"/>
      <c r="H642" s="196"/>
      <c r="I642" s="196"/>
      <c r="J642" s="196"/>
      <c r="K642" s="196">
        <v>0</v>
      </c>
      <c r="L642" s="194">
        <v>0</v>
      </c>
      <c r="M642" s="196">
        <v>0</v>
      </c>
      <c r="N642" s="196">
        <v>710.73</v>
      </c>
      <c r="O642" s="196">
        <v>1432926</v>
      </c>
      <c r="P642" s="194">
        <v>0</v>
      </c>
      <c r="Q642" s="196">
        <v>0</v>
      </c>
      <c r="R642" s="200">
        <v>0</v>
      </c>
      <c r="S642" s="196">
        <v>0</v>
      </c>
      <c r="T642" s="197">
        <v>0</v>
      </c>
      <c r="U642" s="288">
        <v>0</v>
      </c>
      <c r="V642" s="282">
        <f>C642-'часть 1'!L653</f>
        <v>850769</v>
      </c>
      <c r="W642" s="282"/>
      <c r="X642" s="28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296"/>
    </row>
    <row r="643" spans="1:35">
      <c r="A643" s="198">
        <v>82</v>
      </c>
      <c r="B643" s="195" t="s">
        <v>343</v>
      </c>
      <c r="C643" s="196">
        <v>1137886</v>
      </c>
      <c r="D643" s="196"/>
      <c r="E643" s="196"/>
      <c r="F643" s="196"/>
      <c r="G643" s="196"/>
      <c r="H643" s="196"/>
      <c r="I643" s="196"/>
      <c r="J643" s="196"/>
      <c r="K643" s="196">
        <v>0</v>
      </c>
      <c r="L643" s="194">
        <v>0</v>
      </c>
      <c r="M643" s="196">
        <v>0</v>
      </c>
      <c r="N643" s="196">
        <v>0</v>
      </c>
      <c r="O643" s="196">
        <v>0</v>
      </c>
      <c r="P643" s="194">
        <v>0</v>
      </c>
      <c r="Q643" s="196">
        <v>0</v>
      </c>
      <c r="R643" s="199">
        <v>785.5</v>
      </c>
      <c r="S643" s="196">
        <v>1137886</v>
      </c>
      <c r="T643" s="197">
        <v>0</v>
      </c>
      <c r="U643" s="288">
        <v>0</v>
      </c>
      <c r="V643" s="282">
        <f>C643-'часть 1'!L654</f>
        <v>436182</v>
      </c>
      <c r="W643" s="282"/>
      <c r="X643" s="28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296"/>
    </row>
    <row r="644" spans="1:35">
      <c r="A644" s="198">
        <v>83</v>
      </c>
      <c r="B644" s="195" t="s">
        <v>305</v>
      </c>
      <c r="C644" s="196">
        <v>1814838</v>
      </c>
      <c r="D644" s="196"/>
      <c r="E644" s="196"/>
      <c r="F644" s="196"/>
      <c r="G644" s="196"/>
      <c r="H644" s="196"/>
      <c r="I644" s="196"/>
      <c r="J644" s="196"/>
      <c r="K644" s="196">
        <v>0</v>
      </c>
      <c r="L644" s="194">
        <v>0</v>
      </c>
      <c r="M644" s="196">
        <v>0</v>
      </c>
      <c r="N644" s="196">
        <v>917</v>
      </c>
      <c r="O644" s="196">
        <v>1814838</v>
      </c>
      <c r="P644" s="194">
        <v>0</v>
      </c>
      <c r="Q644" s="196">
        <v>0</v>
      </c>
      <c r="R644" s="197">
        <v>0</v>
      </c>
      <c r="S644" s="196">
        <v>0</v>
      </c>
      <c r="T644" s="197">
        <v>0</v>
      </c>
      <c r="U644" s="288">
        <v>0</v>
      </c>
      <c r="V644" s="282">
        <f>C644-'часть 1'!L655</f>
        <v>-154311</v>
      </c>
      <c r="W644" s="282"/>
      <c r="X644" s="28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296"/>
    </row>
    <row r="645" spans="1:35">
      <c r="A645" s="198">
        <v>84</v>
      </c>
      <c r="B645" s="195" t="s">
        <v>345</v>
      </c>
      <c r="C645" s="196">
        <v>1544359.54</v>
      </c>
      <c r="D645" s="196"/>
      <c r="E645" s="196"/>
      <c r="F645" s="196"/>
      <c r="G645" s="196"/>
      <c r="H645" s="196"/>
      <c r="I645" s="196"/>
      <c r="J645" s="196"/>
      <c r="K645" s="196">
        <v>1544359.54</v>
      </c>
      <c r="L645" s="194">
        <v>0</v>
      </c>
      <c r="M645" s="196">
        <v>0</v>
      </c>
      <c r="N645" s="196">
        <v>0</v>
      </c>
      <c r="O645" s="196">
        <v>0</v>
      </c>
      <c r="P645" s="194">
        <v>0</v>
      </c>
      <c r="Q645" s="196">
        <v>0</v>
      </c>
      <c r="R645" s="197">
        <v>0</v>
      </c>
      <c r="S645" s="196">
        <v>0</v>
      </c>
      <c r="T645" s="197">
        <v>0</v>
      </c>
      <c r="U645" s="288">
        <v>0</v>
      </c>
      <c r="V645" s="282">
        <f>C645-'часть 1'!L656</f>
        <v>521271.54000000004</v>
      </c>
      <c r="W645" s="282"/>
      <c r="X645" s="28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297"/>
    </row>
    <row r="646" spans="1:35" ht="30">
      <c r="A646" s="198">
        <v>85</v>
      </c>
      <c r="B646" s="195" t="s">
        <v>454</v>
      </c>
      <c r="C646" s="196">
        <v>1787034</v>
      </c>
      <c r="D646" s="196"/>
      <c r="E646" s="196"/>
      <c r="F646" s="196"/>
      <c r="G646" s="196"/>
      <c r="H646" s="196"/>
      <c r="I646" s="196"/>
      <c r="J646" s="196"/>
      <c r="K646" s="196">
        <v>0</v>
      </c>
      <c r="L646" s="194">
        <v>1</v>
      </c>
      <c r="M646" s="196">
        <v>1787034</v>
      </c>
      <c r="N646" s="196">
        <v>0</v>
      </c>
      <c r="O646" s="196">
        <v>0</v>
      </c>
      <c r="P646" s="194">
        <v>0</v>
      </c>
      <c r="Q646" s="196">
        <v>0</v>
      </c>
      <c r="R646" s="200">
        <v>0</v>
      </c>
      <c r="S646" s="196">
        <v>0</v>
      </c>
      <c r="T646" s="197">
        <v>0</v>
      </c>
      <c r="U646" s="288">
        <v>0</v>
      </c>
      <c r="V646" s="282">
        <f>C646-'часть 1'!L657</f>
        <v>-1547536</v>
      </c>
      <c r="W646" s="282"/>
      <c r="X646" s="28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296"/>
    </row>
    <row r="647" spans="1:35" ht="30">
      <c r="A647" s="198">
        <v>86</v>
      </c>
      <c r="B647" s="195" t="s">
        <v>455</v>
      </c>
      <c r="C647" s="196">
        <v>437998.57</v>
      </c>
      <c r="D647" s="196"/>
      <c r="E647" s="196"/>
      <c r="F647" s="196"/>
      <c r="G647" s="196"/>
      <c r="H647" s="196"/>
      <c r="I647" s="196"/>
      <c r="J647" s="196"/>
      <c r="K647" s="196">
        <v>437998.57</v>
      </c>
      <c r="L647" s="194">
        <v>0</v>
      </c>
      <c r="M647" s="196">
        <v>0</v>
      </c>
      <c r="N647" s="199">
        <v>0</v>
      </c>
      <c r="O647" s="196">
        <v>0</v>
      </c>
      <c r="P647" s="194">
        <v>0</v>
      </c>
      <c r="Q647" s="196">
        <v>0</v>
      </c>
      <c r="R647" s="200">
        <v>0</v>
      </c>
      <c r="S647" s="196">
        <v>0</v>
      </c>
      <c r="T647" s="197">
        <v>0</v>
      </c>
      <c r="U647" s="288">
        <v>0</v>
      </c>
      <c r="V647" s="282">
        <f>C647-'часть 1'!L658</f>
        <v>-689375.76</v>
      </c>
      <c r="W647" s="282"/>
      <c r="X647" s="28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296"/>
    </row>
    <row r="648" spans="1:35" ht="30">
      <c r="A648" s="198">
        <v>87</v>
      </c>
      <c r="B648" s="195" t="s">
        <v>456</v>
      </c>
      <c r="C648" s="196">
        <v>1116228</v>
      </c>
      <c r="D648" s="196"/>
      <c r="E648" s="196"/>
      <c r="F648" s="196"/>
      <c r="G648" s="196"/>
      <c r="H648" s="196"/>
      <c r="I648" s="196"/>
      <c r="J648" s="196"/>
      <c r="K648" s="196">
        <v>0</v>
      </c>
      <c r="L648" s="194">
        <v>0</v>
      </c>
      <c r="M648" s="196">
        <v>0</v>
      </c>
      <c r="N648" s="196">
        <v>734</v>
      </c>
      <c r="O648" s="196">
        <v>1116228</v>
      </c>
      <c r="P648" s="194">
        <v>0</v>
      </c>
      <c r="Q648" s="196">
        <v>0</v>
      </c>
      <c r="R648" s="200">
        <v>0</v>
      </c>
      <c r="S648" s="196">
        <v>0</v>
      </c>
      <c r="T648" s="197">
        <v>0</v>
      </c>
      <c r="U648" s="288">
        <v>0</v>
      </c>
      <c r="V648" s="282">
        <f>C648-'часть 1'!L659</f>
        <v>-45228</v>
      </c>
      <c r="W648" s="282"/>
      <c r="X648" s="28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296"/>
    </row>
    <row r="649" spans="1:35" ht="30">
      <c r="A649" s="198">
        <v>88</v>
      </c>
      <c r="B649" s="195" t="s">
        <v>457</v>
      </c>
      <c r="C649" s="196">
        <v>1313728</v>
      </c>
      <c r="D649" s="196"/>
      <c r="E649" s="196"/>
      <c r="F649" s="196"/>
      <c r="G649" s="196"/>
      <c r="H649" s="196"/>
      <c r="I649" s="196"/>
      <c r="J649" s="196"/>
      <c r="K649" s="196">
        <v>0</v>
      </c>
      <c r="L649" s="194">
        <v>0</v>
      </c>
      <c r="M649" s="196">
        <v>0</v>
      </c>
      <c r="N649" s="199">
        <v>660.7</v>
      </c>
      <c r="O649" s="196">
        <v>1313728</v>
      </c>
      <c r="P649" s="194">
        <v>0</v>
      </c>
      <c r="Q649" s="196">
        <v>0</v>
      </c>
      <c r="R649" s="197">
        <v>0</v>
      </c>
      <c r="S649" s="196">
        <v>0</v>
      </c>
      <c r="T649" s="197">
        <v>0</v>
      </c>
      <c r="U649" s="288">
        <v>0</v>
      </c>
      <c r="V649" s="282">
        <f>C649-'часть 1'!L660</f>
        <v>116477.77000000002</v>
      </c>
      <c r="W649" s="282"/>
      <c r="X649" s="28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296"/>
    </row>
    <row r="650" spans="1:35">
      <c r="A650" s="198">
        <v>89</v>
      </c>
      <c r="B650" s="195" t="s">
        <v>241</v>
      </c>
      <c r="C650" s="196">
        <v>359651</v>
      </c>
      <c r="D650" s="196"/>
      <c r="E650" s="196"/>
      <c r="F650" s="196"/>
      <c r="G650" s="196"/>
      <c r="H650" s="196"/>
      <c r="I650" s="196"/>
      <c r="J650" s="196"/>
      <c r="K650" s="196">
        <v>359651</v>
      </c>
      <c r="L650" s="194">
        <v>0</v>
      </c>
      <c r="M650" s="196">
        <v>0</v>
      </c>
      <c r="N650" s="196">
        <v>0</v>
      </c>
      <c r="O650" s="196">
        <v>0</v>
      </c>
      <c r="P650" s="194">
        <v>0</v>
      </c>
      <c r="Q650" s="196">
        <v>0</v>
      </c>
      <c r="R650" s="197">
        <v>0</v>
      </c>
      <c r="S650" s="196">
        <v>0</v>
      </c>
      <c r="T650" s="197">
        <v>0</v>
      </c>
      <c r="U650" s="288">
        <v>0</v>
      </c>
      <c r="V650" s="282">
        <f>C650-'часть 1'!L661</f>
        <v>-2424582</v>
      </c>
      <c r="W650" s="282"/>
      <c r="X650" s="282"/>
      <c r="Y650" s="12"/>
      <c r="Z650" s="12"/>
      <c r="AA650" s="12"/>
      <c r="AB650" s="12"/>
      <c r="AC650" s="4"/>
      <c r="AD650" s="12"/>
      <c r="AE650" s="12"/>
      <c r="AF650" s="12"/>
      <c r="AG650" s="12"/>
      <c r="AH650" s="12"/>
      <c r="AI650" s="296"/>
    </row>
    <row r="651" spans="1:35">
      <c r="A651" s="198">
        <v>90</v>
      </c>
      <c r="B651" s="195" t="s">
        <v>233</v>
      </c>
      <c r="C651" s="196">
        <v>906779</v>
      </c>
      <c r="D651" s="196"/>
      <c r="E651" s="196"/>
      <c r="F651" s="196"/>
      <c r="G651" s="196"/>
      <c r="H651" s="196"/>
      <c r="I651" s="196"/>
      <c r="J651" s="196"/>
      <c r="K651" s="196">
        <v>906779</v>
      </c>
      <c r="L651" s="194">
        <v>0</v>
      </c>
      <c r="M651" s="196">
        <v>0</v>
      </c>
      <c r="N651" s="196">
        <v>0</v>
      </c>
      <c r="O651" s="196">
        <v>0</v>
      </c>
      <c r="P651" s="194">
        <v>0</v>
      </c>
      <c r="Q651" s="196">
        <v>0</v>
      </c>
      <c r="R651" s="197">
        <v>0</v>
      </c>
      <c r="S651" s="196">
        <v>0</v>
      </c>
      <c r="T651" s="197">
        <v>0</v>
      </c>
      <c r="U651" s="288">
        <v>0</v>
      </c>
      <c r="V651" s="282">
        <f>C651-'часть 1'!L662</f>
        <v>-1463182</v>
      </c>
      <c r="W651" s="282"/>
      <c r="X651" s="28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296"/>
    </row>
    <row r="652" spans="1:35">
      <c r="A652" s="198">
        <v>91</v>
      </c>
      <c r="B652" s="195" t="s">
        <v>278</v>
      </c>
      <c r="C652" s="196">
        <v>886559</v>
      </c>
      <c r="D652" s="196"/>
      <c r="E652" s="196"/>
      <c r="F652" s="196"/>
      <c r="G652" s="196"/>
      <c r="H652" s="196"/>
      <c r="I652" s="196"/>
      <c r="J652" s="196"/>
      <c r="K652" s="196">
        <v>0</v>
      </c>
      <c r="L652" s="194">
        <v>0</v>
      </c>
      <c r="M652" s="196">
        <v>0</v>
      </c>
      <c r="N652" s="196">
        <v>440</v>
      </c>
      <c r="O652" s="199">
        <v>886559</v>
      </c>
      <c r="P652" s="194">
        <v>0</v>
      </c>
      <c r="Q652" s="196">
        <v>0</v>
      </c>
      <c r="R652" s="197">
        <v>0</v>
      </c>
      <c r="S652" s="196">
        <v>0</v>
      </c>
      <c r="T652" s="197">
        <v>0</v>
      </c>
      <c r="U652" s="288">
        <v>0</v>
      </c>
      <c r="V652" s="282">
        <f>C652-'часть 1'!L663</f>
        <v>213740</v>
      </c>
      <c r="W652" s="282"/>
      <c r="X652" s="28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296"/>
    </row>
    <row r="653" spans="1:35">
      <c r="A653" s="198">
        <v>92</v>
      </c>
      <c r="B653" s="195" t="s">
        <v>347</v>
      </c>
      <c r="C653" s="196">
        <v>642210</v>
      </c>
      <c r="D653" s="196"/>
      <c r="E653" s="196"/>
      <c r="F653" s="196"/>
      <c r="G653" s="196"/>
      <c r="H653" s="196"/>
      <c r="I653" s="196"/>
      <c r="J653" s="196"/>
      <c r="K653" s="196">
        <v>0</v>
      </c>
      <c r="L653" s="194">
        <v>0</v>
      </c>
      <c r="M653" s="196">
        <v>0</v>
      </c>
      <c r="N653" s="196">
        <v>0</v>
      </c>
      <c r="O653" s="196">
        <v>0</v>
      </c>
      <c r="P653" s="194">
        <v>0</v>
      </c>
      <c r="Q653" s="196">
        <v>0</v>
      </c>
      <c r="R653" s="196">
        <v>440</v>
      </c>
      <c r="S653" s="196">
        <v>642210</v>
      </c>
      <c r="T653" s="197">
        <v>0</v>
      </c>
      <c r="U653" s="288">
        <v>0</v>
      </c>
      <c r="V653" s="282">
        <f>C653-'часть 1'!L664</f>
        <v>-1009281</v>
      </c>
      <c r="W653" s="282"/>
      <c r="X653" s="28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296"/>
    </row>
    <row r="654" spans="1:35">
      <c r="A654" s="198">
        <v>93</v>
      </c>
      <c r="B654" s="195" t="s">
        <v>266</v>
      </c>
      <c r="C654" s="196">
        <v>1952489</v>
      </c>
      <c r="D654" s="196"/>
      <c r="E654" s="196"/>
      <c r="F654" s="196"/>
      <c r="G654" s="196"/>
      <c r="H654" s="196"/>
      <c r="I654" s="196"/>
      <c r="J654" s="196"/>
      <c r="K654" s="196">
        <v>0</v>
      </c>
      <c r="L654" s="194">
        <v>0</v>
      </c>
      <c r="M654" s="196">
        <v>0</v>
      </c>
      <c r="N654" s="196">
        <v>965</v>
      </c>
      <c r="O654" s="196">
        <v>1952489</v>
      </c>
      <c r="P654" s="194">
        <v>0</v>
      </c>
      <c r="Q654" s="196">
        <v>0</v>
      </c>
      <c r="R654" s="200">
        <v>0</v>
      </c>
      <c r="S654" s="196">
        <v>0</v>
      </c>
      <c r="T654" s="197">
        <v>0</v>
      </c>
      <c r="U654" s="288">
        <v>0</v>
      </c>
      <c r="V654" s="282">
        <f>C654-'часть 1'!L665</f>
        <v>519563</v>
      </c>
      <c r="W654" s="282"/>
      <c r="X654" s="28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296"/>
    </row>
    <row r="655" spans="1:35">
      <c r="A655" s="198">
        <v>94</v>
      </c>
      <c r="B655" s="195" t="s">
        <v>310</v>
      </c>
      <c r="C655" s="196">
        <v>15157748</v>
      </c>
      <c r="D655" s="196"/>
      <c r="E655" s="196"/>
      <c r="F655" s="196"/>
      <c r="G655" s="196"/>
      <c r="H655" s="196"/>
      <c r="I655" s="196"/>
      <c r="J655" s="196"/>
      <c r="K655" s="196">
        <v>0</v>
      </c>
      <c r="L655" s="194">
        <v>8</v>
      </c>
      <c r="M655" s="196">
        <v>15157748</v>
      </c>
      <c r="N655" s="196">
        <v>0</v>
      </c>
      <c r="O655" s="196">
        <v>0</v>
      </c>
      <c r="P655" s="194">
        <v>0</v>
      </c>
      <c r="Q655" s="196">
        <v>0</v>
      </c>
      <c r="R655" s="197">
        <v>0</v>
      </c>
      <c r="S655" s="196">
        <v>0</v>
      </c>
      <c r="T655" s="197">
        <v>0</v>
      </c>
      <c r="U655" s="288">
        <v>0</v>
      </c>
      <c r="V655" s="282">
        <f>C655-'часть 1'!L666</f>
        <v>14019862</v>
      </c>
      <c r="W655" s="282"/>
      <c r="X655" s="28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296"/>
    </row>
    <row r="656" spans="1:35">
      <c r="A656" s="198">
        <v>95</v>
      </c>
      <c r="B656" s="195" t="s">
        <v>281</v>
      </c>
      <c r="C656" s="196">
        <v>2542298.37</v>
      </c>
      <c r="D656" s="196"/>
      <c r="E656" s="196"/>
      <c r="F656" s="196"/>
      <c r="G656" s="196"/>
      <c r="H656" s="196"/>
      <c r="I656" s="196"/>
      <c r="J656" s="196"/>
      <c r="K656" s="196">
        <v>0</v>
      </c>
      <c r="L656" s="194">
        <v>0</v>
      </c>
      <c r="M656" s="196">
        <v>0</v>
      </c>
      <c r="N656" s="196">
        <v>1350</v>
      </c>
      <c r="O656" s="196">
        <v>2542298.37</v>
      </c>
      <c r="P656" s="194">
        <v>0</v>
      </c>
      <c r="Q656" s="196">
        <v>0</v>
      </c>
      <c r="R656" s="197">
        <v>0</v>
      </c>
      <c r="S656" s="196">
        <v>0</v>
      </c>
      <c r="T656" s="197">
        <v>0</v>
      </c>
      <c r="U656" s="288">
        <v>0</v>
      </c>
      <c r="V656" s="282">
        <f>C656-'часть 1'!L667</f>
        <v>727460.37000000011</v>
      </c>
      <c r="W656" s="282"/>
      <c r="X656" s="28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296"/>
    </row>
    <row r="657" spans="1:35">
      <c r="A657" s="198">
        <v>96</v>
      </c>
      <c r="B657" s="195" t="s">
        <v>248</v>
      </c>
      <c r="C657" s="196">
        <v>1114586</v>
      </c>
      <c r="D657" s="196"/>
      <c r="E657" s="196"/>
      <c r="F657" s="196"/>
      <c r="G657" s="196"/>
      <c r="H657" s="196"/>
      <c r="I657" s="196"/>
      <c r="J657" s="196"/>
      <c r="K657" s="196">
        <v>0</v>
      </c>
      <c r="L657" s="194">
        <v>0</v>
      </c>
      <c r="M657" s="196">
        <v>0</v>
      </c>
      <c r="N657" s="196">
        <v>550</v>
      </c>
      <c r="O657" s="196">
        <v>1114586</v>
      </c>
      <c r="P657" s="194">
        <v>0</v>
      </c>
      <c r="Q657" s="196">
        <v>0</v>
      </c>
      <c r="R657" s="200">
        <v>0</v>
      </c>
      <c r="S657" s="196">
        <v>0</v>
      </c>
      <c r="T657" s="197">
        <v>0</v>
      </c>
      <c r="U657" s="288">
        <v>0</v>
      </c>
      <c r="V657" s="282">
        <f>C657-'часть 1'!L668</f>
        <v>-429773.54000000004</v>
      </c>
      <c r="W657" s="282"/>
      <c r="X657" s="28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296"/>
    </row>
    <row r="658" spans="1:35">
      <c r="A658" s="198">
        <v>97</v>
      </c>
      <c r="B658" s="195" t="s">
        <v>301</v>
      </c>
      <c r="C658" s="196">
        <v>5623853</v>
      </c>
      <c r="D658" s="196"/>
      <c r="E658" s="196"/>
      <c r="F658" s="196"/>
      <c r="G658" s="196"/>
      <c r="H658" s="196"/>
      <c r="I658" s="196"/>
      <c r="J658" s="196"/>
      <c r="K658" s="196">
        <v>0</v>
      </c>
      <c r="L658" s="194">
        <v>3</v>
      </c>
      <c r="M658" s="202">
        <v>5623853</v>
      </c>
      <c r="N658" s="196">
        <v>0</v>
      </c>
      <c r="O658" s="196">
        <v>0</v>
      </c>
      <c r="P658" s="194">
        <v>0</v>
      </c>
      <c r="Q658" s="196">
        <v>0</v>
      </c>
      <c r="R658" s="200">
        <v>0</v>
      </c>
      <c r="S658" s="196">
        <v>0</v>
      </c>
      <c r="T658" s="197">
        <v>0</v>
      </c>
      <c r="U658" s="288">
        <v>0</v>
      </c>
      <c r="V658" s="282">
        <f>C658-'часть 1'!L669</f>
        <v>3836819</v>
      </c>
      <c r="W658" s="282"/>
      <c r="X658" s="28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296"/>
    </row>
    <row r="659" spans="1:35">
      <c r="A659" s="198">
        <v>98</v>
      </c>
      <c r="B659" s="195" t="s">
        <v>244</v>
      </c>
      <c r="C659" s="196">
        <v>2721106</v>
      </c>
      <c r="D659" s="196"/>
      <c r="E659" s="196"/>
      <c r="F659" s="196"/>
      <c r="G659" s="196"/>
      <c r="H659" s="196"/>
      <c r="I659" s="196"/>
      <c r="J659" s="196"/>
      <c r="K659" s="196">
        <v>0</v>
      </c>
      <c r="L659" s="194">
        <v>0</v>
      </c>
      <c r="M659" s="196">
        <v>0</v>
      </c>
      <c r="N659" s="196">
        <v>1371</v>
      </c>
      <c r="O659" s="196">
        <v>2721106</v>
      </c>
      <c r="P659" s="194">
        <v>0</v>
      </c>
      <c r="Q659" s="196">
        <v>0</v>
      </c>
      <c r="R659" s="197">
        <v>0</v>
      </c>
      <c r="S659" s="196">
        <v>0</v>
      </c>
      <c r="T659" s="197">
        <v>0</v>
      </c>
      <c r="U659" s="288">
        <v>0</v>
      </c>
      <c r="V659" s="282">
        <f>C659-'часть 1'!L670</f>
        <v>2283107.4300000002</v>
      </c>
      <c r="W659" s="282"/>
      <c r="X659" s="28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296"/>
    </row>
    <row r="660" spans="1:35">
      <c r="A660" s="198">
        <v>99</v>
      </c>
      <c r="B660" s="195" t="s">
        <v>288</v>
      </c>
      <c r="C660" s="196">
        <v>9789326.5500000007</v>
      </c>
      <c r="D660" s="196"/>
      <c r="E660" s="196"/>
      <c r="F660" s="196"/>
      <c r="G660" s="196"/>
      <c r="H660" s="196"/>
      <c r="I660" s="196"/>
      <c r="J660" s="196"/>
      <c r="K660" s="196">
        <v>6592990.5599999996</v>
      </c>
      <c r="L660" s="194">
        <v>0</v>
      </c>
      <c r="M660" s="196">
        <v>0</v>
      </c>
      <c r="N660" s="196">
        <v>2090</v>
      </c>
      <c r="O660" s="196">
        <v>3196335.99</v>
      </c>
      <c r="P660" s="194">
        <v>0</v>
      </c>
      <c r="Q660" s="196">
        <v>0</v>
      </c>
      <c r="R660" s="197">
        <v>0</v>
      </c>
      <c r="S660" s="196">
        <v>0</v>
      </c>
      <c r="T660" s="197">
        <v>0</v>
      </c>
      <c r="U660" s="288">
        <v>0</v>
      </c>
      <c r="V660" s="282">
        <f>C660-'часть 1'!L671</f>
        <v>8673098.5500000007</v>
      </c>
      <c r="W660" s="282"/>
      <c r="X660" s="28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296"/>
    </row>
    <row r="661" spans="1:35">
      <c r="A661" s="198">
        <v>100</v>
      </c>
      <c r="B661" s="195" t="s">
        <v>249</v>
      </c>
      <c r="C661" s="196">
        <v>1615074</v>
      </c>
      <c r="D661" s="196"/>
      <c r="E661" s="196"/>
      <c r="F661" s="196"/>
      <c r="G661" s="196"/>
      <c r="H661" s="196"/>
      <c r="I661" s="196"/>
      <c r="J661" s="196"/>
      <c r="K661" s="196" t="e">
        <f>#REF!</f>
        <v>#REF!</v>
      </c>
      <c r="L661" s="194">
        <v>0</v>
      </c>
      <c r="M661" s="196">
        <v>0</v>
      </c>
      <c r="N661" s="196">
        <v>0</v>
      </c>
      <c r="O661" s="196">
        <v>0</v>
      </c>
      <c r="P661" s="194">
        <v>0</v>
      </c>
      <c r="Q661" s="196">
        <v>0</v>
      </c>
      <c r="R661" s="200">
        <v>0</v>
      </c>
      <c r="S661" s="196">
        <v>0</v>
      </c>
      <c r="T661" s="197">
        <v>0</v>
      </c>
      <c r="U661" s="288">
        <v>0</v>
      </c>
      <c r="V661" s="282">
        <f>C661-'часть 1'!L672</f>
        <v>301346</v>
      </c>
      <c r="W661" s="282"/>
      <c r="X661" s="28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296"/>
    </row>
    <row r="662" spans="1:35">
      <c r="A662" s="198">
        <v>101</v>
      </c>
      <c r="B662" s="195" t="s">
        <v>265</v>
      </c>
      <c r="C662" s="196">
        <v>824390</v>
      </c>
      <c r="D662" s="196"/>
      <c r="E662" s="196"/>
      <c r="F662" s="196"/>
      <c r="G662" s="196"/>
      <c r="H662" s="196"/>
      <c r="I662" s="196"/>
      <c r="J662" s="196"/>
      <c r="K662" s="196">
        <v>824390</v>
      </c>
      <c r="L662" s="194">
        <v>0</v>
      </c>
      <c r="M662" s="196">
        <v>0</v>
      </c>
      <c r="N662" s="196">
        <v>0</v>
      </c>
      <c r="O662" s="196">
        <v>0</v>
      </c>
      <c r="P662" s="194">
        <v>0</v>
      </c>
      <c r="Q662" s="196">
        <v>0</v>
      </c>
      <c r="R662" s="197">
        <v>0</v>
      </c>
      <c r="S662" s="196">
        <v>0</v>
      </c>
      <c r="T662" s="197">
        <v>0</v>
      </c>
      <c r="U662" s="288">
        <v>0</v>
      </c>
      <c r="V662" s="282">
        <f>C662-'часть 1'!L673</f>
        <v>464739</v>
      </c>
      <c r="W662" s="282"/>
      <c r="X662" s="282"/>
      <c r="Y662" s="12"/>
      <c r="Z662" s="12"/>
      <c r="AA662" s="4"/>
      <c r="AB662" s="12"/>
      <c r="AC662" s="12"/>
      <c r="AD662" s="12"/>
      <c r="AE662" s="12"/>
      <c r="AF662" s="12"/>
      <c r="AG662" s="12"/>
      <c r="AH662" s="12"/>
      <c r="AI662" s="296"/>
    </row>
    <row r="663" spans="1:35">
      <c r="A663" s="198">
        <v>102</v>
      </c>
      <c r="B663" s="195" t="s">
        <v>292</v>
      </c>
      <c r="C663" s="196">
        <v>2661189</v>
      </c>
      <c r="D663" s="196"/>
      <c r="E663" s="196"/>
      <c r="F663" s="196"/>
      <c r="G663" s="196"/>
      <c r="H663" s="196"/>
      <c r="I663" s="196"/>
      <c r="J663" s="196"/>
      <c r="K663" s="196">
        <v>0</v>
      </c>
      <c r="L663" s="194">
        <v>0</v>
      </c>
      <c r="M663" s="196">
        <v>0</v>
      </c>
      <c r="N663" s="196">
        <v>1338.7</v>
      </c>
      <c r="O663" s="196">
        <v>2661189</v>
      </c>
      <c r="P663" s="194">
        <v>0</v>
      </c>
      <c r="Q663" s="196">
        <v>0</v>
      </c>
      <c r="R663" s="200">
        <v>0</v>
      </c>
      <c r="S663" s="196">
        <v>0</v>
      </c>
      <c r="T663" s="197">
        <v>0</v>
      </c>
      <c r="U663" s="288">
        <v>0</v>
      </c>
      <c r="V663" s="282">
        <f>C663-'часть 1'!L674</f>
        <v>1754410</v>
      </c>
      <c r="W663" s="282"/>
      <c r="X663" s="28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296"/>
    </row>
    <row r="664" spans="1:35">
      <c r="A664" s="198">
        <v>103</v>
      </c>
      <c r="B664" s="195" t="s">
        <v>276</v>
      </c>
      <c r="C664" s="196">
        <v>278220</v>
      </c>
      <c r="D664" s="196"/>
      <c r="E664" s="196"/>
      <c r="F664" s="196"/>
      <c r="G664" s="196"/>
      <c r="H664" s="196"/>
      <c r="I664" s="196"/>
      <c r="J664" s="196"/>
      <c r="K664" s="196">
        <v>278220</v>
      </c>
      <c r="L664" s="194">
        <v>0</v>
      </c>
      <c r="M664" s="196">
        <v>0</v>
      </c>
      <c r="N664" s="196">
        <v>0</v>
      </c>
      <c r="O664" s="196">
        <v>0</v>
      </c>
      <c r="P664" s="194">
        <v>0</v>
      </c>
      <c r="Q664" s="196">
        <v>0</v>
      </c>
      <c r="R664" s="197">
        <v>0</v>
      </c>
      <c r="S664" s="196">
        <v>0</v>
      </c>
      <c r="T664" s="197">
        <v>0</v>
      </c>
      <c r="U664" s="288">
        <v>0</v>
      </c>
      <c r="V664" s="282">
        <f>C664-'часть 1'!L675</f>
        <v>-608339</v>
      </c>
      <c r="W664" s="282"/>
      <c r="X664" s="28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296"/>
    </row>
    <row r="665" spans="1:35">
      <c r="A665" s="198">
        <v>104</v>
      </c>
      <c r="B665" s="195" t="s">
        <v>229</v>
      </c>
      <c r="C665" s="196">
        <v>2511472</v>
      </c>
      <c r="D665" s="196"/>
      <c r="E665" s="196"/>
      <c r="F665" s="196"/>
      <c r="G665" s="196"/>
      <c r="H665" s="196"/>
      <c r="I665" s="196"/>
      <c r="J665" s="196"/>
      <c r="K665" s="196">
        <v>2511472</v>
      </c>
      <c r="L665" s="194">
        <v>0</v>
      </c>
      <c r="M665" s="196">
        <v>0</v>
      </c>
      <c r="N665" s="196">
        <v>0</v>
      </c>
      <c r="O665" s="196">
        <v>0</v>
      </c>
      <c r="P665" s="194">
        <v>0</v>
      </c>
      <c r="Q665" s="196">
        <v>0</v>
      </c>
      <c r="R665" s="197">
        <v>0</v>
      </c>
      <c r="S665" s="196">
        <v>0</v>
      </c>
      <c r="T665" s="197">
        <v>0</v>
      </c>
      <c r="U665" s="288">
        <v>0</v>
      </c>
      <c r="V665" s="282">
        <f>C665-'часть 1'!L676</f>
        <v>1869262</v>
      </c>
      <c r="W665" s="282"/>
      <c r="X665" s="28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296"/>
    </row>
    <row r="666" spans="1:35" ht="30">
      <c r="A666" s="198">
        <v>105</v>
      </c>
      <c r="B666" s="195" t="s">
        <v>309</v>
      </c>
      <c r="C666" s="196">
        <v>871988</v>
      </c>
      <c r="D666" s="196"/>
      <c r="E666" s="196"/>
      <c r="F666" s="196"/>
      <c r="G666" s="196"/>
      <c r="H666" s="196"/>
      <c r="I666" s="196"/>
      <c r="J666" s="196"/>
      <c r="K666" s="196">
        <v>0</v>
      </c>
      <c r="L666" s="194">
        <v>0</v>
      </c>
      <c r="M666" s="196">
        <v>0</v>
      </c>
      <c r="N666" s="196">
        <v>438.23</v>
      </c>
      <c r="O666" s="196">
        <v>871988</v>
      </c>
      <c r="P666" s="194">
        <v>0</v>
      </c>
      <c r="Q666" s="196">
        <v>0</v>
      </c>
      <c r="R666" s="197">
        <v>0</v>
      </c>
      <c r="S666" s="196">
        <v>0</v>
      </c>
      <c r="T666" s="197">
        <v>0</v>
      </c>
      <c r="U666" s="288">
        <v>0</v>
      </c>
      <c r="V666" s="282">
        <f>C666-'часть 1'!L677</f>
        <v>-1080501</v>
      </c>
      <c r="W666" s="282"/>
      <c r="X666" s="28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296"/>
    </row>
    <row r="667" spans="1:35" ht="30">
      <c r="A667" s="198">
        <v>106</v>
      </c>
      <c r="B667" s="195" t="s">
        <v>308</v>
      </c>
      <c r="C667" s="196">
        <v>2113335</v>
      </c>
      <c r="D667" s="196"/>
      <c r="E667" s="196"/>
      <c r="F667" s="196"/>
      <c r="G667" s="196"/>
      <c r="H667" s="196"/>
      <c r="I667" s="196"/>
      <c r="J667" s="196"/>
      <c r="K667" s="196" t="e">
        <f>#REF!</f>
        <v>#REF!</v>
      </c>
      <c r="L667" s="194">
        <v>0</v>
      </c>
      <c r="M667" s="196">
        <v>0</v>
      </c>
      <c r="N667" s="196">
        <v>0</v>
      </c>
      <c r="O667" s="196">
        <v>0</v>
      </c>
      <c r="P667" s="194">
        <v>0</v>
      </c>
      <c r="Q667" s="196">
        <v>0</v>
      </c>
      <c r="R667" s="197">
        <v>0</v>
      </c>
      <c r="S667" s="196">
        <v>0</v>
      </c>
      <c r="T667" s="197">
        <v>0</v>
      </c>
      <c r="U667" s="288">
        <v>0</v>
      </c>
      <c r="V667" s="282">
        <f>C667-'часть 1'!L678</f>
        <v>-13044413</v>
      </c>
      <c r="W667" s="282"/>
      <c r="X667" s="28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296"/>
    </row>
    <row r="668" spans="1:35">
      <c r="A668" s="198">
        <v>107</v>
      </c>
      <c r="B668" s="195" t="s">
        <v>296</v>
      </c>
      <c r="C668" s="196">
        <v>996585</v>
      </c>
      <c r="D668" s="196"/>
      <c r="E668" s="196"/>
      <c r="F668" s="196"/>
      <c r="G668" s="196"/>
      <c r="H668" s="196"/>
      <c r="I668" s="196"/>
      <c r="J668" s="196"/>
      <c r="K668" s="196">
        <v>0</v>
      </c>
      <c r="L668" s="194">
        <v>0</v>
      </c>
      <c r="M668" s="196">
        <v>0</v>
      </c>
      <c r="N668" s="196">
        <v>496.2</v>
      </c>
      <c r="O668" s="196">
        <v>996585</v>
      </c>
      <c r="P668" s="194">
        <v>0</v>
      </c>
      <c r="Q668" s="196">
        <v>0</v>
      </c>
      <c r="R668" s="197">
        <v>0</v>
      </c>
      <c r="S668" s="196">
        <v>0</v>
      </c>
      <c r="T668" s="197">
        <v>0</v>
      </c>
      <c r="U668" s="288">
        <v>0</v>
      </c>
      <c r="V668" s="282">
        <f>C668-'часть 1'!L679</f>
        <v>-1545713.37</v>
      </c>
      <c r="W668" s="282"/>
      <c r="X668" s="28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296"/>
    </row>
    <row r="669" spans="1:35">
      <c r="A669" s="198">
        <v>108</v>
      </c>
      <c r="B669" s="195" t="s">
        <v>240</v>
      </c>
      <c r="C669" s="196">
        <v>637739</v>
      </c>
      <c r="D669" s="196"/>
      <c r="E669" s="196"/>
      <c r="F669" s="196"/>
      <c r="G669" s="196"/>
      <c r="H669" s="196"/>
      <c r="I669" s="196"/>
      <c r="J669" s="196"/>
      <c r="K669" s="196">
        <v>637739</v>
      </c>
      <c r="L669" s="194">
        <v>0</v>
      </c>
      <c r="M669" s="196">
        <v>0</v>
      </c>
      <c r="N669" s="196">
        <v>0</v>
      </c>
      <c r="O669" s="196">
        <v>0</v>
      </c>
      <c r="P669" s="194">
        <v>0</v>
      </c>
      <c r="Q669" s="196">
        <v>0</v>
      </c>
      <c r="R669" s="197">
        <v>0</v>
      </c>
      <c r="S669" s="196">
        <v>0</v>
      </c>
      <c r="T669" s="197">
        <v>0</v>
      </c>
      <c r="U669" s="288">
        <v>0</v>
      </c>
      <c r="V669" s="282">
        <f>C669-'часть 1'!L680</f>
        <v>-476847</v>
      </c>
      <c r="W669" s="282"/>
      <c r="X669" s="28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296"/>
    </row>
    <row r="670" spans="1:35">
      <c r="A670" s="198">
        <v>109</v>
      </c>
      <c r="B670" s="195" t="s">
        <v>243</v>
      </c>
      <c r="C670" s="196">
        <v>1357217</v>
      </c>
      <c r="D670" s="196"/>
      <c r="E670" s="196"/>
      <c r="F670" s="196"/>
      <c r="G670" s="196"/>
      <c r="H670" s="196"/>
      <c r="I670" s="196"/>
      <c r="J670" s="196"/>
      <c r="K670" s="196">
        <v>0</v>
      </c>
      <c r="L670" s="194">
        <v>0</v>
      </c>
      <c r="M670" s="196">
        <v>0</v>
      </c>
      <c r="N670" s="196">
        <v>675</v>
      </c>
      <c r="O670" s="196">
        <v>1357217</v>
      </c>
      <c r="P670" s="194">
        <v>0</v>
      </c>
      <c r="Q670" s="196">
        <v>0</v>
      </c>
      <c r="R670" s="197">
        <v>0</v>
      </c>
      <c r="S670" s="196">
        <v>0</v>
      </c>
      <c r="T670" s="197">
        <v>0</v>
      </c>
      <c r="U670" s="288">
        <v>0</v>
      </c>
      <c r="V670" s="282">
        <f>C670-'часть 1'!L681</f>
        <v>-4266636</v>
      </c>
      <c r="W670" s="282"/>
      <c r="X670" s="28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296"/>
    </row>
    <row r="671" spans="1:35">
      <c r="A671" s="198">
        <v>110</v>
      </c>
      <c r="B671" s="195" t="s">
        <v>269</v>
      </c>
      <c r="C671" s="196">
        <v>836226</v>
      </c>
      <c r="D671" s="196"/>
      <c r="E671" s="196"/>
      <c r="F671" s="196"/>
      <c r="G671" s="196"/>
      <c r="H671" s="196"/>
      <c r="I671" s="196"/>
      <c r="J671" s="196"/>
      <c r="K671" s="196">
        <v>0</v>
      </c>
      <c r="L671" s="194">
        <v>0</v>
      </c>
      <c r="M671" s="196">
        <v>0</v>
      </c>
      <c r="N671" s="196">
        <v>414.1</v>
      </c>
      <c r="O671" s="199">
        <v>836226</v>
      </c>
      <c r="P671" s="194">
        <v>0</v>
      </c>
      <c r="Q671" s="196">
        <v>0</v>
      </c>
      <c r="R671" s="197">
        <v>0</v>
      </c>
      <c r="S671" s="196">
        <v>0</v>
      </c>
      <c r="T671" s="197">
        <v>0</v>
      </c>
      <c r="U671" s="288">
        <v>0</v>
      </c>
      <c r="V671" s="282">
        <f>C671-'часть 1'!L682</f>
        <v>-1884880</v>
      </c>
      <c r="W671" s="282"/>
      <c r="X671" s="28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296"/>
    </row>
    <row r="672" spans="1:35">
      <c r="A672" s="198">
        <v>111</v>
      </c>
      <c r="B672" s="195" t="s">
        <v>299</v>
      </c>
      <c r="C672" s="196">
        <v>640078</v>
      </c>
      <c r="D672" s="196"/>
      <c r="E672" s="196"/>
      <c r="F672" s="196"/>
      <c r="G672" s="196"/>
      <c r="H672" s="196"/>
      <c r="I672" s="196"/>
      <c r="J672" s="196"/>
      <c r="K672" s="196">
        <v>640078</v>
      </c>
      <c r="L672" s="194">
        <v>0</v>
      </c>
      <c r="M672" s="196">
        <v>0</v>
      </c>
      <c r="N672" s="196">
        <v>0</v>
      </c>
      <c r="O672" s="196">
        <v>0</v>
      </c>
      <c r="P672" s="194">
        <v>0</v>
      </c>
      <c r="Q672" s="196">
        <v>0</v>
      </c>
      <c r="R672" s="197">
        <v>0</v>
      </c>
      <c r="S672" s="196">
        <v>0</v>
      </c>
      <c r="T672" s="197">
        <v>0</v>
      </c>
      <c r="U672" s="288">
        <v>0</v>
      </c>
      <c r="V672" s="282">
        <f>C672-'часть 1'!L683</f>
        <v>-9149248.5500000007</v>
      </c>
      <c r="W672" s="282"/>
      <c r="X672" s="28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296"/>
    </row>
    <row r="673" spans="1:35">
      <c r="A673" s="198">
        <v>112</v>
      </c>
      <c r="B673" s="195" t="s">
        <v>236</v>
      </c>
      <c r="C673" s="196">
        <v>202649</v>
      </c>
      <c r="D673" s="196"/>
      <c r="E673" s="196"/>
      <c r="F673" s="196"/>
      <c r="G673" s="196"/>
      <c r="H673" s="196"/>
      <c r="I673" s="196"/>
      <c r="J673" s="196"/>
      <c r="K673" s="196" t="e">
        <f>#REF!</f>
        <v>#REF!</v>
      </c>
      <c r="L673" s="194">
        <v>0</v>
      </c>
      <c r="M673" s="196">
        <v>0</v>
      </c>
      <c r="N673" s="196">
        <v>0</v>
      </c>
      <c r="O673" s="196">
        <v>0</v>
      </c>
      <c r="P673" s="194">
        <v>0</v>
      </c>
      <c r="Q673" s="196">
        <v>0</v>
      </c>
      <c r="R673" s="200">
        <v>0</v>
      </c>
      <c r="S673" s="196">
        <v>0</v>
      </c>
      <c r="T673" s="197">
        <v>0</v>
      </c>
      <c r="U673" s="288">
        <v>0</v>
      </c>
      <c r="V673" s="282">
        <f>C673-'часть 1'!L684</f>
        <v>-1412425</v>
      </c>
      <c r="W673" s="282"/>
      <c r="X673" s="28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296"/>
    </row>
    <row r="674" spans="1:35">
      <c r="A674" s="198">
        <v>113</v>
      </c>
      <c r="B674" s="195" t="s">
        <v>285</v>
      </c>
      <c r="C674" s="196">
        <v>7892437</v>
      </c>
      <c r="D674" s="196"/>
      <c r="E674" s="196"/>
      <c r="F674" s="196"/>
      <c r="G674" s="196"/>
      <c r="H674" s="196"/>
      <c r="I674" s="196"/>
      <c r="J674" s="196"/>
      <c r="K674" s="196">
        <v>7892437</v>
      </c>
      <c r="L674" s="194">
        <v>0</v>
      </c>
      <c r="M674" s="196">
        <v>0</v>
      </c>
      <c r="N674" s="196">
        <v>0</v>
      </c>
      <c r="O674" s="196">
        <v>0</v>
      </c>
      <c r="P674" s="194">
        <v>0</v>
      </c>
      <c r="Q674" s="196">
        <v>0</v>
      </c>
      <c r="R674" s="197">
        <v>0</v>
      </c>
      <c r="S674" s="196">
        <v>0</v>
      </c>
      <c r="T674" s="197">
        <v>0</v>
      </c>
      <c r="U674" s="288">
        <v>0</v>
      </c>
      <c r="V674" s="282">
        <f>C674-'часть 1'!L685</f>
        <v>7068047</v>
      </c>
      <c r="W674" s="282"/>
      <c r="X674" s="28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296"/>
    </row>
    <row r="675" spans="1:35">
      <c r="A675" s="198">
        <v>114</v>
      </c>
      <c r="B675" s="195" t="s">
        <v>237</v>
      </c>
      <c r="C675" s="196">
        <v>523389</v>
      </c>
      <c r="D675" s="196"/>
      <c r="E675" s="196"/>
      <c r="F675" s="196"/>
      <c r="G675" s="196"/>
      <c r="H675" s="196"/>
      <c r="I675" s="196"/>
      <c r="J675" s="196"/>
      <c r="K675" s="196">
        <v>0</v>
      </c>
      <c r="L675" s="194">
        <v>0</v>
      </c>
      <c r="M675" s="196">
        <v>0</v>
      </c>
      <c r="N675" s="196">
        <v>255</v>
      </c>
      <c r="O675" s="196">
        <v>523389</v>
      </c>
      <c r="P675" s="194">
        <v>0</v>
      </c>
      <c r="Q675" s="196">
        <v>0</v>
      </c>
      <c r="R675" s="200">
        <v>0</v>
      </c>
      <c r="S675" s="196">
        <v>0</v>
      </c>
      <c r="T675" s="197">
        <v>0</v>
      </c>
      <c r="U675" s="288">
        <v>0</v>
      </c>
      <c r="V675" s="282">
        <f>C675-'часть 1'!L686</f>
        <v>-2137800</v>
      </c>
      <c r="W675" s="282"/>
      <c r="X675" s="28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296"/>
    </row>
    <row r="676" spans="1:35">
      <c r="A676" s="198">
        <v>115</v>
      </c>
      <c r="B676" s="195" t="s">
        <v>264</v>
      </c>
      <c r="C676" s="196">
        <v>1038920</v>
      </c>
      <c r="D676" s="196"/>
      <c r="E676" s="196"/>
      <c r="F676" s="196"/>
      <c r="G676" s="196"/>
      <c r="H676" s="196"/>
      <c r="I676" s="196"/>
      <c r="J676" s="196"/>
      <c r="K676" s="196">
        <v>1038920</v>
      </c>
      <c r="L676" s="194">
        <v>0</v>
      </c>
      <c r="M676" s="196">
        <v>0</v>
      </c>
      <c r="N676" s="196">
        <v>0</v>
      </c>
      <c r="O676" s="196">
        <v>0</v>
      </c>
      <c r="P676" s="194">
        <v>0</v>
      </c>
      <c r="Q676" s="196">
        <v>0</v>
      </c>
      <c r="R676" s="197">
        <v>0</v>
      </c>
      <c r="S676" s="196">
        <v>0</v>
      </c>
      <c r="T676" s="197">
        <v>0</v>
      </c>
      <c r="U676" s="288">
        <v>0</v>
      </c>
      <c r="V676" s="282">
        <f>C676-'часть 1'!L687</f>
        <v>760700</v>
      </c>
      <c r="W676" s="282"/>
      <c r="X676" s="282"/>
      <c r="Y676" s="12"/>
      <c r="Z676" s="12"/>
      <c r="AA676" s="12"/>
      <c r="AB676" s="12"/>
      <c r="AC676" s="4"/>
      <c r="AD676" s="12"/>
      <c r="AE676" s="12"/>
      <c r="AF676" s="12"/>
      <c r="AG676" s="12"/>
      <c r="AH676" s="12"/>
      <c r="AI676" s="296"/>
    </row>
    <row r="677" spans="1:35">
      <c r="A677" s="194">
        <v>116</v>
      </c>
      <c r="B677" s="195" t="s">
        <v>258</v>
      </c>
      <c r="C677" s="196">
        <v>1742553</v>
      </c>
      <c r="D677" s="196"/>
      <c r="E677" s="196"/>
      <c r="F677" s="196"/>
      <c r="G677" s="196"/>
      <c r="H677" s="196"/>
      <c r="I677" s="196"/>
      <c r="J677" s="196"/>
      <c r="K677" s="196">
        <v>0</v>
      </c>
      <c r="L677" s="194">
        <v>0</v>
      </c>
      <c r="M677" s="196">
        <v>0</v>
      </c>
      <c r="N677" s="196">
        <v>874.22</v>
      </c>
      <c r="O677" s="199">
        <v>1742553</v>
      </c>
      <c r="P677" s="194">
        <v>0</v>
      </c>
      <c r="Q677" s="196">
        <v>0</v>
      </c>
      <c r="R677" s="197">
        <v>0</v>
      </c>
      <c r="S677" s="196">
        <v>0</v>
      </c>
      <c r="T677" s="197">
        <v>0</v>
      </c>
      <c r="U677" s="288">
        <v>0</v>
      </c>
      <c r="V677" s="282">
        <f>C677-'часть 1'!L688</f>
        <v>-768919</v>
      </c>
      <c r="W677" s="282"/>
      <c r="X677" s="28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296"/>
    </row>
    <row r="678" spans="1:35">
      <c r="A678" s="194">
        <v>117</v>
      </c>
      <c r="B678" s="195" t="s">
        <v>250</v>
      </c>
      <c r="C678" s="196">
        <v>2124581</v>
      </c>
      <c r="D678" s="196"/>
      <c r="E678" s="196"/>
      <c r="F678" s="196"/>
      <c r="G678" s="196"/>
      <c r="H678" s="196"/>
      <c r="I678" s="196"/>
      <c r="J678" s="196"/>
      <c r="K678" s="196">
        <v>0</v>
      </c>
      <c r="L678" s="194">
        <v>0</v>
      </c>
      <c r="M678" s="196">
        <v>0</v>
      </c>
      <c r="N678" s="196">
        <v>1070</v>
      </c>
      <c r="O678" s="199">
        <v>2124581</v>
      </c>
      <c r="P678" s="194">
        <v>0</v>
      </c>
      <c r="Q678" s="196">
        <v>0</v>
      </c>
      <c r="R678" s="200">
        <v>0</v>
      </c>
      <c r="S678" s="196">
        <v>0</v>
      </c>
      <c r="T678" s="197">
        <v>0</v>
      </c>
      <c r="U678" s="288">
        <v>0</v>
      </c>
      <c r="V678" s="282">
        <f>C678-'часть 1'!L689</f>
        <v>1252593</v>
      </c>
      <c r="W678" s="282"/>
      <c r="X678" s="28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296"/>
    </row>
    <row r="679" spans="1:35">
      <c r="A679" s="194">
        <v>118</v>
      </c>
      <c r="B679" s="195" t="s">
        <v>282</v>
      </c>
      <c r="C679" s="196">
        <v>2347478</v>
      </c>
      <c r="D679" s="196"/>
      <c r="E679" s="196"/>
      <c r="F679" s="196"/>
      <c r="G679" s="196"/>
      <c r="H679" s="196"/>
      <c r="I679" s="196"/>
      <c r="J679" s="196"/>
      <c r="K679" s="196">
        <v>0</v>
      </c>
      <c r="L679" s="194">
        <v>0</v>
      </c>
      <c r="M679" s="196">
        <v>0</v>
      </c>
      <c r="N679" s="196">
        <v>1185.07</v>
      </c>
      <c r="O679" s="196">
        <v>2347478</v>
      </c>
      <c r="P679" s="194">
        <v>0</v>
      </c>
      <c r="Q679" s="196">
        <v>0</v>
      </c>
      <c r="R679" s="197">
        <v>0</v>
      </c>
      <c r="S679" s="196">
        <v>0</v>
      </c>
      <c r="T679" s="197">
        <v>0</v>
      </c>
      <c r="U679" s="288">
        <v>0</v>
      </c>
      <c r="V679" s="282">
        <f>C679-'часть 1'!L690</f>
        <v>234143</v>
      </c>
      <c r="W679" s="282"/>
      <c r="X679" s="28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296"/>
    </row>
    <row r="680" spans="1:35">
      <c r="A680" s="194">
        <v>119</v>
      </c>
      <c r="B680" s="195" t="s">
        <v>267</v>
      </c>
      <c r="C680" s="196">
        <v>2468472</v>
      </c>
      <c r="D680" s="196"/>
      <c r="E680" s="196"/>
      <c r="F680" s="196"/>
      <c r="G680" s="196"/>
      <c r="H680" s="196"/>
      <c r="I680" s="196"/>
      <c r="J680" s="196"/>
      <c r="K680" s="196">
        <v>0</v>
      </c>
      <c r="L680" s="194">
        <v>0</v>
      </c>
      <c r="M680" s="196">
        <v>0</v>
      </c>
      <c r="N680" s="199">
        <v>1246.5</v>
      </c>
      <c r="O680" s="196">
        <v>2468472</v>
      </c>
      <c r="P680" s="194">
        <v>0</v>
      </c>
      <c r="Q680" s="196">
        <v>0</v>
      </c>
      <c r="R680" s="197">
        <v>0</v>
      </c>
      <c r="S680" s="196">
        <v>0</v>
      </c>
      <c r="T680" s="197">
        <v>0</v>
      </c>
      <c r="U680" s="288">
        <v>0</v>
      </c>
      <c r="V680" s="282">
        <f>C680-'часть 1'!L691</f>
        <v>1471887</v>
      </c>
      <c r="W680" s="282"/>
      <c r="X680" s="28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296"/>
    </row>
    <row r="681" spans="1:35">
      <c r="A681" s="194">
        <v>120</v>
      </c>
      <c r="B681" s="195" t="s">
        <v>284</v>
      </c>
      <c r="C681" s="196">
        <v>1612780</v>
      </c>
      <c r="D681" s="196"/>
      <c r="E681" s="196"/>
      <c r="F681" s="196"/>
      <c r="G681" s="196"/>
      <c r="H681" s="196"/>
      <c r="I681" s="196"/>
      <c r="J681" s="196"/>
      <c r="K681" s="196">
        <v>0</v>
      </c>
      <c r="L681" s="194">
        <v>0</v>
      </c>
      <c r="M681" s="196">
        <v>0</v>
      </c>
      <c r="N681" s="196">
        <v>810.5</v>
      </c>
      <c r="O681" s="196">
        <v>1612780</v>
      </c>
      <c r="P681" s="194">
        <v>0</v>
      </c>
      <c r="Q681" s="196">
        <v>0</v>
      </c>
      <c r="R681" s="197">
        <v>0</v>
      </c>
      <c r="S681" s="196">
        <v>0</v>
      </c>
      <c r="T681" s="197">
        <v>0</v>
      </c>
      <c r="U681" s="288">
        <v>0</v>
      </c>
      <c r="V681" s="282">
        <f>C681-'часть 1'!L692</f>
        <v>975041</v>
      </c>
      <c r="W681" s="282"/>
      <c r="X681" s="28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296"/>
    </row>
    <row r="682" spans="1:35">
      <c r="A682" s="194">
        <v>121</v>
      </c>
      <c r="B682" s="195" t="s">
        <v>256</v>
      </c>
      <c r="C682" s="196">
        <v>2580419</v>
      </c>
      <c r="D682" s="196"/>
      <c r="E682" s="196"/>
      <c r="F682" s="196"/>
      <c r="G682" s="196"/>
      <c r="H682" s="196"/>
      <c r="I682" s="196"/>
      <c r="J682" s="196"/>
      <c r="K682" s="196">
        <v>0</v>
      </c>
      <c r="L682" s="194">
        <v>0</v>
      </c>
      <c r="M682" s="196">
        <v>0</v>
      </c>
      <c r="N682" s="196">
        <v>786.3</v>
      </c>
      <c r="O682" s="196">
        <v>1565675</v>
      </c>
      <c r="P682" s="194">
        <v>0</v>
      </c>
      <c r="Q682" s="196">
        <v>0</v>
      </c>
      <c r="R682" s="196">
        <v>700</v>
      </c>
      <c r="S682" s="196">
        <v>1014744</v>
      </c>
      <c r="T682" s="197">
        <v>0</v>
      </c>
      <c r="U682" s="288">
        <v>0</v>
      </c>
      <c r="V682" s="282">
        <f>C682-'часть 1'!L693</f>
        <v>1223202</v>
      </c>
      <c r="W682" s="282"/>
      <c r="X682" s="28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296"/>
    </row>
    <row r="683" spans="1:35">
      <c r="A683" s="194">
        <v>122</v>
      </c>
      <c r="B683" s="195" t="s">
        <v>335</v>
      </c>
      <c r="C683" s="196">
        <v>1681645</v>
      </c>
      <c r="D683" s="196"/>
      <c r="E683" s="196"/>
      <c r="F683" s="196"/>
      <c r="G683" s="196"/>
      <c r="H683" s="196"/>
      <c r="I683" s="196"/>
      <c r="J683" s="196"/>
      <c r="K683" s="196">
        <v>0</v>
      </c>
      <c r="L683" s="194">
        <v>0</v>
      </c>
      <c r="M683" s="196">
        <v>0</v>
      </c>
      <c r="N683" s="196">
        <v>848.59</v>
      </c>
      <c r="O683" s="196">
        <v>1681645</v>
      </c>
      <c r="P683" s="194">
        <v>0</v>
      </c>
      <c r="Q683" s="196">
        <v>0</v>
      </c>
      <c r="R683" s="200">
        <v>0</v>
      </c>
      <c r="S683" s="196">
        <v>0</v>
      </c>
      <c r="T683" s="197">
        <v>0</v>
      </c>
      <c r="U683" s="288">
        <v>0</v>
      </c>
      <c r="V683" s="282">
        <f>C683-'часть 1'!L694</f>
        <v>845419</v>
      </c>
      <c r="W683" s="282"/>
      <c r="X683" s="28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296"/>
    </row>
    <row r="684" spans="1:35">
      <c r="A684" s="194">
        <v>123</v>
      </c>
      <c r="B684" s="195" t="s">
        <v>255</v>
      </c>
      <c r="C684" s="196">
        <v>1318880</v>
      </c>
      <c r="D684" s="196"/>
      <c r="E684" s="196"/>
      <c r="F684" s="196"/>
      <c r="G684" s="196"/>
      <c r="H684" s="196"/>
      <c r="I684" s="196"/>
      <c r="J684" s="196"/>
      <c r="K684" s="196">
        <v>0</v>
      </c>
      <c r="L684" s="194">
        <v>0</v>
      </c>
      <c r="M684" s="196">
        <v>0</v>
      </c>
      <c r="N684" s="196">
        <v>660</v>
      </c>
      <c r="O684" s="196">
        <v>1318880</v>
      </c>
      <c r="P684" s="194">
        <v>0</v>
      </c>
      <c r="Q684" s="196">
        <v>0</v>
      </c>
      <c r="R684" s="200">
        <v>0</v>
      </c>
      <c r="S684" s="196">
        <v>0</v>
      </c>
      <c r="T684" s="197">
        <v>0</v>
      </c>
      <c r="U684" s="288">
        <v>0</v>
      </c>
      <c r="V684" s="282">
        <f>C684-'часть 1'!L695</f>
        <v>678802</v>
      </c>
      <c r="W684" s="282"/>
      <c r="X684" s="28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296"/>
    </row>
    <row r="685" spans="1:35">
      <c r="A685" s="194">
        <v>124</v>
      </c>
      <c r="B685" s="195" t="s">
        <v>245</v>
      </c>
      <c r="C685" s="196">
        <v>1566345</v>
      </c>
      <c r="D685" s="196"/>
      <c r="E685" s="196"/>
      <c r="F685" s="196"/>
      <c r="G685" s="196"/>
      <c r="H685" s="196"/>
      <c r="I685" s="196"/>
      <c r="J685" s="196"/>
      <c r="K685" s="196">
        <v>0</v>
      </c>
      <c r="L685" s="194">
        <v>0</v>
      </c>
      <c r="M685" s="196">
        <v>0</v>
      </c>
      <c r="N685" s="196">
        <v>422</v>
      </c>
      <c r="O685" s="196">
        <v>850468</v>
      </c>
      <c r="P685" s="194">
        <v>0</v>
      </c>
      <c r="Q685" s="196">
        <v>0</v>
      </c>
      <c r="R685" s="196">
        <v>492</v>
      </c>
      <c r="S685" s="196">
        <v>715877</v>
      </c>
      <c r="T685" s="197">
        <v>0</v>
      </c>
      <c r="U685" s="288">
        <v>0</v>
      </c>
      <c r="V685" s="282">
        <f>C685-'часть 1'!L696</f>
        <v>1363696</v>
      </c>
      <c r="W685" s="282"/>
      <c r="X685" s="28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296"/>
    </row>
    <row r="686" spans="1:35" ht="30">
      <c r="A686" s="194">
        <v>125</v>
      </c>
      <c r="B686" s="195" t="s">
        <v>451</v>
      </c>
      <c r="C686" s="196">
        <v>1910088</v>
      </c>
      <c r="D686" s="196"/>
      <c r="E686" s="196"/>
      <c r="F686" s="196"/>
      <c r="G686" s="196"/>
      <c r="H686" s="196"/>
      <c r="I686" s="196"/>
      <c r="J686" s="196"/>
      <c r="K686" s="196">
        <v>1910088</v>
      </c>
      <c r="L686" s="194">
        <v>0</v>
      </c>
      <c r="M686" s="196">
        <v>0</v>
      </c>
      <c r="N686" s="196">
        <v>0</v>
      </c>
      <c r="O686" s="196">
        <v>0</v>
      </c>
      <c r="P686" s="194">
        <v>0</v>
      </c>
      <c r="Q686" s="196">
        <v>0</v>
      </c>
      <c r="R686" s="200">
        <v>0</v>
      </c>
      <c r="S686" s="196">
        <v>0</v>
      </c>
      <c r="T686" s="197">
        <v>0</v>
      </c>
      <c r="U686" s="288">
        <v>0</v>
      </c>
      <c r="V686" s="282">
        <f>C686-'часть 1'!L697</f>
        <v>-5982349</v>
      </c>
      <c r="W686" s="282"/>
      <c r="X686" s="28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296"/>
    </row>
    <row r="687" spans="1:35">
      <c r="A687" s="194">
        <v>126</v>
      </c>
      <c r="B687" s="195" t="s">
        <v>280</v>
      </c>
      <c r="C687" s="196">
        <v>2694957</v>
      </c>
      <c r="D687" s="196"/>
      <c r="E687" s="196"/>
      <c r="F687" s="196"/>
      <c r="G687" s="196"/>
      <c r="H687" s="196"/>
      <c r="I687" s="196"/>
      <c r="J687" s="196"/>
      <c r="K687" s="196">
        <v>710638</v>
      </c>
      <c r="L687" s="194">
        <v>0</v>
      </c>
      <c r="M687" s="196">
        <v>0</v>
      </c>
      <c r="N687" s="196">
        <v>0</v>
      </c>
      <c r="O687" s="196">
        <v>0</v>
      </c>
      <c r="P687" s="194">
        <v>0</v>
      </c>
      <c r="Q687" s="196">
        <v>0</v>
      </c>
      <c r="R687" s="196">
        <v>1359.5</v>
      </c>
      <c r="S687" s="196">
        <v>1984319</v>
      </c>
      <c r="T687" s="197">
        <v>0</v>
      </c>
      <c r="U687" s="288">
        <v>0</v>
      </c>
      <c r="V687" s="282">
        <f>C687-'часть 1'!L698</f>
        <v>2171568</v>
      </c>
      <c r="W687" s="282"/>
      <c r="X687" s="28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296"/>
    </row>
    <row r="688" spans="1:35">
      <c r="A688" s="194">
        <v>127</v>
      </c>
      <c r="B688" s="195" t="s">
        <v>367</v>
      </c>
      <c r="C688" s="196">
        <v>580578</v>
      </c>
      <c r="D688" s="196"/>
      <c r="E688" s="196"/>
      <c r="F688" s="196"/>
      <c r="G688" s="196"/>
      <c r="H688" s="196"/>
      <c r="I688" s="196"/>
      <c r="J688" s="196"/>
      <c r="K688" s="196">
        <v>0</v>
      </c>
      <c r="L688" s="194">
        <v>0</v>
      </c>
      <c r="M688" s="196">
        <v>0</v>
      </c>
      <c r="N688" s="196">
        <v>293.5</v>
      </c>
      <c r="O688" s="196">
        <v>580578</v>
      </c>
      <c r="P688" s="194">
        <v>0</v>
      </c>
      <c r="Q688" s="196">
        <v>0</v>
      </c>
      <c r="R688" s="197">
        <v>0</v>
      </c>
      <c r="S688" s="196">
        <v>0</v>
      </c>
      <c r="T688" s="197">
        <v>0</v>
      </c>
      <c r="U688" s="288">
        <v>0</v>
      </c>
      <c r="V688" s="282">
        <f>C688-'часть 1'!L699</f>
        <v>-458342</v>
      </c>
      <c r="W688" s="282"/>
      <c r="X688" s="28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296"/>
    </row>
    <row r="689" spans="1:35">
      <c r="A689" s="194">
        <v>128</v>
      </c>
      <c r="B689" s="195" t="s">
        <v>464</v>
      </c>
      <c r="C689" s="196">
        <v>615357</v>
      </c>
      <c r="D689" s="196"/>
      <c r="E689" s="196"/>
      <c r="F689" s="196"/>
      <c r="G689" s="196"/>
      <c r="H689" s="196"/>
      <c r="I689" s="196"/>
      <c r="J689" s="196"/>
      <c r="K689" s="196">
        <v>0</v>
      </c>
      <c r="L689" s="194">
        <v>0</v>
      </c>
      <c r="M689" s="196">
        <v>0</v>
      </c>
      <c r="N689" s="196">
        <v>301</v>
      </c>
      <c r="O689" s="196">
        <v>615357</v>
      </c>
      <c r="P689" s="194">
        <v>0</v>
      </c>
      <c r="Q689" s="196">
        <v>0</v>
      </c>
      <c r="R689" s="197">
        <v>0</v>
      </c>
      <c r="S689" s="196">
        <v>0</v>
      </c>
      <c r="T689" s="197">
        <v>0</v>
      </c>
      <c r="U689" s="288">
        <v>0</v>
      </c>
      <c r="V689" s="282">
        <f>C689-'часть 1'!L700</f>
        <v>-1127196</v>
      </c>
      <c r="W689" s="282"/>
      <c r="X689" s="28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296"/>
    </row>
    <row r="690" spans="1:35">
      <c r="A690" s="194">
        <v>129</v>
      </c>
      <c r="B690" s="195" t="s">
        <v>385</v>
      </c>
      <c r="C690" s="196">
        <v>269948.13</v>
      </c>
      <c r="D690" s="196"/>
      <c r="E690" s="196"/>
      <c r="F690" s="196"/>
      <c r="G690" s="196"/>
      <c r="H690" s="196"/>
      <c r="I690" s="196"/>
      <c r="J690" s="196"/>
      <c r="K690" s="196">
        <v>269948.13</v>
      </c>
      <c r="L690" s="194">
        <v>0</v>
      </c>
      <c r="M690" s="196">
        <v>0</v>
      </c>
      <c r="N690" s="196">
        <v>0</v>
      </c>
      <c r="O690" s="196">
        <v>0</v>
      </c>
      <c r="P690" s="194">
        <v>0</v>
      </c>
      <c r="Q690" s="196">
        <v>0</v>
      </c>
      <c r="R690" s="197">
        <v>0</v>
      </c>
      <c r="S690" s="196">
        <v>0</v>
      </c>
      <c r="T690" s="197">
        <v>0</v>
      </c>
      <c r="U690" s="288">
        <v>0</v>
      </c>
      <c r="V690" s="282">
        <f>C690-'часть 1'!L701</f>
        <v>-1854632.87</v>
      </c>
      <c r="W690" s="282"/>
      <c r="X690" s="28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296"/>
    </row>
    <row r="691" spans="1:35">
      <c r="A691" s="194">
        <v>130</v>
      </c>
      <c r="B691" s="195" t="s">
        <v>238</v>
      </c>
      <c r="C691" s="196">
        <v>807980</v>
      </c>
      <c r="D691" s="196"/>
      <c r="E691" s="196"/>
      <c r="F691" s="196"/>
      <c r="G691" s="196"/>
      <c r="H691" s="196"/>
      <c r="I691" s="196"/>
      <c r="J691" s="196"/>
      <c r="K691" s="196">
        <v>0</v>
      </c>
      <c r="L691" s="194">
        <v>0</v>
      </c>
      <c r="M691" s="196">
        <v>0</v>
      </c>
      <c r="N691" s="196">
        <v>400</v>
      </c>
      <c r="O691" s="196">
        <v>807980</v>
      </c>
      <c r="P691" s="194">
        <v>0</v>
      </c>
      <c r="Q691" s="196">
        <v>0</v>
      </c>
      <c r="R691" s="200">
        <v>0</v>
      </c>
      <c r="S691" s="196">
        <v>0</v>
      </c>
      <c r="T691" s="197">
        <v>0</v>
      </c>
      <c r="U691" s="288">
        <v>0</v>
      </c>
      <c r="V691" s="282">
        <f>C691-'часть 1'!L702</f>
        <v>-1539498</v>
      </c>
      <c r="W691" s="282"/>
      <c r="X691" s="28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296"/>
    </row>
    <row r="692" spans="1:35">
      <c r="A692" s="194">
        <v>131</v>
      </c>
      <c r="B692" s="195" t="s">
        <v>273</v>
      </c>
      <c r="C692" s="196">
        <v>661525</v>
      </c>
      <c r="D692" s="196"/>
      <c r="E692" s="196"/>
      <c r="F692" s="196"/>
      <c r="G692" s="196"/>
      <c r="H692" s="196"/>
      <c r="I692" s="196"/>
      <c r="J692" s="196"/>
      <c r="K692" s="196">
        <v>0</v>
      </c>
      <c r="L692" s="194">
        <v>0</v>
      </c>
      <c r="M692" s="196">
        <v>0</v>
      </c>
      <c r="N692" s="196">
        <v>325</v>
      </c>
      <c r="O692" s="199">
        <v>661525</v>
      </c>
      <c r="P692" s="194">
        <v>0</v>
      </c>
      <c r="Q692" s="196">
        <v>0</v>
      </c>
      <c r="R692" s="197">
        <v>0</v>
      </c>
      <c r="S692" s="196">
        <v>0</v>
      </c>
      <c r="T692" s="197">
        <v>0</v>
      </c>
      <c r="U692" s="288">
        <v>0</v>
      </c>
      <c r="V692" s="282">
        <f>C692-'часть 1'!L703</f>
        <v>-1806947</v>
      </c>
      <c r="W692" s="282"/>
      <c r="X692" s="28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296"/>
    </row>
    <row r="693" spans="1:35">
      <c r="A693" s="198">
        <v>132</v>
      </c>
      <c r="B693" s="195" t="s">
        <v>297</v>
      </c>
      <c r="C693" s="196">
        <v>3719885</v>
      </c>
      <c r="D693" s="196"/>
      <c r="E693" s="196"/>
      <c r="F693" s="196"/>
      <c r="G693" s="196"/>
      <c r="H693" s="196"/>
      <c r="I693" s="196"/>
      <c r="J693" s="196"/>
      <c r="K693" s="196">
        <v>0</v>
      </c>
      <c r="L693" s="194">
        <v>2</v>
      </c>
      <c r="M693" s="196">
        <v>3719885</v>
      </c>
      <c r="N693" s="196">
        <v>0</v>
      </c>
      <c r="O693" s="196">
        <v>0</v>
      </c>
      <c r="P693" s="194">
        <v>0</v>
      </c>
      <c r="Q693" s="196">
        <v>0</v>
      </c>
      <c r="R693" s="197">
        <v>0</v>
      </c>
      <c r="S693" s="196">
        <v>0</v>
      </c>
      <c r="T693" s="197">
        <v>0</v>
      </c>
      <c r="U693" s="288">
        <v>0</v>
      </c>
      <c r="V693" s="282">
        <f>C693-'часть 1'!L704</f>
        <v>2107105</v>
      </c>
      <c r="W693" s="282"/>
      <c r="X693" s="28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296"/>
    </row>
    <row r="694" spans="1:35">
      <c r="A694" s="198">
        <v>133</v>
      </c>
      <c r="B694" s="195" t="s">
        <v>263</v>
      </c>
      <c r="C694" s="196">
        <v>1726391</v>
      </c>
      <c r="D694" s="196"/>
      <c r="E694" s="196"/>
      <c r="F694" s="196"/>
      <c r="G694" s="196"/>
      <c r="H694" s="196"/>
      <c r="I694" s="196"/>
      <c r="J694" s="196"/>
      <c r="K694" s="196">
        <v>0</v>
      </c>
      <c r="L694" s="194">
        <v>0</v>
      </c>
      <c r="M694" s="196">
        <v>0</v>
      </c>
      <c r="N694" s="196">
        <v>866.8</v>
      </c>
      <c r="O694" s="196">
        <v>1726391</v>
      </c>
      <c r="P694" s="194">
        <v>0</v>
      </c>
      <c r="Q694" s="196">
        <v>0</v>
      </c>
      <c r="R694" s="197">
        <v>0</v>
      </c>
      <c r="S694" s="196">
        <v>0</v>
      </c>
      <c r="T694" s="197">
        <v>0</v>
      </c>
      <c r="U694" s="288">
        <v>0</v>
      </c>
      <c r="V694" s="282">
        <f>C694-'часть 1'!L705</f>
        <v>-854028</v>
      </c>
      <c r="W694" s="282"/>
      <c r="X694" s="28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296"/>
    </row>
    <row r="695" spans="1:35">
      <c r="A695" s="198">
        <v>134</v>
      </c>
      <c r="B695" s="195" t="s">
        <v>235</v>
      </c>
      <c r="C695" s="196">
        <v>1521754</v>
      </c>
      <c r="D695" s="196"/>
      <c r="E695" s="196"/>
      <c r="F695" s="196"/>
      <c r="G695" s="196"/>
      <c r="H695" s="196"/>
      <c r="I695" s="196"/>
      <c r="J695" s="196"/>
      <c r="K695" s="196">
        <v>0</v>
      </c>
      <c r="L695" s="194">
        <v>0</v>
      </c>
      <c r="M695" s="196">
        <v>0</v>
      </c>
      <c r="N695" s="196">
        <v>430</v>
      </c>
      <c r="O695" s="196">
        <v>866735</v>
      </c>
      <c r="P695" s="194">
        <v>0</v>
      </c>
      <c r="Q695" s="196">
        <v>0</v>
      </c>
      <c r="R695" s="196">
        <v>449</v>
      </c>
      <c r="S695" s="196">
        <v>655019</v>
      </c>
      <c r="T695" s="197">
        <v>0</v>
      </c>
      <c r="U695" s="288">
        <v>0</v>
      </c>
      <c r="V695" s="282">
        <f>C695-'часть 1'!L706</f>
        <v>-159891</v>
      </c>
      <c r="W695" s="282"/>
      <c r="X695" s="28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296"/>
    </row>
    <row r="696" spans="1:35">
      <c r="A696" s="198">
        <v>135</v>
      </c>
      <c r="B696" s="195" t="s">
        <v>227</v>
      </c>
      <c r="C696" s="196">
        <v>671505</v>
      </c>
      <c r="D696" s="196"/>
      <c r="E696" s="196"/>
      <c r="F696" s="196"/>
      <c r="G696" s="196"/>
      <c r="H696" s="196"/>
      <c r="I696" s="196"/>
      <c r="J696" s="196"/>
      <c r="K696" s="196" t="e">
        <f>#REF!</f>
        <v>#REF!</v>
      </c>
      <c r="L696" s="194">
        <v>0</v>
      </c>
      <c r="M696" s="196">
        <v>0</v>
      </c>
      <c r="N696" s="196">
        <v>0</v>
      </c>
      <c r="O696" s="196">
        <v>0</v>
      </c>
      <c r="P696" s="194">
        <v>0</v>
      </c>
      <c r="Q696" s="196">
        <v>0</v>
      </c>
      <c r="R696" s="196">
        <v>404.5</v>
      </c>
      <c r="S696" s="196">
        <v>591227</v>
      </c>
      <c r="T696" s="197">
        <v>0</v>
      </c>
      <c r="U696" s="288">
        <v>0</v>
      </c>
      <c r="V696" s="282">
        <f>C696-'часть 1'!L707</f>
        <v>-647375</v>
      </c>
      <c r="W696" s="282"/>
      <c r="X696" s="282"/>
      <c r="Y696" s="12"/>
      <c r="Z696" s="274"/>
      <c r="AA696" s="12"/>
      <c r="AB696" s="12"/>
      <c r="AC696" s="12"/>
      <c r="AD696" s="12"/>
      <c r="AE696" s="12"/>
      <c r="AF696" s="12"/>
      <c r="AG696" s="12"/>
      <c r="AH696" s="12"/>
      <c r="AI696" s="296"/>
    </row>
    <row r="697" spans="1:35">
      <c r="A697" s="198">
        <v>136</v>
      </c>
      <c r="B697" s="195" t="s">
        <v>339</v>
      </c>
      <c r="C697" s="196">
        <v>1081718</v>
      </c>
      <c r="D697" s="196"/>
      <c r="E697" s="196"/>
      <c r="F697" s="196"/>
      <c r="G697" s="196"/>
      <c r="H697" s="196"/>
      <c r="I697" s="196"/>
      <c r="J697" s="196"/>
      <c r="K697" s="196">
        <v>0</v>
      </c>
      <c r="L697" s="194">
        <v>0</v>
      </c>
      <c r="M697" s="196">
        <v>0</v>
      </c>
      <c r="N697" s="196">
        <v>531.70000000000005</v>
      </c>
      <c r="O697" s="196">
        <v>1081718</v>
      </c>
      <c r="P697" s="194">
        <v>0</v>
      </c>
      <c r="Q697" s="196">
        <v>0</v>
      </c>
      <c r="R697" s="197">
        <v>0</v>
      </c>
      <c r="S697" s="196">
        <v>0</v>
      </c>
      <c r="T697" s="197">
        <v>0</v>
      </c>
      <c r="U697" s="288">
        <v>0</v>
      </c>
      <c r="V697" s="282">
        <f>C697-'часть 1'!L708</f>
        <v>-484627</v>
      </c>
      <c r="W697" s="282"/>
      <c r="X697" s="28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296"/>
    </row>
    <row r="698" spans="1:35">
      <c r="A698" s="198">
        <v>137</v>
      </c>
      <c r="B698" s="195" t="s">
        <v>231</v>
      </c>
      <c r="C698" s="196">
        <v>206635</v>
      </c>
      <c r="D698" s="196"/>
      <c r="E698" s="196"/>
      <c r="F698" s="196"/>
      <c r="G698" s="196"/>
      <c r="H698" s="196"/>
      <c r="I698" s="196"/>
      <c r="J698" s="196"/>
      <c r="K698" s="196">
        <v>206635</v>
      </c>
      <c r="L698" s="194">
        <v>0</v>
      </c>
      <c r="M698" s="196">
        <v>0</v>
      </c>
      <c r="N698" s="196">
        <v>0</v>
      </c>
      <c r="O698" s="196">
        <v>0</v>
      </c>
      <c r="P698" s="194">
        <v>0</v>
      </c>
      <c r="Q698" s="196">
        <v>0</v>
      </c>
      <c r="R698" s="197">
        <v>0</v>
      </c>
      <c r="S698" s="196">
        <v>0</v>
      </c>
      <c r="T698" s="197">
        <v>0</v>
      </c>
      <c r="U698" s="288">
        <v>0</v>
      </c>
      <c r="V698" s="282">
        <f>C698-'часть 1'!L709</f>
        <v>-1703453</v>
      </c>
      <c r="W698" s="282"/>
      <c r="X698" s="28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296"/>
    </row>
    <row r="699" spans="1:35">
      <c r="A699" s="198">
        <v>138</v>
      </c>
      <c r="B699" s="195" t="s">
        <v>300</v>
      </c>
      <c r="C699" s="196">
        <v>1044081.04</v>
      </c>
      <c r="D699" s="196"/>
      <c r="E699" s="196"/>
      <c r="F699" s="196"/>
      <c r="G699" s="196"/>
      <c r="H699" s="196"/>
      <c r="I699" s="196"/>
      <c r="J699" s="196"/>
      <c r="K699" s="196">
        <v>0</v>
      </c>
      <c r="L699" s="194">
        <v>0</v>
      </c>
      <c r="M699" s="196">
        <v>0</v>
      </c>
      <c r="N699" s="196">
        <v>516.5</v>
      </c>
      <c r="O699" s="196">
        <v>1044081.04</v>
      </c>
      <c r="P699" s="194">
        <v>0</v>
      </c>
      <c r="Q699" s="196">
        <v>0</v>
      </c>
      <c r="R699" s="200">
        <v>0</v>
      </c>
      <c r="S699" s="196">
        <v>0</v>
      </c>
      <c r="T699" s="197">
        <v>0</v>
      </c>
      <c r="U699" s="288">
        <v>0</v>
      </c>
      <c r="V699" s="282">
        <f>C699-'часть 1'!L710</f>
        <v>-1650875.96</v>
      </c>
      <c r="W699" s="282"/>
      <c r="X699" s="28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296"/>
    </row>
    <row r="700" spans="1:35">
      <c r="A700" s="198">
        <v>139</v>
      </c>
      <c r="B700" s="195" t="s">
        <v>283</v>
      </c>
      <c r="C700" s="196">
        <v>1340000</v>
      </c>
      <c r="D700" s="196"/>
      <c r="E700" s="196"/>
      <c r="F700" s="196"/>
      <c r="G700" s="196"/>
      <c r="H700" s="196"/>
      <c r="I700" s="196"/>
      <c r="J700" s="196"/>
      <c r="K700" s="196">
        <v>1340000</v>
      </c>
      <c r="L700" s="194">
        <v>0</v>
      </c>
      <c r="M700" s="196">
        <v>0</v>
      </c>
      <c r="N700" s="196">
        <v>0</v>
      </c>
      <c r="O700" s="196">
        <v>0</v>
      </c>
      <c r="P700" s="194">
        <v>0</v>
      </c>
      <c r="Q700" s="196">
        <v>0</v>
      </c>
      <c r="R700" s="197">
        <v>0</v>
      </c>
      <c r="S700" s="196">
        <v>0</v>
      </c>
      <c r="T700" s="197">
        <v>0</v>
      </c>
      <c r="U700" s="288">
        <v>0</v>
      </c>
      <c r="V700" s="282">
        <f>C700-'часть 1'!L711</f>
        <v>759422</v>
      </c>
      <c r="W700" s="282"/>
      <c r="X700" s="28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296"/>
    </row>
    <row r="701" spans="1:35">
      <c r="A701" s="198">
        <v>140</v>
      </c>
      <c r="B701" s="195" t="s">
        <v>450</v>
      </c>
      <c r="C701" s="196">
        <v>2294529</v>
      </c>
      <c r="D701" s="196"/>
      <c r="E701" s="196"/>
      <c r="F701" s="196"/>
      <c r="G701" s="196"/>
      <c r="H701" s="196"/>
      <c r="I701" s="196"/>
      <c r="J701" s="196"/>
      <c r="K701" s="196">
        <v>0</v>
      </c>
      <c r="L701" s="194">
        <v>0</v>
      </c>
      <c r="M701" s="196">
        <v>0</v>
      </c>
      <c r="N701" s="196">
        <v>1162</v>
      </c>
      <c r="O701" s="196">
        <v>2294529</v>
      </c>
      <c r="P701" s="194">
        <v>0</v>
      </c>
      <c r="Q701" s="196">
        <v>0</v>
      </c>
      <c r="R701" s="197">
        <v>0</v>
      </c>
      <c r="S701" s="196">
        <v>0</v>
      </c>
      <c r="T701" s="197">
        <v>0</v>
      </c>
      <c r="U701" s="288">
        <v>0</v>
      </c>
      <c r="V701" s="282">
        <f>C701-'часть 1'!L712</f>
        <v>1679172</v>
      </c>
      <c r="W701" s="282"/>
      <c r="X701" s="28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296"/>
    </row>
    <row r="702" spans="1:35">
      <c r="A702" s="198">
        <v>141</v>
      </c>
      <c r="B702" s="195" t="s">
        <v>230</v>
      </c>
      <c r="C702" s="196">
        <v>2615616.2000000002</v>
      </c>
      <c r="D702" s="196"/>
      <c r="E702" s="196"/>
      <c r="F702" s="196"/>
      <c r="G702" s="196"/>
      <c r="H702" s="196"/>
      <c r="I702" s="196"/>
      <c r="J702" s="196"/>
      <c r="K702" s="196">
        <v>0</v>
      </c>
      <c r="L702" s="194">
        <v>0</v>
      </c>
      <c r="M702" s="196">
        <v>0</v>
      </c>
      <c r="N702" s="196">
        <v>0</v>
      </c>
      <c r="O702" s="196">
        <v>0</v>
      </c>
      <c r="P702" s="194">
        <v>0</v>
      </c>
      <c r="Q702" s="196">
        <v>0</v>
      </c>
      <c r="R702" s="196">
        <v>2540</v>
      </c>
      <c r="S702" s="196">
        <v>2615616.2000000002</v>
      </c>
      <c r="T702" s="197">
        <v>0</v>
      </c>
      <c r="U702" s="288">
        <v>0</v>
      </c>
      <c r="V702" s="282">
        <f>C702-'часть 1'!L713</f>
        <v>2345668.0700000003</v>
      </c>
      <c r="W702" s="282"/>
      <c r="X702" s="28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296"/>
    </row>
    <row r="703" spans="1:35">
      <c r="A703" s="198">
        <v>142</v>
      </c>
      <c r="B703" s="195" t="s">
        <v>295</v>
      </c>
      <c r="C703" s="196">
        <v>1561539</v>
      </c>
      <c r="D703" s="196"/>
      <c r="E703" s="196"/>
      <c r="F703" s="196"/>
      <c r="G703" s="196"/>
      <c r="H703" s="196"/>
      <c r="I703" s="196"/>
      <c r="J703" s="196"/>
      <c r="K703" s="196">
        <v>0</v>
      </c>
      <c r="L703" s="194">
        <v>0</v>
      </c>
      <c r="M703" s="196">
        <v>0</v>
      </c>
      <c r="N703" s="196">
        <v>787.85</v>
      </c>
      <c r="O703" s="196">
        <v>1561539</v>
      </c>
      <c r="P703" s="201">
        <v>0</v>
      </c>
      <c r="Q703" s="196">
        <v>0</v>
      </c>
      <c r="R703" s="200">
        <v>0</v>
      </c>
      <c r="S703" s="196">
        <v>0</v>
      </c>
      <c r="T703" s="197">
        <v>0</v>
      </c>
      <c r="U703" s="288">
        <v>0</v>
      </c>
      <c r="V703" s="282">
        <f>C703-'часть 1'!L714</f>
        <v>753559</v>
      </c>
      <c r="W703" s="282"/>
      <c r="X703" s="28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296"/>
    </row>
    <row r="704" spans="1:35">
      <c r="A704" s="198">
        <v>143</v>
      </c>
      <c r="B704" s="195" t="s">
        <v>294</v>
      </c>
      <c r="C704" s="196">
        <v>1421187</v>
      </c>
      <c r="D704" s="196"/>
      <c r="E704" s="196"/>
      <c r="F704" s="196"/>
      <c r="G704" s="196"/>
      <c r="H704" s="196"/>
      <c r="I704" s="196"/>
      <c r="J704" s="196"/>
      <c r="K704" s="196">
        <v>0</v>
      </c>
      <c r="L704" s="194">
        <v>0</v>
      </c>
      <c r="M704" s="196">
        <v>0</v>
      </c>
      <c r="N704" s="196">
        <v>687</v>
      </c>
      <c r="O704" s="199">
        <v>1421187</v>
      </c>
      <c r="P704" s="194">
        <v>0</v>
      </c>
      <c r="Q704" s="196">
        <v>0</v>
      </c>
      <c r="R704" s="200">
        <v>0</v>
      </c>
      <c r="S704" s="196">
        <v>0</v>
      </c>
      <c r="T704" s="197">
        <v>0</v>
      </c>
      <c r="U704" s="288">
        <v>0</v>
      </c>
      <c r="V704" s="282">
        <f>C704-'часть 1'!L715</f>
        <v>759662</v>
      </c>
      <c r="W704" s="282"/>
      <c r="X704" s="28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296"/>
    </row>
    <row r="705" spans="1:35">
      <c r="A705" s="198">
        <v>144</v>
      </c>
      <c r="B705" s="195" t="s">
        <v>270</v>
      </c>
      <c r="C705" s="196">
        <v>2469740</v>
      </c>
      <c r="D705" s="196"/>
      <c r="E705" s="196"/>
      <c r="F705" s="196"/>
      <c r="G705" s="196"/>
      <c r="H705" s="196"/>
      <c r="I705" s="196"/>
      <c r="J705" s="196"/>
      <c r="K705" s="196">
        <v>757154</v>
      </c>
      <c r="L705" s="194">
        <v>0</v>
      </c>
      <c r="M705" s="196">
        <v>0</v>
      </c>
      <c r="N705" s="196">
        <v>868.1</v>
      </c>
      <c r="O705" s="196">
        <v>1712586</v>
      </c>
      <c r="P705" s="194">
        <v>0</v>
      </c>
      <c r="Q705" s="196">
        <v>0</v>
      </c>
      <c r="R705" s="197">
        <v>0</v>
      </c>
      <c r="S705" s="196">
        <v>0</v>
      </c>
      <c r="T705" s="197">
        <v>0</v>
      </c>
      <c r="U705" s="288">
        <v>0</v>
      </c>
      <c r="V705" s="282">
        <f>C705-'часть 1'!L716</f>
        <v>-1250145</v>
      </c>
      <c r="W705" s="282"/>
      <c r="X705" s="28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296"/>
    </row>
    <row r="706" spans="1:35">
      <c r="A706" s="198">
        <v>145</v>
      </c>
      <c r="B706" s="195" t="s">
        <v>252</v>
      </c>
      <c r="C706" s="196">
        <v>1104857</v>
      </c>
      <c r="D706" s="196"/>
      <c r="E706" s="196"/>
      <c r="F706" s="196"/>
      <c r="G706" s="196"/>
      <c r="H706" s="196"/>
      <c r="I706" s="196"/>
      <c r="J706" s="196"/>
      <c r="K706" s="196">
        <v>0</v>
      </c>
      <c r="L706" s="194">
        <v>0</v>
      </c>
      <c r="M706" s="196">
        <v>0</v>
      </c>
      <c r="N706" s="196">
        <v>545.6</v>
      </c>
      <c r="O706" s="196">
        <v>1104857</v>
      </c>
      <c r="P706" s="194">
        <v>0</v>
      </c>
      <c r="Q706" s="196">
        <v>0</v>
      </c>
      <c r="R706" s="200">
        <v>0</v>
      </c>
      <c r="S706" s="196">
        <v>0</v>
      </c>
      <c r="T706" s="197">
        <v>0</v>
      </c>
      <c r="U706" s="288">
        <v>0</v>
      </c>
      <c r="V706" s="282">
        <f>C706-'часть 1'!L717</f>
        <v>-621534</v>
      </c>
      <c r="W706" s="282"/>
      <c r="X706" s="28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296"/>
    </row>
    <row r="707" spans="1:35">
      <c r="A707" s="198">
        <v>146</v>
      </c>
      <c r="B707" s="195" t="s">
        <v>304</v>
      </c>
      <c r="C707" s="196">
        <v>1877378</v>
      </c>
      <c r="D707" s="196"/>
      <c r="E707" s="196"/>
      <c r="F707" s="196"/>
      <c r="G707" s="196"/>
      <c r="H707" s="196"/>
      <c r="I707" s="196"/>
      <c r="J707" s="196"/>
      <c r="K707" s="196">
        <v>0</v>
      </c>
      <c r="L707" s="194">
        <v>1</v>
      </c>
      <c r="M707" s="199">
        <v>1877378</v>
      </c>
      <c r="N707" s="196">
        <v>0</v>
      </c>
      <c r="O707" s="196">
        <v>0</v>
      </c>
      <c r="P707" s="194">
        <v>0</v>
      </c>
      <c r="Q707" s="196">
        <v>0</v>
      </c>
      <c r="R707" s="197">
        <v>0</v>
      </c>
      <c r="S707" s="196">
        <v>0</v>
      </c>
      <c r="T707" s="197">
        <v>0</v>
      </c>
      <c r="U707" s="288">
        <v>0</v>
      </c>
      <c r="V707" s="282">
        <f>C707-'часть 1'!L718</f>
        <v>355624</v>
      </c>
      <c r="W707" s="282"/>
      <c r="X707" s="28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296"/>
    </row>
    <row r="708" spans="1:35">
      <c r="A708" s="198">
        <v>147</v>
      </c>
      <c r="B708" s="195" t="s">
        <v>228</v>
      </c>
      <c r="C708" s="196">
        <v>2945836</v>
      </c>
      <c r="D708" s="196"/>
      <c r="E708" s="196"/>
      <c r="F708" s="196"/>
      <c r="G708" s="196"/>
      <c r="H708" s="196"/>
      <c r="I708" s="196"/>
      <c r="J708" s="196"/>
      <c r="K708" s="196" t="e">
        <f>#REF!</f>
        <v>#REF!</v>
      </c>
      <c r="L708" s="194">
        <v>0</v>
      </c>
      <c r="M708" s="196">
        <v>0</v>
      </c>
      <c r="N708" s="196">
        <v>0</v>
      </c>
      <c r="O708" s="196">
        <v>0</v>
      </c>
      <c r="P708" s="194">
        <v>0</v>
      </c>
      <c r="Q708" s="196">
        <v>0</v>
      </c>
      <c r="R708" s="197">
        <v>0</v>
      </c>
      <c r="S708" s="196">
        <v>0</v>
      </c>
      <c r="T708" s="197">
        <v>0</v>
      </c>
      <c r="U708" s="288">
        <v>0</v>
      </c>
      <c r="V708" s="282">
        <f>C708-'часть 1'!L719</f>
        <v>2274331</v>
      </c>
      <c r="W708" s="282"/>
      <c r="X708" s="282"/>
      <c r="Y708" s="12"/>
      <c r="Z708" s="12"/>
      <c r="AA708" s="12"/>
      <c r="AB708" s="274"/>
      <c r="AC708" s="12"/>
      <c r="AD708" s="12"/>
      <c r="AE708" s="12"/>
      <c r="AF708" s="274"/>
      <c r="AG708" s="12"/>
      <c r="AH708" s="12"/>
      <c r="AI708" s="296"/>
    </row>
    <row r="709" spans="1:35">
      <c r="A709" s="198">
        <v>148</v>
      </c>
      <c r="B709" s="195" t="s">
        <v>225</v>
      </c>
      <c r="C709" s="196">
        <v>1118494</v>
      </c>
      <c r="D709" s="196"/>
      <c r="E709" s="196"/>
      <c r="F709" s="196"/>
      <c r="G709" s="196"/>
      <c r="H709" s="196"/>
      <c r="I709" s="196"/>
      <c r="J709" s="196"/>
      <c r="K709" s="196">
        <v>1118494</v>
      </c>
      <c r="L709" s="194">
        <v>0</v>
      </c>
      <c r="M709" s="196">
        <v>0</v>
      </c>
      <c r="N709" s="199">
        <v>0</v>
      </c>
      <c r="O709" s="196">
        <v>0</v>
      </c>
      <c r="P709" s="194">
        <v>0</v>
      </c>
      <c r="Q709" s="196">
        <v>0</v>
      </c>
      <c r="R709" s="200">
        <v>0</v>
      </c>
      <c r="S709" s="196">
        <v>0</v>
      </c>
      <c r="T709" s="197">
        <v>0</v>
      </c>
      <c r="U709" s="288">
        <v>0</v>
      </c>
      <c r="V709" s="282">
        <f>C709-'часть 1'!L720</f>
        <v>36776</v>
      </c>
      <c r="W709" s="282"/>
      <c r="X709" s="28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296"/>
    </row>
    <row r="710" spans="1:35">
      <c r="A710" s="198">
        <v>149</v>
      </c>
      <c r="B710" s="195" t="s">
        <v>232</v>
      </c>
      <c r="C710" s="196">
        <v>2540427</v>
      </c>
      <c r="D710" s="196"/>
      <c r="E710" s="196"/>
      <c r="F710" s="196"/>
      <c r="G710" s="196"/>
      <c r="H710" s="196"/>
      <c r="I710" s="196"/>
      <c r="J710" s="196"/>
      <c r="K710" s="196">
        <v>0</v>
      </c>
      <c r="L710" s="194">
        <v>0</v>
      </c>
      <c r="M710" s="196">
        <v>0</v>
      </c>
      <c r="N710" s="196">
        <v>592</v>
      </c>
      <c r="O710" s="196">
        <v>1201460</v>
      </c>
      <c r="P710" s="194">
        <v>0</v>
      </c>
      <c r="Q710" s="196">
        <v>0</v>
      </c>
      <c r="R710" s="196">
        <v>922</v>
      </c>
      <c r="S710" s="196">
        <v>1338967</v>
      </c>
      <c r="T710" s="197">
        <v>0</v>
      </c>
      <c r="U710" s="288">
        <v>0</v>
      </c>
      <c r="V710" s="282">
        <f>C710-'часть 1'!L721</f>
        <v>2333792</v>
      </c>
      <c r="W710" s="282"/>
      <c r="X710" s="28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296"/>
    </row>
    <row r="711" spans="1:35">
      <c r="A711" s="198">
        <v>150</v>
      </c>
      <c r="B711" s="195" t="s">
        <v>275</v>
      </c>
      <c r="C711" s="196">
        <v>2253297</v>
      </c>
      <c r="D711" s="196"/>
      <c r="E711" s="196"/>
      <c r="F711" s="196"/>
      <c r="G711" s="196"/>
      <c r="H711" s="196"/>
      <c r="I711" s="196"/>
      <c r="J711" s="196"/>
      <c r="K711" s="196">
        <v>0</v>
      </c>
      <c r="L711" s="194">
        <v>0</v>
      </c>
      <c r="M711" s="196">
        <v>0</v>
      </c>
      <c r="N711" s="196">
        <v>1126</v>
      </c>
      <c r="O711" s="196">
        <v>2253297</v>
      </c>
      <c r="P711" s="194">
        <v>0</v>
      </c>
      <c r="Q711" s="196">
        <v>0</v>
      </c>
      <c r="R711" s="197">
        <v>0</v>
      </c>
      <c r="S711" s="196">
        <v>0</v>
      </c>
      <c r="T711" s="197">
        <v>0</v>
      </c>
      <c r="U711" s="288">
        <v>0</v>
      </c>
      <c r="V711" s="282">
        <f>C711-'часть 1'!L722</f>
        <v>1209215.96</v>
      </c>
      <c r="W711" s="282"/>
      <c r="X711" s="28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296"/>
    </row>
    <row r="712" spans="1:35" s="278" customFormat="1">
      <c r="A712" s="194">
        <v>151</v>
      </c>
      <c r="B712" s="195" t="s">
        <v>286</v>
      </c>
      <c r="C712" s="196">
        <v>1390061</v>
      </c>
      <c r="D712" s="196"/>
      <c r="E712" s="196"/>
      <c r="F712" s="196"/>
      <c r="G712" s="196"/>
      <c r="H712" s="196"/>
      <c r="I712" s="196"/>
      <c r="J712" s="196"/>
      <c r="K712" s="196" t="e">
        <f>#REF!</f>
        <v>#REF!</v>
      </c>
      <c r="L712" s="194">
        <v>0</v>
      </c>
      <c r="M712" s="196">
        <v>0</v>
      </c>
      <c r="N712" s="196">
        <v>0</v>
      </c>
      <c r="O712" s="196">
        <v>0</v>
      </c>
      <c r="P712" s="194">
        <v>0</v>
      </c>
      <c r="Q712" s="196">
        <v>0</v>
      </c>
      <c r="R712" s="197">
        <v>0</v>
      </c>
      <c r="S712" s="196">
        <v>0</v>
      </c>
      <c r="T712" s="197">
        <v>0</v>
      </c>
      <c r="U712" s="288">
        <v>0</v>
      </c>
      <c r="V712" s="282">
        <f>C712-'часть 1'!L723</f>
        <v>50061</v>
      </c>
      <c r="W712" s="282"/>
      <c r="X712" s="28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296"/>
    </row>
    <row r="713" spans="1:35" ht="30">
      <c r="A713" s="198">
        <v>152</v>
      </c>
      <c r="B713" s="195" t="s">
        <v>342</v>
      </c>
      <c r="C713" s="196">
        <v>3213804</v>
      </c>
      <c r="D713" s="196"/>
      <c r="E713" s="196"/>
      <c r="F713" s="196"/>
      <c r="G713" s="196"/>
      <c r="H713" s="196"/>
      <c r="I713" s="196"/>
      <c r="J713" s="196"/>
      <c r="K713" s="196">
        <v>846948</v>
      </c>
      <c r="L713" s="194">
        <v>0</v>
      </c>
      <c r="M713" s="196">
        <v>0</v>
      </c>
      <c r="N713" s="196">
        <v>1200</v>
      </c>
      <c r="O713" s="196">
        <v>2366856</v>
      </c>
      <c r="P713" s="194">
        <v>0</v>
      </c>
      <c r="Q713" s="196">
        <v>0</v>
      </c>
      <c r="R713" s="197">
        <v>0</v>
      </c>
      <c r="S713" s="196">
        <v>0</v>
      </c>
      <c r="T713" s="197">
        <v>0</v>
      </c>
      <c r="U713" s="288">
        <v>0</v>
      </c>
      <c r="V713" s="282">
        <f>C713-'часть 1'!L724</f>
        <v>919275</v>
      </c>
      <c r="W713" s="282"/>
      <c r="X713" s="28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296"/>
    </row>
    <row r="714" spans="1:35">
      <c r="A714" s="198">
        <v>153</v>
      </c>
      <c r="B714" s="195" t="s">
        <v>298</v>
      </c>
      <c r="C714" s="196">
        <v>3202371</v>
      </c>
      <c r="D714" s="196"/>
      <c r="E714" s="196"/>
      <c r="F714" s="196"/>
      <c r="G714" s="196"/>
      <c r="H714" s="196"/>
      <c r="I714" s="196"/>
      <c r="J714" s="196"/>
      <c r="K714" s="196">
        <v>0</v>
      </c>
      <c r="L714" s="194">
        <v>0</v>
      </c>
      <c r="M714" s="196">
        <v>0</v>
      </c>
      <c r="N714" s="196">
        <v>0</v>
      </c>
      <c r="O714" s="196">
        <v>0</v>
      </c>
      <c r="P714" s="194">
        <v>0</v>
      </c>
      <c r="Q714" s="196">
        <v>0</v>
      </c>
      <c r="R714" s="196">
        <v>2220.83</v>
      </c>
      <c r="S714" s="196">
        <v>3202371</v>
      </c>
      <c r="T714" s="197">
        <v>0</v>
      </c>
      <c r="U714" s="288">
        <v>0</v>
      </c>
      <c r="V714" s="282">
        <f>C714-'часть 1'!L725</f>
        <v>586754.79999999981</v>
      </c>
      <c r="W714" s="282"/>
      <c r="X714" s="28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296"/>
    </row>
    <row r="715" spans="1:35">
      <c r="A715" s="198">
        <v>154</v>
      </c>
      <c r="B715" s="195" t="s">
        <v>253</v>
      </c>
      <c r="C715" s="196">
        <v>709022</v>
      </c>
      <c r="D715" s="196"/>
      <c r="E715" s="196"/>
      <c r="F715" s="196"/>
      <c r="G715" s="196"/>
      <c r="H715" s="196"/>
      <c r="I715" s="196"/>
      <c r="J715" s="196"/>
      <c r="K715" s="196">
        <v>0</v>
      </c>
      <c r="L715" s="194">
        <v>0</v>
      </c>
      <c r="M715" s="196">
        <v>0</v>
      </c>
      <c r="N715" s="196">
        <v>0</v>
      </c>
      <c r="O715" s="196">
        <v>0</v>
      </c>
      <c r="P715" s="194">
        <v>0</v>
      </c>
      <c r="Q715" s="196">
        <v>0</v>
      </c>
      <c r="R715" s="196">
        <v>486.6</v>
      </c>
      <c r="S715" s="199">
        <v>709022</v>
      </c>
      <c r="T715" s="197">
        <v>0</v>
      </c>
      <c r="U715" s="288">
        <v>0</v>
      </c>
      <c r="V715" s="282">
        <f>C715-'часть 1'!L726</f>
        <v>-852517</v>
      </c>
      <c r="W715" s="282"/>
      <c r="X715" s="28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296"/>
    </row>
    <row r="716" spans="1:35">
      <c r="A716" s="194">
        <v>155</v>
      </c>
      <c r="B716" s="195" t="s">
        <v>260</v>
      </c>
      <c r="C716" s="196">
        <v>1136930</v>
      </c>
      <c r="D716" s="196"/>
      <c r="E716" s="196"/>
      <c r="F716" s="196"/>
      <c r="G716" s="196"/>
      <c r="H716" s="196"/>
      <c r="I716" s="196"/>
      <c r="J716" s="196"/>
      <c r="K716" s="196">
        <v>0</v>
      </c>
      <c r="L716" s="194">
        <v>0</v>
      </c>
      <c r="M716" s="196">
        <v>0</v>
      </c>
      <c r="N716" s="196">
        <v>278</v>
      </c>
      <c r="O716" s="196">
        <v>570382</v>
      </c>
      <c r="P716" s="194">
        <v>0</v>
      </c>
      <c r="Q716" s="196">
        <v>0</v>
      </c>
      <c r="R716" s="196">
        <v>386.88</v>
      </c>
      <c r="S716" s="196">
        <v>566548</v>
      </c>
      <c r="T716" s="197">
        <v>0</v>
      </c>
      <c r="U716" s="288">
        <v>0</v>
      </c>
      <c r="V716" s="282">
        <f>C716-'часть 1'!L727</f>
        <v>-284257</v>
      </c>
      <c r="W716" s="282"/>
      <c r="X716" s="28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296"/>
    </row>
    <row r="717" spans="1:35">
      <c r="A717" s="198">
        <v>156</v>
      </c>
      <c r="B717" s="195" t="s">
        <v>349</v>
      </c>
      <c r="C717" s="196">
        <v>1320636</v>
      </c>
      <c r="D717" s="196"/>
      <c r="E717" s="196"/>
      <c r="F717" s="196"/>
      <c r="G717" s="196"/>
      <c r="H717" s="196"/>
      <c r="I717" s="196"/>
      <c r="J717" s="196"/>
      <c r="K717" s="196">
        <v>0</v>
      </c>
      <c r="L717" s="194">
        <v>0</v>
      </c>
      <c r="M717" s="196">
        <v>0</v>
      </c>
      <c r="N717" s="203">
        <v>662</v>
      </c>
      <c r="O717" s="199">
        <v>1320636</v>
      </c>
      <c r="P717" s="194">
        <v>0</v>
      </c>
      <c r="Q717" s="196">
        <v>0</v>
      </c>
      <c r="R717" s="197">
        <v>0</v>
      </c>
      <c r="S717" s="196">
        <v>0</v>
      </c>
      <c r="T717" s="197">
        <v>0</v>
      </c>
      <c r="U717" s="288">
        <v>0</v>
      </c>
      <c r="V717" s="282">
        <f>C717-'часть 1'!L728</f>
        <v>-1149104</v>
      </c>
      <c r="W717" s="282"/>
      <c r="X717" s="28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296"/>
    </row>
    <row r="718" spans="1:35">
      <c r="A718" s="198">
        <v>157</v>
      </c>
      <c r="B718" s="195" t="s">
        <v>302</v>
      </c>
      <c r="C718" s="196">
        <v>4265098</v>
      </c>
      <c r="D718" s="196"/>
      <c r="E718" s="196"/>
      <c r="F718" s="196"/>
      <c r="G718" s="196"/>
      <c r="H718" s="196"/>
      <c r="I718" s="196"/>
      <c r="J718" s="196"/>
      <c r="K718" s="196">
        <v>0</v>
      </c>
      <c r="L718" s="194">
        <v>0</v>
      </c>
      <c r="M718" s="196">
        <v>0</v>
      </c>
      <c r="N718" s="196">
        <v>0</v>
      </c>
      <c r="O718" s="196">
        <v>0</v>
      </c>
      <c r="P718" s="194">
        <v>0</v>
      </c>
      <c r="Q718" s="196">
        <v>0</v>
      </c>
      <c r="R718" s="196">
        <v>2927.5</v>
      </c>
      <c r="S718" s="196">
        <v>4265098</v>
      </c>
      <c r="T718" s="197">
        <v>0</v>
      </c>
      <c r="U718" s="288">
        <v>0</v>
      </c>
      <c r="V718" s="282">
        <f>C718-'часть 1'!L729</f>
        <v>3160241</v>
      </c>
      <c r="W718" s="282"/>
      <c r="X718" s="28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296"/>
    </row>
    <row r="719" spans="1:35">
      <c r="A719" s="198">
        <v>158</v>
      </c>
      <c r="B719" s="195" t="s">
        <v>341</v>
      </c>
      <c r="C719" s="196">
        <v>2115890</v>
      </c>
      <c r="D719" s="196"/>
      <c r="E719" s="196"/>
      <c r="F719" s="196"/>
      <c r="G719" s="196"/>
      <c r="H719" s="196"/>
      <c r="I719" s="196"/>
      <c r="J719" s="196"/>
      <c r="K719" s="196">
        <v>2115890</v>
      </c>
      <c r="L719" s="194">
        <v>0</v>
      </c>
      <c r="M719" s="196">
        <v>0</v>
      </c>
      <c r="N719" s="196">
        <v>0</v>
      </c>
      <c r="O719" s="196">
        <v>0</v>
      </c>
      <c r="P719" s="194">
        <v>0</v>
      </c>
      <c r="Q719" s="196">
        <v>0</v>
      </c>
      <c r="R719" s="197">
        <v>0</v>
      </c>
      <c r="S719" s="196">
        <v>0</v>
      </c>
      <c r="T719" s="197">
        <v>0</v>
      </c>
      <c r="U719" s="288">
        <v>0</v>
      </c>
      <c r="V719" s="282">
        <f>C719-'часть 1'!L730</f>
        <v>238512</v>
      </c>
      <c r="W719" s="282"/>
      <c r="X719" s="28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296"/>
    </row>
    <row r="720" spans="1:35">
      <c r="A720" s="198">
        <v>159</v>
      </c>
      <c r="B720" s="195" t="s">
        <v>242</v>
      </c>
      <c r="C720" s="196">
        <v>482251.51</v>
      </c>
      <c r="D720" s="196"/>
      <c r="E720" s="196"/>
      <c r="F720" s="196"/>
      <c r="G720" s="196"/>
      <c r="H720" s="196"/>
      <c r="I720" s="196"/>
      <c r="J720" s="196"/>
      <c r="K720" s="196">
        <v>482251.51</v>
      </c>
      <c r="L720" s="194">
        <v>0</v>
      </c>
      <c r="M720" s="196">
        <v>0</v>
      </c>
      <c r="N720" s="196">
        <v>0</v>
      </c>
      <c r="O720" s="196">
        <v>0</v>
      </c>
      <c r="P720" s="194">
        <v>0</v>
      </c>
      <c r="Q720" s="196">
        <v>0</v>
      </c>
      <c r="R720" s="197">
        <v>0</v>
      </c>
      <c r="S720" s="196">
        <v>0</v>
      </c>
      <c r="T720" s="197">
        <v>0</v>
      </c>
      <c r="U720" s="288">
        <v>0</v>
      </c>
      <c r="V720" s="282">
        <f>C720-'часть 1'!L731</f>
        <v>-2463584.4900000002</v>
      </c>
      <c r="W720" s="282"/>
      <c r="X720" s="28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296"/>
    </row>
    <row r="721" spans="1:35">
      <c r="A721" s="198">
        <v>160</v>
      </c>
      <c r="B721" s="195" t="s">
        <v>279</v>
      </c>
      <c r="C721" s="196">
        <v>1018040.92</v>
      </c>
      <c r="D721" s="196"/>
      <c r="E721" s="196"/>
      <c r="F721" s="196"/>
      <c r="G721" s="196"/>
      <c r="H721" s="196"/>
      <c r="I721" s="196"/>
      <c r="J721" s="196"/>
      <c r="K721" s="196">
        <v>0</v>
      </c>
      <c r="L721" s="194">
        <v>0</v>
      </c>
      <c r="M721" s="196">
        <v>0</v>
      </c>
      <c r="N721" s="196">
        <v>516.5</v>
      </c>
      <c r="O721" s="196">
        <v>1018040.92</v>
      </c>
      <c r="P721" s="194">
        <v>0</v>
      </c>
      <c r="Q721" s="196">
        <v>0</v>
      </c>
      <c r="R721" s="197">
        <v>0</v>
      </c>
      <c r="S721" s="196">
        <v>0</v>
      </c>
      <c r="T721" s="197">
        <v>0</v>
      </c>
      <c r="U721" s="288">
        <v>0</v>
      </c>
      <c r="V721" s="282">
        <f>C721-'часть 1'!L732</f>
        <v>-100453.07999999996</v>
      </c>
      <c r="W721" s="282"/>
      <c r="X721" s="28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296"/>
    </row>
    <row r="722" spans="1:35">
      <c r="A722" s="198">
        <v>161</v>
      </c>
      <c r="B722" s="195" t="s">
        <v>262</v>
      </c>
      <c r="C722" s="196">
        <v>1871554</v>
      </c>
      <c r="D722" s="196"/>
      <c r="E722" s="196"/>
      <c r="F722" s="196"/>
      <c r="G722" s="196"/>
      <c r="H722" s="196"/>
      <c r="I722" s="196"/>
      <c r="J722" s="196"/>
      <c r="K722" s="196">
        <v>0</v>
      </c>
      <c r="L722" s="194">
        <v>1</v>
      </c>
      <c r="M722" s="196">
        <v>1871554</v>
      </c>
      <c r="N722" s="196">
        <v>0</v>
      </c>
      <c r="O722" s="196">
        <v>0</v>
      </c>
      <c r="P722" s="194">
        <v>0</v>
      </c>
      <c r="Q722" s="196">
        <v>0</v>
      </c>
      <c r="R722" s="197">
        <v>0</v>
      </c>
      <c r="S722" s="196">
        <v>0</v>
      </c>
      <c r="T722" s="197">
        <v>0</v>
      </c>
      <c r="U722" s="288">
        <v>0</v>
      </c>
      <c r="V722" s="282">
        <f>C722-'часть 1'!L733</f>
        <v>-668873</v>
      </c>
      <c r="W722" s="282"/>
      <c r="X722" s="28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296"/>
    </row>
    <row r="723" spans="1:35">
      <c r="A723" s="198">
        <v>162</v>
      </c>
      <c r="B723" s="195" t="s">
        <v>290</v>
      </c>
      <c r="C723" s="196">
        <v>2652530</v>
      </c>
      <c r="D723" s="196"/>
      <c r="E723" s="196"/>
      <c r="F723" s="196"/>
      <c r="G723" s="196"/>
      <c r="H723" s="196"/>
      <c r="I723" s="196"/>
      <c r="J723" s="196"/>
      <c r="K723" s="196">
        <v>2652530</v>
      </c>
      <c r="L723" s="194">
        <v>0</v>
      </c>
      <c r="M723" s="196">
        <v>0</v>
      </c>
      <c r="N723" s="199">
        <v>0</v>
      </c>
      <c r="O723" s="196">
        <v>0</v>
      </c>
      <c r="P723" s="194">
        <v>0</v>
      </c>
      <c r="Q723" s="196">
        <v>0</v>
      </c>
      <c r="R723" s="200">
        <v>0</v>
      </c>
      <c r="S723" s="196">
        <v>0</v>
      </c>
      <c r="T723" s="197">
        <v>0</v>
      </c>
      <c r="U723" s="288">
        <v>0</v>
      </c>
      <c r="V723" s="282">
        <f>C723-'часть 1'!L734</f>
        <v>399233</v>
      </c>
      <c r="W723" s="282"/>
      <c r="X723" s="28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296"/>
    </row>
    <row r="724" spans="1:35">
      <c r="A724" s="198">
        <v>163</v>
      </c>
      <c r="B724" s="195" t="s">
        <v>356</v>
      </c>
      <c r="C724" s="196">
        <v>3645969</v>
      </c>
      <c r="D724" s="196"/>
      <c r="E724" s="196"/>
      <c r="F724" s="196"/>
      <c r="G724" s="196"/>
      <c r="H724" s="196"/>
      <c r="I724" s="196"/>
      <c r="J724" s="196"/>
      <c r="K724" s="196" t="e">
        <f>#REF!</f>
        <v>#REF!</v>
      </c>
      <c r="L724" s="194">
        <v>0</v>
      </c>
      <c r="M724" s="196">
        <v>0</v>
      </c>
      <c r="N724" s="196">
        <v>0</v>
      </c>
      <c r="O724" s="196">
        <v>0</v>
      </c>
      <c r="P724" s="194">
        <v>0</v>
      </c>
      <c r="Q724" s="196">
        <v>0</v>
      </c>
      <c r="R724" s="200">
        <v>0</v>
      </c>
      <c r="S724" s="196">
        <v>0</v>
      </c>
      <c r="T724" s="197">
        <v>0</v>
      </c>
      <c r="U724" s="288">
        <v>0</v>
      </c>
      <c r="V724" s="282">
        <f>C724-'часть 1'!L735</f>
        <v>2255908</v>
      </c>
      <c r="W724" s="282"/>
      <c r="X724" s="282"/>
      <c r="Y724" s="12"/>
      <c r="Z724" s="12"/>
      <c r="AA724" s="12"/>
      <c r="AB724" s="12"/>
      <c r="AC724" s="4"/>
      <c r="AD724" s="12"/>
      <c r="AE724" s="12"/>
      <c r="AF724" s="12"/>
      <c r="AG724" s="12"/>
      <c r="AH724" s="12"/>
      <c r="AI724" s="296"/>
    </row>
    <row r="725" spans="1:35">
      <c r="A725" s="198">
        <v>164</v>
      </c>
      <c r="B725" s="195" t="s">
        <v>354</v>
      </c>
      <c r="C725" s="196">
        <v>771330</v>
      </c>
      <c r="D725" s="196"/>
      <c r="E725" s="196"/>
      <c r="F725" s="196"/>
      <c r="G725" s="196"/>
      <c r="H725" s="196"/>
      <c r="I725" s="196"/>
      <c r="J725" s="196"/>
      <c r="K725" s="196">
        <v>0</v>
      </c>
      <c r="L725" s="194">
        <v>0</v>
      </c>
      <c r="M725" s="196">
        <v>0</v>
      </c>
      <c r="N725" s="196">
        <v>376</v>
      </c>
      <c r="O725" s="196">
        <v>771330</v>
      </c>
      <c r="P725" s="194">
        <v>0</v>
      </c>
      <c r="Q725" s="196">
        <v>0</v>
      </c>
      <c r="R725" s="197">
        <v>0</v>
      </c>
      <c r="S725" s="196">
        <v>0</v>
      </c>
      <c r="T725" s="197">
        <v>0</v>
      </c>
      <c r="U725" s="288">
        <v>0</v>
      </c>
      <c r="V725" s="282">
        <f>C725-'часть 1'!L736</f>
        <v>-2442474</v>
      </c>
      <c r="W725" s="282"/>
      <c r="X725" s="28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296"/>
    </row>
    <row r="726" spans="1:35">
      <c r="A726" s="198">
        <v>165</v>
      </c>
      <c r="B726" s="195" t="s">
        <v>352</v>
      </c>
      <c r="C726" s="196">
        <v>1894719</v>
      </c>
      <c r="D726" s="196"/>
      <c r="E726" s="196"/>
      <c r="F726" s="196"/>
      <c r="G726" s="196"/>
      <c r="H726" s="196"/>
      <c r="I726" s="196"/>
      <c r="J726" s="196"/>
      <c r="K726" s="196">
        <v>0</v>
      </c>
      <c r="L726" s="194">
        <v>1</v>
      </c>
      <c r="M726" s="196">
        <v>1894719</v>
      </c>
      <c r="N726" s="196">
        <v>0</v>
      </c>
      <c r="O726" s="196">
        <v>0</v>
      </c>
      <c r="P726" s="194">
        <v>0</v>
      </c>
      <c r="Q726" s="196">
        <v>0</v>
      </c>
      <c r="R726" s="197">
        <v>0</v>
      </c>
      <c r="S726" s="196">
        <v>0</v>
      </c>
      <c r="T726" s="197">
        <v>0</v>
      </c>
      <c r="U726" s="288">
        <v>0</v>
      </c>
      <c r="V726" s="282">
        <f>C726-'часть 1'!L737</f>
        <v>-1307652</v>
      </c>
      <c r="W726" s="282"/>
      <c r="X726" s="28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296"/>
    </row>
    <row r="727" spans="1:35">
      <c r="A727" s="198">
        <v>166</v>
      </c>
      <c r="B727" s="195" t="s">
        <v>355</v>
      </c>
      <c r="C727" s="196">
        <v>1492412</v>
      </c>
      <c r="D727" s="196"/>
      <c r="E727" s="196"/>
      <c r="F727" s="196"/>
      <c r="G727" s="196"/>
      <c r="H727" s="196"/>
      <c r="I727" s="196"/>
      <c r="J727" s="196"/>
      <c r="K727" s="196">
        <v>0</v>
      </c>
      <c r="L727" s="194">
        <v>0</v>
      </c>
      <c r="M727" s="196">
        <v>0</v>
      </c>
      <c r="N727" s="196">
        <v>752</v>
      </c>
      <c r="O727" s="196">
        <v>1492412</v>
      </c>
      <c r="P727" s="194">
        <v>0</v>
      </c>
      <c r="Q727" s="196">
        <v>0</v>
      </c>
      <c r="R727" s="197">
        <v>0</v>
      </c>
      <c r="S727" s="196">
        <v>0</v>
      </c>
      <c r="T727" s="197">
        <v>0</v>
      </c>
      <c r="U727" s="288">
        <v>0</v>
      </c>
      <c r="V727" s="282">
        <f>C727-'часть 1'!L738</f>
        <v>783390</v>
      </c>
      <c r="W727" s="282"/>
      <c r="X727" s="28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296"/>
    </row>
    <row r="728" spans="1:35">
      <c r="A728" s="198">
        <v>167</v>
      </c>
      <c r="B728" s="195" t="s">
        <v>318</v>
      </c>
      <c r="C728" s="196">
        <v>651523.25</v>
      </c>
      <c r="D728" s="196"/>
      <c r="E728" s="196"/>
      <c r="F728" s="196"/>
      <c r="G728" s="196"/>
      <c r="H728" s="196"/>
      <c r="I728" s="196"/>
      <c r="J728" s="196"/>
      <c r="K728" s="196">
        <v>651523.25</v>
      </c>
      <c r="L728" s="194">
        <v>0</v>
      </c>
      <c r="M728" s="196">
        <v>0</v>
      </c>
      <c r="N728" s="199">
        <v>0</v>
      </c>
      <c r="O728" s="196">
        <v>0</v>
      </c>
      <c r="P728" s="194">
        <v>0</v>
      </c>
      <c r="Q728" s="196">
        <v>0</v>
      </c>
      <c r="R728" s="200">
        <v>0</v>
      </c>
      <c r="S728" s="196">
        <v>0</v>
      </c>
      <c r="T728" s="197">
        <v>0</v>
      </c>
      <c r="U728" s="288">
        <v>0</v>
      </c>
      <c r="V728" s="282">
        <f>C728-'часть 1'!L739</f>
        <v>-485406.75</v>
      </c>
      <c r="W728" s="282"/>
      <c r="X728" s="28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296"/>
    </row>
    <row r="729" spans="1:35" ht="15.75" thickBot="1">
      <c r="A729" s="198">
        <v>168</v>
      </c>
      <c r="B729" s="195" t="s">
        <v>353</v>
      </c>
      <c r="C729" s="196">
        <v>1221424.83</v>
      </c>
      <c r="D729" s="196"/>
      <c r="E729" s="196"/>
      <c r="F729" s="196"/>
      <c r="G729" s="196"/>
      <c r="H729" s="196"/>
      <c r="I729" s="196"/>
      <c r="J729" s="196"/>
      <c r="K729" s="196">
        <v>0</v>
      </c>
      <c r="L729" s="194">
        <v>0</v>
      </c>
      <c r="M729" s="196">
        <v>0</v>
      </c>
      <c r="N729" s="196">
        <v>640</v>
      </c>
      <c r="O729" s="196">
        <v>1221424.83</v>
      </c>
      <c r="P729" s="194">
        <v>0</v>
      </c>
      <c r="Q729" s="196">
        <v>0</v>
      </c>
      <c r="R729" s="200">
        <v>0</v>
      </c>
      <c r="S729" s="196">
        <v>0</v>
      </c>
      <c r="T729" s="197">
        <v>0</v>
      </c>
      <c r="U729" s="288">
        <v>0</v>
      </c>
      <c r="V729" s="282">
        <f>C729-'часть 1'!L740</f>
        <v>-99211.169999999925</v>
      </c>
      <c r="W729" s="282"/>
      <c r="X729" s="282"/>
      <c r="Y729" s="65"/>
      <c r="Z729" s="12"/>
      <c r="AA729" s="65"/>
      <c r="AB729" s="12"/>
      <c r="AC729" s="65"/>
      <c r="AD729" s="12"/>
      <c r="AE729" s="65"/>
      <c r="AF729" s="12"/>
      <c r="AG729" s="65"/>
      <c r="AH729" s="12"/>
      <c r="AI729" s="299"/>
    </row>
    <row r="730" spans="1:35" ht="31.5" customHeight="1">
      <c r="A730" s="198"/>
      <c r="B730" s="195" t="s">
        <v>91</v>
      </c>
      <c r="C730" s="196">
        <f>C731+C732+C733+C734+C735+C736+C737+C738+C739+C740+C741+C742+C743</f>
        <v>21022265</v>
      </c>
      <c r="D730" s="196">
        <f t="shared" ref="D730:V730" si="89">D731+D732+D733+D734+D735+D736+D737+D738+D739+D740+D741+D742+D743</f>
        <v>0</v>
      </c>
      <c r="E730" s="196">
        <f t="shared" si="89"/>
        <v>0</v>
      </c>
      <c r="F730" s="196">
        <f t="shared" si="89"/>
        <v>0</v>
      </c>
      <c r="G730" s="196">
        <f t="shared" si="89"/>
        <v>0</v>
      </c>
      <c r="H730" s="196">
        <f t="shared" si="89"/>
        <v>0</v>
      </c>
      <c r="I730" s="196">
        <f t="shared" si="89"/>
        <v>0</v>
      </c>
      <c r="J730" s="196">
        <f t="shared" si="89"/>
        <v>0</v>
      </c>
      <c r="K730" s="196">
        <f t="shared" si="89"/>
        <v>0</v>
      </c>
      <c r="L730" s="196">
        <f t="shared" si="89"/>
        <v>0</v>
      </c>
      <c r="M730" s="196">
        <f t="shared" si="89"/>
        <v>0</v>
      </c>
      <c r="N730" s="196">
        <f t="shared" si="89"/>
        <v>7004.99</v>
      </c>
      <c r="O730" s="196">
        <f t="shared" si="89"/>
        <v>21022265</v>
      </c>
      <c r="P730" s="196">
        <f t="shared" si="89"/>
        <v>0</v>
      </c>
      <c r="Q730" s="196">
        <f t="shared" si="89"/>
        <v>0</v>
      </c>
      <c r="R730" s="196">
        <f t="shared" si="89"/>
        <v>0</v>
      </c>
      <c r="S730" s="196">
        <f t="shared" si="89"/>
        <v>0</v>
      </c>
      <c r="T730" s="196">
        <f t="shared" si="89"/>
        <v>0</v>
      </c>
      <c r="U730" s="196">
        <f t="shared" si="89"/>
        <v>0</v>
      </c>
      <c r="V730" s="196">
        <f t="shared" si="89"/>
        <v>0</v>
      </c>
      <c r="W730" s="282"/>
      <c r="X730" s="282"/>
    </row>
    <row r="731" spans="1:35" ht="15.75">
      <c r="A731" s="198">
        <v>169</v>
      </c>
      <c r="B731" s="941" t="s">
        <v>949</v>
      </c>
      <c r="C731" s="196">
        <f>'часть 1'!L754</f>
        <v>2589031</v>
      </c>
      <c r="D731" s="196">
        <v>0</v>
      </c>
      <c r="E731" s="196">
        <v>0</v>
      </c>
      <c r="F731" s="196">
        <v>0</v>
      </c>
      <c r="G731" s="196">
        <v>0</v>
      </c>
      <c r="H731" s="196">
        <v>0</v>
      </c>
      <c r="I731" s="196">
        <v>0</v>
      </c>
      <c r="J731" s="196">
        <v>0</v>
      </c>
      <c r="K731" s="196">
        <v>0</v>
      </c>
      <c r="L731" s="207">
        <v>0</v>
      </c>
      <c r="M731" s="199">
        <v>0</v>
      </c>
      <c r="N731" s="199">
        <v>1034</v>
      </c>
      <c r="O731" s="199">
        <f>C731</f>
        <v>2589031</v>
      </c>
      <c r="P731" s="208">
        <v>0</v>
      </c>
      <c r="Q731" s="199">
        <v>0</v>
      </c>
      <c r="R731" s="200">
        <v>0</v>
      </c>
      <c r="S731" s="209">
        <v>0</v>
      </c>
      <c r="T731" s="208">
        <v>0</v>
      </c>
      <c r="U731" s="289">
        <v>0</v>
      </c>
      <c r="V731" s="282"/>
      <c r="W731" s="282">
        <f>O731/N731</f>
        <v>2503.8984526112185</v>
      </c>
      <c r="X731" s="282"/>
    </row>
    <row r="732" spans="1:35" ht="15.75">
      <c r="A732" s="198">
        <v>170</v>
      </c>
      <c r="B732" s="941" t="s">
        <v>950</v>
      </c>
      <c r="C732" s="196">
        <f>'часть 1'!L755</f>
        <v>2100989</v>
      </c>
      <c r="D732" s="196">
        <v>0</v>
      </c>
      <c r="E732" s="196">
        <v>0</v>
      </c>
      <c r="F732" s="196">
        <v>0</v>
      </c>
      <c r="G732" s="196">
        <v>0</v>
      </c>
      <c r="H732" s="196">
        <v>0</v>
      </c>
      <c r="I732" s="196">
        <v>0</v>
      </c>
      <c r="J732" s="196">
        <v>0</v>
      </c>
      <c r="K732" s="196">
        <v>0</v>
      </c>
      <c r="L732" s="207">
        <v>0</v>
      </c>
      <c r="M732" s="199">
        <v>0</v>
      </c>
      <c r="N732" s="199">
        <v>660</v>
      </c>
      <c r="O732" s="199">
        <f t="shared" ref="O732:O743" si="90">C732</f>
        <v>2100989</v>
      </c>
      <c r="P732" s="208">
        <v>0</v>
      </c>
      <c r="Q732" s="199">
        <v>0</v>
      </c>
      <c r="R732" s="200">
        <v>0</v>
      </c>
      <c r="S732" s="209">
        <v>0</v>
      </c>
      <c r="T732" s="208">
        <v>0</v>
      </c>
      <c r="U732" s="289">
        <v>0</v>
      </c>
      <c r="V732" s="282"/>
      <c r="W732" s="282">
        <f t="shared" ref="W732:W743" si="91">O732/N732</f>
        <v>3183.3166666666666</v>
      </c>
      <c r="X732" s="282"/>
    </row>
    <row r="733" spans="1:35" ht="15.75">
      <c r="A733" s="198">
        <v>171</v>
      </c>
      <c r="B733" s="941" t="s">
        <v>951</v>
      </c>
      <c r="C733" s="196">
        <f>'часть 1'!L756</f>
        <v>1913404</v>
      </c>
      <c r="D733" s="196">
        <v>0</v>
      </c>
      <c r="E733" s="196">
        <v>0</v>
      </c>
      <c r="F733" s="196">
        <v>0</v>
      </c>
      <c r="G733" s="196">
        <v>0</v>
      </c>
      <c r="H733" s="196">
        <v>0</v>
      </c>
      <c r="I733" s="196">
        <v>0</v>
      </c>
      <c r="J733" s="196">
        <v>0</v>
      </c>
      <c r="K733" s="196">
        <v>0</v>
      </c>
      <c r="L733" s="207">
        <v>0</v>
      </c>
      <c r="M733" s="199">
        <v>0</v>
      </c>
      <c r="N733" s="199">
        <v>600</v>
      </c>
      <c r="O733" s="199">
        <f t="shared" si="90"/>
        <v>1913404</v>
      </c>
      <c r="P733" s="208">
        <v>0</v>
      </c>
      <c r="Q733" s="199">
        <v>0</v>
      </c>
      <c r="R733" s="200">
        <v>0</v>
      </c>
      <c r="S733" s="209">
        <v>0</v>
      </c>
      <c r="T733" s="208">
        <v>0</v>
      </c>
      <c r="U733" s="289">
        <v>0</v>
      </c>
      <c r="V733" s="282"/>
      <c r="W733" s="282">
        <f t="shared" si="91"/>
        <v>3189.0066666666667</v>
      </c>
      <c r="X733" s="282"/>
    </row>
    <row r="734" spans="1:35" ht="15.75">
      <c r="A734" s="198">
        <v>172</v>
      </c>
      <c r="B734" s="941" t="s">
        <v>952</v>
      </c>
      <c r="C734" s="196">
        <f>'часть 1'!L757</f>
        <v>2563779</v>
      </c>
      <c r="D734" s="196">
        <v>0</v>
      </c>
      <c r="E734" s="196">
        <v>0</v>
      </c>
      <c r="F734" s="196">
        <v>0</v>
      </c>
      <c r="G734" s="196">
        <v>0</v>
      </c>
      <c r="H734" s="196">
        <v>0</v>
      </c>
      <c r="I734" s="196">
        <v>0</v>
      </c>
      <c r="J734" s="196">
        <v>0</v>
      </c>
      <c r="K734" s="196">
        <v>0</v>
      </c>
      <c r="L734" s="207">
        <v>0</v>
      </c>
      <c r="M734" s="199">
        <v>0</v>
      </c>
      <c r="N734" s="199">
        <v>1024</v>
      </c>
      <c r="O734" s="199">
        <f t="shared" si="90"/>
        <v>2563779</v>
      </c>
      <c r="P734" s="208">
        <v>0</v>
      </c>
      <c r="Q734" s="199">
        <v>0</v>
      </c>
      <c r="R734" s="200">
        <v>0</v>
      </c>
      <c r="S734" s="209">
        <v>0</v>
      </c>
      <c r="T734" s="208">
        <v>0</v>
      </c>
      <c r="U734" s="289">
        <v>0</v>
      </c>
      <c r="V734" s="282"/>
      <c r="W734" s="282">
        <f t="shared" si="91"/>
        <v>2503.6904296875</v>
      </c>
      <c r="X734" s="282"/>
    </row>
    <row r="735" spans="1:35" ht="15.75">
      <c r="A735" s="198">
        <v>173</v>
      </c>
      <c r="B735" s="941" t="s">
        <v>953</v>
      </c>
      <c r="C735" s="196">
        <f>'часть 1'!L758</f>
        <v>1211476</v>
      </c>
      <c r="D735" s="196">
        <v>0</v>
      </c>
      <c r="E735" s="196">
        <v>0</v>
      </c>
      <c r="F735" s="196">
        <v>0</v>
      </c>
      <c r="G735" s="196">
        <v>0</v>
      </c>
      <c r="H735" s="196">
        <v>0</v>
      </c>
      <c r="I735" s="196">
        <v>0</v>
      </c>
      <c r="J735" s="196">
        <v>0</v>
      </c>
      <c r="K735" s="196">
        <v>0</v>
      </c>
      <c r="L735" s="207">
        <v>0</v>
      </c>
      <c r="M735" s="199">
        <v>0</v>
      </c>
      <c r="N735" s="199">
        <v>373.39</v>
      </c>
      <c r="O735" s="199">
        <f t="shared" si="90"/>
        <v>1211476</v>
      </c>
      <c r="P735" s="208">
        <v>0</v>
      </c>
      <c r="Q735" s="199">
        <v>0</v>
      </c>
      <c r="R735" s="200">
        <v>0</v>
      </c>
      <c r="S735" s="209">
        <v>0</v>
      </c>
      <c r="T735" s="208">
        <v>0</v>
      </c>
      <c r="U735" s="289">
        <v>0</v>
      </c>
      <c r="V735" s="282"/>
      <c r="W735" s="282">
        <f t="shared" si="91"/>
        <v>3244.5325263129703</v>
      </c>
      <c r="X735" s="282"/>
    </row>
    <row r="736" spans="1:35" ht="15.75">
      <c r="A736" s="198">
        <v>174</v>
      </c>
      <c r="B736" s="941" t="s">
        <v>954</v>
      </c>
      <c r="C736" s="196">
        <f>'часть 1'!L759</f>
        <v>3154876</v>
      </c>
      <c r="D736" s="196">
        <v>0</v>
      </c>
      <c r="E736" s="196">
        <v>0</v>
      </c>
      <c r="F736" s="196">
        <v>0</v>
      </c>
      <c r="G736" s="196">
        <v>0</v>
      </c>
      <c r="H736" s="196">
        <v>0</v>
      </c>
      <c r="I736" s="196">
        <v>0</v>
      </c>
      <c r="J736" s="196">
        <v>0</v>
      </c>
      <c r="K736" s="196">
        <v>0</v>
      </c>
      <c r="L736" s="207">
        <v>0</v>
      </c>
      <c r="M736" s="199">
        <v>0</v>
      </c>
      <c r="N736" s="199">
        <v>997</v>
      </c>
      <c r="O736" s="199">
        <f t="shared" si="90"/>
        <v>3154876</v>
      </c>
      <c r="P736" s="208">
        <v>0</v>
      </c>
      <c r="Q736" s="199">
        <v>0</v>
      </c>
      <c r="R736" s="200">
        <v>0</v>
      </c>
      <c r="S736" s="209">
        <v>0</v>
      </c>
      <c r="T736" s="208">
        <v>0</v>
      </c>
      <c r="U736" s="289">
        <v>0</v>
      </c>
      <c r="V736" s="282"/>
      <c r="W736" s="282">
        <f t="shared" si="91"/>
        <v>3164.3691073219661</v>
      </c>
      <c r="X736" s="282"/>
    </row>
    <row r="737" spans="1:27" ht="15.75">
      <c r="A737" s="198">
        <v>175</v>
      </c>
      <c r="B737" s="941" t="s">
        <v>955</v>
      </c>
      <c r="C737" s="196">
        <f>'часть 1'!L760</f>
        <v>869705</v>
      </c>
      <c r="D737" s="196">
        <v>0</v>
      </c>
      <c r="E737" s="196">
        <v>0</v>
      </c>
      <c r="F737" s="196">
        <v>0</v>
      </c>
      <c r="G737" s="196">
        <v>0</v>
      </c>
      <c r="H737" s="196">
        <v>0</v>
      </c>
      <c r="I737" s="196">
        <v>0</v>
      </c>
      <c r="J737" s="196">
        <v>0</v>
      </c>
      <c r="K737" s="196">
        <v>0</v>
      </c>
      <c r="L737" s="207">
        <v>0</v>
      </c>
      <c r="M737" s="199">
        <v>0</v>
      </c>
      <c r="N737" s="199">
        <v>269</v>
      </c>
      <c r="O737" s="199">
        <f t="shared" si="90"/>
        <v>869705</v>
      </c>
      <c r="P737" s="208">
        <v>0</v>
      </c>
      <c r="Q737" s="199">
        <v>0</v>
      </c>
      <c r="R737" s="200">
        <v>0</v>
      </c>
      <c r="S737" s="209">
        <v>0</v>
      </c>
      <c r="T737" s="208">
        <v>0</v>
      </c>
      <c r="U737" s="289">
        <v>0</v>
      </c>
      <c r="V737" s="282"/>
      <c r="W737" s="282">
        <f t="shared" si="91"/>
        <v>3233.1040892193309</v>
      </c>
      <c r="X737" s="282"/>
    </row>
    <row r="738" spans="1:27" ht="15.75">
      <c r="A738" s="198"/>
      <c r="B738" s="941" t="s">
        <v>956</v>
      </c>
      <c r="C738" s="196">
        <f>'часть 1'!L761</f>
        <v>1873863</v>
      </c>
      <c r="D738" s="196">
        <v>0</v>
      </c>
      <c r="E738" s="196">
        <v>0</v>
      </c>
      <c r="F738" s="196">
        <v>0</v>
      </c>
      <c r="G738" s="196">
        <v>0</v>
      </c>
      <c r="H738" s="196">
        <v>0</v>
      </c>
      <c r="I738" s="196">
        <v>0</v>
      </c>
      <c r="J738" s="196">
        <v>0</v>
      </c>
      <c r="K738" s="196">
        <v>0</v>
      </c>
      <c r="L738" s="207">
        <v>0</v>
      </c>
      <c r="M738" s="199">
        <v>0</v>
      </c>
      <c r="N738" s="199">
        <v>585</v>
      </c>
      <c r="O738" s="199">
        <f t="shared" si="90"/>
        <v>1873863</v>
      </c>
      <c r="P738" s="208">
        <v>0</v>
      </c>
      <c r="Q738" s="199">
        <v>0</v>
      </c>
      <c r="R738" s="200">
        <v>0</v>
      </c>
      <c r="S738" s="209">
        <v>0</v>
      </c>
      <c r="T738" s="208">
        <v>0</v>
      </c>
      <c r="U738" s="289">
        <v>0</v>
      </c>
      <c r="V738" s="282"/>
      <c r="W738" s="282">
        <f t="shared" si="91"/>
        <v>3203.1846153846154</v>
      </c>
      <c r="X738" s="282"/>
    </row>
    <row r="739" spans="1:27" ht="15.75">
      <c r="A739" s="198"/>
      <c r="B739" s="941" t="s">
        <v>957</v>
      </c>
      <c r="C739" s="196">
        <f>'часть 1'!L762</f>
        <v>1044244</v>
      </c>
      <c r="D739" s="196">
        <v>0</v>
      </c>
      <c r="E739" s="196">
        <v>0</v>
      </c>
      <c r="F739" s="196">
        <v>0</v>
      </c>
      <c r="G739" s="196">
        <v>0</v>
      </c>
      <c r="H739" s="196">
        <v>0</v>
      </c>
      <c r="I739" s="196">
        <v>0</v>
      </c>
      <c r="J739" s="196">
        <v>0</v>
      </c>
      <c r="K739" s="196">
        <v>0</v>
      </c>
      <c r="L739" s="207">
        <v>0</v>
      </c>
      <c r="M739" s="199">
        <v>0</v>
      </c>
      <c r="N739" s="199">
        <v>320</v>
      </c>
      <c r="O739" s="199">
        <f t="shared" si="90"/>
        <v>1044244</v>
      </c>
      <c r="P739" s="208">
        <v>0</v>
      </c>
      <c r="Q739" s="199">
        <v>0</v>
      </c>
      <c r="R739" s="200">
        <v>0</v>
      </c>
      <c r="S739" s="209">
        <v>0</v>
      </c>
      <c r="T739" s="208">
        <v>0</v>
      </c>
      <c r="U739" s="289">
        <v>0</v>
      </c>
      <c r="V739" s="282"/>
      <c r="W739" s="282">
        <f t="shared" si="91"/>
        <v>3263.2624999999998</v>
      </c>
      <c r="X739" s="282"/>
    </row>
    <row r="740" spans="1:27" ht="15.75">
      <c r="A740" s="198"/>
      <c r="B740" s="941" t="s">
        <v>958</v>
      </c>
      <c r="C740" s="196">
        <f>'часть 1'!L763</f>
        <v>831874</v>
      </c>
      <c r="D740" s="196">
        <v>0</v>
      </c>
      <c r="E740" s="196">
        <v>0</v>
      </c>
      <c r="F740" s="196">
        <v>0</v>
      </c>
      <c r="G740" s="196">
        <v>0</v>
      </c>
      <c r="H740" s="196">
        <v>0</v>
      </c>
      <c r="I740" s="196">
        <v>0</v>
      </c>
      <c r="J740" s="196">
        <v>0</v>
      </c>
      <c r="K740" s="196">
        <v>0</v>
      </c>
      <c r="L740" s="207">
        <v>0</v>
      </c>
      <c r="M740" s="199">
        <v>0</v>
      </c>
      <c r="N740" s="199">
        <v>253</v>
      </c>
      <c r="O740" s="199">
        <f t="shared" si="90"/>
        <v>831874</v>
      </c>
      <c r="P740" s="208">
        <v>0</v>
      </c>
      <c r="Q740" s="199">
        <v>0</v>
      </c>
      <c r="R740" s="200">
        <v>0</v>
      </c>
      <c r="S740" s="209">
        <v>0</v>
      </c>
      <c r="T740" s="208">
        <v>0</v>
      </c>
      <c r="U740" s="289">
        <v>0</v>
      </c>
      <c r="V740" s="282"/>
      <c r="W740" s="282">
        <f t="shared" si="91"/>
        <v>3288.0395256916995</v>
      </c>
      <c r="X740" s="282"/>
    </row>
    <row r="741" spans="1:27" ht="15.75">
      <c r="A741" s="198"/>
      <c r="B741" s="941" t="s">
        <v>959</v>
      </c>
      <c r="C741" s="196">
        <f>'часть 1'!L764</f>
        <v>1249958</v>
      </c>
      <c r="D741" s="196">
        <v>0</v>
      </c>
      <c r="E741" s="196">
        <v>0</v>
      </c>
      <c r="F741" s="196">
        <v>0</v>
      </c>
      <c r="G741" s="196">
        <v>0</v>
      </c>
      <c r="H741" s="196">
        <v>0</v>
      </c>
      <c r="I741" s="196">
        <v>0</v>
      </c>
      <c r="J741" s="196">
        <v>0</v>
      </c>
      <c r="K741" s="196">
        <v>0</v>
      </c>
      <c r="L741" s="207">
        <v>0</v>
      </c>
      <c r="M741" s="199">
        <v>0</v>
      </c>
      <c r="N741" s="199">
        <v>390</v>
      </c>
      <c r="O741" s="199">
        <f t="shared" si="90"/>
        <v>1249958</v>
      </c>
      <c r="P741" s="208">
        <v>0</v>
      </c>
      <c r="Q741" s="199">
        <v>0</v>
      </c>
      <c r="R741" s="200">
        <v>0</v>
      </c>
      <c r="S741" s="209">
        <v>0</v>
      </c>
      <c r="T741" s="208">
        <v>0</v>
      </c>
      <c r="U741" s="289">
        <v>0</v>
      </c>
      <c r="V741" s="282"/>
      <c r="W741" s="282">
        <f t="shared" si="91"/>
        <v>3205.020512820513</v>
      </c>
      <c r="X741" s="282"/>
    </row>
    <row r="742" spans="1:27" ht="15.75">
      <c r="A742" s="198"/>
      <c r="B742" s="941" t="s">
        <v>960</v>
      </c>
      <c r="C742" s="196">
        <f>'часть 1'!L765</f>
        <v>1054021</v>
      </c>
      <c r="D742" s="196">
        <v>0</v>
      </c>
      <c r="E742" s="196">
        <v>0</v>
      </c>
      <c r="F742" s="196">
        <v>0</v>
      </c>
      <c r="G742" s="196">
        <v>0</v>
      </c>
      <c r="H742" s="196">
        <v>0</v>
      </c>
      <c r="I742" s="196">
        <v>0</v>
      </c>
      <c r="J742" s="196">
        <v>0</v>
      </c>
      <c r="K742" s="196">
        <v>0</v>
      </c>
      <c r="L742" s="207">
        <v>0</v>
      </c>
      <c r="M742" s="199">
        <v>0</v>
      </c>
      <c r="N742" s="199">
        <v>327.60000000000002</v>
      </c>
      <c r="O742" s="199">
        <f t="shared" si="90"/>
        <v>1054021</v>
      </c>
      <c r="P742" s="208">
        <v>0</v>
      </c>
      <c r="Q742" s="199">
        <v>0</v>
      </c>
      <c r="R742" s="200">
        <v>0</v>
      </c>
      <c r="S742" s="209">
        <v>0</v>
      </c>
      <c r="T742" s="208">
        <v>0</v>
      </c>
      <c r="U742" s="289">
        <v>0</v>
      </c>
      <c r="V742" s="282"/>
      <c r="W742" s="282">
        <f t="shared" si="91"/>
        <v>3217.4023199023195</v>
      </c>
      <c r="X742" s="282"/>
    </row>
    <row r="743" spans="1:27" ht="15.75">
      <c r="A743" s="198">
        <v>176</v>
      </c>
      <c r="B743" s="941" t="s">
        <v>961</v>
      </c>
      <c r="C743" s="196">
        <f>'часть 1'!L766</f>
        <v>565045</v>
      </c>
      <c r="D743" s="196">
        <v>0</v>
      </c>
      <c r="E743" s="196">
        <v>0</v>
      </c>
      <c r="F743" s="196">
        <v>0</v>
      </c>
      <c r="G743" s="196">
        <v>0</v>
      </c>
      <c r="H743" s="196">
        <v>0</v>
      </c>
      <c r="I743" s="196">
        <v>0</v>
      </c>
      <c r="J743" s="196">
        <v>0</v>
      </c>
      <c r="K743" s="196">
        <v>0</v>
      </c>
      <c r="L743" s="207">
        <v>0</v>
      </c>
      <c r="M743" s="199">
        <v>0</v>
      </c>
      <c r="N743" s="199">
        <v>172</v>
      </c>
      <c r="O743" s="199">
        <f t="shared" si="90"/>
        <v>565045</v>
      </c>
      <c r="P743" s="208">
        <v>0</v>
      </c>
      <c r="Q743" s="199">
        <v>0</v>
      </c>
      <c r="R743" s="200">
        <v>0</v>
      </c>
      <c r="S743" s="209">
        <v>0</v>
      </c>
      <c r="T743" s="208">
        <v>0</v>
      </c>
      <c r="U743" s="289">
        <v>0</v>
      </c>
      <c r="V743" s="282"/>
      <c r="W743" s="282">
        <f t="shared" si="91"/>
        <v>3285.1453488372094</v>
      </c>
      <c r="X743" s="282"/>
    </row>
    <row r="744" spans="1:27" ht="18.75" customHeight="1">
      <c r="A744" s="487"/>
      <c r="B744" s="506" t="s">
        <v>92</v>
      </c>
      <c r="C744" s="489">
        <f>C745+C746</f>
        <v>1681461</v>
      </c>
      <c r="D744" s="489">
        <f t="shared" ref="D744:V744" si="92">D745+D746</f>
        <v>409319</v>
      </c>
      <c r="E744" s="489">
        <f t="shared" si="92"/>
        <v>0</v>
      </c>
      <c r="F744" s="489">
        <f t="shared" si="92"/>
        <v>409319</v>
      </c>
      <c r="G744" s="489">
        <f t="shared" si="92"/>
        <v>0</v>
      </c>
      <c r="H744" s="489">
        <f t="shared" si="92"/>
        <v>0</v>
      </c>
      <c r="I744" s="489">
        <f t="shared" si="92"/>
        <v>0</v>
      </c>
      <c r="J744" s="489">
        <f t="shared" si="92"/>
        <v>0</v>
      </c>
      <c r="K744" s="489">
        <f t="shared" si="92"/>
        <v>0</v>
      </c>
      <c r="L744" s="489">
        <f t="shared" si="92"/>
        <v>0</v>
      </c>
      <c r="M744" s="489">
        <f t="shared" si="92"/>
        <v>0</v>
      </c>
      <c r="N744" s="489">
        <f t="shared" si="92"/>
        <v>396.5</v>
      </c>
      <c r="O744" s="489">
        <f t="shared" si="92"/>
        <v>1272142</v>
      </c>
      <c r="P744" s="489">
        <f t="shared" si="92"/>
        <v>0</v>
      </c>
      <c r="Q744" s="489">
        <f t="shared" si="92"/>
        <v>0</v>
      </c>
      <c r="R744" s="489">
        <f t="shared" si="92"/>
        <v>0</v>
      </c>
      <c r="S744" s="489">
        <f t="shared" si="92"/>
        <v>0</v>
      </c>
      <c r="T744" s="489">
        <f t="shared" si="92"/>
        <v>0</v>
      </c>
      <c r="U744" s="489">
        <f t="shared" si="92"/>
        <v>0</v>
      </c>
      <c r="V744" s="196">
        <f t="shared" si="92"/>
        <v>0</v>
      </c>
      <c r="W744" s="282"/>
      <c r="X744" s="282"/>
    </row>
    <row r="745" spans="1:27" ht="18.75" customHeight="1">
      <c r="A745" s="487"/>
      <c r="B745" s="506" t="s">
        <v>647</v>
      </c>
      <c r="C745" s="489">
        <f>'часть 1'!L768</f>
        <v>409319</v>
      </c>
      <c r="D745" s="489">
        <f>E745+F745+G745+H745+I745+J745+K745</f>
        <v>409319</v>
      </c>
      <c r="E745" s="489">
        <v>0</v>
      </c>
      <c r="F745" s="489">
        <v>409319</v>
      </c>
      <c r="G745" s="489">
        <v>0</v>
      </c>
      <c r="H745" s="489">
        <v>0</v>
      </c>
      <c r="I745" s="489">
        <v>0</v>
      </c>
      <c r="J745" s="489">
        <v>0</v>
      </c>
      <c r="K745" s="489">
        <v>0</v>
      </c>
      <c r="L745" s="500">
        <v>0</v>
      </c>
      <c r="M745" s="489">
        <v>0</v>
      </c>
      <c r="N745" s="489">
        <v>0</v>
      </c>
      <c r="O745" s="489">
        <v>0</v>
      </c>
      <c r="P745" s="500">
        <v>0</v>
      </c>
      <c r="Q745" s="489">
        <v>0</v>
      </c>
      <c r="R745" s="490">
        <v>0</v>
      </c>
      <c r="S745" s="489">
        <v>0</v>
      </c>
      <c r="T745" s="500">
        <v>0</v>
      </c>
      <c r="U745" s="491">
        <v>0</v>
      </c>
      <c r="V745" s="282"/>
      <c r="W745" s="282"/>
      <c r="X745" s="282"/>
      <c r="AA745" s="1">
        <f>F745/'часть 1'!I768</f>
        <v>1035.7262145748989</v>
      </c>
    </row>
    <row r="746" spans="1:27">
      <c r="A746" s="487">
        <v>177</v>
      </c>
      <c r="B746" s="506" t="s">
        <v>648</v>
      </c>
      <c r="C746" s="489">
        <f>'часть 1'!L769</f>
        <v>1272142</v>
      </c>
      <c r="D746" s="489">
        <f>E746+F746+G746+H746+I746+J746+K746</f>
        <v>0</v>
      </c>
      <c r="E746" s="489">
        <v>0</v>
      </c>
      <c r="F746" s="489">
        <v>0</v>
      </c>
      <c r="G746" s="489">
        <v>0</v>
      </c>
      <c r="H746" s="489">
        <v>0</v>
      </c>
      <c r="I746" s="489">
        <v>0</v>
      </c>
      <c r="J746" s="489">
        <v>0</v>
      </c>
      <c r="K746" s="489">
        <v>0</v>
      </c>
      <c r="L746" s="500">
        <v>0</v>
      </c>
      <c r="M746" s="492">
        <v>0</v>
      </c>
      <c r="N746" s="557">
        <v>396.5</v>
      </c>
      <c r="O746" s="492">
        <v>1272142</v>
      </c>
      <c r="P746" s="493">
        <v>0</v>
      </c>
      <c r="Q746" s="492">
        <v>0</v>
      </c>
      <c r="R746" s="494">
        <v>0</v>
      </c>
      <c r="S746" s="495">
        <v>0</v>
      </c>
      <c r="T746" s="493">
        <v>0</v>
      </c>
      <c r="U746" s="903">
        <v>0</v>
      </c>
      <c r="V746" s="282"/>
      <c r="W746" s="282">
        <f>O746/N746</f>
        <v>3208.4287515762926</v>
      </c>
      <c r="X746" s="282"/>
    </row>
    <row r="747" spans="1:27" ht="18.75" customHeight="1">
      <c r="A747" s="487"/>
      <c r="B747" s="488" t="s">
        <v>93</v>
      </c>
      <c r="C747" s="489">
        <f>C748+C749</f>
        <v>4013524</v>
      </c>
      <c r="D747" s="489">
        <f t="shared" ref="D747:U747" si="93">D748+D749</f>
        <v>0</v>
      </c>
      <c r="E747" s="489">
        <f t="shared" si="93"/>
        <v>0</v>
      </c>
      <c r="F747" s="489">
        <f t="shared" si="93"/>
        <v>0</v>
      </c>
      <c r="G747" s="489">
        <f t="shared" si="93"/>
        <v>0</v>
      </c>
      <c r="H747" s="489">
        <f t="shared" si="93"/>
        <v>0</v>
      </c>
      <c r="I747" s="489">
        <f t="shared" si="93"/>
        <v>0</v>
      </c>
      <c r="J747" s="489">
        <f t="shared" si="93"/>
        <v>0</v>
      </c>
      <c r="K747" s="489">
        <f t="shared" si="93"/>
        <v>0</v>
      </c>
      <c r="L747" s="489">
        <f t="shared" si="93"/>
        <v>0</v>
      </c>
      <c r="M747" s="489">
        <f t="shared" si="93"/>
        <v>0</v>
      </c>
      <c r="N747" s="489">
        <f t="shared" si="93"/>
        <v>1514.82</v>
      </c>
      <c r="O747" s="489">
        <f t="shared" si="93"/>
        <v>4013524</v>
      </c>
      <c r="P747" s="489">
        <f t="shared" si="93"/>
        <v>0</v>
      </c>
      <c r="Q747" s="489">
        <f t="shared" si="93"/>
        <v>0</v>
      </c>
      <c r="R747" s="489">
        <f t="shared" si="93"/>
        <v>0</v>
      </c>
      <c r="S747" s="489">
        <f t="shared" si="93"/>
        <v>0</v>
      </c>
      <c r="T747" s="489">
        <f t="shared" si="93"/>
        <v>0</v>
      </c>
      <c r="U747" s="489">
        <f t="shared" si="93"/>
        <v>0</v>
      </c>
      <c r="V747" s="282"/>
      <c r="W747" s="282"/>
      <c r="X747" s="282"/>
    </row>
    <row r="748" spans="1:27" s="23" customFormat="1">
      <c r="A748" s="487">
        <v>178</v>
      </c>
      <c r="B748" s="700" t="s">
        <v>788</v>
      </c>
      <c r="C748" s="498">
        <f>'часть 1'!L771</f>
        <v>2978035</v>
      </c>
      <c r="D748" s="498">
        <v>0</v>
      </c>
      <c r="E748" s="498">
        <v>0</v>
      </c>
      <c r="F748" s="498">
        <v>0</v>
      </c>
      <c r="G748" s="498">
        <v>0</v>
      </c>
      <c r="H748" s="498">
        <v>0</v>
      </c>
      <c r="I748" s="498">
        <v>0</v>
      </c>
      <c r="J748" s="498">
        <v>0</v>
      </c>
      <c r="K748" s="498">
        <v>0</v>
      </c>
      <c r="L748" s="502">
        <v>0</v>
      </c>
      <c r="M748" s="498">
        <v>0</v>
      </c>
      <c r="N748" s="498">
        <v>1190.5</v>
      </c>
      <c r="O748" s="498">
        <v>2978035</v>
      </c>
      <c r="P748" s="502">
        <v>0</v>
      </c>
      <c r="Q748" s="498">
        <v>0</v>
      </c>
      <c r="R748" s="503">
        <v>0</v>
      </c>
      <c r="S748" s="498">
        <v>0</v>
      </c>
      <c r="T748" s="502">
        <v>0</v>
      </c>
      <c r="U748" s="504">
        <v>0</v>
      </c>
      <c r="V748" s="282"/>
      <c r="W748" s="282">
        <f>O748/N748</f>
        <v>2501.4993700125997</v>
      </c>
      <c r="X748" s="282"/>
    </row>
    <row r="749" spans="1:27" s="23" customFormat="1">
      <c r="A749" s="487">
        <v>179</v>
      </c>
      <c r="B749" s="700" t="s">
        <v>789</v>
      </c>
      <c r="C749" s="498">
        <f>'часть 1'!L772</f>
        <v>1035489</v>
      </c>
      <c r="D749" s="498">
        <v>0</v>
      </c>
      <c r="E749" s="498">
        <v>0</v>
      </c>
      <c r="F749" s="498">
        <v>0</v>
      </c>
      <c r="G749" s="498">
        <v>0</v>
      </c>
      <c r="H749" s="498">
        <v>0</v>
      </c>
      <c r="I749" s="498">
        <v>0</v>
      </c>
      <c r="J749" s="498">
        <v>0</v>
      </c>
      <c r="K749" s="498">
        <v>0</v>
      </c>
      <c r="L749" s="502">
        <v>0</v>
      </c>
      <c r="M749" s="498">
        <v>0</v>
      </c>
      <c r="N749" s="498">
        <v>324.32</v>
      </c>
      <c r="O749" s="498">
        <v>1035489</v>
      </c>
      <c r="P749" s="502">
        <v>0</v>
      </c>
      <c r="Q749" s="498">
        <v>0</v>
      </c>
      <c r="R749" s="503">
        <v>0</v>
      </c>
      <c r="S749" s="498">
        <v>0</v>
      </c>
      <c r="T749" s="502">
        <v>0</v>
      </c>
      <c r="U749" s="504">
        <v>0</v>
      </c>
      <c r="V749" s="282"/>
      <c r="W749" s="282">
        <f>O749/N749</f>
        <v>3192.8003206709423</v>
      </c>
      <c r="X749" s="282"/>
    </row>
    <row r="750" spans="1:27" s="23" customFormat="1">
      <c r="A750" s="487"/>
      <c r="B750" s="700"/>
      <c r="C750" s="498"/>
      <c r="D750" s="498"/>
      <c r="E750" s="498"/>
      <c r="F750" s="498"/>
      <c r="G750" s="498"/>
      <c r="H750" s="498"/>
      <c r="I750" s="498"/>
      <c r="J750" s="498"/>
      <c r="K750" s="498"/>
      <c r="L750" s="502"/>
      <c r="M750" s="498"/>
      <c r="N750" s="498"/>
      <c r="O750" s="498"/>
      <c r="P750" s="502"/>
      <c r="Q750" s="498"/>
      <c r="R750" s="503"/>
      <c r="S750" s="498"/>
      <c r="T750" s="502"/>
      <c r="U750" s="504"/>
      <c r="V750" s="282"/>
      <c r="W750" s="282"/>
      <c r="X750" s="282"/>
    </row>
    <row r="751" spans="1:27" s="23" customFormat="1">
      <c r="A751" s="487"/>
      <c r="B751" s="700"/>
      <c r="C751" s="498"/>
      <c r="D751" s="498"/>
      <c r="E751" s="498"/>
      <c r="F751" s="498"/>
      <c r="G751" s="498"/>
      <c r="H751" s="498"/>
      <c r="I751" s="498"/>
      <c r="J751" s="498"/>
      <c r="K751" s="498"/>
      <c r="L751" s="502"/>
      <c r="M751" s="498"/>
      <c r="N751" s="498"/>
      <c r="O751" s="498"/>
      <c r="P751" s="502"/>
      <c r="Q751" s="498"/>
      <c r="R751" s="503"/>
      <c r="S751" s="498"/>
      <c r="T751" s="502"/>
      <c r="U751" s="504"/>
      <c r="V751" s="282"/>
      <c r="W751" s="282"/>
      <c r="X751" s="282"/>
    </row>
    <row r="752" spans="1:27" s="23" customFormat="1">
      <c r="A752" s="487"/>
      <c r="B752" s="700"/>
      <c r="C752" s="498"/>
      <c r="D752" s="498"/>
      <c r="E752" s="498"/>
      <c r="F752" s="498"/>
      <c r="G752" s="498"/>
      <c r="H752" s="498"/>
      <c r="I752" s="498"/>
      <c r="J752" s="498"/>
      <c r="K752" s="498"/>
      <c r="L752" s="502"/>
      <c r="M752" s="498"/>
      <c r="N752" s="498"/>
      <c r="O752" s="498"/>
      <c r="P752" s="502"/>
      <c r="Q752" s="498"/>
      <c r="R752" s="503"/>
      <c r="S752" s="498"/>
      <c r="T752" s="502"/>
      <c r="U752" s="504"/>
      <c r="V752" s="282"/>
      <c r="W752" s="282"/>
      <c r="X752" s="282"/>
    </row>
    <row r="753" spans="1:24" s="23" customFormat="1">
      <c r="A753" s="487"/>
      <c r="B753" s="700"/>
      <c r="C753" s="498"/>
      <c r="D753" s="498"/>
      <c r="E753" s="498"/>
      <c r="F753" s="498"/>
      <c r="G753" s="498"/>
      <c r="H753" s="498"/>
      <c r="I753" s="498"/>
      <c r="J753" s="498"/>
      <c r="K753" s="498"/>
      <c r="L753" s="502"/>
      <c r="M753" s="498"/>
      <c r="N753" s="498"/>
      <c r="O753" s="498"/>
      <c r="P753" s="502"/>
      <c r="Q753" s="498"/>
      <c r="R753" s="503"/>
      <c r="S753" s="498"/>
      <c r="T753" s="502"/>
      <c r="U753" s="504"/>
      <c r="V753" s="282"/>
      <c r="W753" s="282"/>
      <c r="X753" s="282"/>
    </row>
    <row r="754" spans="1:24" s="23" customFormat="1">
      <c r="A754" s="487"/>
      <c r="B754" s="700"/>
      <c r="C754" s="498"/>
      <c r="D754" s="498"/>
      <c r="E754" s="498"/>
      <c r="F754" s="498"/>
      <c r="G754" s="498"/>
      <c r="H754" s="498"/>
      <c r="I754" s="498"/>
      <c r="J754" s="498"/>
      <c r="K754" s="498"/>
      <c r="L754" s="502"/>
      <c r="M754" s="498"/>
      <c r="N754" s="498"/>
      <c r="O754" s="498"/>
      <c r="P754" s="502"/>
      <c r="Q754" s="498"/>
      <c r="R754" s="503"/>
      <c r="S754" s="498"/>
      <c r="T754" s="502"/>
      <c r="U754" s="504"/>
      <c r="V754" s="282"/>
      <c r="W754" s="282"/>
      <c r="X754" s="282"/>
    </row>
    <row r="755" spans="1:24" s="23" customFormat="1">
      <c r="A755" s="487"/>
      <c r="B755" s="700"/>
      <c r="C755" s="498"/>
      <c r="D755" s="498"/>
      <c r="E755" s="498"/>
      <c r="F755" s="498"/>
      <c r="G755" s="498"/>
      <c r="H755" s="498"/>
      <c r="I755" s="498"/>
      <c r="J755" s="498"/>
      <c r="K755" s="498"/>
      <c r="L755" s="502"/>
      <c r="M755" s="498"/>
      <c r="N755" s="498"/>
      <c r="O755" s="498"/>
      <c r="P755" s="502"/>
      <c r="Q755" s="498"/>
      <c r="R755" s="503"/>
      <c r="S755" s="498"/>
      <c r="T755" s="502"/>
      <c r="U755" s="504"/>
      <c r="V755" s="282"/>
      <c r="W755" s="282"/>
      <c r="X755" s="282"/>
    </row>
    <row r="756" spans="1:24" s="23" customFormat="1">
      <c r="A756" s="487"/>
      <c r="B756" s="700"/>
      <c r="C756" s="498"/>
      <c r="D756" s="498"/>
      <c r="E756" s="498"/>
      <c r="F756" s="498"/>
      <c r="G756" s="498"/>
      <c r="H756" s="498"/>
      <c r="I756" s="498"/>
      <c r="J756" s="498"/>
      <c r="K756" s="498"/>
      <c r="L756" s="502"/>
      <c r="M756" s="498"/>
      <c r="N756" s="498"/>
      <c r="O756" s="498"/>
      <c r="P756" s="502"/>
      <c r="Q756" s="498"/>
      <c r="R756" s="503"/>
      <c r="S756" s="498"/>
      <c r="T756" s="502"/>
      <c r="U756" s="504"/>
      <c r="V756" s="282"/>
      <c r="W756" s="282"/>
      <c r="X756" s="282"/>
    </row>
    <row r="757" spans="1:24" s="23" customFormat="1">
      <c r="A757" s="487"/>
      <c r="B757" s="700"/>
      <c r="C757" s="498"/>
      <c r="D757" s="498"/>
      <c r="E757" s="498"/>
      <c r="F757" s="498"/>
      <c r="G757" s="498"/>
      <c r="H757" s="498"/>
      <c r="I757" s="498"/>
      <c r="J757" s="498"/>
      <c r="K757" s="498"/>
      <c r="L757" s="502"/>
      <c r="M757" s="498"/>
      <c r="N757" s="498"/>
      <c r="O757" s="498"/>
      <c r="P757" s="502"/>
      <c r="Q757" s="498"/>
      <c r="R757" s="503"/>
      <c r="S757" s="498"/>
      <c r="T757" s="502"/>
      <c r="U757" s="504"/>
      <c r="V757" s="282"/>
      <c r="W757" s="282"/>
      <c r="X757" s="282"/>
    </row>
    <row r="758" spans="1:24" s="23" customFormat="1">
      <c r="A758" s="487"/>
      <c r="B758" s="700"/>
      <c r="C758" s="498"/>
      <c r="D758" s="498"/>
      <c r="E758" s="498"/>
      <c r="F758" s="498"/>
      <c r="G758" s="498"/>
      <c r="H758" s="498"/>
      <c r="I758" s="498"/>
      <c r="J758" s="498"/>
      <c r="K758" s="498"/>
      <c r="L758" s="502"/>
      <c r="M758" s="498"/>
      <c r="N758" s="498"/>
      <c r="O758" s="498"/>
      <c r="P758" s="502"/>
      <c r="Q758" s="498"/>
      <c r="R758" s="503"/>
      <c r="S758" s="498"/>
      <c r="T758" s="502"/>
      <c r="U758" s="504"/>
      <c r="V758" s="282"/>
      <c r="W758" s="282"/>
      <c r="X758" s="282"/>
    </row>
    <row r="759" spans="1:24" s="23" customFormat="1">
      <c r="A759" s="487"/>
      <c r="B759" s="700"/>
      <c r="C759" s="498"/>
      <c r="D759" s="498"/>
      <c r="E759" s="498"/>
      <c r="F759" s="498"/>
      <c r="G759" s="498"/>
      <c r="H759" s="498"/>
      <c r="I759" s="498"/>
      <c r="J759" s="498"/>
      <c r="K759" s="498"/>
      <c r="L759" s="502"/>
      <c r="M759" s="498"/>
      <c r="N759" s="498"/>
      <c r="O759" s="498"/>
      <c r="P759" s="502"/>
      <c r="Q759" s="498"/>
      <c r="R759" s="503"/>
      <c r="S759" s="498"/>
      <c r="T759" s="502"/>
      <c r="U759" s="504"/>
      <c r="V759" s="282"/>
      <c r="W759" s="282"/>
      <c r="X759" s="282"/>
    </row>
    <row r="760" spans="1:24" s="23" customFormat="1">
      <c r="A760" s="487"/>
      <c r="B760" s="700"/>
      <c r="C760" s="498"/>
      <c r="D760" s="498"/>
      <c r="E760" s="498"/>
      <c r="F760" s="498"/>
      <c r="G760" s="498"/>
      <c r="H760" s="498"/>
      <c r="I760" s="498"/>
      <c r="J760" s="498"/>
      <c r="K760" s="498"/>
      <c r="L760" s="502"/>
      <c r="M760" s="498"/>
      <c r="N760" s="498"/>
      <c r="O760" s="498"/>
      <c r="P760" s="502"/>
      <c r="Q760" s="498"/>
      <c r="R760" s="503"/>
      <c r="S760" s="498"/>
      <c r="T760" s="502"/>
      <c r="U760" s="504"/>
      <c r="V760" s="282"/>
      <c r="W760" s="282"/>
      <c r="X760" s="282"/>
    </row>
    <row r="761" spans="1:24" s="23" customFormat="1">
      <c r="A761" s="487"/>
      <c r="B761" s="700"/>
      <c r="C761" s="498"/>
      <c r="D761" s="498"/>
      <c r="E761" s="498"/>
      <c r="F761" s="498"/>
      <c r="G761" s="498"/>
      <c r="H761" s="498"/>
      <c r="I761" s="498"/>
      <c r="J761" s="498"/>
      <c r="K761" s="498"/>
      <c r="L761" s="502"/>
      <c r="M761" s="498"/>
      <c r="N761" s="498"/>
      <c r="O761" s="498"/>
      <c r="P761" s="502"/>
      <c r="Q761" s="498"/>
      <c r="R761" s="503"/>
      <c r="S761" s="498"/>
      <c r="T761" s="502"/>
      <c r="U761" s="504"/>
      <c r="V761" s="282"/>
      <c r="W761" s="282"/>
      <c r="X761" s="282"/>
    </row>
    <row r="762" spans="1:24" s="23" customFormat="1">
      <c r="A762" s="487"/>
      <c r="B762" s="700"/>
      <c r="C762" s="498"/>
      <c r="D762" s="498"/>
      <c r="E762" s="498"/>
      <c r="F762" s="498"/>
      <c r="G762" s="498"/>
      <c r="H762" s="498"/>
      <c r="I762" s="498"/>
      <c r="J762" s="498"/>
      <c r="K762" s="498"/>
      <c r="L762" s="502"/>
      <c r="M762" s="498"/>
      <c r="N762" s="498"/>
      <c r="O762" s="498"/>
      <c r="P762" s="502"/>
      <c r="Q762" s="498"/>
      <c r="R762" s="503"/>
      <c r="S762" s="498"/>
      <c r="T762" s="502"/>
      <c r="U762" s="504"/>
      <c r="V762" s="282"/>
      <c r="W762" s="282"/>
      <c r="X762" s="282"/>
    </row>
    <row r="763" spans="1:24" s="23" customFormat="1">
      <c r="A763" s="487"/>
      <c r="B763" s="700"/>
      <c r="C763" s="498"/>
      <c r="D763" s="498"/>
      <c r="E763" s="498"/>
      <c r="F763" s="498"/>
      <c r="G763" s="498"/>
      <c r="H763" s="498"/>
      <c r="I763" s="498"/>
      <c r="J763" s="498"/>
      <c r="K763" s="498"/>
      <c r="L763" s="502"/>
      <c r="M763" s="498"/>
      <c r="N763" s="498"/>
      <c r="O763" s="498"/>
      <c r="P763" s="502"/>
      <c r="Q763" s="498"/>
      <c r="R763" s="503"/>
      <c r="S763" s="498"/>
      <c r="T763" s="502"/>
      <c r="U763" s="504"/>
      <c r="V763" s="282"/>
      <c r="W763" s="282"/>
      <c r="X763" s="282"/>
    </row>
    <row r="764" spans="1:24" s="23" customFormat="1">
      <c r="A764" s="487"/>
      <c r="B764" s="700"/>
      <c r="C764" s="498"/>
      <c r="D764" s="498"/>
      <c r="E764" s="498"/>
      <c r="F764" s="498"/>
      <c r="G764" s="498"/>
      <c r="H764" s="498"/>
      <c r="I764" s="498"/>
      <c r="J764" s="498"/>
      <c r="K764" s="498"/>
      <c r="L764" s="502"/>
      <c r="M764" s="498"/>
      <c r="N764" s="498"/>
      <c r="O764" s="498"/>
      <c r="P764" s="502"/>
      <c r="Q764" s="498"/>
      <c r="R764" s="503"/>
      <c r="S764" s="498"/>
      <c r="T764" s="502"/>
      <c r="U764" s="504"/>
      <c r="V764" s="282"/>
      <c r="W764" s="282"/>
      <c r="X764" s="282"/>
    </row>
    <row r="765" spans="1:24" s="23" customFormat="1">
      <c r="A765" s="487"/>
      <c r="B765" s="700"/>
      <c r="C765" s="498"/>
      <c r="D765" s="498"/>
      <c r="E765" s="498"/>
      <c r="F765" s="498"/>
      <c r="G765" s="498"/>
      <c r="H765" s="498"/>
      <c r="I765" s="498"/>
      <c r="J765" s="498"/>
      <c r="K765" s="498"/>
      <c r="L765" s="502"/>
      <c r="M765" s="498"/>
      <c r="N765" s="498"/>
      <c r="O765" s="498"/>
      <c r="P765" s="502"/>
      <c r="Q765" s="498"/>
      <c r="R765" s="503"/>
      <c r="S765" s="498"/>
      <c r="T765" s="502"/>
      <c r="U765" s="504"/>
      <c r="V765" s="282"/>
      <c r="W765" s="282"/>
      <c r="X765" s="282"/>
    </row>
    <row r="766" spans="1:24" s="23" customFormat="1">
      <c r="A766" s="487"/>
      <c r="B766" s="700"/>
      <c r="C766" s="498"/>
      <c r="D766" s="498"/>
      <c r="E766" s="498"/>
      <c r="F766" s="498"/>
      <c r="G766" s="498"/>
      <c r="H766" s="498"/>
      <c r="I766" s="498"/>
      <c r="J766" s="498"/>
      <c r="K766" s="498"/>
      <c r="L766" s="502"/>
      <c r="M766" s="498"/>
      <c r="N766" s="498"/>
      <c r="O766" s="498"/>
      <c r="P766" s="502"/>
      <c r="Q766" s="498"/>
      <c r="R766" s="503"/>
      <c r="S766" s="498"/>
      <c r="T766" s="502"/>
      <c r="U766" s="504"/>
      <c r="V766" s="282"/>
      <c r="W766" s="282"/>
      <c r="X766" s="282"/>
    </row>
    <row r="767" spans="1:24" s="23" customFormat="1">
      <c r="A767" s="487"/>
      <c r="B767" s="700"/>
      <c r="C767" s="498"/>
      <c r="D767" s="498"/>
      <c r="E767" s="498"/>
      <c r="F767" s="498"/>
      <c r="G767" s="498"/>
      <c r="H767" s="498"/>
      <c r="I767" s="498"/>
      <c r="J767" s="498"/>
      <c r="K767" s="498"/>
      <c r="L767" s="502"/>
      <c r="M767" s="498"/>
      <c r="N767" s="498"/>
      <c r="O767" s="498"/>
      <c r="P767" s="502"/>
      <c r="Q767" s="498"/>
      <c r="R767" s="503"/>
      <c r="S767" s="498"/>
      <c r="T767" s="502"/>
      <c r="U767" s="504"/>
      <c r="V767" s="282"/>
      <c r="W767" s="282"/>
      <c r="X767" s="282"/>
    </row>
    <row r="768" spans="1:24" s="23" customFormat="1">
      <c r="A768" s="487"/>
      <c r="B768" s="700"/>
      <c r="C768" s="498"/>
      <c r="D768" s="498"/>
      <c r="E768" s="498"/>
      <c r="F768" s="498"/>
      <c r="G768" s="498"/>
      <c r="H768" s="498"/>
      <c r="I768" s="498"/>
      <c r="J768" s="498"/>
      <c r="K768" s="498"/>
      <c r="L768" s="502"/>
      <c r="M768" s="498"/>
      <c r="N768" s="498"/>
      <c r="O768" s="498"/>
      <c r="P768" s="502"/>
      <c r="Q768" s="498"/>
      <c r="R768" s="503"/>
      <c r="S768" s="498"/>
      <c r="T768" s="502"/>
      <c r="U768" s="504"/>
      <c r="V768" s="282"/>
      <c r="W768" s="282"/>
      <c r="X768" s="282"/>
    </row>
    <row r="769" spans="1:28" s="23" customFormat="1">
      <c r="A769" s="487"/>
      <c r="B769" s="700"/>
      <c r="C769" s="498"/>
      <c r="D769" s="498"/>
      <c r="E769" s="498"/>
      <c r="F769" s="498"/>
      <c r="G769" s="498"/>
      <c r="H769" s="498"/>
      <c r="I769" s="498"/>
      <c r="J769" s="498"/>
      <c r="K769" s="498"/>
      <c r="L769" s="502"/>
      <c r="M769" s="498"/>
      <c r="N769" s="498"/>
      <c r="O769" s="498"/>
      <c r="P769" s="502"/>
      <c r="Q769" s="498"/>
      <c r="R769" s="503"/>
      <c r="S769" s="498"/>
      <c r="T769" s="502"/>
      <c r="U769" s="504"/>
      <c r="V769" s="282"/>
      <c r="W769" s="282"/>
      <c r="X769" s="282"/>
    </row>
    <row r="770" spans="1:28" s="23" customFormat="1">
      <c r="A770" s="487"/>
      <c r="B770" s="700"/>
      <c r="C770" s="498"/>
      <c r="D770" s="498"/>
      <c r="E770" s="498"/>
      <c r="F770" s="498"/>
      <c r="G770" s="498"/>
      <c r="H770" s="498"/>
      <c r="I770" s="498"/>
      <c r="J770" s="498"/>
      <c r="K770" s="498"/>
      <c r="L770" s="502"/>
      <c r="M770" s="498"/>
      <c r="N770" s="498"/>
      <c r="O770" s="498"/>
      <c r="P770" s="502"/>
      <c r="Q770" s="498"/>
      <c r="R770" s="503"/>
      <c r="S770" s="498"/>
      <c r="T770" s="502"/>
      <c r="U770" s="504"/>
      <c r="V770" s="282"/>
      <c r="W770" s="282"/>
      <c r="X770" s="282"/>
    </row>
    <row r="771" spans="1:28" s="23" customFormat="1">
      <c r="A771" s="487"/>
      <c r="B771" s="700"/>
      <c r="C771" s="498"/>
      <c r="D771" s="498"/>
      <c r="E771" s="498"/>
      <c r="F771" s="498"/>
      <c r="G771" s="498"/>
      <c r="H771" s="498"/>
      <c r="I771" s="498"/>
      <c r="J771" s="498"/>
      <c r="K771" s="498"/>
      <c r="L771" s="502"/>
      <c r="M771" s="498"/>
      <c r="N771" s="498"/>
      <c r="O771" s="498"/>
      <c r="P771" s="502"/>
      <c r="Q771" s="498"/>
      <c r="R771" s="503"/>
      <c r="S771" s="498"/>
      <c r="T771" s="502"/>
      <c r="U771" s="504"/>
      <c r="V771" s="282"/>
      <c r="W771" s="282"/>
      <c r="X771" s="282"/>
    </row>
    <row r="772" spans="1:28" s="23" customFormat="1">
      <c r="A772" s="487"/>
      <c r="B772" s="700"/>
      <c r="C772" s="498"/>
      <c r="D772" s="498"/>
      <c r="E772" s="498"/>
      <c r="F772" s="498"/>
      <c r="G772" s="498"/>
      <c r="H772" s="498"/>
      <c r="I772" s="498"/>
      <c r="J772" s="498"/>
      <c r="K772" s="498"/>
      <c r="L772" s="502"/>
      <c r="M772" s="498"/>
      <c r="N772" s="498"/>
      <c r="O772" s="498"/>
      <c r="P772" s="502"/>
      <c r="Q772" s="498"/>
      <c r="R772" s="503"/>
      <c r="S772" s="498"/>
      <c r="T772" s="502"/>
      <c r="U772" s="504"/>
      <c r="V772" s="282"/>
      <c r="W772" s="282"/>
      <c r="X772" s="282"/>
    </row>
    <row r="773" spans="1:28" ht="18.75" customHeight="1">
      <c r="A773" s="198"/>
      <c r="B773" s="214" t="s">
        <v>94</v>
      </c>
      <c r="C773" s="211">
        <f>C774+C775+C776+C777+C778+C779+C780+C781+C782</f>
        <v>17682419</v>
      </c>
      <c r="D773" s="211">
        <f t="shared" ref="D773" si="94">D774+D775+D776+D777+D778+D779+D780+D781+D782</f>
        <v>3294030</v>
      </c>
      <c r="E773" s="211">
        <f t="shared" ref="E773" si="95">E774+E775+E776+E777+E778+E779+E780+E781+E782</f>
        <v>203023</v>
      </c>
      <c r="F773" s="211">
        <f t="shared" ref="F773" si="96">F774+F775+F776+F777+F778+F779+F780+F781+F782</f>
        <v>3091007</v>
      </c>
      <c r="G773" s="211">
        <f t="shared" ref="G773" si="97">G774+G775+G776+G777+G778+G779+G780+G781+G782</f>
        <v>0</v>
      </c>
      <c r="H773" s="211">
        <f t="shared" ref="H773" si="98">H774+H775+H776+H777+H778+H779+H780+H781+H782</f>
        <v>0</v>
      </c>
      <c r="I773" s="211">
        <f t="shared" ref="I773" si="99">I774+I775+I776+I777+I778+I779+I780+I781+I782</f>
        <v>0</v>
      </c>
      <c r="J773" s="211">
        <f t="shared" ref="J773" si="100">J774+J775+J776+J777+J778+J779+J780+J781+J782</f>
        <v>0</v>
      </c>
      <c r="K773" s="211">
        <f t="shared" ref="K773" si="101">K774+K775+K776+K777+K778+K779+K780+K781+K782</f>
        <v>0</v>
      </c>
      <c r="L773" s="211">
        <f t="shared" ref="L773" si="102">L774+L775+L776+L777+L778+L779+L780+L781+L782</f>
        <v>0</v>
      </c>
      <c r="M773" s="211">
        <f t="shared" ref="M773" si="103">M774+M775+M776+M777+M778+M779+M780+M781+M782</f>
        <v>0</v>
      </c>
      <c r="N773" s="211">
        <f t="shared" ref="N773" si="104">N774+N775+N776+N777+N778+N779+N780+N781+N782</f>
        <v>4817.45</v>
      </c>
      <c r="O773" s="211">
        <f t="shared" ref="O773" si="105">O774+O775+O776+O777+O778+O779+O780+O781+O782</f>
        <v>14388389</v>
      </c>
      <c r="P773" s="211">
        <f t="shared" ref="P773" si="106">P774+P775+P776+P777+P778+P779+P780+P781+P782</f>
        <v>0</v>
      </c>
      <c r="Q773" s="211">
        <f t="shared" ref="Q773" si="107">Q774+Q775+Q776+Q777+Q778+Q779+Q780+Q781+Q782</f>
        <v>0</v>
      </c>
      <c r="R773" s="211">
        <f t="shared" ref="R773" si="108">R774+R775+R776+R777+R778+R779+R780+R781+R782</f>
        <v>0</v>
      </c>
      <c r="S773" s="211">
        <f t="shared" ref="S773" si="109">S774+S775+S776+S777+S778+S779+S780+S781+S782</f>
        <v>0</v>
      </c>
      <c r="T773" s="211">
        <f t="shared" ref="T773" si="110">T774+T775+T776+T777+T778+T779+T780+T781+T782</f>
        <v>0</v>
      </c>
      <c r="U773" s="211">
        <f t="shared" ref="U773" si="111">U774+U775+U776+U777+U778+U779+U780+U781+U782</f>
        <v>0</v>
      </c>
      <c r="V773" s="282"/>
      <c r="W773" s="282"/>
      <c r="X773" s="282"/>
      <c r="Y773" s="10"/>
      <c r="Z773" s="10"/>
      <c r="AA773" s="10"/>
      <c r="AB773" s="10"/>
    </row>
    <row r="774" spans="1:28" s="5" customFormat="1">
      <c r="A774" s="487">
        <v>203</v>
      </c>
      <c r="B774" s="824" t="s">
        <v>577</v>
      </c>
      <c r="C774" s="492">
        <v>1329885</v>
      </c>
      <c r="D774" s="492">
        <f>E774+F774+G774+H774+I774+J774+K774</f>
        <v>0</v>
      </c>
      <c r="E774" s="492">
        <v>0</v>
      </c>
      <c r="F774" s="492">
        <v>0</v>
      </c>
      <c r="G774" s="492">
        <v>0</v>
      </c>
      <c r="H774" s="492">
        <v>0</v>
      </c>
      <c r="I774" s="492">
        <v>0</v>
      </c>
      <c r="J774" s="492">
        <v>0</v>
      </c>
      <c r="K774" s="492">
        <v>0</v>
      </c>
      <c r="L774" s="493">
        <v>0</v>
      </c>
      <c r="M774" s="492">
        <v>0</v>
      </c>
      <c r="N774" s="492">
        <v>415</v>
      </c>
      <c r="O774" s="492">
        <v>1329885</v>
      </c>
      <c r="P774" s="493">
        <v>0</v>
      </c>
      <c r="Q774" s="492">
        <v>0</v>
      </c>
      <c r="R774" s="494">
        <v>0</v>
      </c>
      <c r="S774" s="495">
        <v>0</v>
      </c>
      <c r="T774" s="496">
        <v>0</v>
      </c>
      <c r="U774" s="497">
        <v>0</v>
      </c>
      <c r="V774" s="282"/>
      <c r="W774" s="282">
        <f>O774/N774</f>
        <v>3204.5421686746986</v>
      </c>
      <c r="X774" s="282"/>
      <c r="Y774" s="24"/>
      <c r="Z774" s="24"/>
      <c r="AA774" s="8"/>
      <c r="AB774" s="8"/>
    </row>
    <row r="775" spans="1:28" s="5" customFormat="1">
      <c r="A775" s="487">
        <v>204</v>
      </c>
      <c r="B775" s="824" t="s">
        <v>578</v>
      </c>
      <c r="C775" s="492">
        <v>1856453</v>
      </c>
      <c r="D775" s="492">
        <f t="shared" ref="D775:D782" si="112">E775+F775+G775+H775+I775+J775+K775</f>
        <v>0</v>
      </c>
      <c r="E775" s="492">
        <v>0</v>
      </c>
      <c r="F775" s="492">
        <v>0</v>
      </c>
      <c r="G775" s="492">
        <v>0</v>
      </c>
      <c r="H775" s="492">
        <v>0</v>
      </c>
      <c r="I775" s="492">
        <v>0</v>
      </c>
      <c r="J775" s="492">
        <v>0</v>
      </c>
      <c r="K775" s="492">
        <v>0</v>
      </c>
      <c r="L775" s="493">
        <v>0</v>
      </c>
      <c r="M775" s="492">
        <v>0</v>
      </c>
      <c r="N775" s="492">
        <v>572.4</v>
      </c>
      <c r="O775" s="492">
        <v>1856453</v>
      </c>
      <c r="P775" s="493">
        <v>0</v>
      </c>
      <c r="Q775" s="492">
        <v>0</v>
      </c>
      <c r="R775" s="494">
        <v>0</v>
      </c>
      <c r="S775" s="495">
        <v>0</v>
      </c>
      <c r="T775" s="496">
        <v>0</v>
      </c>
      <c r="U775" s="497">
        <v>0</v>
      </c>
      <c r="V775" s="282"/>
      <c r="W775" s="282">
        <f t="shared" ref="W775:W782" si="113">O775/N775</f>
        <v>3243.2791754018172</v>
      </c>
      <c r="X775" s="282"/>
      <c r="Y775" s="24"/>
      <c r="Z775" s="24"/>
      <c r="AA775" s="8"/>
      <c r="AB775" s="8"/>
    </row>
    <row r="776" spans="1:28" s="5" customFormat="1">
      <c r="A776" s="487">
        <v>205</v>
      </c>
      <c r="B776" s="824" t="s">
        <v>579</v>
      </c>
      <c r="C776" s="492">
        <v>1518210</v>
      </c>
      <c r="D776" s="492">
        <f t="shared" si="112"/>
        <v>0</v>
      </c>
      <c r="E776" s="492">
        <v>0</v>
      </c>
      <c r="F776" s="492">
        <v>0</v>
      </c>
      <c r="G776" s="492">
        <v>0</v>
      </c>
      <c r="H776" s="492">
        <v>0</v>
      </c>
      <c r="I776" s="492">
        <v>0</v>
      </c>
      <c r="J776" s="492">
        <v>0</v>
      </c>
      <c r="K776" s="492">
        <v>0</v>
      </c>
      <c r="L776" s="493">
        <v>0</v>
      </c>
      <c r="M776" s="492">
        <v>0</v>
      </c>
      <c r="N776" s="492">
        <v>474.85</v>
      </c>
      <c r="O776" s="492">
        <v>1518210</v>
      </c>
      <c r="P776" s="493">
        <v>0</v>
      </c>
      <c r="Q776" s="492">
        <v>0</v>
      </c>
      <c r="R776" s="494">
        <v>0</v>
      </c>
      <c r="S776" s="495">
        <v>0</v>
      </c>
      <c r="T776" s="496">
        <v>0</v>
      </c>
      <c r="U776" s="497">
        <v>0</v>
      </c>
      <c r="V776" s="282"/>
      <c r="W776" s="282">
        <f>O776/N776</f>
        <v>3197.2412340739179</v>
      </c>
      <c r="X776" s="526"/>
      <c r="Y776" s="24"/>
      <c r="Z776" s="24"/>
      <c r="AA776" s="8"/>
      <c r="AB776" s="8"/>
    </row>
    <row r="777" spans="1:28" s="5" customFormat="1">
      <c r="A777" s="487">
        <v>206</v>
      </c>
      <c r="B777" s="824" t="s">
        <v>580</v>
      </c>
      <c r="C777" s="492">
        <v>203023</v>
      </c>
      <c r="D777" s="492">
        <f t="shared" si="112"/>
        <v>203023</v>
      </c>
      <c r="E777" s="492">
        <v>203023</v>
      </c>
      <c r="F777" s="492">
        <v>0</v>
      </c>
      <c r="G777" s="492">
        <v>0</v>
      </c>
      <c r="H777" s="492">
        <v>0</v>
      </c>
      <c r="I777" s="492">
        <v>0</v>
      </c>
      <c r="J777" s="492">
        <v>0</v>
      </c>
      <c r="K777" s="492">
        <v>0</v>
      </c>
      <c r="L777" s="493">
        <v>0</v>
      </c>
      <c r="M777" s="492">
        <v>0</v>
      </c>
      <c r="N777" s="492">
        <v>0</v>
      </c>
      <c r="O777" s="492">
        <v>0</v>
      </c>
      <c r="P777" s="493">
        <v>0</v>
      </c>
      <c r="Q777" s="492">
        <v>0</v>
      </c>
      <c r="R777" s="494">
        <v>0</v>
      </c>
      <c r="S777" s="495">
        <v>0</v>
      </c>
      <c r="T777" s="496">
        <v>0</v>
      </c>
      <c r="U777" s="497">
        <v>0</v>
      </c>
      <c r="V777" s="282"/>
      <c r="W777" s="282"/>
      <c r="X777" s="282"/>
      <c r="Y777" s="24">
        <f>E777/'часть 1'!I800</f>
        <v>450.46150432660306</v>
      </c>
      <c r="Z777" s="24"/>
      <c r="AA777" s="8"/>
      <c r="AB777" s="8"/>
    </row>
    <row r="778" spans="1:28" s="5" customFormat="1">
      <c r="A778" s="487">
        <v>207</v>
      </c>
      <c r="B778" s="824" t="s">
        <v>581</v>
      </c>
      <c r="C778" s="492">
        <v>2925993</v>
      </c>
      <c r="D778" s="492">
        <f t="shared" si="112"/>
        <v>0</v>
      </c>
      <c r="E778" s="492">
        <v>0</v>
      </c>
      <c r="F778" s="492">
        <v>0</v>
      </c>
      <c r="G778" s="492">
        <v>0</v>
      </c>
      <c r="H778" s="492">
        <v>0</v>
      </c>
      <c r="I778" s="492">
        <v>0</v>
      </c>
      <c r="J778" s="492">
        <v>0</v>
      </c>
      <c r="K778" s="492">
        <v>0</v>
      </c>
      <c r="L778" s="493">
        <v>0</v>
      </c>
      <c r="M778" s="492">
        <v>0</v>
      </c>
      <c r="N778" s="498">
        <v>922</v>
      </c>
      <c r="O778" s="492">
        <v>2925993</v>
      </c>
      <c r="P778" s="493">
        <v>0</v>
      </c>
      <c r="Q778" s="492">
        <v>0</v>
      </c>
      <c r="R778" s="494">
        <v>0</v>
      </c>
      <c r="S778" s="495">
        <v>0</v>
      </c>
      <c r="T778" s="496">
        <v>0</v>
      </c>
      <c r="U778" s="497">
        <v>0</v>
      </c>
      <c r="V778" s="282"/>
      <c r="W778" s="282">
        <f t="shared" si="113"/>
        <v>3173.5281995661603</v>
      </c>
      <c r="X778" s="282"/>
      <c r="Y778" s="24"/>
      <c r="Z778" s="24"/>
      <c r="AA778" s="8"/>
      <c r="AB778" s="8"/>
    </row>
    <row r="779" spans="1:28" s="5" customFormat="1">
      <c r="A779" s="487">
        <v>208</v>
      </c>
      <c r="B779" s="824" t="s">
        <v>582</v>
      </c>
      <c r="C779" s="492">
        <v>1413679</v>
      </c>
      <c r="D779" s="492">
        <f t="shared" si="112"/>
        <v>0</v>
      </c>
      <c r="E779" s="492">
        <v>0</v>
      </c>
      <c r="F779" s="492">
        <v>0</v>
      </c>
      <c r="G779" s="492">
        <v>0</v>
      </c>
      <c r="H779" s="492">
        <v>0</v>
      </c>
      <c r="I779" s="492">
        <v>0</v>
      </c>
      <c r="J779" s="492">
        <v>0</v>
      </c>
      <c r="K779" s="492">
        <v>0</v>
      </c>
      <c r="L779" s="493">
        <v>0</v>
      </c>
      <c r="M779" s="492">
        <v>0</v>
      </c>
      <c r="N779" s="492">
        <v>442</v>
      </c>
      <c r="O779" s="492">
        <v>1413679</v>
      </c>
      <c r="P779" s="493">
        <v>0</v>
      </c>
      <c r="Q779" s="492">
        <v>0</v>
      </c>
      <c r="R779" s="494">
        <v>0</v>
      </c>
      <c r="S779" s="495">
        <v>0</v>
      </c>
      <c r="T779" s="496">
        <v>0</v>
      </c>
      <c r="U779" s="497">
        <v>0</v>
      </c>
      <c r="V779" s="282"/>
      <c r="W779" s="282">
        <f t="shared" si="113"/>
        <v>3198.3687782805432</v>
      </c>
      <c r="X779" s="282"/>
      <c r="Y779" s="24"/>
      <c r="Z779" s="24"/>
      <c r="AA779" s="8"/>
      <c r="AB779" s="8"/>
    </row>
    <row r="780" spans="1:28" s="5" customFormat="1">
      <c r="A780" s="487">
        <v>209</v>
      </c>
      <c r="B780" s="824" t="s">
        <v>583</v>
      </c>
      <c r="C780" s="492">
        <v>3624132</v>
      </c>
      <c r="D780" s="492">
        <f t="shared" si="112"/>
        <v>0</v>
      </c>
      <c r="E780" s="492">
        <v>0</v>
      </c>
      <c r="F780" s="492">
        <v>0</v>
      </c>
      <c r="G780" s="492">
        <v>0</v>
      </c>
      <c r="H780" s="492">
        <v>0</v>
      </c>
      <c r="I780" s="492">
        <v>0</v>
      </c>
      <c r="J780" s="492">
        <v>0</v>
      </c>
      <c r="K780" s="492">
        <v>0</v>
      </c>
      <c r="L780" s="493">
        <v>0</v>
      </c>
      <c r="M780" s="492">
        <v>0</v>
      </c>
      <c r="N780" s="492">
        <v>1451.9</v>
      </c>
      <c r="O780" s="492">
        <v>3624132</v>
      </c>
      <c r="P780" s="493">
        <v>0</v>
      </c>
      <c r="Q780" s="492">
        <v>0</v>
      </c>
      <c r="R780" s="494">
        <v>0</v>
      </c>
      <c r="S780" s="495">
        <v>0</v>
      </c>
      <c r="T780" s="496">
        <v>0</v>
      </c>
      <c r="U780" s="497">
        <v>0</v>
      </c>
      <c r="V780" s="282"/>
      <c r="W780" s="282">
        <f t="shared" si="113"/>
        <v>2496.1305875060266</v>
      </c>
      <c r="X780" s="282"/>
      <c r="Y780" s="24"/>
      <c r="Z780" s="24"/>
      <c r="AA780" s="8"/>
      <c r="AB780" s="8"/>
    </row>
    <row r="781" spans="1:28" s="5" customFormat="1">
      <c r="A781" s="487">
        <v>210</v>
      </c>
      <c r="B781" s="824" t="s">
        <v>584</v>
      </c>
      <c r="C781" s="492">
        <v>3091007</v>
      </c>
      <c r="D781" s="492">
        <f t="shared" si="112"/>
        <v>3091007</v>
      </c>
      <c r="E781" s="492">
        <v>0</v>
      </c>
      <c r="F781" s="492">
        <v>3091007</v>
      </c>
      <c r="G781" s="492">
        <v>0</v>
      </c>
      <c r="H781" s="492">
        <v>0</v>
      </c>
      <c r="I781" s="492">
        <v>0</v>
      </c>
      <c r="J781" s="492">
        <v>0</v>
      </c>
      <c r="K781" s="492">
        <v>0</v>
      </c>
      <c r="L781" s="493">
        <v>0</v>
      </c>
      <c r="M781" s="492">
        <v>0</v>
      </c>
      <c r="N781" s="492">
        <v>0</v>
      </c>
      <c r="O781" s="492">
        <v>0</v>
      </c>
      <c r="P781" s="493">
        <v>0</v>
      </c>
      <c r="Q781" s="492">
        <v>0</v>
      </c>
      <c r="R781" s="494">
        <v>0</v>
      </c>
      <c r="S781" s="495">
        <v>0</v>
      </c>
      <c r="T781" s="496">
        <v>0</v>
      </c>
      <c r="U781" s="497">
        <v>0</v>
      </c>
      <c r="V781" s="282"/>
      <c r="W781" s="282"/>
      <c r="X781" s="282"/>
      <c r="Y781" s="24"/>
      <c r="Z781" s="24"/>
      <c r="AA781" s="8">
        <f>F781/'часть 1'!I804</f>
        <v>972.93264085615363</v>
      </c>
      <c r="AB781" s="8"/>
    </row>
    <row r="782" spans="1:28" s="5" customFormat="1">
      <c r="A782" s="487">
        <v>211</v>
      </c>
      <c r="B782" s="824" t="s">
        <v>585</v>
      </c>
      <c r="C782" s="492">
        <v>1720037</v>
      </c>
      <c r="D782" s="492">
        <f t="shared" si="112"/>
        <v>0</v>
      </c>
      <c r="E782" s="492">
        <v>0</v>
      </c>
      <c r="F782" s="492">
        <v>0</v>
      </c>
      <c r="G782" s="492">
        <v>0</v>
      </c>
      <c r="H782" s="492">
        <v>0</v>
      </c>
      <c r="I782" s="492">
        <v>0</v>
      </c>
      <c r="J782" s="492">
        <v>0</v>
      </c>
      <c r="K782" s="492">
        <v>0</v>
      </c>
      <c r="L782" s="493">
        <v>0</v>
      </c>
      <c r="M782" s="492">
        <v>0</v>
      </c>
      <c r="N782" s="492">
        <v>539.29999999999995</v>
      </c>
      <c r="O782" s="492">
        <v>1720037</v>
      </c>
      <c r="P782" s="493">
        <v>0</v>
      </c>
      <c r="Q782" s="492">
        <v>0</v>
      </c>
      <c r="R782" s="494">
        <v>0</v>
      </c>
      <c r="S782" s="495">
        <v>0</v>
      </c>
      <c r="T782" s="496">
        <v>0</v>
      </c>
      <c r="U782" s="497">
        <v>0</v>
      </c>
      <c r="V782" s="282"/>
      <c r="W782" s="282">
        <f t="shared" si="113"/>
        <v>3189.3880956795847</v>
      </c>
      <c r="X782" s="282"/>
      <c r="Y782" s="6"/>
      <c r="Z782" s="6"/>
      <c r="AA782" s="7"/>
      <c r="AB782" s="7"/>
    </row>
    <row r="783" spans="1:28" s="5" customFormat="1" ht="15.75">
      <c r="A783" s="487"/>
      <c r="B783" s="422"/>
      <c r="C783" s="492"/>
      <c r="D783" s="492"/>
      <c r="E783" s="492"/>
      <c r="F783" s="492"/>
      <c r="G783" s="492"/>
      <c r="H783" s="492"/>
      <c r="I783" s="492"/>
      <c r="J783" s="492"/>
      <c r="K783" s="492"/>
      <c r="L783" s="493"/>
      <c r="M783" s="492"/>
      <c r="N783" s="492"/>
      <c r="O783" s="492"/>
      <c r="P783" s="493"/>
      <c r="Q783" s="492"/>
      <c r="R783" s="494"/>
      <c r="S783" s="495"/>
      <c r="T783" s="496"/>
      <c r="U783" s="497"/>
      <c r="V783" s="282"/>
      <c r="W783" s="282"/>
      <c r="X783" s="282"/>
      <c r="Y783" s="24"/>
      <c r="Z783" s="24"/>
      <c r="AA783" s="8"/>
      <c r="AB783" s="8"/>
    </row>
    <row r="784" spans="1:28" s="5" customFormat="1" ht="15.75">
      <c r="A784" s="487"/>
      <c r="B784" s="416"/>
      <c r="C784" s="492"/>
      <c r="D784" s="492"/>
      <c r="E784" s="492"/>
      <c r="F784" s="492"/>
      <c r="G784" s="492"/>
      <c r="H784" s="492"/>
      <c r="I784" s="492"/>
      <c r="J784" s="492"/>
      <c r="K784" s="492"/>
      <c r="L784" s="493"/>
      <c r="M784" s="492"/>
      <c r="N784" s="492"/>
      <c r="O784" s="492"/>
      <c r="P784" s="493"/>
      <c r="Q784" s="492"/>
      <c r="R784" s="494"/>
      <c r="S784" s="495"/>
      <c r="T784" s="496"/>
      <c r="U784" s="497"/>
      <c r="V784" s="282"/>
      <c r="W784" s="282"/>
      <c r="X784" s="282"/>
      <c r="Y784" s="24"/>
      <c r="Z784" s="24"/>
      <c r="AA784" s="8"/>
      <c r="AB784" s="8"/>
    </row>
    <row r="785" spans="1:28" s="5" customFormat="1" ht="15.75">
      <c r="A785" s="487"/>
      <c r="B785" s="421"/>
      <c r="C785" s="492"/>
      <c r="D785" s="492"/>
      <c r="E785" s="492"/>
      <c r="F785" s="492"/>
      <c r="G785" s="492"/>
      <c r="H785" s="492"/>
      <c r="I785" s="492"/>
      <c r="J785" s="492"/>
      <c r="K785" s="492"/>
      <c r="L785" s="493"/>
      <c r="M785" s="492"/>
      <c r="N785" s="492"/>
      <c r="O785" s="492"/>
      <c r="P785" s="493"/>
      <c r="Q785" s="492"/>
      <c r="R785" s="494"/>
      <c r="S785" s="495"/>
      <c r="T785" s="496"/>
      <c r="U785" s="497"/>
      <c r="V785" s="282"/>
      <c r="W785" s="282"/>
      <c r="X785" s="282"/>
      <c r="Y785" s="24"/>
      <c r="Z785" s="24"/>
      <c r="AA785" s="8"/>
      <c r="AB785" s="8"/>
    </row>
    <row r="786" spans="1:28" ht="18.75" customHeight="1">
      <c r="A786" s="487"/>
      <c r="B786" s="488" t="s">
        <v>123</v>
      </c>
      <c r="C786" s="489">
        <f>C787+C788+C789+C790+C791</f>
        <v>12904489</v>
      </c>
      <c r="D786" s="489">
        <f t="shared" ref="D786:U786" si="114">D787+D788+D789+D790+D791</f>
        <v>0</v>
      </c>
      <c r="E786" s="489">
        <f t="shared" si="114"/>
        <v>0</v>
      </c>
      <c r="F786" s="489">
        <f t="shared" si="114"/>
        <v>0</v>
      </c>
      <c r="G786" s="489">
        <f t="shared" si="114"/>
        <v>0</v>
      </c>
      <c r="H786" s="489">
        <f t="shared" si="114"/>
        <v>0</v>
      </c>
      <c r="I786" s="489">
        <f t="shared" si="114"/>
        <v>0</v>
      </c>
      <c r="J786" s="489">
        <f t="shared" si="114"/>
        <v>0</v>
      </c>
      <c r="K786" s="489">
        <f t="shared" si="114"/>
        <v>0</v>
      </c>
      <c r="L786" s="489">
        <f t="shared" si="114"/>
        <v>0</v>
      </c>
      <c r="M786" s="489">
        <f t="shared" si="114"/>
        <v>0</v>
      </c>
      <c r="N786" s="489">
        <f t="shared" si="114"/>
        <v>5152</v>
      </c>
      <c r="O786" s="489">
        <f t="shared" si="114"/>
        <v>12904489</v>
      </c>
      <c r="P786" s="489">
        <f t="shared" si="114"/>
        <v>0</v>
      </c>
      <c r="Q786" s="489">
        <f t="shared" si="114"/>
        <v>0</v>
      </c>
      <c r="R786" s="489">
        <f t="shared" si="114"/>
        <v>0</v>
      </c>
      <c r="S786" s="489">
        <f t="shared" si="114"/>
        <v>0</v>
      </c>
      <c r="T786" s="489">
        <f t="shared" si="114"/>
        <v>0</v>
      </c>
      <c r="U786" s="489">
        <f t="shared" si="114"/>
        <v>0</v>
      </c>
      <c r="V786" s="282"/>
      <c r="W786" s="282"/>
      <c r="X786" s="282"/>
    </row>
    <row r="787" spans="1:28" ht="15.75">
      <c r="A787" s="487">
        <v>215</v>
      </c>
      <c r="B787" s="876" t="s">
        <v>736</v>
      </c>
      <c r="C787" s="489">
        <f>'часть 1'!L810</f>
        <v>2291418</v>
      </c>
      <c r="D787" s="489">
        <v>0</v>
      </c>
      <c r="E787" s="489">
        <v>0</v>
      </c>
      <c r="F787" s="489">
        <v>0</v>
      </c>
      <c r="G787" s="489">
        <v>0</v>
      </c>
      <c r="H787" s="489">
        <v>0</v>
      </c>
      <c r="I787" s="489">
        <v>0</v>
      </c>
      <c r="J787" s="489">
        <v>0</v>
      </c>
      <c r="K787" s="557">
        <v>0</v>
      </c>
      <c r="L787" s="649">
        <v>0</v>
      </c>
      <c r="M787" s="510">
        <v>0</v>
      </c>
      <c r="N787" s="510">
        <v>914</v>
      </c>
      <c r="O787" s="510">
        <v>2291418</v>
      </c>
      <c r="P787" s="649">
        <v>0</v>
      </c>
      <c r="Q787" s="510">
        <v>0</v>
      </c>
      <c r="R787" s="650">
        <v>0</v>
      </c>
      <c r="S787" s="510">
        <v>0</v>
      </c>
      <c r="T787" s="649">
        <v>0</v>
      </c>
      <c r="U787" s="497">
        <v>0</v>
      </c>
      <c r="V787" s="282"/>
      <c r="W787" s="282">
        <f>O787/N787</f>
        <v>2507.0218818380745</v>
      </c>
      <c r="X787" s="282"/>
    </row>
    <row r="788" spans="1:28" ht="15.75">
      <c r="A788" s="487">
        <v>216</v>
      </c>
      <c r="B788" s="876" t="s">
        <v>737</v>
      </c>
      <c r="C788" s="489">
        <f>'часть 1'!L811</f>
        <v>3059197</v>
      </c>
      <c r="D788" s="489">
        <v>0</v>
      </c>
      <c r="E788" s="489">
        <v>0</v>
      </c>
      <c r="F788" s="489">
        <v>0</v>
      </c>
      <c r="G788" s="489">
        <v>0</v>
      </c>
      <c r="H788" s="489">
        <v>0</v>
      </c>
      <c r="I788" s="489">
        <v>0</v>
      </c>
      <c r="J788" s="489">
        <v>0</v>
      </c>
      <c r="K788" s="557">
        <v>0</v>
      </c>
      <c r="L788" s="649">
        <v>0</v>
      </c>
      <c r="M788" s="510">
        <v>0</v>
      </c>
      <c r="N788" s="510">
        <v>1223</v>
      </c>
      <c r="O788" s="510">
        <v>3059197</v>
      </c>
      <c r="P788" s="649">
        <v>0</v>
      </c>
      <c r="Q788" s="510">
        <v>0</v>
      </c>
      <c r="R788" s="650">
        <v>0</v>
      </c>
      <c r="S788" s="510">
        <v>0</v>
      </c>
      <c r="T788" s="649">
        <v>0</v>
      </c>
      <c r="U788" s="497">
        <v>0</v>
      </c>
      <c r="V788" s="282"/>
      <c r="W788" s="282">
        <f t="shared" ref="W788:W791" si="115">O788/N788</f>
        <v>2501.3875715453801</v>
      </c>
      <c r="X788" s="282"/>
    </row>
    <row r="789" spans="1:28" ht="15.75">
      <c r="A789" s="487">
        <v>217</v>
      </c>
      <c r="B789" s="876" t="s">
        <v>738</v>
      </c>
      <c r="C789" s="489">
        <f>'часть 1'!L812</f>
        <v>2247330</v>
      </c>
      <c r="D789" s="489">
        <v>0</v>
      </c>
      <c r="E789" s="489">
        <v>0</v>
      </c>
      <c r="F789" s="489">
        <v>0</v>
      </c>
      <c r="G789" s="489">
        <v>0</v>
      </c>
      <c r="H789" s="489">
        <v>0</v>
      </c>
      <c r="I789" s="489">
        <v>0</v>
      </c>
      <c r="J789" s="489">
        <v>0</v>
      </c>
      <c r="K789" s="489">
        <v>0</v>
      </c>
      <c r="L789" s="649">
        <v>0</v>
      </c>
      <c r="M789" s="510">
        <v>0</v>
      </c>
      <c r="N789" s="510">
        <v>896</v>
      </c>
      <c r="O789" s="510">
        <v>2247330</v>
      </c>
      <c r="P789" s="649">
        <v>0</v>
      </c>
      <c r="Q789" s="510">
        <v>0</v>
      </c>
      <c r="R789" s="650">
        <v>0</v>
      </c>
      <c r="S789" s="510">
        <v>0</v>
      </c>
      <c r="T789" s="649">
        <v>0</v>
      </c>
      <c r="U789" s="497">
        <v>0</v>
      </c>
      <c r="V789" s="282"/>
      <c r="W789" s="282">
        <f t="shared" si="115"/>
        <v>2508.1808035714284</v>
      </c>
      <c r="X789" s="282"/>
    </row>
    <row r="790" spans="1:28" ht="15.75">
      <c r="A790" s="487">
        <v>218</v>
      </c>
      <c r="B790" s="876" t="s">
        <v>739</v>
      </c>
      <c r="C790" s="489">
        <f>'часть 1'!L813</f>
        <v>3059179</v>
      </c>
      <c r="D790" s="489">
        <v>0</v>
      </c>
      <c r="E790" s="489">
        <v>0</v>
      </c>
      <c r="F790" s="489">
        <v>0</v>
      </c>
      <c r="G790" s="489">
        <v>0</v>
      </c>
      <c r="H790" s="489">
        <v>0</v>
      </c>
      <c r="I790" s="489">
        <v>0</v>
      </c>
      <c r="J790" s="489">
        <v>0</v>
      </c>
      <c r="K790" s="557">
        <v>0</v>
      </c>
      <c r="L790" s="649">
        <v>0</v>
      </c>
      <c r="M790" s="510">
        <v>0</v>
      </c>
      <c r="N790" s="510">
        <v>1223</v>
      </c>
      <c r="O790" s="510">
        <v>3059179</v>
      </c>
      <c r="P790" s="649">
        <v>0</v>
      </c>
      <c r="Q790" s="510">
        <v>0</v>
      </c>
      <c r="R790" s="650">
        <v>0</v>
      </c>
      <c r="S790" s="510">
        <v>0</v>
      </c>
      <c r="T790" s="649">
        <v>0</v>
      </c>
      <c r="U790" s="497">
        <v>0</v>
      </c>
      <c r="V790" s="282"/>
      <c r="W790" s="282">
        <f t="shared" si="115"/>
        <v>2501.3728536385938</v>
      </c>
      <c r="X790" s="282"/>
    </row>
    <row r="791" spans="1:28" ht="15.75">
      <c r="A791" s="487">
        <v>219</v>
      </c>
      <c r="B791" s="876" t="s">
        <v>740</v>
      </c>
      <c r="C791" s="489">
        <f>'часть 1'!L814</f>
        <v>2247365</v>
      </c>
      <c r="D791" s="489">
        <v>0</v>
      </c>
      <c r="E791" s="489">
        <v>0</v>
      </c>
      <c r="F791" s="489">
        <v>0</v>
      </c>
      <c r="G791" s="489">
        <v>0</v>
      </c>
      <c r="H791" s="489">
        <v>0</v>
      </c>
      <c r="I791" s="489">
        <v>0</v>
      </c>
      <c r="J791" s="489">
        <v>0</v>
      </c>
      <c r="K791" s="489">
        <v>0</v>
      </c>
      <c r="L791" s="649">
        <v>0</v>
      </c>
      <c r="M791" s="510">
        <v>0</v>
      </c>
      <c r="N791" s="510">
        <v>896</v>
      </c>
      <c r="O791" s="510">
        <v>2247365</v>
      </c>
      <c r="P791" s="649">
        <v>0</v>
      </c>
      <c r="Q791" s="510">
        <v>0</v>
      </c>
      <c r="R791" s="650">
        <v>0</v>
      </c>
      <c r="S791" s="510">
        <v>0</v>
      </c>
      <c r="T791" s="649">
        <v>0</v>
      </c>
      <c r="U791" s="497">
        <v>0</v>
      </c>
      <c r="V791" s="282"/>
      <c r="W791" s="282">
        <f t="shared" si="115"/>
        <v>2508.2198660714284</v>
      </c>
      <c r="X791" s="282"/>
    </row>
    <row r="792" spans="1:28">
      <c r="A792" s="487"/>
      <c r="B792" s="501"/>
      <c r="C792" s="489"/>
      <c r="D792" s="489"/>
      <c r="E792" s="489"/>
      <c r="F792" s="489"/>
      <c r="G792" s="489"/>
      <c r="H792" s="489"/>
      <c r="I792" s="489"/>
      <c r="J792" s="489"/>
      <c r="K792" s="557"/>
      <c r="L792" s="649"/>
      <c r="M792" s="510"/>
      <c r="N792" s="510"/>
      <c r="O792" s="510"/>
      <c r="P792" s="649"/>
      <c r="Q792" s="510"/>
      <c r="R792" s="650"/>
      <c r="S792" s="510"/>
      <c r="T792" s="649"/>
      <c r="U792" s="497"/>
      <c r="V792" s="282"/>
      <c r="W792" s="282"/>
      <c r="X792" s="282"/>
    </row>
    <row r="793" spans="1:28">
      <c r="A793" s="487"/>
      <c r="B793" s="501"/>
      <c r="C793" s="489"/>
      <c r="D793" s="489"/>
      <c r="E793" s="489"/>
      <c r="F793" s="489"/>
      <c r="G793" s="489"/>
      <c r="H793" s="489"/>
      <c r="I793" s="489"/>
      <c r="J793" s="489"/>
      <c r="K793" s="489"/>
      <c r="L793" s="649"/>
      <c r="M793" s="510"/>
      <c r="N793" s="510"/>
      <c r="O793" s="510"/>
      <c r="P793" s="649"/>
      <c r="Q793" s="510"/>
      <c r="R793" s="650"/>
      <c r="S793" s="510"/>
      <c r="T793" s="649"/>
      <c r="U793" s="497"/>
      <c r="V793" s="282"/>
      <c r="W793" s="282"/>
      <c r="X793" s="282"/>
    </row>
    <row r="794" spans="1:28">
      <c r="A794" s="487"/>
      <c r="B794" s="501"/>
      <c r="C794" s="489"/>
      <c r="D794" s="489"/>
      <c r="E794" s="489"/>
      <c r="F794" s="489"/>
      <c r="G794" s="489"/>
      <c r="H794" s="489"/>
      <c r="I794" s="489"/>
      <c r="J794" s="489"/>
      <c r="K794" s="489"/>
      <c r="L794" s="649"/>
      <c r="M794" s="510"/>
      <c r="N794" s="510"/>
      <c r="O794" s="510"/>
      <c r="P794" s="649"/>
      <c r="Q794" s="510"/>
      <c r="R794" s="650"/>
      <c r="S794" s="510"/>
      <c r="T794" s="649"/>
      <c r="U794" s="497"/>
      <c r="V794" s="282"/>
      <c r="W794" s="282"/>
      <c r="X794" s="282"/>
    </row>
    <row r="795" spans="1:28">
      <c r="A795" s="487"/>
      <c r="B795" s="501"/>
      <c r="C795" s="489"/>
      <c r="D795" s="489"/>
      <c r="E795" s="489"/>
      <c r="F795" s="489"/>
      <c r="G795" s="489"/>
      <c r="H795" s="489"/>
      <c r="I795" s="489"/>
      <c r="J795" s="489"/>
      <c r="K795" s="557"/>
      <c r="L795" s="649"/>
      <c r="M795" s="510"/>
      <c r="N795" s="510"/>
      <c r="O795" s="510"/>
      <c r="P795" s="649"/>
      <c r="Q795" s="510"/>
      <c r="R795" s="650"/>
      <c r="S795" s="510"/>
      <c r="T795" s="649"/>
      <c r="U795" s="497"/>
      <c r="V795" s="282"/>
      <c r="W795" s="282"/>
      <c r="X795" s="282"/>
    </row>
    <row r="796" spans="1:28">
      <c r="A796" s="487"/>
      <c r="B796" s="501"/>
      <c r="C796" s="489"/>
      <c r="D796" s="489"/>
      <c r="E796" s="489"/>
      <c r="F796" s="489"/>
      <c r="G796" s="489"/>
      <c r="H796" s="489"/>
      <c r="I796" s="489"/>
      <c r="J796" s="489"/>
      <c r="K796" s="557"/>
      <c r="L796" s="649"/>
      <c r="M796" s="510"/>
      <c r="N796" s="510"/>
      <c r="O796" s="510"/>
      <c r="P796" s="649"/>
      <c r="Q796" s="510"/>
      <c r="R796" s="650"/>
      <c r="S796" s="510"/>
      <c r="T796" s="649"/>
      <c r="U796" s="497"/>
      <c r="V796" s="282"/>
      <c r="W796" s="282"/>
      <c r="X796" s="282"/>
    </row>
    <row r="797" spans="1:28">
      <c r="A797" s="487"/>
      <c r="B797" s="501"/>
      <c r="C797" s="489"/>
      <c r="D797" s="489"/>
      <c r="E797" s="489"/>
      <c r="F797" s="489"/>
      <c r="G797" s="489"/>
      <c r="H797" s="489"/>
      <c r="I797" s="489"/>
      <c r="J797" s="489"/>
      <c r="K797" s="557"/>
      <c r="L797" s="649"/>
      <c r="M797" s="510"/>
      <c r="N797" s="510"/>
      <c r="O797" s="510"/>
      <c r="P797" s="649"/>
      <c r="Q797" s="510"/>
      <c r="R797" s="650"/>
      <c r="S797" s="510"/>
      <c r="T797" s="649"/>
      <c r="U797" s="497"/>
      <c r="V797" s="282"/>
      <c r="W797" s="282"/>
      <c r="X797" s="282"/>
    </row>
    <row r="798" spans="1:28">
      <c r="A798" s="487"/>
      <c r="B798" s="501"/>
      <c r="C798" s="489"/>
      <c r="D798" s="489"/>
      <c r="E798" s="489"/>
      <c r="F798" s="489"/>
      <c r="G798" s="489"/>
      <c r="H798" s="489"/>
      <c r="I798" s="489"/>
      <c r="J798" s="489"/>
      <c r="K798" s="557"/>
      <c r="L798" s="649"/>
      <c r="M798" s="510"/>
      <c r="N798" s="510"/>
      <c r="O798" s="510"/>
      <c r="P798" s="649"/>
      <c r="Q798" s="510"/>
      <c r="R798" s="808"/>
      <c r="S798" s="510"/>
      <c r="T798" s="649"/>
      <c r="U798" s="497"/>
      <c r="V798" s="282"/>
      <c r="W798" s="282"/>
      <c r="X798" s="282"/>
    </row>
    <row r="799" spans="1:28" ht="19.899999999999999" customHeight="1">
      <c r="A799" s="487"/>
      <c r="B799" s="501" t="s">
        <v>864</v>
      </c>
      <c r="C799" s="489">
        <f>C800+C801</f>
        <v>3651703</v>
      </c>
      <c r="D799" s="489">
        <f t="shared" ref="D799:U799" si="116">D800+D801</f>
        <v>1371058</v>
      </c>
      <c r="E799" s="489">
        <f t="shared" si="116"/>
        <v>1371058</v>
      </c>
      <c r="F799" s="489">
        <f t="shared" si="116"/>
        <v>0</v>
      </c>
      <c r="G799" s="489">
        <f t="shared" si="116"/>
        <v>0</v>
      </c>
      <c r="H799" s="489">
        <f t="shared" si="116"/>
        <v>0</v>
      </c>
      <c r="I799" s="489">
        <f t="shared" si="116"/>
        <v>0</v>
      </c>
      <c r="J799" s="489">
        <f t="shared" si="116"/>
        <v>0</v>
      </c>
      <c r="K799" s="489">
        <f t="shared" si="116"/>
        <v>0</v>
      </c>
      <c r="L799" s="489">
        <f t="shared" si="116"/>
        <v>0</v>
      </c>
      <c r="M799" s="489">
        <f t="shared" si="116"/>
        <v>0</v>
      </c>
      <c r="N799" s="489">
        <f t="shared" si="116"/>
        <v>0</v>
      </c>
      <c r="O799" s="489">
        <f t="shared" si="116"/>
        <v>0</v>
      </c>
      <c r="P799" s="489">
        <f t="shared" si="116"/>
        <v>0</v>
      </c>
      <c r="Q799" s="489">
        <f t="shared" si="116"/>
        <v>0</v>
      </c>
      <c r="R799" s="489">
        <f t="shared" si="116"/>
        <v>1479.4</v>
      </c>
      <c r="S799" s="489">
        <f t="shared" si="116"/>
        <v>2280645</v>
      </c>
      <c r="T799" s="489">
        <f t="shared" si="116"/>
        <v>0</v>
      </c>
      <c r="U799" s="489">
        <f t="shared" si="116"/>
        <v>0</v>
      </c>
      <c r="V799" s="282"/>
      <c r="W799" s="282"/>
      <c r="X799" s="282"/>
    </row>
    <row r="800" spans="1:28">
      <c r="A800" s="487"/>
      <c r="B800" s="501" t="s">
        <v>867</v>
      </c>
      <c r="C800" s="489">
        <f>'часть 1'!L823</f>
        <v>2505179</v>
      </c>
      <c r="D800" s="489">
        <f>E800+F800+G800+H800+I800+J800+K800</f>
        <v>1371058</v>
      </c>
      <c r="E800" s="489">
        <v>1371058</v>
      </c>
      <c r="F800" s="489">
        <v>0</v>
      </c>
      <c r="G800" s="489">
        <v>0</v>
      </c>
      <c r="H800" s="489">
        <v>0</v>
      </c>
      <c r="I800" s="489">
        <v>0</v>
      </c>
      <c r="J800" s="489">
        <v>0</v>
      </c>
      <c r="K800" s="557">
        <v>0</v>
      </c>
      <c r="L800" s="649">
        <v>0</v>
      </c>
      <c r="M800" s="510">
        <v>0</v>
      </c>
      <c r="N800" s="557">
        <v>0</v>
      </c>
      <c r="O800" s="557">
        <v>0</v>
      </c>
      <c r="P800" s="649">
        <v>0</v>
      </c>
      <c r="Q800" s="510">
        <v>0</v>
      </c>
      <c r="R800" s="808">
        <v>735.5</v>
      </c>
      <c r="S800" s="510">
        <v>1134121</v>
      </c>
      <c r="T800" s="649">
        <v>0</v>
      </c>
      <c r="U800" s="497">
        <v>0</v>
      </c>
      <c r="V800" s="282"/>
      <c r="W800" s="282"/>
      <c r="X800" s="282">
        <f>S800/R800</f>
        <v>1541.9728076138681</v>
      </c>
      <c r="Y800" s="1">
        <f>E800/'часть 1'!I823</f>
        <v>671.42899118511264</v>
      </c>
    </row>
    <row r="801" spans="1:30">
      <c r="A801" s="487"/>
      <c r="B801" s="501" t="s">
        <v>868</v>
      </c>
      <c r="C801" s="489">
        <f>'часть 1'!L824</f>
        <v>1146524</v>
      </c>
      <c r="D801" s="489">
        <f>E801+F801+G801+H801+I801+J801+K801</f>
        <v>0</v>
      </c>
      <c r="E801" s="489">
        <v>0</v>
      </c>
      <c r="F801" s="489">
        <v>0</v>
      </c>
      <c r="G801" s="489">
        <v>0</v>
      </c>
      <c r="H801" s="489">
        <v>0</v>
      </c>
      <c r="I801" s="489">
        <v>0</v>
      </c>
      <c r="J801" s="489">
        <v>0</v>
      </c>
      <c r="K801" s="557">
        <v>0</v>
      </c>
      <c r="L801" s="649">
        <v>0</v>
      </c>
      <c r="M801" s="510">
        <v>0</v>
      </c>
      <c r="N801" s="557">
        <v>0</v>
      </c>
      <c r="O801" s="557">
        <v>0</v>
      </c>
      <c r="P801" s="649">
        <v>0</v>
      </c>
      <c r="Q801" s="510">
        <v>0</v>
      </c>
      <c r="R801" s="808">
        <v>743.9</v>
      </c>
      <c r="S801" s="510">
        <v>1146524</v>
      </c>
      <c r="T801" s="649">
        <v>0</v>
      </c>
      <c r="U801" s="497">
        <v>0</v>
      </c>
      <c r="V801" s="282"/>
      <c r="W801" s="282"/>
      <c r="X801" s="282">
        <f>S801/R801</f>
        <v>1541.2340368329078</v>
      </c>
    </row>
    <row r="802" spans="1:30" ht="18.75" customHeight="1">
      <c r="A802" s="487"/>
      <c r="B802" s="499" t="s">
        <v>72</v>
      </c>
      <c r="C802" s="489">
        <f>C803</f>
        <v>4218095</v>
      </c>
      <c r="D802" s="489">
        <f t="shared" ref="D802:U802" si="117">D803</f>
        <v>0</v>
      </c>
      <c r="E802" s="489">
        <f t="shared" si="117"/>
        <v>0</v>
      </c>
      <c r="F802" s="489">
        <f t="shared" si="117"/>
        <v>0</v>
      </c>
      <c r="G802" s="489">
        <f t="shared" si="117"/>
        <v>0</v>
      </c>
      <c r="H802" s="489">
        <f t="shared" si="117"/>
        <v>0</v>
      </c>
      <c r="I802" s="489">
        <f t="shared" si="117"/>
        <v>0</v>
      </c>
      <c r="J802" s="489">
        <f t="shared" si="117"/>
        <v>0</v>
      </c>
      <c r="K802" s="489">
        <f t="shared" si="117"/>
        <v>0</v>
      </c>
      <c r="L802" s="489">
        <f t="shared" si="117"/>
        <v>0</v>
      </c>
      <c r="M802" s="489">
        <f t="shared" si="117"/>
        <v>0</v>
      </c>
      <c r="N802" s="489">
        <f t="shared" si="117"/>
        <v>847</v>
      </c>
      <c r="O802" s="489">
        <f t="shared" si="117"/>
        <v>2338924</v>
      </c>
      <c r="P802" s="489">
        <f t="shared" si="117"/>
        <v>0</v>
      </c>
      <c r="Q802" s="489">
        <f t="shared" si="117"/>
        <v>0</v>
      </c>
      <c r="R802" s="489">
        <f t="shared" si="117"/>
        <v>1210</v>
      </c>
      <c r="S802" s="489">
        <f t="shared" si="117"/>
        <v>1879171</v>
      </c>
      <c r="T802" s="489">
        <f t="shared" si="117"/>
        <v>0</v>
      </c>
      <c r="U802" s="489">
        <f t="shared" si="117"/>
        <v>0</v>
      </c>
      <c r="V802" s="282"/>
      <c r="W802" s="282"/>
      <c r="X802" s="282"/>
    </row>
    <row r="803" spans="1:30" ht="30.75" customHeight="1">
      <c r="A803" s="487"/>
      <c r="B803" s="499" t="s">
        <v>95</v>
      </c>
      <c r="C803" s="489">
        <f>C804+C805</f>
        <v>4218095</v>
      </c>
      <c r="D803" s="489">
        <f t="shared" ref="D803:V803" si="118">D804+D805</f>
        <v>0</v>
      </c>
      <c r="E803" s="489">
        <f t="shared" si="118"/>
        <v>0</v>
      </c>
      <c r="F803" s="489">
        <f t="shared" si="118"/>
        <v>0</v>
      </c>
      <c r="G803" s="489">
        <f t="shared" si="118"/>
        <v>0</v>
      </c>
      <c r="H803" s="489">
        <f t="shared" si="118"/>
        <v>0</v>
      </c>
      <c r="I803" s="489">
        <f t="shared" si="118"/>
        <v>0</v>
      </c>
      <c r="J803" s="489">
        <f t="shared" si="118"/>
        <v>0</v>
      </c>
      <c r="K803" s="489">
        <f t="shared" si="118"/>
        <v>0</v>
      </c>
      <c r="L803" s="489">
        <f t="shared" si="118"/>
        <v>0</v>
      </c>
      <c r="M803" s="489">
        <f t="shared" si="118"/>
        <v>0</v>
      </c>
      <c r="N803" s="489">
        <f t="shared" si="118"/>
        <v>847</v>
      </c>
      <c r="O803" s="489">
        <f t="shared" si="118"/>
        <v>2338924</v>
      </c>
      <c r="P803" s="489">
        <f t="shared" si="118"/>
        <v>0</v>
      </c>
      <c r="Q803" s="489">
        <f t="shared" si="118"/>
        <v>0</v>
      </c>
      <c r="R803" s="489">
        <f t="shared" si="118"/>
        <v>1210</v>
      </c>
      <c r="S803" s="489">
        <f t="shared" si="118"/>
        <v>1879171</v>
      </c>
      <c r="T803" s="489">
        <f t="shared" si="118"/>
        <v>0</v>
      </c>
      <c r="U803" s="489">
        <f t="shared" si="118"/>
        <v>0</v>
      </c>
      <c r="V803" s="196">
        <f t="shared" si="118"/>
        <v>0</v>
      </c>
      <c r="W803" s="282"/>
      <c r="X803" s="282"/>
    </row>
    <row r="804" spans="1:30" ht="15.75">
      <c r="A804" s="487">
        <v>231</v>
      </c>
      <c r="B804" s="336" t="s">
        <v>627</v>
      </c>
      <c r="C804" s="489">
        <f>'часть 1'!L827</f>
        <v>2605488</v>
      </c>
      <c r="D804" s="489">
        <v>0</v>
      </c>
      <c r="E804" s="489">
        <v>0</v>
      </c>
      <c r="F804" s="489">
        <v>0</v>
      </c>
      <c r="G804" s="489">
        <v>0</v>
      </c>
      <c r="H804" s="489">
        <v>0</v>
      </c>
      <c r="I804" s="489">
        <v>0</v>
      </c>
      <c r="J804" s="489">
        <v>0</v>
      </c>
      <c r="K804" s="489">
        <v>0</v>
      </c>
      <c r="L804" s="500">
        <v>0</v>
      </c>
      <c r="M804" s="560">
        <v>0</v>
      </c>
      <c r="N804" s="492">
        <v>562</v>
      </c>
      <c r="O804" s="489">
        <v>1417413</v>
      </c>
      <c r="P804" s="500">
        <v>0</v>
      </c>
      <c r="Q804" s="489">
        <v>0</v>
      </c>
      <c r="R804" s="490">
        <v>760</v>
      </c>
      <c r="S804" s="489">
        <v>1188075</v>
      </c>
      <c r="T804" s="500">
        <v>0</v>
      </c>
      <c r="U804" s="561">
        <v>0</v>
      </c>
      <c r="V804" s="282"/>
      <c r="W804" s="282">
        <f>O804/N804</f>
        <v>2522.0871886120995</v>
      </c>
      <c r="X804" s="282">
        <f>S804/R804</f>
        <v>1563.2565789473683</v>
      </c>
    </row>
    <row r="805" spans="1:30" ht="22.15" customHeight="1">
      <c r="A805" s="487">
        <v>232</v>
      </c>
      <c r="B805" s="336" t="s">
        <v>624</v>
      </c>
      <c r="C805" s="489">
        <f>'часть 1'!L828</f>
        <v>1612607</v>
      </c>
      <c r="D805" s="489">
        <v>0</v>
      </c>
      <c r="E805" s="489">
        <v>0</v>
      </c>
      <c r="F805" s="489">
        <v>0</v>
      </c>
      <c r="G805" s="489">
        <v>0</v>
      </c>
      <c r="H805" s="489">
        <v>0</v>
      </c>
      <c r="I805" s="489">
        <v>0</v>
      </c>
      <c r="J805" s="489">
        <v>0</v>
      </c>
      <c r="K805" s="489">
        <v>0</v>
      </c>
      <c r="L805" s="500">
        <v>0</v>
      </c>
      <c r="M805" s="560">
        <v>0</v>
      </c>
      <c r="N805" s="492">
        <v>285</v>
      </c>
      <c r="O805" s="489">
        <v>921511</v>
      </c>
      <c r="P805" s="500">
        <v>0</v>
      </c>
      <c r="Q805" s="489">
        <v>0</v>
      </c>
      <c r="R805" s="490">
        <v>450</v>
      </c>
      <c r="S805" s="489">
        <v>691096</v>
      </c>
      <c r="T805" s="500">
        <v>0</v>
      </c>
      <c r="U805" s="561">
        <v>0</v>
      </c>
      <c r="V805" s="282"/>
      <c r="W805" s="282">
        <f>O805/N805</f>
        <v>3233.3719298245614</v>
      </c>
      <c r="X805" s="282">
        <f>S805/R805</f>
        <v>1535.7688888888888</v>
      </c>
    </row>
    <row r="806" spans="1:30">
      <c r="A806" s="487"/>
      <c r="B806" s="499"/>
      <c r="C806" s="489"/>
      <c r="D806" s="489"/>
      <c r="E806" s="489"/>
      <c r="F806" s="489"/>
      <c r="G806" s="489"/>
      <c r="H806" s="489"/>
      <c r="I806" s="489"/>
      <c r="J806" s="489"/>
      <c r="K806" s="489"/>
      <c r="L806" s="500"/>
      <c r="M806" s="560"/>
      <c r="N806" s="492"/>
      <c r="O806" s="489"/>
      <c r="P806" s="500"/>
      <c r="Q806" s="489"/>
      <c r="R806" s="490"/>
      <c r="S806" s="560"/>
      <c r="T806" s="500"/>
      <c r="U806" s="561"/>
      <c r="V806" s="282"/>
      <c r="W806" s="282"/>
      <c r="X806" s="282"/>
    </row>
    <row r="807" spans="1:30">
      <c r="A807" s="487"/>
      <c r="B807" s="499"/>
      <c r="C807" s="489"/>
      <c r="D807" s="489"/>
      <c r="E807" s="489"/>
      <c r="F807" s="489"/>
      <c r="G807" s="489"/>
      <c r="H807" s="489"/>
      <c r="I807" s="489"/>
      <c r="J807" s="489"/>
      <c r="K807" s="489"/>
      <c r="L807" s="500"/>
      <c r="M807" s="560"/>
      <c r="N807" s="492"/>
      <c r="O807" s="489"/>
      <c r="P807" s="500"/>
      <c r="Q807" s="489"/>
      <c r="R807" s="490"/>
      <c r="S807" s="560"/>
      <c r="T807" s="500"/>
      <c r="U807" s="561"/>
      <c r="V807" s="282"/>
      <c r="W807" s="282"/>
      <c r="X807" s="282"/>
    </row>
    <row r="808" spans="1:30">
      <c r="A808" s="487"/>
      <c r="B808" s="499"/>
      <c r="C808" s="489"/>
      <c r="D808" s="489"/>
      <c r="E808" s="489"/>
      <c r="F808" s="489"/>
      <c r="G808" s="489"/>
      <c r="H808" s="489"/>
      <c r="I808" s="489"/>
      <c r="J808" s="489"/>
      <c r="K808" s="489"/>
      <c r="L808" s="500"/>
      <c r="M808" s="560"/>
      <c r="N808" s="492"/>
      <c r="O808" s="489"/>
      <c r="P808" s="500"/>
      <c r="Q808" s="489"/>
      <c r="R808" s="490"/>
      <c r="S808" s="560"/>
      <c r="T808" s="500"/>
      <c r="U808" s="561"/>
      <c r="V808" s="282"/>
      <c r="W808" s="282"/>
      <c r="X808" s="282"/>
    </row>
    <row r="809" spans="1:30">
      <c r="A809" s="487"/>
      <c r="B809" s="499"/>
      <c r="C809" s="489"/>
      <c r="D809" s="489"/>
      <c r="E809" s="489"/>
      <c r="F809" s="489"/>
      <c r="G809" s="489"/>
      <c r="H809" s="489"/>
      <c r="I809" s="489"/>
      <c r="J809" s="489"/>
      <c r="K809" s="489"/>
      <c r="L809" s="500"/>
      <c r="M809" s="560"/>
      <c r="N809" s="492"/>
      <c r="O809" s="489"/>
      <c r="P809" s="500"/>
      <c r="Q809" s="489"/>
      <c r="R809" s="490"/>
      <c r="S809" s="560"/>
      <c r="T809" s="500"/>
      <c r="U809" s="561"/>
      <c r="V809" s="282"/>
      <c r="W809" s="282"/>
      <c r="X809" s="282"/>
    </row>
    <row r="810" spans="1:30">
      <c r="A810" s="487"/>
      <c r="B810" s="499"/>
      <c r="C810" s="489"/>
      <c r="D810" s="489"/>
      <c r="E810" s="489"/>
      <c r="F810" s="489"/>
      <c r="G810" s="489"/>
      <c r="H810" s="489"/>
      <c r="I810" s="489"/>
      <c r="J810" s="489"/>
      <c r="K810" s="489"/>
      <c r="L810" s="500"/>
      <c r="M810" s="560"/>
      <c r="N810" s="492"/>
      <c r="O810" s="489"/>
      <c r="P810" s="500"/>
      <c r="Q810" s="489"/>
      <c r="R810" s="490"/>
      <c r="S810" s="560"/>
      <c r="T810" s="500"/>
      <c r="U810" s="561"/>
      <c r="V810" s="282"/>
      <c r="W810" s="282"/>
      <c r="X810" s="282"/>
    </row>
    <row r="811" spans="1:30">
      <c r="A811" s="198"/>
      <c r="B811" s="217" t="s">
        <v>41</v>
      </c>
      <c r="C811" s="192">
        <v>12161074</v>
      </c>
      <c r="D811" s="192"/>
      <c r="E811" s="192"/>
      <c r="F811" s="192"/>
      <c r="G811" s="192"/>
      <c r="H811" s="192"/>
      <c r="I811" s="192"/>
      <c r="J811" s="192"/>
      <c r="K811" s="192">
        <v>297717</v>
      </c>
      <c r="L811" s="205">
        <v>3</v>
      </c>
      <c r="M811" s="192">
        <v>5600526</v>
      </c>
      <c r="N811" s="192">
        <f>N812</f>
        <v>1313</v>
      </c>
      <c r="O811" s="192">
        <v>6262831</v>
      </c>
      <c r="P811" s="205">
        <v>0</v>
      </c>
      <c r="Q811" s="192">
        <v>0</v>
      </c>
      <c r="R811" s="193">
        <v>0</v>
      </c>
      <c r="S811" s="192">
        <v>0</v>
      </c>
      <c r="T811" s="205">
        <v>0</v>
      </c>
      <c r="U811" s="287">
        <v>0</v>
      </c>
      <c r="V811" s="282"/>
      <c r="W811" s="282"/>
      <c r="X811" s="282"/>
    </row>
    <row r="812" spans="1:30" ht="30">
      <c r="A812" s="785"/>
      <c r="B812" s="195" t="s">
        <v>96</v>
      </c>
      <c r="C812" s="196">
        <f>C813+C814+C815+C816+C817</f>
        <v>9289441</v>
      </c>
      <c r="D812" s="196">
        <f t="shared" ref="D812:U812" si="119">D813+D814+D815+D816+D817</f>
        <v>5111523</v>
      </c>
      <c r="E812" s="196">
        <f t="shared" si="119"/>
        <v>2547087</v>
      </c>
      <c r="F812" s="196">
        <f t="shared" si="119"/>
        <v>1049894</v>
      </c>
      <c r="G812" s="196">
        <f t="shared" si="119"/>
        <v>0</v>
      </c>
      <c r="H812" s="196">
        <f t="shared" si="119"/>
        <v>921204</v>
      </c>
      <c r="I812" s="196">
        <f t="shared" si="119"/>
        <v>0</v>
      </c>
      <c r="J812" s="196">
        <f t="shared" si="119"/>
        <v>593338</v>
      </c>
      <c r="K812" s="196">
        <f t="shared" si="119"/>
        <v>0</v>
      </c>
      <c r="L812" s="196">
        <f t="shared" si="119"/>
        <v>0</v>
      </c>
      <c r="M812" s="196">
        <f t="shared" si="119"/>
        <v>0</v>
      </c>
      <c r="N812" s="196">
        <f t="shared" si="119"/>
        <v>1313</v>
      </c>
      <c r="O812" s="196">
        <f t="shared" si="119"/>
        <v>4177918</v>
      </c>
      <c r="P812" s="196">
        <f t="shared" si="119"/>
        <v>0</v>
      </c>
      <c r="Q812" s="196">
        <f t="shared" si="119"/>
        <v>0</v>
      </c>
      <c r="R812" s="196">
        <f t="shared" si="119"/>
        <v>0</v>
      </c>
      <c r="S812" s="196">
        <f t="shared" si="119"/>
        <v>0</v>
      </c>
      <c r="T812" s="196">
        <f t="shared" si="119"/>
        <v>0</v>
      </c>
      <c r="U812" s="196">
        <f t="shared" si="119"/>
        <v>0</v>
      </c>
      <c r="V812" s="282"/>
      <c r="W812" s="282"/>
      <c r="X812" s="282"/>
    </row>
    <row r="813" spans="1:30">
      <c r="A813" s="785">
        <v>238</v>
      </c>
      <c r="B813" s="787" t="s">
        <v>825</v>
      </c>
      <c r="C813" s="196">
        <f>'часть 1'!L836</f>
        <v>1058186</v>
      </c>
      <c r="D813" s="196">
        <f>E813+F813+G813+H813+I813+J813+K813</f>
        <v>1058186</v>
      </c>
      <c r="E813" s="196">
        <v>1058186</v>
      </c>
      <c r="F813" s="196">
        <v>0</v>
      </c>
      <c r="G813" s="196">
        <v>0</v>
      </c>
      <c r="H813" s="196">
        <v>0</v>
      </c>
      <c r="I813" s="196">
        <v>0</v>
      </c>
      <c r="J813" s="196">
        <v>0</v>
      </c>
      <c r="K813" s="196">
        <v>0</v>
      </c>
      <c r="L813" s="204">
        <v>0</v>
      </c>
      <c r="M813" s="199">
        <v>0</v>
      </c>
      <c r="N813" s="199">
        <v>0</v>
      </c>
      <c r="O813" s="196">
        <v>0</v>
      </c>
      <c r="P813" s="193">
        <v>0</v>
      </c>
      <c r="Q813" s="192">
        <v>0</v>
      </c>
      <c r="R813" s="193">
        <v>0</v>
      </c>
      <c r="S813" s="192">
        <v>0</v>
      </c>
      <c r="T813" s="205">
        <v>0</v>
      </c>
      <c r="U813" s="287">
        <v>0</v>
      </c>
      <c r="V813" s="282"/>
      <c r="W813" s="282"/>
      <c r="X813" s="282"/>
      <c r="Y813" s="1">
        <f>E813/'часть 1'!I836</f>
        <v>758.23015190599028</v>
      </c>
    </row>
    <row r="814" spans="1:30" ht="37.9" customHeight="1">
      <c r="A814" s="785">
        <v>239</v>
      </c>
      <c r="B814" s="788" t="s">
        <v>826</v>
      </c>
      <c r="C814" s="196">
        <f>'часть 1'!L837</f>
        <v>1264714</v>
      </c>
      <c r="D814" s="196">
        <f t="shared" ref="D814:D817" si="120">E814+F814+G814+H814+I814+J814+K814</f>
        <v>1264714</v>
      </c>
      <c r="E814" s="196">
        <v>295822</v>
      </c>
      <c r="F814" s="196">
        <v>397225</v>
      </c>
      <c r="G814" s="196">
        <v>0</v>
      </c>
      <c r="H814" s="196">
        <v>349155</v>
      </c>
      <c r="I814" s="196">
        <v>0</v>
      </c>
      <c r="J814" s="196">
        <v>222512</v>
      </c>
      <c r="K814" s="196">
        <v>0</v>
      </c>
      <c r="L814" s="204">
        <v>0</v>
      </c>
      <c r="M814" s="199">
        <v>0</v>
      </c>
      <c r="N814" s="199">
        <v>0</v>
      </c>
      <c r="O814" s="196">
        <v>0</v>
      </c>
      <c r="P814" s="193">
        <v>0</v>
      </c>
      <c r="Q814" s="192">
        <v>0</v>
      </c>
      <c r="R814" s="193">
        <v>0</v>
      </c>
      <c r="S814" s="192">
        <v>0</v>
      </c>
      <c r="T814" s="205">
        <v>0</v>
      </c>
      <c r="U814" s="287">
        <v>0</v>
      </c>
      <c r="V814" s="282"/>
      <c r="W814" s="282"/>
      <c r="X814" s="282"/>
      <c r="Y814" s="1">
        <f>E814/'часть 1'!I837</f>
        <v>748.91645569620255</v>
      </c>
      <c r="AA814" s="1">
        <f>F814/'часть 1'!I837</f>
        <v>1005.632911392405</v>
      </c>
      <c r="AB814" s="1">
        <f>H814/'часть 1'!I837</f>
        <v>883.9367088607595</v>
      </c>
      <c r="AD814" s="1">
        <f>J814/'часть 1'!I837</f>
        <v>563.32151898734173</v>
      </c>
    </row>
    <row r="815" spans="1:30">
      <c r="A815" s="785">
        <v>240</v>
      </c>
      <c r="B815" s="787" t="s">
        <v>827</v>
      </c>
      <c r="C815" s="196">
        <f>'часть 1'!L838</f>
        <v>3274864</v>
      </c>
      <c r="D815" s="196">
        <f t="shared" si="120"/>
        <v>436027</v>
      </c>
      <c r="E815" s="196">
        <v>436027</v>
      </c>
      <c r="F815" s="196">
        <v>0</v>
      </c>
      <c r="G815" s="196">
        <v>0</v>
      </c>
      <c r="H815" s="196">
        <v>0</v>
      </c>
      <c r="I815" s="196">
        <v>0</v>
      </c>
      <c r="J815" s="196">
        <v>0</v>
      </c>
      <c r="K815" s="196">
        <v>0</v>
      </c>
      <c r="L815" s="204">
        <v>0</v>
      </c>
      <c r="M815" s="199">
        <v>0</v>
      </c>
      <c r="N815" s="199">
        <v>895</v>
      </c>
      <c r="O815" s="196">
        <v>2838837</v>
      </c>
      <c r="P815" s="193">
        <v>0</v>
      </c>
      <c r="Q815" s="192">
        <v>0</v>
      </c>
      <c r="R815" s="193">
        <v>0</v>
      </c>
      <c r="S815" s="192">
        <v>0</v>
      </c>
      <c r="T815" s="205">
        <v>0</v>
      </c>
      <c r="U815" s="287">
        <v>0</v>
      </c>
      <c r="V815" s="282"/>
      <c r="W815" s="282">
        <f>O815/N815</f>
        <v>3171.8849162011174</v>
      </c>
      <c r="X815" s="282"/>
      <c r="Y815" s="1">
        <f>E815/'часть 1'!I838</f>
        <v>762.15172172697078</v>
      </c>
    </row>
    <row r="816" spans="1:30">
      <c r="A816" s="785">
        <v>241</v>
      </c>
      <c r="B816" s="787" t="s">
        <v>828</v>
      </c>
      <c r="C816" s="196">
        <f>'часть 1'!L839</f>
        <v>2082655</v>
      </c>
      <c r="D816" s="196">
        <f t="shared" si="120"/>
        <v>2082655</v>
      </c>
      <c r="E816" s="196">
        <v>487111</v>
      </c>
      <c r="F816" s="196">
        <v>652669</v>
      </c>
      <c r="G816" s="196">
        <v>0</v>
      </c>
      <c r="H816" s="196">
        <v>572049</v>
      </c>
      <c r="I816" s="196">
        <v>0</v>
      </c>
      <c r="J816" s="196">
        <v>370826</v>
      </c>
      <c r="K816" s="196">
        <v>0</v>
      </c>
      <c r="L816" s="204">
        <v>0</v>
      </c>
      <c r="M816" s="199">
        <v>0</v>
      </c>
      <c r="N816" s="192">
        <v>0</v>
      </c>
      <c r="O816" s="192">
        <v>0</v>
      </c>
      <c r="P816" s="193">
        <v>0</v>
      </c>
      <c r="Q816" s="192">
        <v>0</v>
      </c>
      <c r="R816" s="193">
        <v>0</v>
      </c>
      <c r="S816" s="192">
        <v>0</v>
      </c>
      <c r="T816" s="205">
        <v>0</v>
      </c>
      <c r="U816" s="287">
        <v>0</v>
      </c>
      <c r="V816" s="282"/>
      <c r="W816" s="282"/>
      <c r="X816" s="282"/>
      <c r="Y816" s="1">
        <f>E816/'часть 1'!I839</f>
        <v>684.1446629213483</v>
      </c>
      <c r="AA816" s="1">
        <f>F816/'часть 1'!I839</f>
        <v>916.66994382022472</v>
      </c>
      <c r="AB816" s="1">
        <f>H816/'часть 1'!I839</f>
        <v>803.43960674157302</v>
      </c>
      <c r="AD816" s="1">
        <f>J816/'часть 1'!I839</f>
        <v>520.82303370786519</v>
      </c>
    </row>
    <row r="817" spans="1:35">
      <c r="A817" s="785">
        <v>242</v>
      </c>
      <c r="B817" s="787" t="s">
        <v>829</v>
      </c>
      <c r="C817" s="196">
        <f>'часть 1'!L840</f>
        <v>1609022</v>
      </c>
      <c r="D817" s="196">
        <f t="shared" si="120"/>
        <v>269941</v>
      </c>
      <c r="E817" s="196">
        <v>269941</v>
      </c>
      <c r="F817" s="196">
        <v>0</v>
      </c>
      <c r="G817" s="196">
        <v>0</v>
      </c>
      <c r="H817" s="196">
        <v>0</v>
      </c>
      <c r="I817" s="196">
        <v>0</v>
      </c>
      <c r="J817" s="196">
        <v>0</v>
      </c>
      <c r="K817" s="196">
        <v>0</v>
      </c>
      <c r="L817" s="204">
        <v>0</v>
      </c>
      <c r="M817" s="199">
        <v>0</v>
      </c>
      <c r="N817" s="199">
        <v>418</v>
      </c>
      <c r="O817" s="196">
        <v>1339081</v>
      </c>
      <c r="P817" s="193">
        <v>0</v>
      </c>
      <c r="Q817" s="211">
        <v>0</v>
      </c>
      <c r="R817" s="213">
        <v>0</v>
      </c>
      <c r="S817" s="211">
        <v>0</v>
      </c>
      <c r="T817" s="212">
        <v>0</v>
      </c>
      <c r="U817" s="290">
        <v>0</v>
      </c>
      <c r="V817" s="282"/>
      <c r="W817" s="282">
        <f>O817/N817</f>
        <v>3203.5430622009571</v>
      </c>
      <c r="X817" s="282"/>
      <c r="Y817" s="1">
        <f>E817/'часть 1'!I840</f>
        <v>729.37314239394755</v>
      </c>
    </row>
    <row r="818" spans="1:35">
      <c r="A818" s="785"/>
      <c r="B818" s="218" t="s">
        <v>68</v>
      </c>
      <c r="C818" s="196">
        <f>C819</f>
        <v>443001</v>
      </c>
      <c r="D818" s="196">
        <f t="shared" ref="D818:U819" si="121">D819</f>
        <v>0</v>
      </c>
      <c r="E818" s="196">
        <f t="shared" si="121"/>
        <v>0</v>
      </c>
      <c r="F818" s="196">
        <f t="shared" si="121"/>
        <v>0</v>
      </c>
      <c r="G818" s="196">
        <f t="shared" si="121"/>
        <v>0</v>
      </c>
      <c r="H818" s="196">
        <f t="shared" si="121"/>
        <v>0</v>
      </c>
      <c r="I818" s="196">
        <f t="shared" si="121"/>
        <v>0</v>
      </c>
      <c r="J818" s="196">
        <f t="shared" si="121"/>
        <v>0</v>
      </c>
      <c r="K818" s="196">
        <f t="shared" si="121"/>
        <v>0</v>
      </c>
      <c r="L818" s="196">
        <f t="shared" si="121"/>
        <v>0</v>
      </c>
      <c r="M818" s="196">
        <f t="shared" si="121"/>
        <v>0</v>
      </c>
      <c r="N818" s="196">
        <f t="shared" si="121"/>
        <v>0</v>
      </c>
      <c r="O818" s="196">
        <f t="shared" si="121"/>
        <v>0</v>
      </c>
      <c r="P818" s="196">
        <f t="shared" si="121"/>
        <v>0</v>
      </c>
      <c r="Q818" s="196">
        <f t="shared" si="121"/>
        <v>0</v>
      </c>
      <c r="R818" s="196">
        <f t="shared" si="121"/>
        <v>285.2</v>
      </c>
      <c r="S818" s="196">
        <f t="shared" si="121"/>
        <v>443001</v>
      </c>
      <c r="T818" s="196">
        <f t="shared" si="121"/>
        <v>0</v>
      </c>
      <c r="U818" s="196">
        <f t="shared" si="121"/>
        <v>0</v>
      </c>
      <c r="V818" s="282"/>
      <c r="W818" s="282"/>
      <c r="X818" s="282"/>
    </row>
    <row r="819" spans="1:35" ht="30">
      <c r="A819" s="786"/>
      <c r="B819" s="488" t="s">
        <v>97</v>
      </c>
      <c r="C819" s="489">
        <f>C820</f>
        <v>443001</v>
      </c>
      <c r="D819" s="489">
        <f t="shared" si="121"/>
        <v>0</v>
      </c>
      <c r="E819" s="489">
        <f t="shared" si="121"/>
        <v>0</v>
      </c>
      <c r="F819" s="489">
        <f t="shared" si="121"/>
        <v>0</v>
      </c>
      <c r="G819" s="489">
        <f t="shared" si="121"/>
        <v>0</v>
      </c>
      <c r="H819" s="489">
        <f t="shared" si="121"/>
        <v>0</v>
      </c>
      <c r="I819" s="489">
        <f t="shared" si="121"/>
        <v>0</v>
      </c>
      <c r="J819" s="489">
        <f t="shared" si="121"/>
        <v>0</v>
      </c>
      <c r="K819" s="489">
        <f t="shared" si="121"/>
        <v>0</v>
      </c>
      <c r="L819" s="489">
        <f t="shared" si="121"/>
        <v>0</v>
      </c>
      <c r="M819" s="489">
        <f t="shared" si="121"/>
        <v>0</v>
      </c>
      <c r="N819" s="489">
        <f t="shared" si="121"/>
        <v>0</v>
      </c>
      <c r="O819" s="489">
        <f t="shared" si="121"/>
        <v>0</v>
      </c>
      <c r="P819" s="489">
        <f t="shared" si="121"/>
        <v>0</v>
      </c>
      <c r="Q819" s="489">
        <f t="shared" si="121"/>
        <v>0</v>
      </c>
      <c r="R819" s="489">
        <f t="shared" si="121"/>
        <v>285.2</v>
      </c>
      <c r="S819" s="489">
        <f t="shared" si="121"/>
        <v>443001</v>
      </c>
      <c r="T819" s="489">
        <f t="shared" si="121"/>
        <v>0</v>
      </c>
      <c r="U819" s="489">
        <f t="shared" si="121"/>
        <v>0</v>
      </c>
      <c r="V819" s="489">
        <f t="shared" ref="V819" si="122">V820</f>
        <v>0</v>
      </c>
      <c r="W819" s="282"/>
      <c r="X819" s="282"/>
    </row>
    <row r="820" spans="1:35">
      <c r="A820" s="487"/>
      <c r="B820" s="501" t="s">
        <v>769</v>
      </c>
      <c r="C820" s="498">
        <f>'часть 1'!L843</f>
        <v>443001</v>
      </c>
      <c r="D820" s="498">
        <v>0</v>
      </c>
      <c r="E820" s="498">
        <v>0</v>
      </c>
      <c r="F820" s="498">
        <v>0</v>
      </c>
      <c r="G820" s="498">
        <v>0</v>
      </c>
      <c r="H820" s="498">
        <v>0</v>
      </c>
      <c r="I820" s="498">
        <v>0</v>
      </c>
      <c r="J820" s="498">
        <v>0</v>
      </c>
      <c r="K820" s="498">
        <v>0</v>
      </c>
      <c r="L820" s="502">
        <v>0</v>
      </c>
      <c r="M820" s="498">
        <v>0</v>
      </c>
      <c r="N820" s="498">
        <v>0</v>
      </c>
      <c r="O820" s="498">
        <v>0</v>
      </c>
      <c r="P820" s="503">
        <v>0</v>
      </c>
      <c r="Q820" s="498">
        <v>0</v>
      </c>
      <c r="R820" s="819">
        <v>285.2</v>
      </c>
      <c r="S820" s="498">
        <v>443001</v>
      </c>
      <c r="T820" s="502">
        <v>0</v>
      </c>
      <c r="U820" s="504">
        <v>0</v>
      </c>
      <c r="V820" s="282"/>
      <c r="W820" s="282">
        <f>S820/R820</f>
        <v>1553.2994389901824</v>
      </c>
      <c r="X820" s="282"/>
    </row>
    <row r="821" spans="1:35" s="18" customFormat="1">
      <c r="A821" s="198"/>
      <c r="B821" s="216" t="s">
        <v>43</v>
      </c>
      <c r="C821" s="211">
        <v>23032470</v>
      </c>
      <c r="D821" s="211"/>
      <c r="E821" s="211"/>
      <c r="F821" s="211"/>
      <c r="G821" s="211"/>
      <c r="H821" s="211"/>
      <c r="I821" s="211"/>
      <c r="J821" s="211"/>
      <c r="K821" s="211">
        <v>0</v>
      </c>
      <c r="L821" s="213">
        <v>0</v>
      </c>
      <c r="M821" s="211">
        <v>0</v>
      </c>
      <c r="N821" s="211">
        <v>11598.699999999999</v>
      </c>
      <c r="O821" s="211">
        <v>23032470</v>
      </c>
      <c r="P821" s="213">
        <v>0</v>
      </c>
      <c r="Q821" s="211">
        <v>0</v>
      </c>
      <c r="R821" s="213">
        <v>0</v>
      </c>
      <c r="S821" s="211">
        <v>0</v>
      </c>
      <c r="T821" s="213">
        <v>0</v>
      </c>
      <c r="U821" s="290">
        <v>0</v>
      </c>
      <c r="V821" s="282"/>
      <c r="W821" s="282"/>
      <c r="X821" s="282"/>
    </row>
    <row r="822" spans="1:35" ht="30">
      <c r="A822" s="198"/>
      <c r="B822" s="214" t="s">
        <v>125</v>
      </c>
      <c r="C822" s="211">
        <v>20696312</v>
      </c>
      <c r="D822" s="211"/>
      <c r="E822" s="211"/>
      <c r="F822" s="211"/>
      <c r="G822" s="211"/>
      <c r="H822" s="211"/>
      <c r="I822" s="211"/>
      <c r="J822" s="211"/>
      <c r="K822" s="211">
        <v>0</v>
      </c>
      <c r="L822" s="212">
        <v>0</v>
      </c>
      <c r="M822" s="211">
        <v>0</v>
      </c>
      <c r="N822" s="211">
        <v>10402.699999999999</v>
      </c>
      <c r="O822" s="211">
        <v>20696312</v>
      </c>
      <c r="P822" s="213">
        <v>0</v>
      </c>
      <c r="Q822" s="211">
        <v>0</v>
      </c>
      <c r="R822" s="213">
        <v>0</v>
      </c>
      <c r="S822" s="211">
        <v>0</v>
      </c>
      <c r="T822" s="212">
        <v>0</v>
      </c>
      <c r="U822" s="290">
        <v>0</v>
      </c>
      <c r="V822" s="282"/>
      <c r="W822" s="282"/>
      <c r="X822" s="282"/>
    </row>
    <row r="823" spans="1:35" s="46" customFormat="1">
      <c r="A823" s="198">
        <v>244</v>
      </c>
      <c r="B823" s="219" t="s">
        <v>405</v>
      </c>
      <c r="C823" s="220">
        <v>2301804</v>
      </c>
      <c r="D823" s="220"/>
      <c r="E823" s="220"/>
      <c r="F823" s="220"/>
      <c r="G823" s="220"/>
      <c r="H823" s="220"/>
      <c r="I823" s="220"/>
      <c r="J823" s="220"/>
      <c r="K823" s="221">
        <v>0</v>
      </c>
      <c r="L823" s="222">
        <v>0</v>
      </c>
      <c r="M823" s="221">
        <v>0</v>
      </c>
      <c r="N823" s="223">
        <v>1167</v>
      </c>
      <c r="O823" s="224">
        <v>2301804</v>
      </c>
      <c r="P823" s="225">
        <v>0</v>
      </c>
      <c r="Q823" s="221">
        <v>0</v>
      </c>
      <c r="R823" s="225">
        <v>0</v>
      </c>
      <c r="S823" s="221">
        <v>0</v>
      </c>
      <c r="T823" s="226">
        <v>0</v>
      </c>
      <c r="U823" s="291">
        <v>0</v>
      </c>
      <c r="V823" s="282"/>
      <c r="W823" s="282"/>
      <c r="X823" s="282"/>
    </row>
    <row r="824" spans="1:35" s="90" customFormat="1">
      <c r="A824" s="198">
        <v>245</v>
      </c>
      <c r="B824" s="219" t="s">
        <v>393</v>
      </c>
      <c r="C824" s="220">
        <v>1743478</v>
      </c>
      <c r="D824" s="220"/>
      <c r="E824" s="220"/>
      <c r="F824" s="220"/>
      <c r="G824" s="220"/>
      <c r="H824" s="220"/>
      <c r="I824" s="220"/>
      <c r="J824" s="220"/>
      <c r="K824" s="227">
        <v>0</v>
      </c>
      <c r="L824" s="208">
        <v>0</v>
      </c>
      <c r="M824" s="227">
        <v>0</v>
      </c>
      <c r="N824" s="228">
        <v>880</v>
      </c>
      <c r="O824" s="224">
        <v>1743478</v>
      </c>
      <c r="P824" s="225">
        <v>0</v>
      </c>
      <c r="Q824" s="221">
        <v>0</v>
      </c>
      <c r="R824" s="225">
        <v>0</v>
      </c>
      <c r="S824" s="221">
        <v>0</v>
      </c>
      <c r="T824" s="226">
        <v>0</v>
      </c>
      <c r="U824" s="291">
        <v>0</v>
      </c>
      <c r="V824" s="282"/>
      <c r="W824" s="282"/>
      <c r="X824" s="282"/>
      <c r="Y824" s="46"/>
      <c r="Z824" s="46"/>
      <c r="AA824" s="46"/>
      <c r="AB824" s="46"/>
      <c r="AC824" s="46"/>
      <c r="AD824" s="46"/>
      <c r="AE824" s="46"/>
      <c r="AF824" s="46"/>
      <c r="AG824" s="46"/>
      <c r="AH824" s="46"/>
      <c r="AI824" s="46"/>
    </row>
    <row r="825" spans="1:35" s="90" customFormat="1">
      <c r="A825" s="198">
        <v>246</v>
      </c>
      <c r="B825" s="219" t="s">
        <v>406</v>
      </c>
      <c r="C825" s="220">
        <v>2485001</v>
      </c>
      <c r="D825" s="220"/>
      <c r="E825" s="220"/>
      <c r="F825" s="220"/>
      <c r="G825" s="220"/>
      <c r="H825" s="220"/>
      <c r="I825" s="220"/>
      <c r="J825" s="220"/>
      <c r="K825" s="221">
        <v>0</v>
      </c>
      <c r="L825" s="222">
        <v>0</v>
      </c>
      <c r="M825" s="221">
        <v>0</v>
      </c>
      <c r="N825" s="229">
        <v>1268.4000000000001</v>
      </c>
      <c r="O825" s="224">
        <v>2485001</v>
      </c>
      <c r="P825" s="225">
        <v>0</v>
      </c>
      <c r="Q825" s="221">
        <v>0</v>
      </c>
      <c r="R825" s="225">
        <v>0</v>
      </c>
      <c r="S825" s="221">
        <v>0</v>
      </c>
      <c r="T825" s="226">
        <v>0</v>
      </c>
      <c r="U825" s="291">
        <v>0</v>
      </c>
      <c r="V825" s="282"/>
      <c r="W825" s="282"/>
      <c r="X825" s="282"/>
      <c r="Y825" s="46"/>
      <c r="Z825" s="46"/>
      <c r="AA825" s="46"/>
      <c r="AB825" s="46"/>
      <c r="AC825" s="46"/>
      <c r="AD825" s="46"/>
      <c r="AE825" s="46"/>
      <c r="AF825" s="46"/>
      <c r="AG825" s="46"/>
      <c r="AH825" s="46"/>
      <c r="AI825" s="46"/>
    </row>
    <row r="826" spans="1:35" s="46" customFormat="1">
      <c r="A826" s="198">
        <v>247</v>
      </c>
      <c r="B826" s="219" t="s">
        <v>402</v>
      </c>
      <c r="C826" s="220">
        <v>1237591</v>
      </c>
      <c r="D826" s="220"/>
      <c r="E826" s="220"/>
      <c r="F826" s="220"/>
      <c r="G826" s="220"/>
      <c r="H826" s="220"/>
      <c r="I826" s="220"/>
      <c r="J826" s="220"/>
      <c r="K826" s="221">
        <v>0</v>
      </c>
      <c r="L826" s="222">
        <v>0</v>
      </c>
      <c r="M826" s="221">
        <v>0</v>
      </c>
      <c r="N826" s="223">
        <v>620</v>
      </c>
      <c r="O826" s="224">
        <v>1237591</v>
      </c>
      <c r="P826" s="225">
        <v>0</v>
      </c>
      <c r="Q826" s="221">
        <v>0</v>
      </c>
      <c r="R826" s="225">
        <v>0</v>
      </c>
      <c r="S826" s="221">
        <v>0</v>
      </c>
      <c r="T826" s="226">
        <v>0</v>
      </c>
      <c r="U826" s="291">
        <v>0</v>
      </c>
      <c r="V826" s="282"/>
      <c r="W826" s="282"/>
      <c r="X826" s="282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</row>
    <row r="827" spans="1:35" s="42" customFormat="1">
      <c r="A827" s="198">
        <v>248</v>
      </c>
      <c r="B827" s="219" t="s">
        <v>397</v>
      </c>
      <c r="C827" s="220">
        <v>1448078</v>
      </c>
      <c r="D827" s="220"/>
      <c r="E827" s="220"/>
      <c r="F827" s="220"/>
      <c r="G827" s="220"/>
      <c r="H827" s="220"/>
      <c r="I827" s="220"/>
      <c r="J827" s="220"/>
      <c r="K827" s="221">
        <v>0</v>
      </c>
      <c r="L827" s="222">
        <v>0</v>
      </c>
      <c r="M827" s="221">
        <v>0</v>
      </c>
      <c r="N827" s="229">
        <v>729</v>
      </c>
      <c r="O827" s="224">
        <v>1448078</v>
      </c>
      <c r="P827" s="225">
        <v>0</v>
      </c>
      <c r="Q827" s="221">
        <v>0</v>
      </c>
      <c r="R827" s="225">
        <v>0</v>
      </c>
      <c r="S827" s="221">
        <v>0</v>
      </c>
      <c r="T827" s="226">
        <v>0</v>
      </c>
      <c r="U827" s="291">
        <v>0</v>
      </c>
      <c r="V827" s="282"/>
      <c r="W827" s="282"/>
      <c r="X827" s="282"/>
    </row>
    <row r="828" spans="1:35" s="46" customFormat="1">
      <c r="A828" s="198">
        <v>249</v>
      </c>
      <c r="B828" s="219" t="s">
        <v>398</v>
      </c>
      <c r="C828" s="220">
        <v>1963797</v>
      </c>
      <c r="D828" s="220"/>
      <c r="E828" s="220"/>
      <c r="F828" s="220"/>
      <c r="G828" s="220"/>
      <c r="H828" s="220"/>
      <c r="I828" s="220"/>
      <c r="J828" s="220"/>
      <c r="K828" s="221">
        <v>0</v>
      </c>
      <c r="L828" s="222">
        <v>0</v>
      </c>
      <c r="M828" s="221">
        <v>0</v>
      </c>
      <c r="N828" s="223">
        <v>991.4</v>
      </c>
      <c r="O828" s="224">
        <v>1963797</v>
      </c>
      <c r="P828" s="225">
        <v>0</v>
      </c>
      <c r="Q828" s="221">
        <v>0</v>
      </c>
      <c r="R828" s="225">
        <v>0</v>
      </c>
      <c r="S828" s="221">
        <v>0</v>
      </c>
      <c r="T828" s="226">
        <v>0</v>
      </c>
      <c r="U828" s="291">
        <v>0</v>
      </c>
      <c r="V828" s="282"/>
      <c r="W828" s="282"/>
      <c r="X828" s="282"/>
    </row>
    <row r="829" spans="1:35" s="46" customFormat="1">
      <c r="A829" s="198">
        <v>250</v>
      </c>
      <c r="B829" s="219" t="s">
        <v>399</v>
      </c>
      <c r="C829" s="220">
        <v>2119530</v>
      </c>
      <c r="D829" s="220"/>
      <c r="E829" s="220"/>
      <c r="F829" s="220"/>
      <c r="G829" s="220"/>
      <c r="H829" s="220"/>
      <c r="I829" s="220"/>
      <c r="J829" s="220"/>
      <c r="K829" s="221">
        <v>0</v>
      </c>
      <c r="L829" s="222">
        <v>0</v>
      </c>
      <c r="M829" s="221">
        <v>0</v>
      </c>
      <c r="N829" s="223">
        <v>1054.5</v>
      </c>
      <c r="O829" s="224">
        <v>2119530</v>
      </c>
      <c r="P829" s="225">
        <v>0</v>
      </c>
      <c r="Q829" s="221">
        <v>0</v>
      </c>
      <c r="R829" s="225">
        <v>0</v>
      </c>
      <c r="S829" s="221">
        <v>0</v>
      </c>
      <c r="T829" s="226">
        <v>0</v>
      </c>
      <c r="U829" s="291">
        <v>0</v>
      </c>
      <c r="V829" s="282"/>
      <c r="W829" s="282"/>
      <c r="X829" s="282"/>
    </row>
    <row r="830" spans="1:35" s="46" customFormat="1">
      <c r="A830" s="198">
        <v>251</v>
      </c>
      <c r="B830" s="219" t="s">
        <v>403</v>
      </c>
      <c r="C830" s="220">
        <v>1098163</v>
      </c>
      <c r="D830" s="220"/>
      <c r="E830" s="220"/>
      <c r="F830" s="220"/>
      <c r="G830" s="220"/>
      <c r="H830" s="220"/>
      <c r="I830" s="220"/>
      <c r="J830" s="220"/>
      <c r="K830" s="221">
        <v>0</v>
      </c>
      <c r="L830" s="222">
        <v>0</v>
      </c>
      <c r="M830" s="221">
        <v>0</v>
      </c>
      <c r="N830" s="223">
        <v>548</v>
      </c>
      <c r="O830" s="224">
        <v>1098163</v>
      </c>
      <c r="P830" s="225">
        <v>0</v>
      </c>
      <c r="Q830" s="221">
        <v>0</v>
      </c>
      <c r="R830" s="225">
        <v>0</v>
      </c>
      <c r="S830" s="221">
        <v>0</v>
      </c>
      <c r="T830" s="226">
        <v>0</v>
      </c>
      <c r="U830" s="291">
        <v>0</v>
      </c>
      <c r="V830" s="282"/>
      <c r="W830" s="282"/>
      <c r="X830" s="282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</row>
    <row r="831" spans="1:35" s="46" customFormat="1">
      <c r="A831" s="198">
        <v>252</v>
      </c>
      <c r="B831" s="219" t="s">
        <v>404</v>
      </c>
      <c r="C831" s="220">
        <v>1241309</v>
      </c>
      <c r="D831" s="220"/>
      <c r="E831" s="220"/>
      <c r="F831" s="220"/>
      <c r="G831" s="220"/>
      <c r="H831" s="220"/>
      <c r="I831" s="220"/>
      <c r="J831" s="220"/>
      <c r="K831" s="221">
        <v>0</v>
      </c>
      <c r="L831" s="222">
        <v>0</v>
      </c>
      <c r="M831" s="221">
        <v>0</v>
      </c>
      <c r="N831" s="223">
        <v>622</v>
      </c>
      <c r="O831" s="224">
        <v>1241309</v>
      </c>
      <c r="P831" s="225">
        <v>0</v>
      </c>
      <c r="Q831" s="221">
        <v>0</v>
      </c>
      <c r="R831" s="225">
        <v>0</v>
      </c>
      <c r="S831" s="221">
        <v>0</v>
      </c>
      <c r="T831" s="226">
        <v>0</v>
      </c>
      <c r="U831" s="291">
        <v>0</v>
      </c>
      <c r="V831" s="282"/>
      <c r="W831" s="282"/>
      <c r="X831" s="282"/>
    </row>
    <row r="832" spans="1:35" s="43" customFormat="1">
      <c r="A832" s="198">
        <v>253</v>
      </c>
      <c r="B832" s="219" t="s">
        <v>400</v>
      </c>
      <c r="C832" s="220">
        <v>1041360</v>
      </c>
      <c r="D832" s="220"/>
      <c r="E832" s="220"/>
      <c r="F832" s="220"/>
      <c r="G832" s="220"/>
      <c r="H832" s="220"/>
      <c r="I832" s="220"/>
      <c r="J832" s="220"/>
      <c r="K832" s="221">
        <v>0</v>
      </c>
      <c r="L832" s="222">
        <v>0</v>
      </c>
      <c r="M832" s="221">
        <v>0</v>
      </c>
      <c r="N832" s="223">
        <v>520</v>
      </c>
      <c r="O832" s="224">
        <v>1041360</v>
      </c>
      <c r="P832" s="225">
        <v>0</v>
      </c>
      <c r="Q832" s="221">
        <v>0</v>
      </c>
      <c r="R832" s="225">
        <v>0</v>
      </c>
      <c r="S832" s="221">
        <v>0</v>
      </c>
      <c r="T832" s="226">
        <v>0</v>
      </c>
      <c r="U832" s="291">
        <v>0</v>
      </c>
      <c r="V832" s="282"/>
      <c r="W832" s="282"/>
      <c r="X832" s="282"/>
      <c r="Y832" s="46"/>
      <c r="Z832" s="46"/>
      <c r="AA832" s="46"/>
      <c r="AB832" s="46"/>
      <c r="AC832" s="46"/>
      <c r="AD832" s="46"/>
      <c r="AE832" s="46"/>
      <c r="AF832" s="46"/>
      <c r="AG832" s="46"/>
      <c r="AH832" s="46"/>
      <c r="AI832" s="46"/>
    </row>
    <row r="833" spans="1:35" s="43" customFormat="1">
      <c r="A833" s="198">
        <v>254</v>
      </c>
      <c r="B833" s="219" t="s">
        <v>401</v>
      </c>
      <c r="C833" s="220">
        <v>1138866</v>
      </c>
      <c r="D833" s="220"/>
      <c r="E833" s="220"/>
      <c r="F833" s="220"/>
      <c r="G833" s="220"/>
      <c r="H833" s="220"/>
      <c r="I833" s="220"/>
      <c r="J833" s="220"/>
      <c r="K833" s="221">
        <v>0</v>
      </c>
      <c r="L833" s="222">
        <v>0</v>
      </c>
      <c r="M833" s="221">
        <v>0</v>
      </c>
      <c r="N833" s="223">
        <v>570</v>
      </c>
      <c r="O833" s="224">
        <v>1138866</v>
      </c>
      <c r="P833" s="225">
        <v>0</v>
      </c>
      <c r="Q833" s="221">
        <v>0</v>
      </c>
      <c r="R833" s="225">
        <v>0</v>
      </c>
      <c r="S833" s="221">
        <v>0</v>
      </c>
      <c r="T833" s="226">
        <v>0</v>
      </c>
      <c r="U833" s="291">
        <v>0</v>
      </c>
      <c r="V833" s="282"/>
      <c r="W833" s="282"/>
      <c r="X833" s="282"/>
      <c r="Y833" s="46"/>
      <c r="Z833" s="46"/>
      <c r="AA833" s="46"/>
      <c r="AB833" s="46"/>
      <c r="AC833" s="46"/>
      <c r="AD833" s="46"/>
      <c r="AE833" s="46"/>
      <c r="AF833" s="46"/>
      <c r="AG833" s="46"/>
      <c r="AH833" s="46"/>
      <c r="AI833" s="46"/>
    </row>
    <row r="834" spans="1:35" s="46" customFormat="1">
      <c r="A834" s="198">
        <v>255</v>
      </c>
      <c r="B834" s="219" t="s">
        <v>394</v>
      </c>
      <c r="C834" s="220">
        <v>848546</v>
      </c>
      <c r="D834" s="220"/>
      <c r="E834" s="220"/>
      <c r="F834" s="220"/>
      <c r="G834" s="220"/>
      <c r="H834" s="220"/>
      <c r="I834" s="220"/>
      <c r="J834" s="220"/>
      <c r="K834" s="221">
        <v>0</v>
      </c>
      <c r="L834" s="222">
        <v>0</v>
      </c>
      <c r="M834" s="221">
        <v>0</v>
      </c>
      <c r="N834" s="229">
        <v>421.2</v>
      </c>
      <c r="O834" s="224">
        <v>848546</v>
      </c>
      <c r="P834" s="225">
        <v>0</v>
      </c>
      <c r="Q834" s="221">
        <v>0</v>
      </c>
      <c r="R834" s="225">
        <v>0</v>
      </c>
      <c r="S834" s="221">
        <v>0</v>
      </c>
      <c r="T834" s="226">
        <v>0</v>
      </c>
      <c r="U834" s="291">
        <v>0</v>
      </c>
      <c r="V834" s="282"/>
      <c r="W834" s="282"/>
      <c r="X834" s="282"/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</row>
    <row r="835" spans="1:35" s="46" customFormat="1">
      <c r="A835" s="198">
        <v>256</v>
      </c>
      <c r="B835" s="219" t="s">
        <v>395</v>
      </c>
      <c r="C835" s="220">
        <v>848706</v>
      </c>
      <c r="D835" s="220"/>
      <c r="E835" s="220"/>
      <c r="F835" s="220"/>
      <c r="G835" s="220"/>
      <c r="H835" s="220"/>
      <c r="I835" s="220"/>
      <c r="J835" s="220"/>
      <c r="K835" s="221">
        <v>0</v>
      </c>
      <c r="L835" s="222">
        <v>0</v>
      </c>
      <c r="M835" s="221">
        <v>0</v>
      </c>
      <c r="N835" s="229">
        <v>421.2</v>
      </c>
      <c r="O835" s="224">
        <v>848706</v>
      </c>
      <c r="P835" s="225">
        <v>0</v>
      </c>
      <c r="Q835" s="221">
        <v>0</v>
      </c>
      <c r="R835" s="225">
        <v>0</v>
      </c>
      <c r="S835" s="221">
        <v>0</v>
      </c>
      <c r="T835" s="226">
        <v>0</v>
      </c>
      <c r="U835" s="291">
        <v>0</v>
      </c>
      <c r="V835" s="282"/>
      <c r="W835" s="282"/>
      <c r="X835" s="282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90"/>
    </row>
    <row r="836" spans="1:35" s="46" customFormat="1">
      <c r="A836" s="198">
        <v>257</v>
      </c>
      <c r="B836" s="219" t="s">
        <v>396</v>
      </c>
      <c r="C836" s="220">
        <v>1180083</v>
      </c>
      <c r="D836" s="220"/>
      <c r="E836" s="220"/>
      <c r="F836" s="220"/>
      <c r="G836" s="220"/>
      <c r="H836" s="220"/>
      <c r="I836" s="220"/>
      <c r="J836" s="220"/>
      <c r="K836" s="221">
        <v>0</v>
      </c>
      <c r="L836" s="222">
        <v>0</v>
      </c>
      <c r="M836" s="221">
        <v>0</v>
      </c>
      <c r="N836" s="229">
        <v>590</v>
      </c>
      <c r="O836" s="224">
        <v>1180083</v>
      </c>
      <c r="P836" s="225">
        <v>0</v>
      </c>
      <c r="Q836" s="221">
        <v>0</v>
      </c>
      <c r="R836" s="225">
        <v>0</v>
      </c>
      <c r="S836" s="221">
        <v>0</v>
      </c>
      <c r="T836" s="226">
        <v>0</v>
      </c>
      <c r="U836" s="291">
        <v>0</v>
      </c>
      <c r="V836" s="282"/>
      <c r="W836" s="282"/>
      <c r="X836" s="282"/>
    </row>
    <row r="837" spans="1:35" s="46" customFormat="1" ht="30">
      <c r="A837" s="198"/>
      <c r="B837" s="214" t="s">
        <v>210</v>
      </c>
      <c r="C837" s="220">
        <v>2336158</v>
      </c>
      <c r="D837" s="220"/>
      <c r="E837" s="220"/>
      <c r="F837" s="220"/>
      <c r="G837" s="220"/>
      <c r="H837" s="220"/>
      <c r="I837" s="220"/>
      <c r="J837" s="220"/>
      <c r="K837" s="220">
        <v>0</v>
      </c>
      <c r="L837" s="222">
        <v>0</v>
      </c>
      <c r="M837" s="220">
        <v>0</v>
      </c>
      <c r="N837" s="220">
        <v>1196</v>
      </c>
      <c r="O837" s="220">
        <v>2336158</v>
      </c>
      <c r="P837" s="230">
        <v>0</v>
      </c>
      <c r="Q837" s="220">
        <v>0</v>
      </c>
      <c r="R837" s="230">
        <v>0</v>
      </c>
      <c r="S837" s="220">
        <v>0</v>
      </c>
      <c r="T837" s="222">
        <v>0</v>
      </c>
      <c r="U837" s="292">
        <v>0</v>
      </c>
      <c r="V837" s="282"/>
      <c r="W837" s="282"/>
      <c r="X837" s="282"/>
    </row>
    <row r="838" spans="1:35" s="46" customFormat="1" ht="30">
      <c r="A838" s="198">
        <v>258</v>
      </c>
      <c r="B838" s="231" t="s">
        <v>407</v>
      </c>
      <c r="C838" s="220">
        <v>1168079</v>
      </c>
      <c r="D838" s="220"/>
      <c r="E838" s="220"/>
      <c r="F838" s="220"/>
      <c r="G838" s="220"/>
      <c r="H838" s="220"/>
      <c r="I838" s="220"/>
      <c r="J838" s="220"/>
      <c r="K838" s="221">
        <v>0</v>
      </c>
      <c r="L838" s="222">
        <v>0</v>
      </c>
      <c r="M838" s="221">
        <v>0</v>
      </c>
      <c r="N838" s="229">
        <v>598</v>
      </c>
      <c r="O838" s="224">
        <v>1168079</v>
      </c>
      <c r="P838" s="230">
        <v>0</v>
      </c>
      <c r="Q838" s="221">
        <v>0</v>
      </c>
      <c r="R838" s="230">
        <v>0</v>
      </c>
      <c r="S838" s="221">
        <v>0</v>
      </c>
      <c r="T838" s="222">
        <v>0</v>
      </c>
      <c r="U838" s="291">
        <v>0</v>
      </c>
      <c r="V838" s="282"/>
      <c r="W838" s="282"/>
      <c r="X838" s="282"/>
    </row>
    <row r="839" spans="1:35" s="46" customFormat="1" ht="30">
      <c r="A839" s="198">
        <v>259</v>
      </c>
      <c r="B839" s="231" t="s">
        <v>408</v>
      </c>
      <c r="C839" s="220">
        <v>1168079</v>
      </c>
      <c r="D839" s="220"/>
      <c r="E839" s="220"/>
      <c r="F839" s="220"/>
      <c r="G839" s="220"/>
      <c r="H839" s="220"/>
      <c r="I839" s="220"/>
      <c r="J839" s="220"/>
      <c r="K839" s="221">
        <v>0</v>
      </c>
      <c r="L839" s="222">
        <v>0</v>
      </c>
      <c r="M839" s="221">
        <v>0</v>
      </c>
      <c r="N839" s="229">
        <v>598</v>
      </c>
      <c r="O839" s="224">
        <v>1168079</v>
      </c>
      <c r="P839" s="230">
        <v>0</v>
      </c>
      <c r="Q839" s="221">
        <v>0</v>
      </c>
      <c r="R839" s="230">
        <v>0</v>
      </c>
      <c r="S839" s="221">
        <v>0</v>
      </c>
      <c r="T839" s="222">
        <v>0</v>
      </c>
      <c r="U839" s="291">
        <v>0</v>
      </c>
      <c r="V839" s="282"/>
      <c r="W839" s="282"/>
      <c r="X839" s="282"/>
    </row>
    <row r="840" spans="1:35" s="18" customFormat="1">
      <c r="A840" s="198"/>
      <c r="B840" s="216" t="s">
        <v>44</v>
      </c>
      <c r="C840" s="211">
        <v>4547180</v>
      </c>
      <c r="D840" s="211"/>
      <c r="E840" s="211"/>
      <c r="F840" s="211"/>
      <c r="G840" s="211"/>
      <c r="H840" s="211"/>
      <c r="I840" s="211"/>
      <c r="J840" s="211"/>
      <c r="K840" s="211">
        <v>0</v>
      </c>
      <c r="L840" s="212">
        <v>0</v>
      </c>
      <c r="M840" s="211">
        <v>0</v>
      </c>
      <c r="N840" s="211">
        <v>2270</v>
      </c>
      <c r="O840" s="211">
        <v>4547180</v>
      </c>
      <c r="P840" s="213">
        <v>0</v>
      </c>
      <c r="Q840" s="211">
        <v>0</v>
      </c>
      <c r="R840" s="213">
        <v>0</v>
      </c>
      <c r="S840" s="211">
        <v>0</v>
      </c>
      <c r="T840" s="212">
        <v>0</v>
      </c>
      <c r="U840" s="290">
        <v>0</v>
      </c>
      <c r="V840" s="282"/>
      <c r="W840" s="282"/>
      <c r="X840" s="282"/>
    </row>
    <row r="841" spans="1:35" ht="30">
      <c r="A841" s="198"/>
      <c r="B841" s="214" t="s">
        <v>435</v>
      </c>
      <c r="C841" s="211">
        <f>C842</f>
        <v>922687</v>
      </c>
      <c r="D841" s="211">
        <f t="shared" ref="D841:U841" si="123">D842</f>
        <v>0</v>
      </c>
      <c r="E841" s="211">
        <f t="shared" si="123"/>
        <v>0</v>
      </c>
      <c r="F841" s="211">
        <f t="shared" si="123"/>
        <v>0</v>
      </c>
      <c r="G841" s="211">
        <f t="shared" si="123"/>
        <v>0</v>
      </c>
      <c r="H841" s="211">
        <f t="shared" si="123"/>
        <v>0</v>
      </c>
      <c r="I841" s="211">
        <f t="shared" si="123"/>
        <v>0</v>
      </c>
      <c r="J841" s="211">
        <f t="shared" si="123"/>
        <v>0</v>
      </c>
      <c r="K841" s="211">
        <f t="shared" si="123"/>
        <v>0</v>
      </c>
      <c r="L841" s="211">
        <f t="shared" si="123"/>
        <v>0</v>
      </c>
      <c r="M841" s="211">
        <f t="shared" si="123"/>
        <v>0</v>
      </c>
      <c r="N841" s="211">
        <f t="shared" si="123"/>
        <v>285</v>
      </c>
      <c r="O841" s="211">
        <f t="shared" si="123"/>
        <v>922687</v>
      </c>
      <c r="P841" s="211">
        <f t="shared" si="123"/>
        <v>0</v>
      </c>
      <c r="Q841" s="211">
        <f t="shared" si="123"/>
        <v>0</v>
      </c>
      <c r="R841" s="211">
        <f t="shared" si="123"/>
        <v>0</v>
      </c>
      <c r="S841" s="211">
        <f t="shared" si="123"/>
        <v>0</v>
      </c>
      <c r="T841" s="211">
        <f t="shared" si="123"/>
        <v>0</v>
      </c>
      <c r="U841" s="211">
        <f t="shared" si="123"/>
        <v>0</v>
      </c>
      <c r="V841" s="211">
        <f t="shared" ref="V841" si="124">V842+V843</f>
        <v>0</v>
      </c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  <c r="AH841" s="211"/>
      <c r="AI841" s="211"/>
    </row>
    <row r="842" spans="1:35">
      <c r="A842" s="487">
        <v>260</v>
      </c>
      <c r="B842" s="499" t="s">
        <v>767</v>
      </c>
      <c r="C842" s="498">
        <f>'часть 1'!L865</f>
        <v>922687</v>
      </c>
      <c r="D842" s="498">
        <v>0</v>
      </c>
      <c r="E842" s="498">
        <v>0</v>
      </c>
      <c r="F842" s="498">
        <v>0</v>
      </c>
      <c r="G842" s="498">
        <v>0</v>
      </c>
      <c r="H842" s="498">
        <v>0</v>
      </c>
      <c r="I842" s="498">
        <v>0</v>
      </c>
      <c r="J842" s="498">
        <v>0</v>
      </c>
      <c r="K842" s="498">
        <v>0</v>
      </c>
      <c r="L842" s="502">
        <v>0</v>
      </c>
      <c r="M842" s="498">
        <v>0</v>
      </c>
      <c r="N842" s="492">
        <v>285</v>
      </c>
      <c r="O842" s="498">
        <v>922687</v>
      </c>
      <c r="P842" s="503">
        <v>0</v>
      </c>
      <c r="Q842" s="498">
        <v>0</v>
      </c>
      <c r="R842" s="503">
        <v>0</v>
      </c>
      <c r="S842" s="498">
        <v>0</v>
      </c>
      <c r="T842" s="502">
        <v>0</v>
      </c>
      <c r="U842" s="504">
        <v>0</v>
      </c>
      <c r="V842" s="282"/>
      <c r="W842" s="282">
        <f>O842/N842</f>
        <v>3237.4982456140351</v>
      </c>
      <c r="X842" s="282"/>
    </row>
    <row r="843" spans="1:35">
      <c r="A843" s="487"/>
      <c r="B843" s="499"/>
      <c r="C843" s="498"/>
      <c r="D843" s="498"/>
      <c r="E843" s="498"/>
      <c r="F843" s="498"/>
      <c r="G843" s="498"/>
      <c r="H843" s="498"/>
      <c r="I843" s="498"/>
      <c r="J843" s="498"/>
      <c r="K843" s="498"/>
      <c r="L843" s="502"/>
      <c r="M843" s="498"/>
      <c r="N843" s="492"/>
      <c r="O843" s="498"/>
      <c r="P843" s="503"/>
      <c r="Q843" s="498"/>
      <c r="R843" s="503"/>
      <c r="S843" s="498"/>
      <c r="T843" s="502"/>
      <c r="U843" s="504"/>
      <c r="V843" s="282"/>
      <c r="W843" s="282"/>
      <c r="X843" s="282"/>
    </row>
    <row r="844" spans="1:35" ht="25.15" customHeight="1">
      <c r="A844" s="198"/>
      <c r="B844" s="216" t="s">
        <v>45</v>
      </c>
      <c r="C844" s="211">
        <f t="shared" ref="C844:V844" si="125">C845+C849+C851+C853+C855+C857</f>
        <v>8577331</v>
      </c>
      <c r="D844" s="211">
        <f t="shared" si="125"/>
        <v>0</v>
      </c>
      <c r="E844" s="211">
        <f t="shared" si="125"/>
        <v>0</v>
      </c>
      <c r="F844" s="211">
        <f t="shared" si="125"/>
        <v>0</v>
      </c>
      <c r="G844" s="211">
        <f t="shared" si="125"/>
        <v>0</v>
      </c>
      <c r="H844" s="211">
        <f t="shared" si="125"/>
        <v>0</v>
      </c>
      <c r="I844" s="211">
        <f t="shared" si="125"/>
        <v>0</v>
      </c>
      <c r="J844" s="211">
        <f t="shared" si="125"/>
        <v>0</v>
      </c>
      <c r="K844" s="211">
        <f t="shared" si="125"/>
        <v>0</v>
      </c>
      <c r="L844" s="211">
        <f t="shared" si="125"/>
        <v>0</v>
      </c>
      <c r="M844" s="211">
        <f t="shared" si="125"/>
        <v>0</v>
      </c>
      <c r="N844" s="211">
        <f t="shared" si="125"/>
        <v>2703.45</v>
      </c>
      <c r="O844" s="211">
        <f t="shared" si="125"/>
        <v>7668369</v>
      </c>
      <c r="P844" s="211">
        <f t="shared" si="125"/>
        <v>0</v>
      </c>
      <c r="Q844" s="211">
        <f t="shared" si="125"/>
        <v>0</v>
      </c>
      <c r="R844" s="211">
        <f t="shared" si="125"/>
        <v>595</v>
      </c>
      <c r="S844" s="211">
        <f t="shared" si="125"/>
        <v>908962</v>
      </c>
      <c r="T844" s="211">
        <f t="shared" si="125"/>
        <v>0</v>
      </c>
      <c r="U844" s="211">
        <f t="shared" si="125"/>
        <v>0</v>
      </c>
      <c r="V844" s="211" t="e">
        <f t="shared" si="125"/>
        <v>#REF!</v>
      </c>
      <c r="W844" s="282"/>
      <c r="X844" s="282"/>
    </row>
    <row r="845" spans="1:35" ht="30">
      <c r="A845" s="487"/>
      <c r="B845" s="499" t="s">
        <v>98</v>
      </c>
      <c r="C845" s="498">
        <f>C846+C847+C848</f>
        <v>3345596</v>
      </c>
      <c r="D845" s="498">
        <f t="shared" ref="D845:U845" si="126">D846+D847+D848</f>
        <v>0</v>
      </c>
      <c r="E845" s="498">
        <f t="shared" si="126"/>
        <v>0</v>
      </c>
      <c r="F845" s="498">
        <f t="shared" si="126"/>
        <v>0</v>
      </c>
      <c r="G845" s="498">
        <f t="shared" si="126"/>
        <v>0</v>
      </c>
      <c r="H845" s="498">
        <f t="shared" si="126"/>
        <v>0</v>
      </c>
      <c r="I845" s="498">
        <f t="shared" si="126"/>
        <v>0</v>
      </c>
      <c r="J845" s="498">
        <f t="shared" si="126"/>
        <v>0</v>
      </c>
      <c r="K845" s="498">
        <f t="shared" si="126"/>
        <v>0</v>
      </c>
      <c r="L845" s="498">
        <f t="shared" si="126"/>
        <v>0</v>
      </c>
      <c r="M845" s="498">
        <f t="shared" si="126"/>
        <v>0</v>
      </c>
      <c r="N845" s="498">
        <f t="shared" si="126"/>
        <v>1183.25</v>
      </c>
      <c r="O845" s="498">
        <f t="shared" si="126"/>
        <v>3345596</v>
      </c>
      <c r="P845" s="498">
        <f t="shared" si="126"/>
        <v>0</v>
      </c>
      <c r="Q845" s="498">
        <f t="shared" si="126"/>
        <v>0</v>
      </c>
      <c r="R845" s="498">
        <f t="shared" si="126"/>
        <v>0</v>
      </c>
      <c r="S845" s="498">
        <f t="shared" si="126"/>
        <v>0</v>
      </c>
      <c r="T845" s="498">
        <f t="shared" si="126"/>
        <v>0</v>
      </c>
      <c r="U845" s="498">
        <f t="shared" si="126"/>
        <v>0</v>
      </c>
      <c r="V845" s="282"/>
      <c r="W845" s="282"/>
      <c r="X845" s="282"/>
    </row>
    <row r="846" spans="1:35" ht="15.75">
      <c r="A846" s="487">
        <v>262</v>
      </c>
      <c r="B846" s="591" t="s">
        <v>795</v>
      </c>
      <c r="C846" s="498">
        <f>'часть 1'!L869</f>
        <v>1012287</v>
      </c>
      <c r="D846" s="498">
        <v>0</v>
      </c>
      <c r="E846" s="498">
        <v>0</v>
      </c>
      <c r="F846" s="498">
        <v>0</v>
      </c>
      <c r="G846" s="498">
        <v>0</v>
      </c>
      <c r="H846" s="498">
        <v>0</v>
      </c>
      <c r="I846" s="498">
        <v>0</v>
      </c>
      <c r="J846" s="498">
        <v>0</v>
      </c>
      <c r="K846" s="498">
        <v>0</v>
      </c>
      <c r="L846" s="502">
        <v>0</v>
      </c>
      <c r="M846" s="498">
        <v>0</v>
      </c>
      <c r="N846" s="492">
        <v>313.95</v>
      </c>
      <c r="O846" s="498">
        <v>1012287</v>
      </c>
      <c r="P846" s="503">
        <v>0</v>
      </c>
      <c r="Q846" s="498">
        <v>0</v>
      </c>
      <c r="R846" s="503">
        <v>0</v>
      </c>
      <c r="S846" s="498">
        <v>0</v>
      </c>
      <c r="T846" s="502">
        <v>0</v>
      </c>
      <c r="U846" s="504">
        <v>0</v>
      </c>
      <c r="V846" s="282"/>
      <c r="W846" s="282">
        <f>O846/N846</f>
        <v>3224.3573817486863</v>
      </c>
      <c r="X846" s="282"/>
    </row>
    <row r="847" spans="1:35" ht="15.75">
      <c r="A847" s="487">
        <v>263</v>
      </c>
      <c r="B847" s="591" t="s">
        <v>796</v>
      </c>
      <c r="C847" s="498">
        <f>'часть 1'!L870</f>
        <v>710003</v>
      </c>
      <c r="D847" s="498">
        <v>0</v>
      </c>
      <c r="E847" s="498">
        <v>0</v>
      </c>
      <c r="F847" s="498">
        <v>0</v>
      </c>
      <c r="G847" s="498">
        <v>0</v>
      </c>
      <c r="H847" s="498">
        <v>0</v>
      </c>
      <c r="I847" s="498">
        <v>0</v>
      </c>
      <c r="J847" s="498">
        <v>0</v>
      </c>
      <c r="K847" s="498">
        <v>0</v>
      </c>
      <c r="L847" s="502">
        <v>0</v>
      </c>
      <c r="M847" s="498">
        <v>0</v>
      </c>
      <c r="N847" s="492">
        <v>218.1</v>
      </c>
      <c r="O847" s="498">
        <v>710003</v>
      </c>
      <c r="P847" s="503">
        <v>0</v>
      </c>
      <c r="Q847" s="498">
        <v>0</v>
      </c>
      <c r="R847" s="503">
        <v>0</v>
      </c>
      <c r="S847" s="498">
        <v>0</v>
      </c>
      <c r="T847" s="502">
        <v>0</v>
      </c>
      <c r="U847" s="504">
        <v>0</v>
      </c>
      <c r="V847" s="282"/>
      <c r="W847" s="282">
        <f t="shared" ref="W847:W848" si="127">O847/N847</f>
        <v>3255.4011921137094</v>
      </c>
      <c r="X847" s="282"/>
    </row>
    <row r="848" spans="1:35" ht="15.75">
      <c r="A848" s="487">
        <v>264</v>
      </c>
      <c r="B848" s="591" t="s">
        <v>797</v>
      </c>
      <c r="C848" s="498">
        <f>'часть 1'!L871</f>
        <v>1623306</v>
      </c>
      <c r="D848" s="498">
        <v>0</v>
      </c>
      <c r="E848" s="498">
        <v>0</v>
      </c>
      <c r="F848" s="498">
        <v>0</v>
      </c>
      <c r="G848" s="498">
        <v>0</v>
      </c>
      <c r="H848" s="498">
        <v>0</v>
      </c>
      <c r="I848" s="498">
        <v>0</v>
      </c>
      <c r="J848" s="498">
        <v>0</v>
      </c>
      <c r="K848" s="498">
        <v>0</v>
      </c>
      <c r="L848" s="502">
        <v>0</v>
      </c>
      <c r="M848" s="498">
        <v>0</v>
      </c>
      <c r="N848" s="492">
        <v>651.20000000000005</v>
      </c>
      <c r="O848" s="498">
        <v>1623306</v>
      </c>
      <c r="P848" s="503">
        <v>0</v>
      </c>
      <c r="Q848" s="498">
        <v>0</v>
      </c>
      <c r="R848" s="503">
        <v>0</v>
      </c>
      <c r="S848" s="498">
        <v>0</v>
      </c>
      <c r="T848" s="502">
        <v>0</v>
      </c>
      <c r="U848" s="504">
        <v>0</v>
      </c>
      <c r="V848" s="282"/>
      <c r="W848" s="282">
        <f t="shared" si="127"/>
        <v>2492.7917690417689</v>
      </c>
      <c r="X848" s="282"/>
    </row>
    <row r="849" spans="1:24" ht="30">
      <c r="A849" s="487"/>
      <c r="B849" s="499" t="s">
        <v>688</v>
      </c>
      <c r="C849" s="498">
        <f>C850</f>
        <v>908962</v>
      </c>
      <c r="D849" s="498">
        <f t="shared" ref="D849:V849" si="128">D850</f>
        <v>0</v>
      </c>
      <c r="E849" s="498">
        <f t="shared" si="128"/>
        <v>0</v>
      </c>
      <c r="F849" s="498">
        <f t="shared" si="128"/>
        <v>0</v>
      </c>
      <c r="G849" s="498">
        <f t="shared" si="128"/>
        <v>0</v>
      </c>
      <c r="H849" s="498">
        <f t="shared" si="128"/>
        <v>0</v>
      </c>
      <c r="I849" s="498">
        <f t="shared" si="128"/>
        <v>0</v>
      </c>
      <c r="J849" s="498">
        <f t="shared" si="128"/>
        <v>0</v>
      </c>
      <c r="K849" s="498">
        <f t="shared" si="128"/>
        <v>0</v>
      </c>
      <c r="L849" s="498">
        <f t="shared" si="128"/>
        <v>0</v>
      </c>
      <c r="M849" s="498">
        <f t="shared" si="128"/>
        <v>0</v>
      </c>
      <c r="N849" s="498">
        <f t="shared" si="128"/>
        <v>0</v>
      </c>
      <c r="O849" s="498">
        <f t="shared" si="128"/>
        <v>0</v>
      </c>
      <c r="P849" s="498">
        <f t="shared" si="128"/>
        <v>0</v>
      </c>
      <c r="Q849" s="498">
        <f t="shared" si="128"/>
        <v>0</v>
      </c>
      <c r="R849" s="498">
        <f t="shared" si="128"/>
        <v>595</v>
      </c>
      <c r="S849" s="498">
        <f t="shared" si="128"/>
        <v>908962</v>
      </c>
      <c r="T849" s="498">
        <f t="shared" si="128"/>
        <v>0</v>
      </c>
      <c r="U849" s="498">
        <f t="shared" si="128"/>
        <v>0</v>
      </c>
      <c r="V849" s="498">
        <f t="shared" si="128"/>
        <v>0</v>
      </c>
      <c r="W849" s="282"/>
      <c r="X849" s="282"/>
    </row>
    <row r="850" spans="1:24" ht="30">
      <c r="A850" s="487"/>
      <c r="B850" s="499" t="s">
        <v>692</v>
      </c>
      <c r="C850" s="498">
        <f>'часть 1'!L873</f>
        <v>908962</v>
      </c>
      <c r="D850" s="498">
        <v>0</v>
      </c>
      <c r="E850" s="498">
        <v>0</v>
      </c>
      <c r="F850" s="498">
        <v>0</v>
      </c>
      <c r="G850" s="498">
        <v>0</v>
      </c>
      <c r="H850" s="498">
        <v>0</v>
      </c>
      <c r="I850" s="498">
        <v>0</v>
      </c>
      <c r="J850" s="498">
        <v>0</v>
      </c>
      <c r="K850" s="498">
        <v>0</v>
      </c>
      <c r="L850" s="502">
        <v>0</v>
      </c>
      <c r="M850" s="498">
        <v>0</v>
      </c>
      <c r="N850" s="492">
        <v>0</v>
      </c>
      <c r="O850" s="498">
        <v>0</v>
      </c>
      <c r="P850" s="503">
        <v>0</v>
      </c>
      <c r="Q850" s="498">
        <v>0</v>
      </c>
      <c r="R850" s="503">
        <v>595</v>
      </c>
      <c r="S850" s="498">
        <v>908962</v>
      </c>
      <c r="T850" s="502">
        <v>0</v>
      </c>
      <c r="U850" s="504">
        <v>0</v>
      </c>
      <c r="V850" s="282"/>
      <c r="W850" s="282"/>
      <c r="X850" s="282">
        <f>S850/R850</f>
        <v>1527.6672268907564</v>
      </c>
    </row>
    <row r="851" spans="1:24" ht="30">
      <c r="A851" s="487"/>
      <c r="B851" s="499" t="s">
        <v>99</v>
      </c>
      <c r="C851" s="498">
        <f>C852</f>
        <v>655569</v>
      </c>
      <c r="D851" s="498">
        <f t="shared" ref="D851:V851" si="129">D852</f>
        <v>0</v>
      </c>
      <c r="E851" s="498">
        <f t="shared" si="129"/>
        <v>0</v>
      </c>
      <c r="F851" s="498">
        <f t="shared" si="129"/>
        <v>0</v>
      </c>
      <c r="G851" s="498">
        <f t="shared" si="129"/>
        <v>0</v>
      </c>
      <c r="H851" s="498">
        <f t="shared" si="129"/>
        <v>0</v>
      </c>
      <c r="I851" s="498">
        <f t="shared" si="129"/>
        <v>0</v>
      </c>
      <c r="J851" s="498">
        <f t="shared" si="129"/>
        <v>0</v>
      </c>
      <c r="K851" s="498">
        <f t="shared" si="129"/>
        <v>0</v>
      </c>
      <c r="L851" s="498">
        <f t="shared" si="129"/>
        <v>0</v>
      </c>
      <c r="M851" s="498">
        <f t="shared" si="129"/>
        <v>0</v>
      </c>
      <c r="N851" s="498">
        <f t="shared" si="129"/>
        <v>200.3</v>
      </c>
      <c r="O851" s="498">
        <f t="shared" si="129"/>
        <v>655569</v>
      </c>
      <c r="P851" s="498">
        <f t="shared" si="129"/>
        <v>0</v>
      </c>
      <c r="Q851" s="498">
        <f t="shared" si="129"/>
        <v>0</v>
      </c>
      <c r="R851" s="498">
        <f t="shared" si="129"/>
        <v>0</v>
      </c>
      <c r="S851" s="498">
        <f t="shared" si="129"/>
        <v>0</v>
      </c>
      <c r="T851" s="498">
        <f t="shared" si="129"/>
        <v>0</v>
      </c>
      <c r="U851" s="498">
        <f t="shared" si="129"/>
        <v>0</v>
      </c>
      <c r="V851" s="211">
        <f t="shared" si="129"/>
        <v>0</v>
      </c>
      <c r="W851" s="282"/>
      <c r="X851" s="282"/>
    </row>
    <row r="852" spans="1:24" s="951" customFormat="1" ht="31.5">
      <c r="A852" s="321">
        <v>265</v>
      </c>
      <c r="B852" s="946" t="s">
        <v>805</v>
      </c>
      <c r="C852" s="344">
        <f>'часть 1'!L875</f>
        <v>655569</v>
      </c>
      <c r="D852" s="344">
        <v>0</v>
      </c>
      <c r="E852" s="344">
        <v>0</v>
      </c>
      <c r="F852" s="344">
        <v>0</v>
      </c>
      <c r="G852" s="344">
        <v>0</v>
      </c>
      <c r="H852" s="344">
        <v>0</v>
      </c>
      <c r="I852" s="344">
        <v>0</v>
      </c>
      <c r="J852" s="344">
        <v>0</v>
      </c>
      <c r="K852" s="344">
        <v>0</v>
      </c>
      <c r="L852" s="342">
        <v>0</v>
      </c>
      <c r="M852" s="344">
        <v>0</v>
      </c>
      <c r="N852" s="379">
        <v>200.3</v>
      </c>
      <c r="O852" s="344">
        <v>655569</v>
      </c>
      <c r="P852" s="343">
        <v>0</v>
      </c>
      <c r="Q852" s="344">
        <v>0</v>
      </c>
      <c r="R852" s="343">
        <v>0</v>
      </c>
      <c r="S852" s="344">
        <v>0</v>
      </c>
      <c r="T852" s="342">
        <v>0</v>
      </c>
      <c r="U852" s="949">
        <v>0</v>
      </c>
      <c r="V852" s="950"/>
      <c r="W852" s="950">
        <f>O852/N852</f>
        <v>3272.9355966050921</v>
      </c>
      <c r="X852" s="950"/>
    </row>
    <row r="853" spans="1:24" ht="30">
      <c r="A853" s="487"/>
      <c r="B853" s="499" t="s">
        <v>100</v>
      </c>
      <c r="C853" s="498">
        <f>C854</f>
        <v>2020412</v>
      </c>
      <c r="D853" s="498">
        <f t="shared" ref="D853:U853" si="130">D854</f>
        <v>0</v>
      </c>
      <c r="E853" s="498">
        <f t="shared" si="130"/>
        <v>0</v>
      </c>
      <c r="F853" s="498">
        <f t="shared" si="130"/>
        <v>0</v>
      </c>
      <c r="G853" s="498">
        <f t="shared" si="130"/>
        <v>0</v>
      </c>
      <c r="H853" s="498">
        <f t="shared" si="130"/>
        <v>0</v>
      </c>
      <c r="I853" s="498">
        <f t="shared" si="130"/>
        <v>0</v>
      </c>
      <c r="J853" s="498">
        <f t="shared" si="130"/>
        <v>0</v>
      </c>
      <c r="K853" s="498">
        <f t="shared" si="130"/>
        <v>0</v>
      </c>
      <c r="L853" s="498">
        <f t="shared" si="130"/>
        <v>0</v>
      </c>
      <c r="M853" s="498">
        <f t="shared" si="130"/>
        <v>0</v>
      </c>
      <c r="N853" s="498">
        <f t="shared" si="130"/>
        <v>804.7</v>
      </c>
      <c r="O853" s="498">
        <f t="shared" si="130"/>
        <v>2020412</v>
      </c>
      <c r="P853" s="498">
        <f t="shared" si="130"/>
        <v>0</v>
      </c>
      <c r="Q853" s="498">
        <f t="shared" si="130"/>
        <v>0</v>
      </c>
      <c r="R853" s="498">
        <f t="shared" si="130"/>
        <v>0</v>
      </c>
      <c r="S853" s="498">
        <f t="shared" si="130"/>
        <v>0</v>
      </c>
      <c r="T853" s="498">
        <f t="shared" si="130"/>
        <v>0</v>
      </c>
      <c r="U853" s="498">
        <f t="shared" si="130"/>
        <v>0</v>
      </c>
      <c r="V853" s="282"/>
      <c r="W853" s="282"/>
      <c r="X853" s="282"/>
    </row>
    <row r="854" spans="1:24" ht="30">
      <c r="A854" s="487">
        <v>267</v>
      </c>
      <c r="B854" s="499" t="s">
        <v>696</v>
      </c>
      <c r="C854" s="498">
        <v>2020412</v>
      </c>
      <c r="D854" s="498">
        <v>0</v>
      </c>
      <c r="E854" s="498">
        <v>0</v>
      </c>
      <c r="F854" s="498">
        <v>0</v>
      </c>
      <c r="G854" s="498">
        <v>0</v>
      </c>
      <c r="H854" s="498">
        <v>0</v>
      </c>
      <c r="I854" s="498">
        <v>0</v>
      </c>
      <c r="J854" s="498">
        <v>0</v>
      </c>
      <c r="K854" s="498">
        <v>0</v>
      </c>
      <c r="L854" s="502">
        <v>0</v>
      </c>
      <c r="M854" s="498">
        <v>0</v>
      </c>
      <c r="N854" s="492">
        <v>804.7</v>
      </c>
      <c r="O854" s="498">
        <v>2020412</v>
      </c>
      <c r="P854" s="503">
        <v>0</v>
      </c>
      <c r="Q854" s="498">
        <v>0</v>
      </c>
      <c r="R854" s="503">
        <v>0</v>
      </c>
      <c r="S854" s="498">
        <v>0</v>
      </c>
      <c r="T854" s="502">
        <v>0</v>
      </c>
      <c r="U854" s="504">
        <v>0</v>
      </c>
      <c r="V854" s="282"/>
      <c r="W854" s="282">
        <f>O854/N854</f>
        <v>2510.7642599726605</v>
      </c>
      <c r="X854" s="282"/>
    </row>
    <row r="855" spans="1:24" ht="30">
      <c r="A855" s="487"/>
      <c r="B855" s="499" t="s">
        <v>101</v>
      </c>
      <c r="C855" s="498">
        <f>C856</f>
        <v>1646792</v>
      </c>
      <c r="D855" s="498">
        <f t="shared" ref="D855:U855" si="131">D856</f>
        <v>0</v>
      </c>
      <c r="E855" s="498">
        <f t="shared" si="131"/>
        <v>0</v>
      </c>
      <c r="F855" s="498">
        <f t="shared" si="131"/>
        <v>0</v>
      </c>
      <c r="G855" s="498">
        <f t="shared" si="131"/>
        <v>0</v>
      </c>
      <c r="H855" s="498">
        <f t="shared" si="131"/>
        <v>0</v>
      </c>
      <c r="I855" s="498">
        <f t="shared" si="131"/>
        <v>0</v>
      </c>
      <c r="J855" s="498">
        <f t="shared" si="131"/>
        <v>0</v>
      </c>
      <c r="K855" s="498">
        <f t="shared" si="131"/>
        <v>0</v>
      </c>
      <c r="L855" s="498">
        <f t="shared" si="131"/>
        <v>0</v>
      </c>
      <c r="M855" s="498">
        <f t="shared" si="131"/>
        <v>0</v>
      </c>
      <c r="N855" s="498">
        <f t="shared" si="131"/>
        <v>515.20000000000005</v>
      </c>
      <c r="O855" s="498">
        <f t="shared" si="131"/>
        <v>1646792</v>
      </c>
      <c r="P855" s="498">
        <f t="shared" si="131"/>
        <v>0</v>
      </c>
      <c r="Q855" s="498">
        <f t="shared" si="131"/>
        <v>0</v>
      </c>
      <c r="R855" s="498">
        <f t="shared" si="131"/>
        <v>0</v>
      </c>
      <c r="S855" s="498">
        <f t="shared" si="131"/>
        <v>0</v>
      </c>
      <c r="T855" s="498">
        <f t="shared" si="131"/>
        <v>0</v>
      </c>
      <c r="U855" s="498">
        <f t="shared" si="131"/>
        <v>0</v>
      </c>
      <c r="V855" s="282"/>
      <c r="W855" s="282"/>
      <c r="X855" s="282"/>
    </row>
    <row r="856" spans="1:24" ht="30">
      <c r="A856" s="487">
        <v>268</v>
      </c>
      <c r="B856" s="499" t="s">
        <v>925</v>
      </c>
      <c r="C856" s="498">
        <f>'часть 1'!L879</f>
        <v>1646792</v>
      </c>
      <c r="D856" s="498">
        <v>0</v>
      </c>
      <c r="E856" s="498">
        <v>0</v>
      </c>
      <c r="F856" s="498">
        <v>0</v>
      </c>
      <c r="G856" s="498">
        <v>0</v>
      </c>
      <c r="H856" s="498">
        <v>0</v>
      </c>
      <c r="I856" s="498">
        <v>0</v>
      </c>
      <c r="J856" s="498">
        <v>0</v>
      </c>
      <c r="K856" s="498">
        <v>0</v>
      </c>
      <c r="L856" s="502">
        <v>0</v>
      </c>
      <c r="M856" s="498">
        <v>0</v>
      </c>
      <c r="N856" s="492">
        <v>515.20000000000005</v>
      </c>
      <c r="O856" s="498">
        <v>1646792</v>
      </c>
      <c r="P856" s="503">
        <v>0</v>
      </c>
      <c r="Q856" s="498">
        <v>0</v>
      </c>
      <c r="R856" s="503">
        <v>0</v>
      </c>
      <c r="S856" s="498">
        <v>0</v>
      </c>
      <c r="T856" s="502">
        <v>0</v>
      </c>
      <c r="U856" s="504">
        <v>0</v>
      </c>
      <c r="V856" s="282"/>
      <c r="W856" s="282">
        <f>O856/N856</f>
        <v>3196.4130434782605</v>
      </c>
      <c r="X856" s="282"/>
    </row>
    <row r="857" spans="1:24" ht="30">
      <c r="A857" s="487"/>
      <c r="B857" s="499" t="s">
        <v>126</v>
      </c>
      <c r="C857" s="498">
        <v>0</v>
      </c>
      <c r="D857" s="498">
        <v>0</v>
      </c>
      <c r="E857" s="498">
        <v>0</v>
      </c>
      <c r="F857" s="498">
        <v>0</v>
      </c>
      <c r="G857" s="498">
        <v>0</v>
      </c>
      <c r="H857" s="498">
        <v>0</v>
      </c>
      <c r="I857" s="498">
        <v>0</v>
      </c>
      <c r="J857" s="498">
        <v>0</v>
      </c>
      <c r="K857" s="498">
        <v>0</v>
      </c>
      <c r="L857" s="498">
        <v>0</v>
      </c>
      <c r="M857" s="498">
        <v>0</v>
      </c>
      <c r="N857" s="498">
        <v>0</v>
      </c>
      <c r="O857" s="498">
        <v>0</v>
      </c>
      <c r="P857" s="498">
        <v>0</v>
      </c>
      <c r="Q857" s="498">
        <v>0</v>
      </c>
      <c r="R857" s="498">
        <v>0</v>
      </c>
      <c r="S857" s="498">
        <v>0</v>
      </c>
      <c r="T857" s="498">
        <v>0</v>
      </c>
      <c r="U857" s="498">
        <v>0</v>
      </c>
      <c r="V857" s="498" t="e">
        <f>#REF!</f>
        <v>#REF!</v>
      </c>
      <c r="W857" s="282"/>
      <c r="X857" s="282"/>
    </row>
    <row r="858" spans="1:24">
      <c r="A858" s="198"/>
      <c r="B858" s="216" t="s">
        <v>46</v>
      </c>
      <c r="C858" s="211">
        <f>C859</f>
        <v>674133</v>
      </c>
      <c r="D858" s="211">
        <f t="shared" ref="D858:V858" si="132">D859</f>
        <v>0</v>
      </c>
      <c r="E858" s="211">
        <f t="shared" si="132"/>
        <v>0</v>
      </c>
      <c r="F858" s="211">
        <f t="shared" si="132"/>
        <v>0</v>
      </c>
      <c r="G858" s="211">
        <f t="shared" si="132"/>
        <v>0</v>
      </c>
      <c r="H858" s="211">
        <f t="shared" si="132"/>
        <v>0</v>
      </c>
      <c r="I858" s="211">
        <f t="shared" si="132"/>
        <v>0</v>
      </c>
      <c r="J858" s="211">
        <f t="shared" si="132"/>
        <v>0</v>
      </c>
      <c r="K858" s="211">
        <f t="shared" si="132"/>
        <v>0</v>
      </c>
      <c r="L858" s="211">
        <f t="shared" si="132"/>
        <v>0</v>
      </c>
      <c r="M858" s="211">
        <f t="shared" si="132"/>
        <v>0</v>
      </c>
      <c r="N858" s="211">
        <f t="shared" si="132"/>
        <v>0</v>
      </c>
      <c r="O858" s="211">
        <f t="shared" si="132"/>
        <v>0</v>
      </c>
      <c r="P858" s="211">
        <f t="shared" si="132"/>
        <v>0</v>
      </c>
      <c r="Q858" s="211">
        <f t="shared" si="132"/>
        <v>0</v>
      </c>
      <c r="R858" s="211">
        <f t="shared" si="132"/>
        <v>438.6</v>
      </c>
      <c r="S858" s="211">
        <f t="shared" si="132"/>
        <v>674133</v>
      </c>
      <c r="T858" s="211">
        <f t="shared" si="132"/>
        <v>0</v>
      </c>
      <c r="U858" s="211">
        <f t="shared" si="132"/>
        <v>0</v>
      </c>
      <c r="V858" s="211">
        <f t="shared" si="132"/>
        <v>0</v>
      </c>
      <c r="W858" s="282"/>
      <c r="X858" s="282"/>
    </row>
    <row r="859" spans="1:24" ht="30">
      <c r="A859" s="194"/>
      <c r="B859" s="214" t="s">
        <v>102</v>
      </c>
      <c r="C859" s="211">
        <f>C860</f>
        <v>674133</v>
      </c>
      <c r="D859" s="211">
        <f t="shared" ref="D859:U859" si="133">D860</f>
        <v>0</v>
      </c>
      <c r="E859" s="211">
        <f t="shared" si="133"/>
        <v>0</v>
      </c>
      <c r="F859" s="211">
        <f t="shared" si="133"/>
        <v>0</v>
      </c>
      <c r="G859" s="211">
        <f t="shared" si="133"/>
        <v>0</v>
      </c>
      <c r="H859" s="211">
        <f t="shared" si="133"/>
        <v>0</v>
      </c>
      <c r="I859" s="211">
        <f t="shared" si="133"/>
        <v>0</v>
      </c>
      <c r="J859" s="211">
        <f t="shared" si="133"/>
        <v>0</v>
      </c>
      <c r="K859" s="211">
        <f t="shared" si="133"/>
        <v>0</v>
      </c>
      <c r="L859" s="211">
        <f t="shared" si="133"/>
        <v>0</v>
      </c>
      <c r="M859" s="211">
        <f t="shared" si="133"/>
        <v>0</v>
      </c>
      <c r="N859" s="211">
        <f t="shared" si="133"/>
        <v>0</v>
      </c>
      <c r="O859" s="211">
        <f t="shared" si="133"/>
        <v>0</v>
      </c>
      <c r="P859" s="211">
        <f t="shared" si="133"/>
        <v>0</v>
      </c>
      <c r="Q859" s="211">
        <f t="shared" si="133"/>
        <v>0</v>
      </c>
      <c r="R859" s="211">
        <f t="shared" si="133"/>
        <v>438.6</v>
      </c>
      <c r="S859" s="211">
        <f t="shared" si="133"/>
        <v>674133</v>
      </c>
      <c r="T859" s="211">
        <f t="shared" si="133"/>
        <v>0</v>
      </c>
      <c r="U859" s="211">
        <f t="shared" si="133"/>
        <v>0</v>
      </c>
      <c r="V859" s="282"/>
      <c r="W859" s="282"/>
      <c r="X859" s="282"/>
    </row>
    <row r="860" spans="1:24">
      <c r="A860" s="487">
        <v>271</v>
      </c>
      <c r="B860" s="499" t="s">
        <v>484</v>
      </c>
      <c r="C860" s="498">
        <f>'часть 1'!L884</f>
        <v>674133</v>
      </c>
      <c r="D860" s="498">
        <v>0</v>
      </c>
      <c r="E860" s="498">
        <v>0</v>
      </c>
      <c r="F860" s="498">
        <v>0</v>
      </c>
      <c r="G860" s="498">
        <v>0</v>
      </c>
      <c r="H860" s="498">
        <v>0</v>
      </c>
      <c r="I860" s="498">
        <v>0</v>
      </c>
      <c r="J860" s="498">
        <v>0</v>
      </c>
      <c r="K860" s="498">
        <v>0</v>
      </c>
      <c r="L860" s="502">
        <v>0</v>
      </c>
      <c r="M860" s="498">
        <v>0</v>
      </c>
      <c r="N860" s="489">
        <v>0</v>
      </c>
      <c r="O860" s="498">
        <v>0</v>
      </c>
      <c r="P860" s="503">
        <v>0</v>
      </c>
      <c r="Q860" s="498">
        <v>0</v>
      </c>
      <c r="R860" s="498">
        <v>438.6</v>
      </c>
      <c r="S860" s="498">
        <v>674133</v>
      </c>
      <c r="T860" s="502">
        <v>0</v>
      </c>
      <c r="U860" s="504">
        <v>0</v>
      </c>
      <c r="V860" s="282"/>
      <c r="W860" s="282"/>
      <c r="X860" s="282">
        <f>S860/R860</f>
        <v>1537.0109439124485</v>
      </c>
    </row>
    <row r="861" spans="1:24">
      <c r="A861" s="487"/>
      <c r="B861" s="499"/>
      <c r="C861" s="498"/>
      <c r="D861" s="498"/>
      <c r="E861" s="498"/>
      <c r="F861" s="498"/>
      <c r="G861" s="498"/>
      <c r="H861" s="498"/>
      <c r="I861" s="498"/>
      <c r="J861" s="498"/>
      <c r="K861" s="498"/>
      <c r="L861" s="502"/>
      <c r="M861" s="498"/>
      <c r="N861" s="498"/>
      <c r="O861" s="498"/>
      <c r="P861" s="503"/>
      <c r="Q861" s="498"/>
      <c r="R861" s="503"/>
      <c r="S861" s="498"/>
      <c r="T861" s="502"/>
      <c r="U861" s="504"/>
      <c r="V861" s="282"/>
      <c r="W861" s="282"/>
      <c r="X861" s="282"/>
    </row>
    <row r="862" spans="1:24" s="18" customFormat="1" ht="24" customHeight="1">
      <c r="A862" s="198"/>
      <c r="B862" s="216" t="s">
        <v>47</v>
      </c>
      <c r="C862" s="211">
        <f>C863</f>
        <v>1786109</v>
      </c>
      <c r="D862" s="211">
        <f t="shared" ref="D862:V862" si="134">D863</f>
        <v>0</v>
      </c>
      <c r="E862" s="211">
        <f t="shared" si="134"/>
        <v>0</v>
      </c>
      <c r="F862" s="211">
        <f t="shared" si="134"/>
        <v>0</v>
      </c>
      <c r="G862" s="211">
        <f t="shared" si="134"/>
        <v>0</v>
      </c>
      <c r="H862" s="211">
        <f t="shared" si="134"/>
        <v>0</v>
      </c>
      <c r="I862" s="211">
        <f t="shared" si="134"/>
        <v>0</v>
      </c>
      <c r="J862" s="211">
        <f t="shared" si="134"/>
        <v>0</v>
      </c>
      <c r="K862" s="211">
        <f t="shared" si="134"/>
        <v>0</v>
      </c>
      <c r="L862" s="211">
        <f t="shared" si="134"/>
        <v>0</v>
      </c>
      <c r="M862" s="211">
        <f t="shared" si="134"/>
        <v>0</v>
      </c>
      <c r="N862" s="211">
        <f t="shared" si="134"/>
        <v>560</v>
      </c>
      <c r="O862" s="211">
        <f t="shared" si="134"/>
        <v>1786109</v>
      </c>
      <c r="P862" s="211">
        <f t="shared" si="134"/>
        <v>0</v>
      </c>
      <c r="Q862" s="211">
        <f t="shared" si="134"/>
        <v>0</v>
      </c>
      <c r="R862" s="211">
        <f t="shared" si="134"/>
        <v>0</v>
      </c>
      <c r="S862" s="211">
        <f t="shared" si="134"/>
        <v>0</v>
      </c>
      <c r="T862" s="211">
        <f t="shared" si="134"/>
        <v>0</v>
      </c>
      <c r="U862" s="211">
        <f t="shared" si="134"/>
        <v>0</v>
      </c>
      <c r="V862" s="211">
        <f t="shared" si="134"/>
        <v>0</v>
      </c>
      <c r="W862" s="282"/>
      <c r="X862" s="282"/>
    </row>
    <row r="863" spans="1:24" ht="30">
      <c r="A863" s="487"/>
      <c r="B863" s="499" t="s">
        <v>103</v>
      </c>
      <c r="C863" s="498">
        <f>C864</f>
        <v>1786109</v>
      </c>
      <c r="D863" s="498">
        <f t="shared" ref="D863:U863" si="135">D864</f>
        <v>0</v>
      </c>
      <c r="E863" s="498">
        <f t="shared" si="135"/>
        <v>0</v>
      </c>
      <c r="F863" s="498">
        <f t="shared" si="135"/>
        <v>0</v>
      </c>
      <c r="G863" s="498">
        <f t="shared" si="135"/>
        <v>0</v>
      </c>
      <c r="H863" s="498">
        <f t="shared" si="135"/>
        <v>0</v>
      </c>
      <c r="I863" s="498">
        <f t="shared" si="135"/>
        <v>0</v>
      </c>
      <c r="J863" s="498">
        <f t="shared" si="135"/>
        <v>0</v>
      </c>
      <c r="K863" s="498">
        <f t="shared" si="135"/>
        <v>0</v>
      </c>
      <c r="L863" s="498">
        <f t="shared" si="135"/>
        <v>0</v>
      </c>
      <c r="M863" s="498">
        <f t="shared" si="135"/>
        <v>0</v>
      </c>
      <c r="N863" s="498">
        <f t="shared" si="135"/>
        <v>560</v>
      </c>
      <c r="O863" s="498">
        <f t="shared" si="135"/>
        <v>1786109</v>
      </c>
      <c r="P863" s="498">
        <f t="shared" si="135"/>
        <v>0</v>
      </c>
      <c r="Q863" s="498">
        <f t="shared" si="135"/>
        <v>0</v>
      </c>
      <c r="R863" s="498">
        <f t="shared" si="135"/>
        <v>0</v>
      </c>
      <c r="S863" s="498">
        <f t="shared" si="135"/>
        <v>0</v>
      </c>
      <c r="T863" s="498">
        <f t="shared" si="135"/>
        <v>0</v>
      </c>
      <c r="U863" s="498">
        <f t="shared" si="135"/>
        <v>0</v>
      </c>
      <c r="V863" s="282"/>
      <c r="W863" s="282"/>
      <c r="X863" s="282"/>
    </row>
    <row r="864" spans="1:24" ht="22.9" customHeight="1">
      <c r="A864" s="487">
        <v>273</v>
      </c>
      <c r="B864" s="499" t="s">
        <v>878</v>
      </c>
      <c r="C864" s="498">
        <f>'часть 1'!L888</f>
        <v>1786109</v>
      </c>
      <c r="D864" s="498">
        <v>0</v>
      </c>
      <c r="E864" s="498">
        <v>0</v>
      </c>
      <c r="F864" s="498">
        <v>0</v>
      </c>
      <c r="G864" s="498">
        <v>0</v>
      </c>
      <c r="H864" s="498">
        <v>0</v>
      </c>
      <c r="I864" s="498">
        <v>0</v>
      </c>
      <c r="J864" s="498">
        <v>0</v>
      </c>
      <c r="K864" s="498">
        <v>0</v>
      </c>
      <c r="L864" s="502">
        <v>0</v>
      </c>
      <c r="M864" s="498">
        <v>0</v>
      </c>
      <c r="N864" s="498">
        <v>560</v>
      </c>
      <c r="O864" s="498">
        <v>1786109</v>
      </c>
      <c r="P864" s="503">
        <v>0</v>
      </c>
      <c r="Q864" s="498">
        <v>0</v>
      </c>
      <c r="R864" s="503">
        <v>0</v>
      </c>
      <c r="S864" s="498">
        <v>0</v>
      </c>
      <c r="T864" s="502">
        <v>0</v>
      </c>
      <c r="U864" s="504">
        <v>0</v>
      </c>
      <c r="V864" s="282"/>
      <c r="W864" s="282">
        <f>O864/N864</f>
        <v>3189.480357142857</v>
      </c>
      <c r="X864" s="282"/>
    </row>
    <row r="865" spans="1:27" s="91" customFormat="1">
      <c r="A865" s="198"/>
      <c r="B865" s="216" t="s">
        <v>48</v>
      </c>
      <c r="C865" s="211">
        <v>3947863</v>
      </c>
      <c r="D865" s="211"/>
      <c r="E865" s="211"/>
      <c r="F865" s="211"/>
      <c r="G865" s="211"/>
      <c r="H865" s="211"/>
      <c r="I865" s="211"/>
      <c r="J865" s="211"/>
      <c r="K865" s="211">
        <v>163315</v>
      </c>
      <c r="L865" s="212">
        <v>0</v>
      </c>
      <c r="M865" s="211">
        <v>0</v>
      </c>
      <c r="N865" s="211">
        <v>1314.93</v>
      </c>
      <c r="O865" s="211">
        <v>2673179</v>
      </c>
      <c r="P865" s="213">
        <v>0</v>
      </c>
      <c r="Q865" s="211">
        <v>0</v>
      </c>
      <c r="R865" s="211">
        <v>759.4</v>
      </c>
      <c r="S865" s="211">
        <v>1111369</v>
      </c>
      <c r="T865" s="212">
        <v>0</v>
      </c>
      <c r="U865" s="290">
        <v>0</v>
      </c>
      <c r="V865" s="282"/>
      <c r="W865" s="282"/>
      <c r="X865" s="282"/>
    </row>
    <row r="866" spans="1:27" ht="30">
      <c r="A866" s="487"/>
      <c r="B866" s="499" t="s">
        <v>107</v>
      </c>
      <c r="C866" s="498">
        <f>C867+C868</f>
        <v>2303204</v>
      </c>
      <c r="D866" s="498">
        <f t="shared" ref="D866:V866" si="136">D867+D868</f>
        <v>730832</v>
      </c>
      <c r="E866" s="498">
        <f t="shared" si="136"/>
        <v>0</v>
      </c>
      <c r="F866" s="498">
        <f t="shared" si="136"/>
        <v>730832</v>
      </c>
      <c r="G866" s="498">
        <f t="shared" si="136"/>
        <v>0</v>
      </c>
      <c r="H866" s="498">
        <f t="shared" si="136"/>
        <v>0</v>
      </c>
      <c r="I866" s="498">
        <f t="shared" si="136"/>
        <v>0</v>
      </c>
      <c r="J866" s="498">
        <f t="shared" si="136"/>
        <v>0</v>
      </c>
      <c r="K866" s="498">
        <f t="shared" si="136"/>
        <v>0</v>
      </c>
      <c r="L866" s="498">
        <f t="shared" si="136"/>
        <v>0</v>
      </c>
      <c r="M866" s="498">
        <f t="shared" si="136"/>
        <v>0</v>
      </c>
      <c r="N866" s="498">
        <f t="shared" si="136"/>
        <v>492.1</v>
      </c>
      <c r="O866" s="498">
        <f t="shared" si="136"/>
        <v>1572372</v>
      </c>
      <c r="P866" s="498">
        <f t="shared" si="136"/>
        <v>0</v>
      </c>
      <c r="Q866" s="498">
        <f t="shared" si="136"/>
        <v>0</v>
      </c>
      <c r="R866" s="498">
        <f t="shared" si="136"/>
        <v>0</v>
      </c>
      <c r="S866" s="498">
        <f t="shared" si="136"/>
        <v>0</v>
      </c>
      <c r="T866" s="498">
        <f t="shared" si="136"/>
        <v>0</v>
      </c>
      <c r="U866" s="498">
        <f t="shared" si="136"/>
        <v>0</v>
      </c>
      <c r="V866" s="498">
        <f t="shared" si="136"/>
        <v>0</v>
      </c>
      <c r="W866" s="282"/>
      <c r="X866" s="282"/>
    </row>
    <row r="867" spans="1:27">
      <c r="A867" s="487">
        <v>277</v>
      </c>
      <c r="B867" s="499" t="s">
        <v>772</v>
      </c>
      <c r="C867" s="498">
        <f>'часть 1'!L891</f>
        <v>1572372</v>
      </c>
      <c r="D867" s="498">
        <f>E867+F867+G867+H867+I867+J867+K867</f>
        <v>0</v>
      </c>
      <c r="E867" s="498">
        <v>0</v>
      </c>
      <c r="F867" s="498">
        <v>0</v>
      </c>
      <c r="G867" s="498">
        <v>0</v>
      </c>
      <c r="H867" s="498">
        <v>0</v>
      </c>
      <c r="I867" s="498">
        <v>0</v>
      </c>
      <c r="J867" s="498">
        <v>0</v>
      </c>
      <c r="K867" s="510">
        <v>0</v>
      </c>
      <c r="L867" s="496">
        <v>0</v>
      </c>
      <c r="M867" s="510">
        <v>0</v>
      </c>
      <c r="N867" s="510">
        <v>492.1</v>
      </c>
      <c r="O867" s="507">
        <v>1572372</v>
      </c>
      <c r="P867" s="572">
        <v>0</v>
      </c>
      <c r="Q867" s="510">
        <v>0</v>
      </c>
      <c r="R867" s="510">
        <v>0</v>
      </c>
      <c r="S867" s="510">
        <v>0</v>
      </c>
      <c r="T867" s="496">
        <v>0</v>
      </c>
      <c r="U867" s="497">
        <v>0</v>
      </c>
      <c r="V867" s="282"/>
      <c r="W867" s="282">
        <f>O867/N867</f>
        <v>3195.2286120707172</v>
      </c>
      <c r="X867" s="282"/>
      <c r="Y867" s="25"/>
      <c r="Z867" s="25"/>
    </row>
    <row r="868" spans="1:27">
      <c r="A868" s="487">
        <v>278</v>
      </c>
      <c r="B868" s="499" t="s">
        <v>773</v>
      </c>
      <c r="C868" s="498">
        <f>'часть 1'!L892</f>
        <v>730832</v>
      </c>
      <c r="D868" s="498">
        <f>E868+F868+G868+H868+I868+J868+K868</f>
        <v>730832</v>
      </c>
      <c r="E868" s="498">
        <v>0</v>
      </c>
      <c r="F868" s="498">
        <v>730832</v>
      </c>
      <c r="G868" s="498">
        <v>0</v>
      </c>
      <c r="H868" s="498">
        <v>0</v>
      </c>
      <c r="I868" s="498">
        <v>0</v>
      </c>
      <c r="J868" s="498">
        <v>0</v>
      </c>
      <c r="K868" s="510">
        <v>0</v>
      </c>
      <c r="L868" s="502">
        <v>0</v>
      </c>
      <c r="M868" s="498">
        <v>0</v>
      </c>
      <c r="N868" s="510">
        <v>0</v>
      </c>
      <c r="O868" s="507">
        <v>0</v>
      </c>
      <c r="P868" s="503">
        <v>0</v>
      </c>
      <c r="Q868" s="498">
        <v>0</v>
      </c>
      <c r="R868" s="510">
        <v>0</v>
      </c>
      <c r="S868" s="510">
        <v>0</v>
      </c>
      <c r="T868" s="502">
        <v>0</v>
      </c>
      <c r="U868" s="504">
        <v>0</v>
      </c>
      <c r="V868" s="282"/>
      <c r="W868" s="282"/>
      <c r="X868" s="282"/>
      <c r="Y868" s="25"/>
      <c r="Z868" s="25"/>
      <c r="AA868" s="1">
        <f>F868/'часть 1'!I892</f>
        <v>1001.5513224612854</v>
      </c>
    </row>
    <row r="869" spans="1:27" ht="30">
      <c r="A869" s="198"/>
      <c r="B869" s="214" t="s">
        <v>104</v>
      </c>
      <c r="C869" s="211">
        <v>553839</v>
      </c>
      <c r="D869" s="211"/>
      <c r="E869" s="211"/>
      <c r="F869" s="211"/>
      <c r="G869" s="211"/>
      <c r="H869" s="211"/>
      <c r="I869" s="211"/>
      <c r="J869" s="211"/>
      <c r="K869" s="211">
        <v>0</v>
      </c>
      <c r="L869" s="212">
        <v>0</v>
      </c>
      <c r="M869" s="211">
        <v>0</v>
      </c>
      <c r="N869" s="211">
        <v>270.93</v>
      </c>
      <c r="O869" s="211">
        <v>553839</v>
      </c>
      <c r="P869" s="213">
        <v>0</v>
      </c>
      <c r="Q869" s="211">
        <v>0</v>
      </c>
      <c r="R869" s="213">
        <v>0</v>
      </c>
      <c r="S869" s="211">
        <v>0</v>
      </c>
      <c r="T869" s="212">
        <v>0</v>
      </c>
      <c r="U869" s="290">
        <v>0</v>
      </c>
      <c r="V869" s="282"/>
      <c r="W869" s="282"/>
      <c r="X869" s="282"/>
    </row>
    <row r="870" spans="1:27" ht="30">
      <c r="A870" s="198">
        <v>280</v>
      </c>
      <c r="B870" s="214" t="s">
        <v>452</v>
      </c>
      <c r="C870" s="211">
        <v>553839</v>
      </c>
      <c r="D870" s="211"/>
      <c r="E870" s="211"/>
      <c r="F870" s="211"/>
      <c r="G870" s="211"/>
      <c r="H870" s="211"/>
      <c r="I870" s="211"/>
      <c r="J870" s="211"/>
      <c r="K870" s="211">
        <v>0</v>
      </c>
      <c r="L870" s="212">
        <v>0</v>
      </c>
      <c r="M870" s="211">
        <v>0</v>
      </c>
      <c r="N870" s="199">
        <v>270.93</v>
      </c>
      <c r="O870" s="211">
        <v>553839</v>
      </c>
      <c r="P870" s="213">
        <v>0</v>
      </c>
      <c r="Q870" s="211">
        <v>0</v>
      </c>
      <c r="R870" s="213">
        <v>0</v>
      </c>
      <c r="S870" s="211">
        <v>0</v>
      </c>
      <c r="T870" s="212">
        <v>0</v>
      </c>
      <c r="U870" s="290">
        <v>0</v>
      </c>
      <c r="V870" s="282"/>
      <c r="W870" s="282"/>
      <c r="X870" s="282"/>
    </row>
    <row r="871" spans="1:27">
      <c r="A871" s="198"/>
      <c r="B871" s="216" t="s">
        <v>49</v>
      </c>
      <c r="C871" s="211">
        <v>8949722</v>
      </c>
      <c r="D871" s="211"/>
      <c r="E871" s="211"/>
      <c r="F871" s="211"/>
      <c r="G871" s="211"/>
      <c r="H871" s="211"/>
      <c r="I871" s="211"/>
      <c r="J871" s="211"/>
      <c r="K871" s="211">
        <v>0</v>
      </c>
      <c r="L871" s="212">
        <v>0</v>
      </c>
      <c r="M871" s="211">
        <v>0</v>
      </c>
      <c r="N871" s="211">
        <v>3313.5</v>
      </c>
      <c r="O871" s="211">
        <v>6652861</v>
      </c>
      <c r="P871" s="213">
        <v>0</v>
      </c>
      <c r="Q871" s="211">
        <v>0</v>
      </c>
      <c r="R871" s="211">
        <v>1589</v>
      </c>
      <c r="S871" s="211">
        <v>2296861</v>
      </c>
      <c r="T871" s="212">
        <v>0</v>
      </c>
      <c r="U871" s="290">
        <v>0</v>
      </c>
      <c r="V871" s="282"/>
      <c r="W871" s="282"/>
      <c r="X871" s="282"/>
    </row>
    <row r="872" spans="1:27" ht="30">
      <c r="A872" s="198"/>
      <c r="B872" s="214" t="s">
        <v>105</v>
      </c>
      <c r="C872" s="211">
        <f>C873</f>
        <v>1753559</v>
      </c>
      <c r="D872" s="211">
        <f t="shared" ref="D872:U872" si="137">D873</f>
        <v>0</v>
      </c>
      <c r="E872" s="211">
        <f t="shared" si="137"/>
        <v>0</v>
      </c>
      <c r="F872" s="211">
        <f t="shared" si="137"/>
        <v>0</v>
      </c>
      <c r="G872" s="211">
        <f t="shared" si="137"/>
        <v>0</v>
      </c>
      <c r="H872" s="211">
        <f t="shared" si="137"/>
        <v>0</v>
      </c>
      <c r="I872" s="211">
        <f t="shared" si="137"/>
        <v>0</v>
      </c>
      <c r="J872" s="211">
        <f t="shared" si="137"/>
        <v>0</v>
      </c>
      <c r="K872" s="211">
        <f t="shared" si="137"/>
        <v>0</v>
      </c>
      <c r="L872" s="211">
        <f t="shared" si="137"/>
        <v>0</v>
      </c>
      <c r="M872" s="211">
        <f t="shared" si="137"/>
        <v>0</v>
      </c>
      <c r="N872" s="211">
        <f t="shared" si="137"/>
        <v>549.20000000000005</v>
      </c>
      <c r="O872" s="211">
        <f t="shared" si="137"/>
        <v>1753559</v>
      </c>
      <c r="P872" s="211">
        <f t="shared" si="137"/>
        <v>0</v>
      </c>
      <c r="Q872" s="211">
        <f t="shared" si="137"/>
        <v>0</v>
      </c>
      <c r="R872" s="211">
        <f t="shared" si="137"/>
        <v>0</v>
      </c>
      <c r="S872" s="211">
        <f t="shared" si="137"/>
        <v>0</v>
      </c>
      <c r="T872" s="211">
        <f t="shared" si="137"/>
        <v>0</v>
      </c>
      <c r="U872" s="211">
        <f t="shared" si="137"/>
        <v>0</v>
      </c>
      <c r="V872" s="282"/>
      <c r="W872" s="282"/>
      <c r="X872" s="282"/>
    </row>
    <row r="873" spans="1:27" s="18" customFormat="1">
      <c r="A873" s="487">
        <v>281</v>
      </c>
      <c r="B873" s="501" t="s">
        <v>482</v>
      </c>
      <c r="C873" s="498">
        <v>1753559</v>
      </c>
      <c r="D873" s="498">
        <v>0</v>
      </c>
      <c r="E873" s="498">
        <v>0</v>
      </c>
      <c r="F873" s="498">
        <v>0</v>
      </c>
      <c r="G873" s="498">
        <v>0</v>
      </c>
      <c r="H873" s="498">
        <v>0</v>
      </c>
      <c r="I873" s="498">
        <v>0</v>
      </c>
      <c r="J873" s="498">
        <v>0</v>
      </c>
      <c r="K873" s="498">
        <v>0</v>
      </c>
      <c r="L873" s="502">
        <v>0</v>
      </c>
      <c r="M873" s="498">
        <v>0</v>
      </c>
      <c r="N873" s="498">
        <v>549.20000000000005</v>
      </c>
      <c r="O873" s="498">
        <v>1753559</v>
      </c>
      <c r="P873" s="503">
        <v>0</v>
      </c>
      <c r="Q873" s="498">
        <v>0</v>
      </c>
      <c r="R873" s="503">
        <v>0</v>
      </c>
      <c r="S873" s="498">
        <v>0</v>
      </c>
      <c r="T873" s="502">
        <v>0</v>
      </c>
      <c r="U873" s="504">
        <v>0</v>
      </c>
      <c r="V873" s="282"/>
      <c r="W873" s="282">
        <f>O873/N873</f>
        <v>3192.9333576110703</v>
      </c>
      <c r="X873" s="282"/>
    </row>
    <row r="874" spans="1:27" s="18" customFormat="1">
      <c r="A874" s="487"/>
      <c r="B874" s="501"/>
      <c r="C874" s="498"/>
      <c r="D874" s="498"/>
      <c r="E874" s="498"/>
      <c r="F874" s="498"/>
      <c r="G874" s="498"/>
      <c r="H874" s="498"/>
      <c r="I874" s="498"/>
      <c r="J874" s="498"/>
      <c r="K874" s="498"/>
      <c r="L874" s="502"/>
      <c r="M874" s="498"/>
      <c r="N874" s="498"/>
      <c r="O874" s="498"/>
      <c r="P874" s="503"/>
      <c r="Q874" s="498"/>
      <c r="R874" s="503"/>
      <c r="S874" s="498"/>
      <c r="T874" s="502"/>
      <c r="U874" s="504"/>
      <c r="V874" s="282"/>
      <c r="W874" s="282"/>
      <c r="X874" s="282"/>
    </row>
    <row r="875" spans="1:27" s="18" customFormat="1" ht="30">
      <c r="A875" s="198"/>
      <c r="B875" s="214" t="s">
        <v>188</v>
      </c>
      <c r="C875" s="211">
        <v>1905804</v>
      </c>
      <c r="D875" s="211"/>
      <c r="E875" s="211"/>
      <c r="F875" s="211"/>
      <c r="G875" s="211"/>
      <c r="H875" s="211"/>
      <c r="I875" s="211"/>
      <c r="J875" s="211"/>
      <c r="K875" s="211">
        <v>0</v>
      </c>
      <c r="L875" s="212">
        <v>0</v>
      </c>
      <c r="M875" s="211">
        <v>0</v>
      </c>
      <c r="N875" s="211">
        <v>968.7</v>
      </c>
      <c r="O875" s="211">
        <v>1905804</v>
      </c>
      <c r="P875" s="213">
        <v>0</v>
      </c>
      <c r="Q875" s="211">
        <v>0</v>
      </c>
      <c r="R875" s="213">
        <v>0</v>
      </c>
      <c r="S875" s="211">
        <v>0</v>
      </c>
      <c r="T875" s="212">
        <v>0</v>
      </c>
      <c r="U875" s="290">
        <v>0</v>
      </c>
      <c r="V875" s="282"/>
      <c r="W875" s="282"/>
      <c r="X875" s="282"/>
    </row>
    <row r="876" spans="1:27" s="18" customFormat="1">
      <c r="A876" s="198">
        <v>283</v>
      </c>
      <c r="B876" s="214" t="s">
        <v>410</v>
      </c>
      <c r="C876" s="211">
        <v>958459</v>
      </c>
      <c r="D876" s="211"/>
      <c r="E876" s="211"/>
      <c r="F876" s="211"/>
      <c r="G876" s="211"/>
      <c r="H876" s="211"/>
      <c r="I876" s="211"/>
      <c r="J876" s="211"/>
      <c r="K876" s="211">
        <v>0</v>
      </c>
      <c r="L876" s="212">
        <v>0</v>
      </c>
      <c r="M876" s="211">
        <v>0</v>
      </c>
      <c r="N876" s="211">
        <v>487.2</v>
      </c>
      <c r="O876" s="211">
        <v>958459</v>
      </c>
      <c r="P876" s="213">
        <v>0</v>
      </c>
      <c r="Q876" s="211">
        <v>0</v>
      </c>
      <c r="R876" s="213">
        <v>0</v>
      </c>
      <c r="S876" s="211">
        <v>0</v>
      </c>
      <c r="T876" s="212">
        <v>0</v>
      </c>
      <c r="U876" s="290">
        <v>0</v>
      </c>
      <c r="V876" s="282"/>
      <c r="W876" s="282"/>
      <c r="X876" s="282"/>
    </row>
    <row r="877" spans="1:27" s="18" customFormat="1">
      <c r="A877" s="198">
        <v>284</v>
      </c>
      <c r="B877" s="214" t="s">
        <v>411</v>
      </c>
      <c r="C877" s="211">
        <v>947345</v>
      </c>
      <c r="D877" s="211"/>
      <c r="E877" s="211"/>
      <c r="F877" s="211"/>
      <c r="G877" s="211"/>
      <c r="H877" s="211"/>
      <c r="I877" s="211"/>
      <c r="J877" s="211"/>
      <c r="K877" s="211">
        <v>0</v>
      </c>
      <c r="L877" s="212">
        <v>0</v>
      </c>
      <c r="M877" s="211">
        <v>0</v>
      </c>
      <c r="N877" s="211">
        <v>481.5</v>
      </c>
      <c r="O877" s="211">
        <v>947345</v>
      </c>
      <c r="P877" s="213">
        <v>0</v>
      </c>
      <c r="Q877" s="211">
        <v>0</v>
      </c>
      <c r="R877" s="213">
        <v>0</v>
      </c>
      <c r="S877" s="211">
        <v>0</v>
      </c>
      <c r="T877" s="212">
        <v>0</v>
      </c>
      <c r="U877" s="290">
        <v>0</v>
      </c>
      <c r="V877" s="282"/>
      <c r="W877" s="282"/>
      <c r="X877" s="282"/>
    </row>
    <row r="878" spans="1:27" s="18" customFormat="1" ht="30">
      <c r="A878" s="198"/>
      <c r="B878" s="214" t="s">
        <v>189</v>
      </c>
      <c r="C878" s="211">
        <v>820660</v>
      </c>
      <c r="D878" s="211"/>
      <c r="E878" s="211"/>
      <c r="F878" s="211"/>
      <c r="G878" s="211"/>
      <c r="H878" s="211"/>
      <c r="I878" s="211"/>
      <c r="J878" s="211"/>
      <c r="K878" s="211">
        <v>0</v>
      </c>
      <c r="L878" s="212">
        <v>0</v>
      </c>
      <c r="M878" s="211">
        <v>0</v>
      </c>
      <c r="N878" s="211">
        <v>406.8</v>
      </c>
      <c r="O878" s="211">
        <v>820660</v>
      </c>
      <c r="P878" s="213">
        <v>0</v>
      </c>
      <c r="Q878" s="211">
        <v>0</v>
      </c>
      <c r="R878" s="213">
        <v>0</v>
      </c>
      <c r="S878" s="211">
        <v>0</v>
      </c>
      <c r="T878" s="212">
        <v>0</v>
      </c>
      <c r="U878" s="290">
        <v>0</v>
      </c>
      <c r="V878" s="282"/>
      <c r="W878" s="282"/>
      <c r="X878" s="282"/>
    </row>
    <row r="879" spans="1:27" s="18" customFormat="1">
      <c r="A879" s="198">
        <v>285</v>
      </c>
      <c r="B879" s="214" t="s">
        <v>412</v>
      </c>
      <c r="C879" s="211">
        <v>820660</v>
      </c>
      <c r="D879" s="211"/>
      <c r="E879" s="211"/>
      <c r="F879" s="211"/>
      <c r="G879" s="211"/>
      <c r="H879" s="211"/>
      <c r="I879" s="211"/>
      <c r="J879" s="211"/>
      <c r="K879" s="211">
        <v>0</v>
      </c>
      <c r="L879" s="212">
        <v>0</v>
      </c>
      <c r="M879" s="211">
        <v>0</v>
      </c>
      <c r="N879" s="211">
        <v>406.8</v>
      </c>
      <c r="O879" s="211">
        <v>820660</v>
      </c>
      <c r="P879" s="213">
        <v>0</v>
      </c>
      <c r="Q879" s="211">
        <v>0</v>
      </c>
      <c r="R879" s="213">
        <v>0</v>
      </c>
      <c r="S879" s="211">
        <v>0</v>
      </c>
      <c r="T879" s="212">
        <v>0</v>
      </c>
      <c r="U879" s="290">
        <v>0</v>
      </c>
      <c r="V879" s="282"/>
      <c r="W879" s="282"/>
      <c r="X879" s="282"/>
    </row>
    <row r="880" spans="1:27" s="18" customFormat="1" ht="30">
      <c r="A880" s="198"/>
      <c r="B880" s="214" t="s">
        <v>131</v>
      </c>
      <c r="C880" s="211">
        <f>C881</f>
        <v>1805899</v>
      </c>
      <c r="D880" s="211">
        <f t="shared" ref="D880:U880" si="138">D881</f>
        <v>0</v>
      </c>
      <c r="E880" s="211">
        <f t="shared" si="138"/>
        <v>0</v>
      </c>
      <c r="F880" s="211">
        <f t="shared" si="138"/>
        <v>0</v>
      </c>
      <c r="G880" s="211">
        <f t="shared" si="138"/>
        <v>0</v>
      </c>
      <c r="H880" s="211">
        <f t="shared" si="138"/>
        <v>0</v>
      </c>
      <c r="I880" s="211">
        <f t="shared" si="138"/>
        <v>0</v>
      </c>
      <c r="J880" s="211">
        <f t="shared" si="138"/>
        <v>0</v>
      </c>
      <c r="K880" s="211">
        <f t="shared" si="138"/>
        <v>0</v>
      </c>
      <c r="L880" s="211">
        <f t="shared" si="138"/>
        <v>0</v>
      </c>
      <c r="M880" s="211">
        <f t="shared" si="138"/>
        <v>0</v>
      </c>
      <c r="N880" s="211">
        <f t="shared" si="138"/>
        <v>0</v>
      </c>
      <c r="O880" s="211">
        <f t="shared" si="138"/>
        <v>0</v>
      </c>
      <c r="P880" s="211">
        <f t="shared" si="138"/>
        <v>0</v>
      </c>
      <c r="Q880" s="211">
        <f t="shared" si="138"/>
        <v>0</v>
      </c>
      <c r="R880" s="211">
        <f t="shared" si="138"/>
        <v>1453</v>
      </c>
      <c r="S880" s="211">
        <f t="shared" si="138"/>
        <v>1805899</v>
      </c>
      <c r="T880" s="211">
        <f t="shared" si="138"/>
        <v>0</v>
      </c>
      <c r="U880" s="211">
        <f t="shared" si="138"/>
        <v>0</v>
      </c>
      <c r="V880" s="282"/>
      <c r="W880" s="282"/>
      <c r="X880" s="282"/>
    </row>
    <row r="881" spans="1:24" s="18" customFormat="1">
      <c r="A881" s="198">
        <v>286</v>
      </c>
      <c r="B881" s="214" t="s">
        <v>660</v>
      </c>
      <c r="C881" s="211">
        <v>1805899</v>
      </c>
      <c r="D881" s="211">
        <v>0</v>
      </c>
      <c r="E881" s="211">
        <v>0</v>
      </c>
      <c r="F881" s="211">
        <v>0</v>
      </c>
      <c r="G881" s="211">
        <v>0</v>
      </c>
      <c r="H881" s="211">
        <v>0</v>
      </c>
      <c r="I881" s="211">
        <v>0</v>
      </c>
      <c r="J881" s="211">
        <v>0</v>
      </c>
      <c r="K881" s="211">
        <v>0</v>
      </c>
      <c r="L881" s="212">
        <v>0</v>
      </c>
      <c r="M881" s="211">
        <v>0</v>
      </c>
      <c r="N881" s="233">
        <v>0</v>
      </c>
      <c r="O881" s="211">
        <v>0</v>
      </c>
      <c r="P881" s="213">
        <v>0</v>
      </c>
      <c r="Q881" s="211">
        <v>0</v>
      </c>
      <c r="R881" s="213">
        <v>1453</v>
      </c>
      <c r="S881" s="211">
        <v>1805899</v>
      </c>
      <c r="T881" s="212">
        <v>0</v>
      </c>
      <c r="U881" s="290">
        <v>0</v>
      </c>
      <c r="V881" s="282"/>
      <c r="W881" s="282"/>
      <c r="X881" s="282">
        <f>S881/R881</f>
        <v>1242.8761183757742</v>
      </c>
    </row>
    <row r="882" spans="1:24" s="18" customFormat="1">
      <c r="A882" s="198"/>
      <c r="B882" s="214"/>
      <c r="C882" s="211"/>
      <c r="D882" s="211"/>
      <c r="E882" s="211"/>
      <c r="F882" s="211"/>
      <c r="G882" s="211"/>
      <c r="H882" s="211"/>
      <c r="I882" s="211"/>
      <c r="J882" s="211"/>
      <c r="K882" s="211"/>
      <c r="L882" s="212"/>
      <c r="M882" s="211"/>
      <c r="N882" s="211"/>
      <c r="O882" s="211"/>
      <c r="P882" s="213"/>
      <c r="Q882" s="211"/>
      <c r="R882" s="215"/>
      <c r="S882" s="211"/>
      <c r="T882" s="212"/>
      <c r="U882" s="290"/>
      <c r="V882" s="282"/>
      <c r="W882" s="282"/>
      <c r="X882" s="282"/>
    </row>
    <row r="883" spans="1:24" s="17" customFormat="1">
      <c r="A883" s="198"/>
      <c r="B883" s="216" t="s">
        <v>50</v>
      </c>
      <c r="C883" s="211">
        <v>13937333</v>
      </c>
      <c r="D883" s="211"/>
      <c r="E883" s="211"/>
      <c r="F883" s="211"/>
      <c r="G883" s="211"/>
      <c r="H883" s="211"/>
      <c r="I883" s="211"/>
      <c r="J883" s="211"/>
      <c r="K883" s="211">
        <v>0</v>
      </c>
      <c r="L883" s="212">
        <v>0</v>
      </c>
      <c r="M883" s="211">
        <v>0</v>
      </c>
      <c r="N883" s="211">
        <v>7009.65</v>
      </c>
      <c r="O883" s="211">
        <v>13937333</v>
      </c>
      <c r="P883" s="213">
        <v>0</v>
      </c>
      <c r="Q883" s="211">
        <v>0</v>
      </c>
      <c r="R883" s="213">
        <v>0</v>
      </c>
      <c r="S883" s="211">
        <v>0</v>
      </c>
      <c r="T883" s="212">
        <v>0</v>
      </c>
      <c r="U883" s="290">
        <v>0</v>
      </c>
      <c r="V883" s="282"/>
      <c r="W883" s="282"/>
      <c r="X883" s="282"/>
    </row>
    <row r="884" spans="1:24" ht="30">
      <c r="A884" s="198"/>
      <c r="B884" s="214" t="s">
        <v>106</v>
      </c>
      <c r="C884" s="211">
        <f>C885+C886+C887+C888+C889+C890</f>
        <v>13535827</v>
      </c>
      <c r="D884" s="211">
        <f t="shared" ref="D884:V884" si="139">D885+D886+D887+D888+D889+D890</f>
        <v>0</v>
      </c>
      <c r="E884" s="211">
        <f t="shared" si="139"/>
        <v>0</v>
      </c>
      <c r="F884" s="211">
        <f t="shared" si="139"/>
        <v>0</v>
      </c>
      <c r="G884" s="211">
        <f t="shared" si="139"/>
        <v>0</v>
      </c>
      <c r="H884" s="211">
        <f t="shared" si="139"/>
        <v>0</v>
      </c>
      <c r="I884" s="211">
        <f t="shared" si="139"/>
        <v>0</v>
      </c>
      <c r="J884" s="211">
        <f t="shared" si="139"/>
        <v>0</v>
      </c>
      <c r="K884" s="211">
        <f t="shared" si="139"/>
        <v>0</v>
      </c>
      <c r="L884" s="211">
        <f t="shared" si="139"/>
        <v>0</v>
      </c>
      <c r="M884" s="211">
        <f t="shared" si="139"/>
        <v>0</v>
      </c>
      <c r="N884" s="211">
        <f t="shared" si="139"/>
        <v>4858.8500000000004</v>
      </c>
      <c r="O884" s="211">
        <f t="shared" si="139"/>
        <v>13535827</v>
      </c>
      <c r="P884" s="211">
        <f t="shared" si="139"/>
        <v>0</v>
      </c>
      <c r="Q884" s="211">
        <f t="shared" si="139"/>
        <v>0</v>
      </c>
      <c r="R884" s="211">
        <f t="shared" si="139"/>
        <v>0</v>
      </c>
      <c r="S884" s="211">
        <f t="shared" si="139"/>
        <v>0</v>
      </c>
      <c r="T884" s="211">
        <f t="shared" si="139"/>
        <v>0</v>
      </c>
      <c r="U884" s="211">
        <f t="shared" si="139"/>
        <v>0</v>
      </c>
      <c r="V884" s="211">
        <f t="shared" si="139"/>
        <v>0</v>
      </c>
      <c r="W884" s="282"/>
      <c r="X884" s="282"/>
    </row>
    <row r="885" spans="1:24" ht="15.75">
      <c r="A885" s="198">
        <v>288</v>
      </c>
      <c r="B885" s="165" t="s">
        <v>843</v>
      </c>
      <c r="C885" s="211">
        <f>'часть 1'!L910</f>
        <v>2331667</v>
      </c>
      <c r="D885" s="211">
        <v>0</v>
      </c>
      <c r="E885" s="211">
        <v>0</v>
      </c>
      <c r="F885" s="211">
        <v>0</v>
      </c>
      <c r="G885" s="211">
        <v>0</v>
      </c>
      <c r="H885" s="211">
        <v>0</v>
      </c>
      <c r="I885" s="211">
        <v>0</v>
      </c>
      <c r="J885" s="211">
        <v>0</v>
      </c>
      <c r="K885" s="211">
        <v>0</v>
      </c>
      <c r="L885" s="212">
        <v>0</v>
      </c>
      <c r="M885" s="211">
        <v>0</v>
      </c>
      <c r="N885" s="234">
        <v>930.25</v>
      </c>
      <c r="O885" s="211">
        <v>2331667</v>
      </c>
      <c r="P885" s="213">
        <v>0</v>
      </c>
      <c r="Q885" s="211">
        <v>0</v>
      </c>
      <c r="R885" s="213">
        <v>0</v>
      </c>
      <c r="S885" s="211">
        <v>0</v>
      </c>
      <c r="T885" s="212">
        <v>0</v>
      </c>
      <c r="U885" s="290">
        <v>0</v>
      </c>
      <c r="V885" s="282"/>
      <c r="W885" s="282">
        <f>O885/N885</f>
        <v>2506.4950282182208</v>
      </c>
      <c r="X885" s="282"/>
    </row>
    <row r="886" spans="1:24" ht="15.75">
      <c r="A886" s="198">
        <v>289</v>
      </c>
      <c r="B886" s="165" t="s">
        <v>847</v>
      </c>
      <c r="C886" s="211">
        <f>'часть 1'!L911</f>
        <v>2406324</v>
      </c>
      <c r="D886" s="211">
        <v>0</v>
      </c>
      <c r="E886" s="211">
        <v>0</v>
      </c>
      <c r="F886" s="211">
        <v>0</v>
      </c>
      <c r="G886" s="211">
        <v>0</v>
      </c>
      <c r="H886" s="211">
        <v>0</v>
      </c>
      <c r="I886" s="211">
        <v>0</v>
      </c>
      <c r="J886" s="211">
        <v>0</v>
      </c>
      <c r="K886" s="211">
        <v>0</v>
      </c>
      <c r="L886" s="212">
        <v>0</v>
      </c>
      <c r="M886" s="211">
        <v>0</v>
      </c>
      <c r="N886" s="234">
        <v>757</v>
      </c>
      <c r="O886" s="211">
        <v>2406324</v>
      </c>
      <c r="P886" s="213">
        <v>0</v>
      </c>
      <c r="Q886" s="211">
        <v>0</v>
      </c>
      <c r="R886" s="213">
        <v>0</v>
      </c>
      <c r="S886" s="211">
        <v>0</v>
      </c>
      <c r="T886" s="212">
        <v>0</v>
      </c>
      <c r="U886" s="290">
        <v>0</v>
      </c>
      <c r="V886" s="282"/>
      <c r="W886" s="282">
        <f t="shared" ref="W886:W890" si="140">O886/N886</f>
        <v>3178.7635402906208</v>
      </c>
      <c r="X886" s="282"/>
    </row>
    <row r="887" spans="1:24" ht="15.75">
      <c r="A887" s="198">
        <v>290</v>
      </c>
      <c r="B887" s="165" t="s">
        <v>848</v>
      </c>
      <c r="C887" s="211">
        <f>'часть 1'!L912</f>
        <v>1559913</v>
      </c>
      <c r="D887" s="211">
        <v>0</v>
      </c>
      <c r="E887" s="211">
        <v>0</v>
      </c>
      <c r="F887" s="211">
        <v>0</v>
      </c>
      <c r="G887" s="211">
        <v>0</v>
      </c>
      <c r="H887" s="211">
        <v>0</v>
      </c>
      <c r="I887" s="211">
        <v>0</v>
      </c>
      <c r="J887" s="211">
        <v>0</v>
      </c>
      <c r="K887" s="211">
        <v>0</v>
      </c>
      <c r="L887" s="212">
        <v>0</v>
      </c>
      <c r="M887" s="211">
        <v>0</v>
      </c>
      <c r="N887" s="234">
        <v>488</v>
      </c>
      <c r="O887" s="211">
        <v>1559913</v>
      </c>
      <c r="P887" s="213">
        <v>0</v>
      </c>
      <c r="Q887" s="211">
        <v>0</v>
      </c>
      <c r="R887" s="213">
        <v>0</v>
      </c>
      <c r="S887" s="211">
        <v>0</v>
      </c>
      <c r="T887" s="212">
        <v>0</v>
      </c>
      <c r="U887" s="290">
        <v>0</v>
      </c>
      <c r="V887" s="282"/>
      <c r="W887" s="282">
        <f t="shared" si="140"/>
        <v>3196.5430327868853</v>
      </c>
      <c r="X887" s="282"/>
    </row>
    <row r="888" spans="1:24" ht="15.75">
      <c r="A888" s="198">
        <v>291</v>
      </c>
      <c r="B888" s="165" t="s">
        <v>849</v>
      </c>
      <c r="C888" s="211">
        <f>'часть 1'!L913</f>
        <v>1511041</v>
      </c>
      <c r="D888" s="211">
        <v>0</v>
      </c>
      <c r="E888" s="211">
        <v>0</v>
      </c>
      <c r="F888" s="211">
        <v>0</v>
      </c>
      <c r="G888" s="211">
        <v>0</v>
      </c>
      <c r="H888" s="211">
        <v>0</v>
      </c>
      <c r="I888" s="211">
        <v>0</v>
      </c>
      <c r="J888" s="211">
        <v>0</v>
      </c>
      <c r="K888" s="211">
        <v>0</v>
      </c>
      <c r="L888" s="212">
        <v>0</v>
      </c>
      <c r="M888" s="211">
        <v>0</v>
      </c>
      <c r="N888" s="234">
        <v>472.6</v>
      </c>
      <c r="O888" s="211">
        <v>1511041</v>
      </c>
      <c r="P888" s="213">
        <v>0</v>
      </c>
      <c r="Q888" s="211">
        <v>0</v>
      </c>
      <c r="R888" s="213">
        <v>0</v>
      </c>
      <c r="S888" s="211">
        <v>0</v>
      </c>
      <c r="T888" s="212">
        <v>0</v>
      </c>
      <c r="U888" s="290">
        <v>0</v>
      </c>
      <c r="V888" s="282"/>
      <c r="W888" s="282">
        <f t="shared" si="140"/>
        <v>3197.2936944561998</v>
      </c>
      <c r="X888" s="282"/>
    </row>
    <row r="889" spans="1:24" ht="15.75">
      <c r="A889" s="198">
        <v>292</v>
      </c>
      <c r="B889" s="165" t="s">
        <v>851</v>
      </c>
      <c r="C889" s="211">
        <f>'часть 1'!L914</f>
        <v>936676</v>
      </c>
      <c r="D889" s="211">
        <v>0</v>
      </c>
      <c r="E889" s="211">
        <v>0</v>
      </c>
      <c r="F889" s="211">
        <v>0</v>
      </c>
      <c r="G889" s="211">
        <v>0</v>
      </c>
      <c r="H889" s="211">
        <v>0</v>
      </c>
      <c r="I889" s="211">
        <v>0</v>
      </c>
      <c r="J889" s="211">
        <v>0</v>
      </c>
      <c r="K889" s="211">
        <v>0</v>
      </c>
      <c r="L889" s="212">
        <v>0</v>
      </c>
      <c r="M889" s="211">
        <v>0</v>
      </c>
      <c r="N889" s="234">
        <v>290</v>
      </c>
      <c r="O889" s="211">
        <v>936676</v>
      </c>
      <c r="P889" s="213">
        <v>0</v>
      </c>
      <c r="Q889" s="211">
        <v>0</v>
      </c>
      <c r="R889" s="213">
        <v>0</v>
      </c>
      <c r="S889" s="211">
        <v>0</v>
      </c>
      <c r="T889" s="212">
        <v>0</v>
      </c>
      <c r="U889" s="290">
        <v>0</v>
      </c>
      <c r="V889" s="282"/>
      <c r="W889" s="282">
        <f t="shared" si="140"/>
        <v>3229.9172413793103</v>
      </c>
      <c r="X889" s="282"/>
    </row>
    <row r="890" spans="1:24" ht="15.75">
      <c r="A890" s="198">
        <v>293</v>
      </c>
      <c r="B890" s="165" t="s">
        <v>844</v>
      </c>
      <c r="C890" s="211">
        <f>'часть 1'!L915</f>
        <v>4790206</v>
      </c>
      <c r="D890" s="211">
        <v>0</v>
      </c>
      <c r="E890" s="211">
        <v>0</v>
      </c>
      <c r="F890" s="211">
        <v>0</v>
      </c>
      <c r="G890" s="211">
        <v>0</v>
      </c>
      <c r="H890" s="211">
        <v>0</v>
      </c>
      <c r="I890" s="211">
        <v>0</v>
      </c>
      <c r="J890" s="211">
        <v>0</v>
      </c>
      <c r="K890" s="211">
        <v>0</v>
      </c>
      <c r="L890" s="212">
        <v>0</v>
      </c>
      <c r="M890" s="211">
        <v>0</v>
      </c>
      <c r="N890" s="234">
        <v>1921</v>
      </c>
      <c r="O890" s="211">
        <v>4790206</v>
      </c>
      <c r="P890" s="213">
        <v>0</v>
      </c>
      <c r="Q890" s="211">
        <v>0</v>
      </c>
      <c r="R890" s="213">
        <v>0</v>
      </c>
      <c r="S890" s="211">
        <v>0</v>
      </c>
      <c r="T890" s="212">
        <v>0</v>
      </c>
      <c r="U890" s="290">
        <v>0</v>
      </c>
      <c r="V890" s="282"/>
      <c r="W890" s="282">
        <f t="shared" si="140"/>
        <v>2493.6002082248829</v>
      </c>
      <c r="X890" s="282"/>
    </row>
    <row r="891" spans="1:24">
      <c r="A891" s="198"/>
      <c r="B891" s="216" t="s">
        <v>51</v>
      </c>
      <c r="C891" s="211">
        <f>'часть 1'!L916</f>
        <v>11085155</v>
      </c>
      <c r="D891" s="211"/>
      <c r="E891" s="211"/>
      <c r="F891" s="211"/>
      <c r="G891" s="211"/>
      <c r="H891" s="211"/>
      <c r="I891" s="211"/>
      <c r="J891" s="211"/>
      <c r="K891" s="211">
        <v>148073</v>
      </c>
      <c r="L891" s="212">
        <v>0</v>
      </c>
      <c r="M891" s="211">
        <v>0</v>
      </c>
      <c r="N891" s="211">
        <v>6258.7000000000007</v>
      </c>
      <c r="O891" s="211">
        <v>12532204</v>
      </c>
      <c r="P891" s="213">
        <v>0</v>
      </c>
      <c r="Q891" s="211">
        <v>0</v>
      </c>
      <c r="R891" s="211">
        <v>440.1</v>
      </c>
      <c r="S891" s="211">
        <v>641555</v>
      </c>
      <c r="T891" s="212">
        <v>0</v>
      </c>
      <c r="U891" s="290">
        <v>0</v>
      </c>
      <c r="V891" s="282"/>
      <c r="W891" s="282"/>
      <c r="X891" s="282"/>
    </row>
    <row r="892" spans="1:24" ht="30">
      <c r="A892" s="198"/>
      <c r="B892" s="214" t="s">
        <v>108</v>
      </c>
      <c r="C892" s="211">
        <f>C893+C894+C895+C896+C897+C898+C899+C900</f>
        <v>11085155</v>
      </c>
      <c r="D892" s="211">
        <f t="shared" ref="D892:U892" si="141">D893+D894+D895+D896+D897+D898+D899+D900</f>
        <v>0</v>
      </c>
      <c r="E892" s="211">
        <f t="shared" si="141"/>
        <v>0</v>
      </c>
      <c r="F892" s="211">
        <f t="shared" si="141"/>
        <v>0</v>
      </c>
      <c r="G892" s="211">
        <f t="shared" si="141"/>
        <v>0</v>
      </c>
      <c r="H892" s="211">
        <f t="shared" si="141"/>
        <v>0</v>
      </c>
      <c r="I892" s="211">
        <f t="shared" si="141"/>
        <v>0</v>
      </c>
      <c r="J892" s="211">
        <f t="shared" si="141"/>
        <v>0</v>
      </c>
      <c r="K892" s="211">
        <f t="shared" si="141"/>
        <v>0</v>
      </c>
      <c r="L892" s="211">
        <f t="shared" si="141"/>
        <v>0</v>
      </c>
      <c r="M892" s="211">
        <f t="shared" si="141"/>
        <v>0</v>
      </c>
      <c r="N892" s="211">
        <f t="shared" si="141"/>
        <v>3775</v>
      </c>
      <c r="O892" s="211">
        <f t="shared" si="141"/>
        <v>11085155</v>
      </c>
      <c r="P892" s="211">
        <f t="shared" si="141"/>
        <v>0</v>
      </c>
      <c r="Q892" s="211">
        <f t="shared" si="141"/>
        <v>0</v>
      </c>
      <c r="R892" s="211">
        <f t="shared" si="141"/>
        <v>0</v>
      </c>
      <c r="S892" s="211">
        <f t="shared" si="141"/>
        <v>0</v>
      </c>
      <c r="T892" s="211">
        <f t="shared" si="141"/>
        <v>0</v>
      </c>
      <c r="U892" s="211">
        <f t="shared" si="141"/>
        <v>0</v>
      </c>
      <c r="V892" s="282"/>
      <c r="W892" s="282"/>
      <c r="X892" s="282"/>
    </row>
    <row r="893" spans="1:24" ht="15.75">
      <c r="A893" s="198">
        <v>298</v>
      </c>
      <c r="B893" s="947" t="s">
        <v>1006</v>
      </c>
      <c r="C893" s="211">
        <f>'часть 1'!L918</f>
        <v>2338689</v>
      </c>
      <c r="D893" s="211">
        <v>0</v>
      </c>
      <c r="E893" s="211">
        <v>0</v>
      </c>
      <c r="F893" s="211">
        <v>0</v>
      </c>
      <c r="G893" s="211">
        <v>0</v>
      </c>
      <c r="H893" s="211">
        <v>0</v>
      </c>
      <c r="I893" s="211">
        <v>0</v>
      </c>
      <c r="J893" s="211">
        <v>0</v>
      </c>
      <c r="K893" s="211">
        <v>0</v>
      </c>
      <c r="L893" s="212">
        <v>0</v>
      </c>
      <c r="M893" s="211">
        <v>0</v>
      </c>
      <c r="N893" s="211">
        <v>944.5</v>
      </c>
      <c r="O893" s="211">
        <f>'часть 1'!L918</f>
        <v>2338689</v>
      </c>
      <c r="P893" s="213">
        <v>0</v>
      </c>
      <c r="Q893" s="211">
        <v>0</v>
      </c>
      <c r="R893" s="213">
        <v>0</v>
      </c>
      <c r="S893" s="211">
        <v>0</v>
      </c>
      <c r="T893" s="212">
        <v>0</v>
      </c>
      <c r="U893" s="290">
        <v>0</v>
      </c>
      <c r="V893" s="282"/>
      <c r="W893" s="282">
        <f>O893/N893</f>
        <v>2476.1132874536793</v>
      </c>
      <c r="X893" s="282"/>
    </row>
    <row r="894" spans="1:24" ht="15.75">
      <c r="A894" s="198">
        <v>299</v>
      </c>
      <c r="B894" s="947" t="s">
        <v>1007</v>
      </c>
      <c r="C894" s="211">
        <f>'часть 1'!L919</f>
        <v>533628</v>
      </c>
      <c r="D894" s="211">
        <v>0</v>
      </c>
      <c r="E894" s="211">
        <v>0</v>
      </c>
      <c r="F894" s="211">
        <v>0</v>
      </c>
      <c r="G894" s="211">
        <v>0</v>
      </c>
      <c r="H894" s="211">
        <v>0</v>
      </c>
      <c r="I894" s="211">
        <v>0</v>
      </c>
      <c r="J894" s="211">
        <v>0</v>
      </c>
      <c r="K894" s="211">
        <v>0</v>
      </c>
      <c r="L894" s="212">
        <v>0</v>
      </c>
      <c r="M894" s="211">
        <v>0</v>
      </c>
      <c r="N894" s="211">
        <v>164.1</v>
      </c>
      <c r="O894" s="211">
        <f>'часть 1'!L919</f>
        <v>533628</v>
      </c>
      <c r="P894" s="213">
        <v>0</v>
      </c>
      <c r="Q894" s="211">
        <v>0</v>
      </c>
      <c r="R894" s="213">
        <v>0</v>
      </c>
      <c r="S894" s="211">
        <v>0</v>
      </c>
      <c r="T894" s="212">
        <v>0</v>
      </c>
      <c r="U894" s="290">
        <v>0</v>
      </c>
      <c r="V894" s="282"/>
      <c r="W894" s="282">
        <f t="shared" ref="W894:W900" si="142">O894/N894</f>
        <v>3251.8464351005487</v>
      </c>
      <c r="X894" s="282"/>
    </row>
    <row r="895" spans="1:24" ht="15.75">
      <c r="A895" s="198">
        <v>300</v>
      </c>
      <c r="B895" s="947" t="s">
        <v>1008</v>
      </c>
      <c r="C895" s="211">
        <f>'часть 1'!L920</f>
        <v>966865</v>
      </c>
      <c r="D895" s="211">
        <v>0</v>
      </c>
      <c r="E895" s="211">
        <v>0</v>
      </c>
      <c r="F895" s="211">
        <v>0</v>
      </c>
      <c r="G895" s="211">
        <v>0</v>
      </c>
      <c r="H895" s="211">
        <v>0</v>
      </c>
      <c r="I895" s="211">
        <v>0</v>
      </c>
      <c r="J895" s="211">
        <v>0</v>
      </c>
      <c r="K895" s="211">
        <v>0</v>
      </c>
      <c r="L895" s="212">
        <v>0</v>
      </c>
      <c r="M895" s="211">
        <v>0</v>
      </c>
      <c r="N895" s="211">
        <v>303.5</v>
      </c>
      <c r="O895" s="211">
        <f>'часть 1'!L920</f>
        <v>966865</v>
      </c>
      <c r="P895" s="213">
        <v>0</v>
      </c>
      <c r="Q895" s="211">
        <v>0</v>
      </c>
      <c r="R895" s="213">
        <v>0</v>
      </c>
      <c r="S895" s="211">
        <v>0</v>
      </c>
      <c r="T895" s="212">
        <v>0</v>
      </c>
      <c r="U895" s="290">
        <v>0</v>
      </c>
      <c r="V895" s="282"/>
      <c r="W895" s="282">
        <f t="shared" si="142"/>
        <v>3185.7166392092258</v>
      </c>
      <c r="X895" s="282"/>
    </row>
    <row r="896" spans="1:24" ht="15.75">
      <c r="A896" s="198">
        <v>301</v>
      </c>
      <c r="B896" s="947" t="s">
        <v>1009</v>
      </c>
      <c r="C896" s="211">
        <f>'часть 1'!L921</f>
        <v>947700</v>
      </c>
      <c r="D896" s="211">
        <v>0</v>
      </c>
      <c r="E896" s="211">
        <v>0</v>
      </c>
      <c r="F896" s="211">
        <v>0</v>
      </c>
      <c r="G896" s="211">
        <v>0</v>
      </c>
      <c r="H896" s="211">
        <v>0</v>
      </c>
      <c r="I896" s="211">
        <v>0</v>
      </c>
      <c r="J896" s="211">
        <v>0</v>
      </c>
      <c r="K896" s="211">
        <v>0</v>
      </c>
      <c r="L896" s="212">
        <v>0</v>
      </c>
      <c r="M896" s="211">
        <v>0</v>
      </c>
      <c r="N896" s="211">
        <v>297.2</v>
      </c>
      <c r="O896" s="211">
        <f>'часть 1'!L921</f>
        <v>947700</v>
      </c>
      <c r="P896" s="213">
        <v>0</v>
      </c>
      <c r="Q896" s="211">
        <v>0</v>
      </c>
      <c r="R896" s="213">
        <v>0</v>
      </c>
      <c r="S896" s="211">
        <v>0</v>
      </c>
      <c r="T896" s="212">
        <v>0</v>
      </c>
      <c r="U896" s="290">
        <v>0</v>
      </c>
      <c r="V896" s="282"/>
      <c r="W896" s="282">
        <f t="shared" si="142"/>
        <v>3188.7617765814266</v>
      </c>
      <c r="X896" s="282"/>
    </row>
    <row r="897" spans="1:25" ht="15.75">
      <c r="A897" s="198">
        <v>302</v>
      </c>
      <c r="B897" s="947" t="s">
        <v>1010</v>
      </c>
      <c r="C897" s="211">
        <f>'часть 1'!L922</f>
        <v>853104</v>
      </c>
      <c r="D897" s="211">
        <v>0</v>
      </c>
      <c r="E897" s="211">
        <v>0</v>
      </c>
      <c r="F897" s="211">
        <v>0</v>
      </c>
      <c r="G897" s="211">
        <v>0</v>
      </c>
      <c r="H897" s="211">
        <v>0</v>
      </c>
      <c r="I897" s="211">
        <v>0</v>
      </c>
      <c r="J897" s="211">
        <v>0</v>
      </c>
      <c r="K897" s="211">
        <v>0</v>
      </c>
      <c r="L897" s="212">
        <v>0</v>
      </c>
      <c r="M897" s="211">
        <v>0</v>
      </c>
      <c r="N897" s="211">
        <v>260.89999999999998</v>
      </c>
      <c r="O897" s="211">
        <f>'часть 1'!L922</f>
        <v>853104</v>
      </c>
      <c r="P897" s="213">
        <v>0</v>
      </c>
      <c r="Q897" s="211">
        <v>0</v>
      </c>
      <c r="R897" s="213">
        <v>0</v>
      </c>
      <c r="S897" s="211">
        <v>0</v>
      </c>
      <c r="T897" s="212">
        <v>0</v>
      </c>
      <c r="U897" s="290">
        <v>0</v>
      </c>
      <c r="V897" s="282"/>
      <c r="W897" s="282">
        <f t="shared" si="142"/>
        <v>3269.8505174396323</v>
      </c>
      <c r="X897" s="282"/>
    </row>
    <row r="898" spans="1:25" ht="15.75">
      <c r="A898" s="198">
        <v>303</v>
      </c>
      <c r="B898" s="567" t="s">
        <v>1011</v>
      </c>
      <c r="C898" s="211">
        <f>'часть 1'!L923</f>
        <v>789420</v>
      </c>
      <c r="D898" s="211">
        <v>0</v>
      </c>
      <c r="E898" s="211">
        <v>0</v>
      </c>
      <c r="F898" s="211">
        <v>0</v>
      </c>
      <c r="G898" s="211">
        <v>0</v>
      </c>
      <c r="H898" s="211">
        <v>0</v>
      </c>
      <c r="I898" s="211">
        <v>0</v>
      </c>
      <c r="J898" s="211">
        <v>0</v>
      </c>
      <c r="K898" s="211">
        <v>0</v>
      </c>
      <c r="L898" s="212">
        <v>0</v>
      </c>
      <c r="M898" s="211">
        <v>0</v>
      </c>
      <c r="N898" s="211">
        <v>246.3</v>
      </c>
      <c r="O898" s="211">
        <f>'часть 1'!L923</f>
        <v>789420</v>
      </c>
      <c r="P898" s="213">
        <v>0</v>
      </c>
      <c r="Q898" s="211">
        <v>0</v>
      </c>
      <c r="R898" s="213">
        <v>0</v>
      </c>
      <c r="S898" s="211">
        <v>0</v>
      </c>
      <c r="T898" s="212">
        <v>0</v>
      </c>
      <c r="U898" s="290">
        <v>0</v>
      </c>
      <c r="V898" s="282"/>
      <c r="W898" s="282">
        <f t="shared" si="142"/>
        <v>3205.1157125456757</v>
      </c>
      <c r="X898" s="282"/>
    </row>
    <row r="899" spans="1:25" ht="15.75">
      <c r="A899" s="198">
        <v>304</v>
      </c>
      <c r="B899" s="947" t="s">
        <v>1012</v>
      </c>
      <c r="C899" s="211">
        <f>'часть 1'!L924</f>
        <v>3688049</v>
      </c>
      <c r="D899" s="211">
        <v>0</v>
      </c>
      <c r="E899" s="211">
        <v>0</v>
      </c>
      <c r="F899" s="211">
        <v>0</v>
      </c>
      <c r="G899" s="211">
        <v>0</v>
      </c>
      <c r="H899" s="211">
        <v>0</v>
      </c>
      <c r="I899" s="211">
        <v>0</v>
      </c>
      <c r="J899" s="211">
        <v>0</v>
      </c>
      <c r="K899" s="211">
        <v>0</v>
      </c>
      <c r="L899" s="212">
        <v>0</v>
      </c>
      <c r="M899" s="211">
        <v>0</v>
      </c>
      <c r="N899" s="211">
        <v>1168.5999999999999</v>
      </c>
      <c r="O899" s="211">
        <f>'часть 1'!L924</f>
        <v>3688049</v>
      </c>
      <c r="P899" s="213">
        <v>0</v>
      </c>
      <c r="Q899" s="211">
        <v>0</v>
      </c>
      <c r="R899" s="213">
        <v>0</v>
      </c>
      <c r="S899" s="211">
        <v>0</v>
      </c>
      <c r="T899" s="212">
        <v>0</v>
      </c>
      <c r="U899" s="290">
        <v>0</v>
      </c>
      <c r="V899" s="282"/>
      <c r="W899" s="282">
        <f t="shared" si="142"/>
        <v>3155.9549888755778</v>
      </c>
      <c r="X899" s="282"/>
    </row>
    <row r="900" spans="1:25" ht="15.75">
      <c r="A900" s="198">
        <v>305</v>
      </c>
      <c r="B900" s="947" t="s">
        <v>1013</v>
      </c>
      <c r="C900" s="211">
        <f>'часть 1'!L925</f>
        <v>967700</v>
      </c>
      <c r="D900" s="211">
        <v>0</v>
      </c>
      <c r="E900" s="211">
        <v>0</v>
      </c>
      <c r="F900" s="211">
        <v>0</v>
      </c>
      <c r="G900" s="211">
        <v>0</v>
      </c>
      <c r="H900" s="211">
        <v>0</v>
      </c>
      <c r="I900" s="211">
        <v>0</v>
      </c>
      <c r="J900" s="211">
        <v>0</v>
      </c>
      <c r="K900" s="211">
        <v>0</v>
      </c>
      <c r="L900" s="212">
        <v>0</v>
      </c>
      <c r="M900" s="211">
        <v>0</v>
      </c>
      <c r="N900" s="211">
        <v>389.9</v>
      </c>
      <c r="O900" s="211">
        <f>'часть 1'!L925</f>
        <v>967700</v>
      </c>
      <c r="P900" s="213">
        <v>0</v>
      </c>
      <c r="Q900" s="211">
        <v>0</v>
      </c>
      <c r="R900" s="213">
        <v>0</v>
      </c>
      <c r="S900" s="211">
        <v>0</v>
      </c>
      <c r="T900" s="212">
        <v>0</v>
      </c>
      <c r="U900" s="290">
        <v>0</v>
      </c>
      <c r="V900" s="282"/>
      <c r="W900" s="282">
        <f t="shared" si="142"/>
        <v>2481.9184406258018</v>
      </c>
      <c r="X900" s="282"/>
    </row>
    <row r="901" spans="1:25" ht="30">
      <c r="A901" s="487"/>
      <c r="B901" s="499" t="s">
        <v>882</v>
      </c>
      <c r="C901" s="498">
        <f>C902+C903</f>
        <v>1029285</v>
      </c>
      <c r="D901" s="498">
        <f t="shared" ref="D901:V901" si="143">D902+D903</f>
        <v>247569</v>
      </c>
      <c r="E901" s="498">
        <f t="shared" si="143"/>
        <v>247569</v>
      </c>
      <c r="F901" s="498">
        <f t="shared" si="143"/>
        <v>0</v>
      </c>
      <c r="G901" s="498">
        <f t="shared" si="143"/>
        <v>0</v>
      </c>
      <c r="H901" s="498">
        <f t="shared" si="143"/>
        <v>0</v>
      </c>
      <c r="I901" s="498">
        <f t="shared" si="143"/>
        <v>0</v>
      </c>
      <c r="J901" s="498">
        <f t="shared" si="143"/>
        <v>0</v>
      </c>
      <c r="K901" s="498">
        <f t="shared" si="143"/>
        <v>0</v>
      </c>
      <c r="L901" s="498">
        <f t="shared" si="143"/>
        <v>0</v>
      </c>
      <c r="M901" s="498">
        <f t="shared" si="143"/>
        <v>0</v>
      </c>
      <c r="N901" s="498">
        <f t="shared" si="143"/>
        <v>0</v>
      </c>
      <c r="O901" s="498">
        <f t="shared" si="143"/>
        <v>0</v>
      </c>
      <c r="P901" s="498">
        <f t="shared" si="143"/>
        <v>0</v>
      </c>
      <c r="Q901" s="498">
        <f t="shared" si="143"/>
        <v>0</v>
      </c>
      <c r="R901" s="498">
        <f t="shared" si="143"/>
        <v>510.17</v>
      </c>
      <c r="S901" s="498">
        <f t="shared" si="143"/>
        <v>781716</v>
      </c>
      <c r="T901" s="498">
        <f t="shared" si="143"/>
        <v>0</v>
      </c>
      <c r="U901" s="498">
        <f t="shared" si="143"/>
        <v>0</v>
      </c>
      <c r="V901" s="211">
        <f t="shared" si="143"/>
        <v>0</v>
      </c>
      <c r="W901" s="282"/>
      <c r="X901" s="282"/>
    </row>
    <row r="902" spans="1:25">
      <c r="A902" s="487"/>
      <c r="B902" s="499" t="s">
        <v>884</v>
      </c>
      <c r="C902" s="498">
        <f>'часть 1'!L927</f>
        <v>781716</v>
      </c>
      <c r="D902" s="498">
        <f>E902+F902+G902+H902+I902+J902+K902</f>
        <v>0</v>
      </c>
      <c r="E902" s="498">
        <v>0</v>
      </c>
      <c r="F902" s="498">
        <v>0</v>
      </c>
      <c r="G902" s="498">
        <v>0</v>
      </c>
      <c r="H902" s="498">
        <v>0</v>
      </c>
      <c r="I902" s="498">
        <v>0</v>
      </c>
      <c r="J902" s="498">
        <v>0</v>
      </c>
      <c r="K902" s="498">
        <v>0</v>
      </c>
      <c r="L902" s="502">
        <v>0</v>
      </c>
      <c r="M902" s="498">
        <v>0</v>
      </c>
      <c r="N902" s="498">
        <v>0</v>
      </c>
      <c r="O902" s="498">
        <v>0</v>
      </c>
      <c r="P902" s="503">
        <v>0</v>
      </c>
      <c r="Q902" s="498">
        <v>0</v>
      </c>
      <c r="R902" s="498">
        <v>510.17</v>
      </c>
      <c r="S902" s="498">
        <v>781716</v>
      </c>
      <c r="T902" s="502">
        <v>0</v>
      </c>
      <c r="U902" s="504">
        <v>0</v>
      </c>
      <c r="V902" s="282"/>
      <c r="W902" s="282"/>
      <c r="X902" s="282">
        <f>S902/R902</f>
        <v>1532.2657153497853</v>
      </c>
    </row>
    <row r="903" spans="1:25">
      <c r="A903" s="487"/>
      <c r="B903" s="499" t="s">
        <v>885</v>
      </c>
      <c r="C903" s="498">
        <f>'часть 1'!L928</f>
        <v>247569</v>
      </c>
      <c r="D903" s="498">
        <f>E903+F903+G903+H903+I903+J903+K903</f>
        <v>247569</v>
      </c>
      <c r="E903" s="498">
        <v>247569</v>
      </c>
      <c r="F903" s="498">
        <v>0</v>
      </c>
      <c r="G903" s="498">
        <v>0</v>
      </c>
      <c r="H903" s="498">
        <v>0</v>
      </c>
      <c r="I903" s="498">
        <v>0</v>
      </c>
      <c r="J903" s="498">
        <v>0</v>
      </c>
      <c r="K903" s="498">
        <v>0</v>
      </c>
      <c r="L903" s="502">
        <v>0</v>
      </c>
      <c r="M903" s="498">
        <v>0</v>
      </c>
      <c r="N903" s="498">
        <v>0</v>
      </c>
      <c r="O903" s="498">
        <v>0</v>
      </c>
      <c r="P903" s="503">
        <v>0</v>
      </c>
      <c r="Q903" s="498">
        <v>0</v>
      </c>
      <c r="R903" s="498">
        <v>0</v>
      </c>
      <c r="S903" s="498">
        <v>0</v>
      </c>
      <c r="T903" s="502">
        <v>0</v>
      </c>
      <c r="U903" s="504">
        <v>0</v>
      </c>
      <c r="V903" s="282"/>
      <c r="W903" s="282"/>
      <c r="X903" s="282"/>
      <c r="Y903" s="1">
        <f>E903/'часть 1'!I928</f>
        <v>506.58686310620016</v>
      </c>
    </row>
    <row r="904" spans="1:25" s="17" customFormat="1">
      <c r="A904" s="198"/>
      <c r="B904" s="216" t="s">
        <v>52</v>
      </c>
      <c r="C904" s="211">
        <v>3908951</v>
      </c>
      <c r="D904" s="211"/>
      <c r="E904" s="211"/>
      <c r="F904" s="211"/>
      <c r="G904" s="211"/>
      <c r="H904" s="211"/>
      <c r="I904" s="211"/>
      <c r="J904" s="211"/>
      <c r="K904" s="211">
        <v>201010</v>
      </c>
      <c r="L904" s="212">
        <v>0</v>
      </c>
      <c r="M904" s="211">
        <v>0</v>
      </c>
      <c r="N904" s="211">
        <v>1869.42</v>
      </c>
      <c r="O904" s="211">
        <v>3707941</v>
      </c>
      <c r="P904" s="213">
        <v>0</v>
      </c>
      <c r="Q904" s="211">
        <v>0</v>
      </c>
      <c r="R904" s="213">
        <v>0</v>
      </c>
      <c r="S904" s="211">
        <v>0</v>
      </c>
      <c r="T904" s="212">
        <v>0</v>
      </c>
      <c r="U904" s="290">
        <v>0</v>
      </c>
      <c r="V904" s="282"/>
      <c r="W904" s="282"/>
      <c r="X904" s="282"/>
    </row>
    <row r="905" spans="1:25" s="18" customFormat="1" ht="30">
      <c r="A905" s="487"/>
      <c r="B905" s="499" t="s">
        <v>130</v>
      </c>
      <c r="C905" s="498">
        <f>C906</f>
        <v>1851309</v>
      </c>
      <c r="D905" s="498">
        <f t="shared" ref="D905:V905" si="144">D906</f>
        <v>0</v>
      </c>
      <c r="E905" s="498">
        <f t="shared" si="144"/>
        <v>0</v>
      </c>
      <c r="F905" s="498">
        <f t="shared" si="144"/>
        <v>0</v>
      </c>
      <c r="G905" s="498">
        <f t="shared" si="144"/>
        <v>0</v>
      </c>
      <c r="H905" s="498">
        <f t="shared" si="144"/>
        <v>0</v>
      </c>
      <c r="I905" s="498">
        <f t="shared" si="144"/>
        <v>0</v>
      </c>
      <c r="J905" s="498">
        <f t="shared" si="144"/>
        <v>0</v>
      </c>
      <c r="K905" s="498">
        <f t="shared" si="144"/>
        <v>0</v>
      </c>
      <c r="L905" s="498">
        <f t="shared" si="144"/>
        <v>0</v>
      </c>
      <c r="M905" s="498">
        <f t="shared" si="144"/>
        <v>0</v>
      </c>
      <c r="N905" s="498">
        <f t="shared" si="144"/>
        <v>581</v>
      </c>
      <c r="O905" s="498">
        <f t="shared" si="144"/>
        <v>1851309</v>
      </c>
      <c r="P905" s="498">
        <f t="shared" si="144"/>
        <v>0</v>
      </c>
      <c r="Q905" s="498">
        <f t="shared" si="144"/>
        <v>0</v>
      </c>
      <c r="R905" s="498">
        <f t="shared" si="144"/>
        <v>0</v>
      </c>
      <c r="S905" s="498">
        <f t="shared" si="144"/>
        <v>0</v>
      </c>
      <c r="T905" s="498">
        <f t="shared" si="144"/>
        <v>0</v>
      </c>
      <c r="U905" s="498">
        <f t="shared" si="144"/>
        <v>0</v>
      </c>
      <c r="V905" s="211">
        <f t="shared" si="144"/>
        <v>0</v>
      </c>
      <c r="W905" s="282"/>
      <c r="X905" s="282"/>
    </row>
    <row r="906" spans="1:25" s="17" customFormat="1">
      <c r="A906" s="487">
        <v>312</v>
      </c>
      <c r="B906" s="499" t="s">
        <v>673</v>
      </c>
      <c r="C906" s="498">
        <v>1851309</v>
      </c>
      <c r="D906" s="498">
        <v>0</v>
      </c>
      <c r="E906" s="498">
        <v>0</v>
      </c>
      <c r="F906" s="498">
        <v>0</v>
      </c>
      <c r="G906" s="498">
        <v>0</v>
      </c>
      <c r="H906" s="498">
        <v>0</v>
      </c>
      <c r="I906" s="498">
        <v>0</v>
      </c>
      <c r="J906" s="498">
        <v>0</v>
      </c>
      <c r="K906" s="498">
        <v>0</v>
      </c>
      <c r="L906" s="503">
        <v>0</v>
      </c>
      <c r="M906" s="498">
        <v>0</v>
      </c>
      <c r="N906" s="492">
        <v>581</v>
      </c>
      <c r="O906" s="498">
        <v>1851309</v>
      </c>
      <c r="P906" s="503">
        <v>0</v>
      </c>
      <c r="Q906" s="498">
        <v>0</v>
      </c>
      <c r="R906" s="503">
        <v>0</v>
      </c>
      <c r="S906" s="498">
        <v>0</v>
      </c>
      <c r="T906" s="503">
        <v>0</v>
      </c>
      <c r="U906" s="504">
        <v>0</v>
      </c>
      <c r="V906" s="282"/>
      <c r="W906" s="282">
        <f>O906/N906</f>
        <v>3186.4182444061962</v>
      </c>
      <c r="X906" s="282"/>
    </row>
    <row r="907" spans="1:25" s="17" customFormat="1">
      <c r="A907" s="487"/>
      <c r="B907" s="499"/>
      <c r="C907" s="498"/>
      <c r="D907" s="498"/>
      <c r="E907" s="498"/>
      <c r="F907" s="498"/>
      <c r="G907" s="498"/>
      <c r="H907" s="498"/>
      <c r="I907" s="498"/>
      <c r="J907" s="498"/>
      <c r="K907" s="498"/>
      <c r="L907" s="503"/>
      <c r="M907" s="498"/>
      <c r="N907" s="492"/>
      <c r="O907" s="498"/>
      <c r="P907" s="503"/>
      <c r="Q907" s="498"/>
      <c r="R907" s="503"/>
      <c r="S907" s="498"/>
      <c r="T907" s="503"/>
      <c r="U907" s="504"/>
      <c r="V907" s="282"/>
      <c r="W907" s="282"/>
      <c r="X907" s="282"/>
    </row>
    <row r="908" spans="1:25" ht="30">
      <c r="A908" s="198"/>
      <c r="B908" s="214" t="s">
        <v>109</v>
      </c>
      <c r="C908" s="211">
        <v>201010</v>
      </c>
      <c r="D908" s="211"/>
      <c r="E908" s="211"/>
      <c r="F908" s="211"/>
      <c r="G908" s="211"/>
      <c r="H908" s="211"/>
      <c r="I908" s="211"/>
      <c r="J908" s="211"/>
      <c r="K908" s="211">
        <v>201010</v>
      </c>
      <c r="L908" s="212">
        <v>0</v>
      </c>
      <c r="M908" s="211">
        <v>0</v>
      </c>
      <c r="N908" s="211">
        <v>0</v>
      </c>
      <c r="O908" s="211">
        <v>0</v>
      </c>
      <c r="P908" s="213">
        <v>0</v>
      </c>
      <c r="Q908" s="211">
        <v>0</v>
      </c>
      <c r="R908" s="213">
        <v>0</v>
      </c>
      <c r="S908" s="211">
        <v>0</v>
      </c>
      <c r="T908" s="212">
        <v>0</v>
      </c>
      <c r="U908" s="290">
        <v>0</v>
      </c>
      <c r="V908" s="282"/>
      <c r="W908" s="282"/>
      <c r="X908" s="282"/>
    </row>
    <row r="909" spans="1:25">
      <c r="A909" s="198">
        <v>314</v>
      </c>
      <c r="B909" s="216" t="s">
        <v>414</v>
      </c>
      <c r="C909" s="211">
        <v>201010</v>
      </c>
      <c r="D909" s="211"/>
      <c r="E909" s="211"/>
      <c r="F909" s="211"/>
      <c r="G909" s="211"/>
      <c r="H909" s="211"/>
      <c r="I909" s="211"/>
      <c r="J909" s="211"/>
      <c r="K909" s="211">
        <v>201010</v>
      </c>
      <c r="L909" s="212">
        <v>0</v>
      </c>
      <c r="M909" s="211">
        <v>0</v>
      </c>
      <c r="N909" s="211">
        <v>0</v>
      </c>
      <c r="O909" s="211">
        <v>0</v>
      </c>
      <c r="P909" s="213">
        <v>0</v>
      </c>
      <c r="Q909" s="211">
        <v>0</v>
      </c>
      <c r="R909" s="213">
        <v>0</v>
      </c>
      <c r="S909" s="211">
        <v>0</v>
      </c>
      <c r="T909" s="212">
        <v>0</v>
      </c>
      <c r="U909" s="290">
        <v>0</v>
      </c>
      <c r="V909" s="282"/>
      <c r="W909" s="282"/>
      <c r="X909" s="282"/>
    </row>
    <row r="910" spans="1:25" ht="30">
      <c r="A910" s="198"/>
      <c r="B910" s="214" t="s">
        <v>198</v>
      </c>
      <c r="C910" s="211">
        <v>1091336</v>
      </c>
      <c r="D910" s="211"/>
      <c r="E910" s="211"/>
      <c r="F910" s="211"/>
      <c r="G910" s="211"/>
      <c r="H910" s="211"/>
      <c r="I910" s="211"/>
      <c r="J910" s="211"/>
      <c r="K910" s="211">
        <v>0</v>
      </c>
      <c r="L910" s="212">
        <v>0</v>
      </c>
      <c r="M910" s="211">
        <v>0</v>
      </c>
      <c r="N910" s="211">
        <v>554.41999999999996</v>
      </c>
      <c r="O910" s="211">
        <v>1091336</v>
      </c>
      <c r="P910" s="213">
        <v>0</v>
      </c>
      <c r="Q910" s="211">
        <v>0</v>
      </c>
      <c r="R910" s="213">
        <v>0</v>
      </c>
      <c r="S910" s="211">
        <v>0</v>
      </c>
      <c r="T910" s="212">
        <v>0</v>
      </c>
      <c r="U910" s="290">
        <v>0</v>
      </c>
      <c r="V910" s="282"/>
      <c r="W910" s="282"/>
      <c r="X910" s="282"/>
    </row>
    <row r="911" spans="1:25" ht="30">
      <c r="A911" s="198">
        <v>315</v>
      </c>
      <c r="B911" s="214" t="s">
        <v>444</v>
      </c>
      <c r="C911" s="211">
        <v>1091336</v>
      </c>
      <c r="D911" s="211"/>
      <c r="E911" s="211"/>
      <c r="F911" s="211"/>
      <c r="G911" s="211"/>
      <c r="H911" s="211"/>
      <c r="I911" s="211"/>
      <c r="J911" s="211"/>
      <c r="K911" s="211">
        <v>0</v>
      </c>
      <c r="L911" s="212">
        <v>0</v>
      </c>
      <c r="M911" s="211">
        <v>0</v>
      </c>
      <c r="N911" s="211">
        <v>554.41999999999996</v>
      </c>
      <c r="O911" s="211">
        <v>1091336</v>
      </c>
      <c r="P911" s="213">
        <v>0</v>
      </c>
      <c r="Q911" s="211">
        <v>0</v>
      </c>
      <c r="R911" s="213">
        <v>0</v>
      </c>
      <c r="S911" s="211">
        <v>0</v>
      </c>
      <c r="T911" s="212">
        <v>0</v>
      </c>
      <c r="U911" s="290">
        <v>0</v>
      </c>
      <c r="V911" s="282"/>
      <c r="W911" s="282"/>
      <c r="X911" s="282"/>
    </row>
    <row r="912" spans="1:25" s="17" customFormat="1">
      <c r="A912" s="198"/>
      <c r="B912" s="216" t="s">
        <v>53</v>
      </c>
      <c r="C912" s="211">
        <f>C913+C929+C931+C934+C941+C943+C946+C948</f>
        <v>46439075.920000002</v>
      </c>
      <c r="D912" s="211">
        <f t="shared" ref="D912:V912" si="145">D913+D929+D931+D934+D941+D943+D946+D948</f>
        <v>0</v>
      </c>
      <c r="E912" s="211">
        <f t="shared" si="145"/>
        <v>0</v>
      </c>
      <c r="F912" s="211">
        <f t="shared" si="145"/>
        <v>0</v>
      </c>
      <c r="G912" s="211">
        <f t="shared" si="145"/>
        <v>0</v>
      </c>
      <c r="H912" s="211">
        <f t="shared" si="145"/>
        <v>0</v>
      </c>
      <c r="I912" s="211">
        <f t="shared" si="145"/>
        <v>0</v>
      </c>
      <c r="J912" s="211">
        <f t="shared" si="145"/>
        <v>0</v>
      </c>
      <c r="K912" s="211">
        <f t="shared" si="145"/>
        <v>0</v>
      </c>
      <c r="L912" s="211">
        <f t="shared" si="145"/>
        <v>15</v>
      </c>
      <c r="M912" s="211">
        <f t="shared" si="145"/>
        <v>29383642</v>
      </c>
      <c r="N912" s="211">
        <f t="shared" si="145"/>
        <v>5801.5</v>
      </c>
      <c r="O912" s="211">
        <f t="shared" si="145"/>
        <v>15367425.92</v>
      </c>
      <c r="P912" s="211">
        <f t="shared" si="145"/>
        <v>0</v>
      </c>
      <c r="Q912" s="211">
        <f t="shared" si="145"/>
        <v>0</v>
      </c>
      <c r="R912" s="211">
        <f t="shared" si="145"/>
        <v>1097.2</v>
      </c>
      <c r="S912" s="211">
        <f t="shared" si="145"/>
        <v>1688008</v>
      </c>
      <c r="T912" s="211">
        <f t="shared" si="145"/>
        <v>0</v>
      </c>
      <c r="U912" s="211">
        <f t="shared" si="145"/>
        <v>0</v>
      </c>
      <c r="V912" s="211">
        <f t="shared" si="145"/>
        <v>0</v>
      </c>
      <c r="W912" s="282"/>
      <c r="X912" s="282"/>
    </row>
    <row r="913" spans="1:32" ht="30">
      <c r="A913" s="487"/>
      <c r="B913" s="499" t="s">
        <v>88</v>
      </c>
      <c r="C913" s="498">
        <f>C914+C915+C916+C917+C918+C919</f>
        <v>29383642</v>
      </c>
      <c r="D913" s="498">
        <f t="shared" ref="D913:U913" si="146">D914+D915+D916+D917+D918+D919</f>
        <v>0</v>
      </c>
      <c r="E913" s="498">
        <f t="shared" si="146"/>
        <v>0</v>
      </c>
      <c r="F913" s="498">
        <f t="shared" si="146"/>
        <v>0</v>
      </c>
      <c r="G913" s="498">
        <f t="shared" si="146"/>
        <v>0</v>
      </c>
      <c r="H913" s="498">
        <f t="shared" si="146"/>
        <v>0</v>
      </c>
      <c r="I913" s="498">
        <f t="shared" si="146"/>
        <v>0</v>
      </c>
      <c r="J913" s="498">
        <f t="shared" si="146"/>
        <v>0</v>
      </c>
      <c r="K913" s="498">
        <f t="shared" si="146"/>
        <v>0</v>
      </c>
      <c r="L913" s="498">
        <f t="shared" si="146"/>
        <v>15</v>
      </c>
      <c r="M913" s="498">
        <f t="shared" si="146"/>
        <v>29383642</v>
      </c>
      <c r="N913" s="498">
        <f t="shared" si="146"/>
        <v>0</v>
      </c>
      <c r="O913" s="498">
        <f t="shared" si="146"/>
        <v>0</v>
      </c>
      <c r="P913" s="498">
        <f t="shared" si="146"/>
        <v>0</v>
      </c>
      <c r="Q913" s="498">
        <f t="shared" si="146"/>
        <v>0</v>
      </c>
      <c r="R913" s="498">
        <f t="shared" si="146"/>
        <v>0</v>
      </c>
      <c r="S913" s="498">
        <f t="shared" si="146"/>
        <v>0</v>
      </c>
      <c r="T913" s="498">
        <f t="shared" si="146"/>
        <v>0</v>
      </c>
      <c r="U913" s="498">
        <f t="shared" si="146"/>
        <v>0</v>
      </c>
      <c r="V913" s="282"/>
      <c r="W913" s="282"/>
      <c r="X913" s="282"/>
      <c r="Y913" s="10"/>
      <c r="Z913" s="10"/>
      <c r="AA913" s="10"/>
      <c r="AB913" s="10"/>
    </row>
    <row r="914" spans="1:32" s="19" customFormat="1" ht="15.75">
      <c r="A914" s="487">
        <v>316</v>
      </c>
      <c r="B914" s="851" t="s">
        <v>748</v>
      </c>
      <c r="C914" s="498">
        <f>'часть 1'!L939</f>
        <v>5877687</v>
      </c>
      <c r="D914" s="498">
        <v>0</v>
      </c>
      <c r="E914" s="498">
        <v>0</v>
      </c>
      <c r="F914" s="498">
        <v>0</v>
      </c>
      <c r="G914" s="498">
        <v>0</v>
      </c>
      <c r="H914" s="498">
        <v>0</v>
      </c>
      <c r="I914" s="498">
        <v>0</v>
      </c>
      <c r="J914" s="498">
        <v>0</v>
      </c>
      <c r="K914" s="498">
        <v>0</v>
      </c>
      <c r="L914" s="502">
        <v>3</v>
      </c>
      <c r="M914" s="498">
        <f>C914</f>
        <v>5877687</v>
      </c>
      <c r="N914" s="498">
        <v>0</v>
      </c>
      <c r="O914" s="498">
        <v>0</v>
      </c>
      <c r="P914" s="503">
        <v>0</v>
      </c>
      <c r="Q914" s="498">
        <v>0</v>
      </c>
      <c r="R914" s="503">
        <v>0</v>
      </c>
      <c r="S914" s="498">
        <v>0</v>
      </c>
      <c r="T914" s="502">
        <v>0</v>
      </c>
      <c r="U914" s="504">
        <v>0</v>
      </c>
      <c r="V914" s="282"/>
      <c r="W914" s="282"/>
      <c r="X914" s="282"/>
      <c r="Y914" s="27"/>
      <c r="Z914" s="27"/>
      <c r="AA914" s="27"/>
      <c r="AB914" s="27"/>
      <c r="AF914" s="84">
        <f>M914/L914</f>
        <v>1959229</v>
      </c>
    </row>
    <row r="915" spans="1:32" s="19" customFormat="1" ht="15.75">
      <c r="A915" s="487">
        <v>317</v>
      </c>
      <c r="B915" s="851" t="s">
        <v>749</v>
      </c>
      <c r="C915" s="498">
        <f>'часть 1'!L940</f>
        <v>3911300</v>
      </c>
      <c r="D915" s="498">
        <v>0</v>
      </c>
      <c r="E915" s="498">
        <v>0</v>
      </c>
      <c r="F915" s="498">
        <v>0</v>
      </c>
      <c r="G915" s="498">
        <v>0</v>
      </c>
      <c r="H915" s="498">
        <v>0</v>
      </c>
      <c r="I915" s="498">
        <v>0</v>
      </c>
      <c r="J915" s="498">
        <v>0</v>
      </c>
      <c r="K915" s="498">
        <v>0</v>
      </c>
      <c r="L915" s="502">
        <v>2</v>
      </c>
      <c r="M915" s="498">
        <f t="shared" ref="M915:M919" si="147">C915</f>
        <v>3911300</v>
      </c>
      <c r="N915" s="498">
        <v>0</v>
      </c>
      <c r="O915" s="498">
        <v>0</v>
      </c>
      <c r="P915" s="503">
        <v>0</v>
      </c>
      <c r="Q915" s="498">
        <v>0</v>
      </c>
      <c r="R915" s="503">
        <v>0</v>
      </c>
      <c r="S915" s="498">
        <v>0</v>
      </c>
      <c r="T915" s="502">
        <v>0</v>
      </c>
      <c r="U915" s="504">
        <v>0</v>
      </c>
      <c r="V915" s="282"/>
      <c r="W915" s="282"/>
      <c r="X915" s="282"/>
      <c r="Y915" s="27"/>
      <c r="Z915" s="27"/>
      <c r="AA915" s="27"/>
      <c r="AB915" s="27"/>
      <c r="AF915" s="84">
        <f t="shared" ref="AF915:AF919" si="148">M915/L915</f>
        <v>1955650</v>
      </c>
    </row>
    <row r="916" spans="1:32" s="19" customFormat="1" ht="15.75">
      <c r="A916" s="487">
        <v>318</v>
      </c>
      <c r="B916" s="851" t="s">
        <v>750</v>
      </c>
      <c r="C916" s="498">
        <f>'часть 1'!L941</f>
        <v>5873712</v>
      </c>
      <c r="D916" s="507">
        <v>0</v>
      </c>
      <c r="E916" s="507">
        <v>0</v>
      </c>
      <c r="F916" s="507">
        <v>0</v>
      </c>
      <c r="G916" s="507">
        <v>0</v>
      </c>
      <c r="H916" s="507">
        <v>0</v>
      </c>
      <c r="I916" s="507">
        <v>0</v>
      </c>
      <c r="J916" s="507">
        <v>0</v>
      </c>
      <c r="K916" s="862">
        <v>0</v>
      </c>
      <c r="L916" s="502">
        <v>3</v>
      </c>
      <c r="M916" s="498">
        <f t="shared" si="147"/>
        <v>5873712</v>
      </c>
      <c r="N916" s="507">
        <v>0</v>
      </c>
      <c r="O916" s="507">
        <v>0</v>
      </c>
      <c r="P916" s="503">
        <v>0</v>
      </c>
      <c r="Q916" s="498">
        <v>0</v>
      </c>
      <c r="R916" s="503">
        <v>0</v>
      </c>
      <c r="S916" s="498">
        <v>0</v>
      </c>
      <c r="T916" s="502">
        <v>0</v>
      </c>
      <c r="U916" s="504">
        <v>0</v>
      </c>
      <c r="V916" s="282"/>
      <c r="W916" s="282"/>
      <c r="X916" s="282"/>
      <c r="Y916" s="27"/>
      <c r="Z916" s="27"/>
      <c r="AA916" s="27"/>
      <c r="AB916" s="27"/>
      <c r="AF916" s="84">
        <f t="shared" si="148"/>
        <v>1957904</v>
      </c>
    </row>
    <row r="917" spans="1:32" s="19" customFormat="1" ht="15.75">
      <c r="A917" s="487">
        <v>319</v>
      </c>
      <c r="B917" s="851" t="s">
        <v>751</v>
      </c>
      <c r="C917" s="498">
        <f>'часть 1'!L942</f>
        <v>5872977</v>
      </c>
      <c r="D917" s="498">
        <v>0</v>
      </c>
      <c r="E917" s="498">
        <v>0</v>
      </c>
      <c r="F917" s="498">
        <v>0</v>
      </c>
      <c r="G917" s="498">
        <v>0</v>
      </c>
      <c r="H917" s="498">
        <v>0</v>
      </c>
      <c r="I917" s="498">
        <v>0</v>
      </c>
      <c r="J917" s="498">
        <v>0</v>
      </c>
      <c r="K917" s="498">
        <v>0</v>
      </c>
      <c r="L917" s="502">
        <v>3</v>
      </c>
      <c r="M917" s="498">
        <f t="shared" si="147"/>
        <v>5872977</v>
      </c>
      <c r="N917" s="498">
        <v>0</v>
      </c>
      <c r="O917" s="498">
        <v>0</v>
      </c>
      <c r="P917" s="503">
        <v>0</v>
      </c>
      <c r="Q917" s="498">
        <v>0</v>
      </c>
      <c r="R917" s="498">
        <v>0</v>
      </c>
      <c r="S917" s="498">
        <v>0</v>
      </c>
      <c r="T917" s="502">
        <v>0</v>
      </c>
      <c r="U917" s="504">
        <v>0</v>
      </c>
      <c r="V917" s="282"/>
      <c r="W917" s="282"/>
      <c r="X917" s="282"/>
      <c r="Y917" s="27"/>
      <c r="Z917" s="27"/>
      <c r="AA917" s="27"/>
      <c r="AB917" s="27"/>
      <c r="AF917" s="84">
        <f t="shared" si="148"/>
        <v>1957659</v>
      </c>
    </row>
    <row r="918" spans="1:32" s="19" customFormat="1" ht="15.75">
      <c r="A918" s="487">
        <v>320</v>
      </c>
      <c r="B918" s="851" t="s">
        <v>752</v>
      </c>
      <c r="C918" s="498">
        <f>'часть 1'!L943</f>
        <v>5882933</v>
      </c>
      <c r="D918" s="507">
        <v>0</v>
      </c>
      <c r="E918" s="507">
        <v>0</v>
      </c>
      <c r="F918" s="507">
        <v>0</v>
      </c>
      <c r="G918" s="507">
        <v>0</v>
      </c>
      <c r="H918" s="507">
        <v>0</v>
      </c>
      <c r="I918" s="507">
        <v>0</v>
      </c>
      <c r="J918" s="507">
        <v>0</v>
      </c>
      <c r="K918" s="510">
        <v>0</v>
      </c>
      <c r="L918" s="496">
        <v>3</v>
      </c>
      <c r="M918" s="498">
        <f t="shared" si="147"/>
        <v>5882933</v>
      </c>
      <c r="N918" s="498">
        <v>0</v>
      </c>
      <c r="O918" s="498">
        <v>0</v>
      </c>
      <c r="P918" s="503">
        <v>0</v>
      </c>
      <c r="Q918" s="498">
        <v>0</v>
      </c>
      <c r="R918" s="503">
        <v>0</v>
      </c>
      <c r="S918" s="498">
        <v>0</v>
      </c>
      <c r="T918" s="502">
        <v>0</v>
      </c>
      <c r="U918" s="504">
        <v>0</v>
      </c>
      <c r="V918" s="282"/>
      <c r="W918" s="282"/>
      <c r="X918" s="282"/>
      <c r="Y918" s="6"/>
      <c r="Z918" s="6"/>
      <c r="AA918" s="26"/>
      <c r="AB918" s="26"/>
      <c r="AF918" s="84">
        <f t="shared" si="148"/>
        <v>1960977.6666666667</v>
      </c>
    </row>
    <row r="919" spans="1:32" s="19" customFormat="1" ht="15.75">
      <c r="A919" s="487">
        <v>321</v>
      </c>
      <c r="B919" s="843" t="s">
        <v>753</v>
      </c>
      <c r="C919" s="498">
        <f>'часть 1'!L944</f>
        <v>1965033</v>
      </c>
      <c r="D919" s="507">
        <v>0</v>
      </c>
      <c r="E919" s="507">
        <v>0</v>
      </c>
      <c r="F919" s="507">
        <v>0</v>
      </c>
      <c r="G919" s="507">
        <v>0</v>
      </c>
      <c r="H919" s="507">
        <v>0</v>
      </c>
      <c r="I919" s="507">
        <v>0</v>
      </c>
      <c r="J919" s="507">
        <v>0</v>
      </c>
      <c r="K919" s="510">
        <v>0</v>
      </c>
      <c r="L919" s="496">
        <v>1</v>
      </c>
      <c r="M919" s="498">
        <f t="shared" si="147"/>
        <v>1965033</v>
      </c>
      <c r="N919" s="498">
        <v>0</v>
      </c>
      <c r="O919" s="498">
        <v>0</v>
      </c>
      <c r="P919" s="503">
        <v>0</v>
      </c>
      <c r="Q919" s="498">
        <v>0</v>
      </c>
      <c r="R919" s="503">
        <v>0</v>
      </c>
      <c r="S919" s="498">
        <v>0</v>
      </c>
      <c r="T919" s="502">
        <v>0</v>
      </c>
      <c r="U919" s="504">
        <v>0</v>
      </c>
      <c r="V919" s="282"/>
      <c r="W919" s="282"/>
      <c r="X919" s="282"/>
      <c r="Y919" s="6"/>
      <c r="Z919" s="6"/>
      <c r="AA919" s="26"/>
      <c r="AB919" s="26"/>
      <c r="AF919" s="84">
        <f t="shared" si="148"/>
        <v>1965033</v>
      </c>
    </row>
    <row r="920" spans="1:32" s="19" customFormat="1">
      <c r="A920" s="487"/>
      <c r="B920" s="488"/>
      <c r="C920" s="498"/>
      <c r="D920" s="507"/>
      <c r="E920" s="507"/>
      <c r="F920" s="507"/>
      <c r="G920" s="507"/>
      <c r="H920" s="507"/>
      <c r="I920" s="507"/>
      <c r="J920" s="507"/>
      <c r="K920" s="510"/>
      <c r="L920" s="496"/>
      <c r="M920" s="507"/>
      <c r="N920" s="498"/>
      <c r="O920" s="498"/>
      <c r="P920" s="503"/>
      <c r="Q920" s="498"/>
      <c r="R920" s="503"/>
      <c r="S920" s="498"/>
      <c r="T920" s="502"/>
      <c r="U920" s="504"/>
      <c r="V920" s="282"/>
      <c r="W920" s="282"/>
      <c r="X920" s="282"/>
      <c r="Y920" s="6"/>
      <c r="Z920" s="6"/>
      <c r="AA920" s="26"/>
      <c r="AB920" s="26"/>
    </row>
    <row r="921" spans="1:32" s="19" customFormat="1">
      <c r="A921" s="487"/>
      <c r="B921" s="863"/>
      <c r="C921" s="498"/>
      <c r="D921" s="498"/>
      <c r="E921" s="498"/>
      <c r="F921" s="498"/>
      <c r="G921" s="498"/>
      <c r="H921" s="498"/>
      <c r="I921" s="498"/>
      <c r="J921" s="498"/>
      <c r="K921" s="498"/>
      <c r="L921" s="502"/>
      <c r="M921" s="498"/>
      <c r="N921" s="498"/>
      <c r="O921" s="498"/>
      <c r="P921" s="503"/>
      <c r="Q921" s="498"/>
      <c r="R921" s="498"/>
      <c r="S921" s="498"/>
      <c r="T921" s="502"/>
      <c r="U921" s="504"/>
      <c r="V921" s="282"/>
      <c r="W921" s="282"/>
      <c r="X921" s="282"/>
      <c r="Y921" s="27"/>
      <c r="Z921" s="27"/>
      <c r="AA921" s="27"/>
      <c r="AB921" s="27"/>
    </row>
    <row r="922" spans="1:32" s="19" customFormat="1">
      <c r="A922" s="487"/>
      <c r="B922" s="863"/>
      <c r="C922" s="498"/>
      <c r="D922" s="507"/>
      <c r="E922" s="507"/>
      <c r="F922" s="507"/>
      <c r="G922" s="507"/>
      <c r="H922" s="507"/>
      <c r="I922" s="507"/>
      <c r="J922" s="507"/>
      <c r="K922" s="510"/>
      <c r="L922" s="496"/>
      <c r="M922" s="492"/>
      <c r="N922" s="498"/>
      <c r="O922" s="498"/>
      <c r="P922" s="503"/>
      <c r="Q922" s="498"/>
      <c r="R922" s="503"/>
      <c r="S922" s="498"/>
      <c r="T922" s="502"/>
      <c r="U922" s="504"/>
      <c r="V922" s="282"/>
      <c r="W922" s="282"/>
      <c r="X922" s="282"/>
      <c r="Y922" s="6"/>
      <c r="Z922" s="6"/>
      <c r="AA922" s="26"/>
      <c r="AB922" s="26"/>
    </row>
    <row r="923" spans="1:32" s="19" customFormat="1">
      <c r="A923" s="487"/>
      <c r="B923" s="488"/>
      <c r="C923" s="498"/>
      <c r="D923" s="507"/>
      <c r="E923" s="507"/>
      <c r="F923" s="507"/>
      <c r="G923" s="507"/>
      <c r="H923" s="507"/>
      <c r="I923" s="507"/>
      <c r="J923" s="507"/>
      <c r="K923" s="510"/>
      <c r="L923" s="496"/>
      <c r="M923" s="507"/>
      <c r="N923" s="498"/>
      <c r="O923" s="498"/>
      <c r="P923" s="503"/>
      <c r="Q923" s="498"/>
      <c r="R923" s="503"/>
      <c r="S923" s="498"/>
      <c r="T923" s="502"/>
      <c r="U923" s="504"/>
      <c r="V923" s="282"/>
      <c r="W923" s="282"/>
      <c r="X923" s="282"/>
      <c r="Y923" s="6"/>
      <c r="Z923" s="6"/>
      <c r="AA923" s="26"/>
      <c r="AB923" s="26"/>
    </row>
    <row r="924" spans="1:32" s="19" customFormat="1">
      <c r="A924" s="487"/>
      <c r="B924" s="499"/>
      <c r="C924" s="507"/>
      <c r="D924" s="507"/>
      <c r="E924" s="507"/>
      <c r="F924" s="507"/>
      <c r="G924" s="507"/>
      <c r="H924" s="507"/>
      <c r="I924" s="507"/>
      <c r="J924" s="507"/>
      <c r="K924" s="510"/>
      <c r="L924" s="496"/>
      <c r="M924" s="510"/>
      <c r="N924" s="498"/>
      <c r="O924" s="498"/>
      <c r="P924" s="503"/>
      <c r="Q924" s="498"/>
      <c r="R924" s="503"/>
      <c r="S924" s="498"/>
      <c r="T924" s="502"/>
      <c r="U924" s="504"/>
      <c r="V924" s="282"/>
      <c r="W924" s="282"/>
      <c r="X924" s="282"/>
      <c r="Y924" s="6"/>
      <c r="Z924" s="6"/>
      <c r="AA924" s="26"/>
      <c r="AB924" s="26"/>
    </row>
    <row r="925" spans="1:32" s="19" customFormat="1">
      <c r="A925" s="487"/>
      <c r="B925" s="660"/>
      <c r="C925" s="507"/>
      <c r="D925" s="507"/>
      <c r="E925" s="507"/>
      <c r="F925" s="507"/>
      <c r="G925" s="507"/>
      <c r="H925" s="507"/>
      <c r="I925" s="507"/>
      <c r="J925" s="507"/>
      <c r="K925" s="507"/>
      <c r="L925" s="502"/>
      <c r="M925" s="498"/>
      <c r="N925" s="498"/>
      <c r="O925" s="498"/>
      <c r="P925" s="503"/>
      <c r="Q925" s="498"/>
      <c r="R925" s="503"/>
      <c r="S925" s="498"/>
      <c r="T925" s="502"/>
      <c r="U925" s="504"/>
      <c r="V925" s="282"/>
      <c r="W925" s="282"/>
      <c r="X925" s="282"/>
      <c r="Y925" s="27"/>
      <c r="Z925" s="27"/>
      <c r="AA925" s="27"/>
      <c r="AB925" s="27"/>
    </row>
    <row r="926" spans="1:32" s="19" customFormat="1">
      <c r="A926" s="487"/>
      <c r="B926" s="499"/>
      <c r="C926" s="507"/>
      <c r="D926" s="507"/>
      <c r="E926" s="507"/>
      <c r="F926" s="507"/>
      <c r="G926" s="507"/>
      <c r="H926" s="507"/>
      <c r="I926" s="507"/>
      <c r="J926" s="507"/>
      <c r="K926" s="510"/>
      <c r="L926" s="496"/>
      <c r="M926" s="510"/>
      <c r="N926" s="498"/>
      <c r="O926" s="498"/>
      <c r="P926" s="503"/>
      <c r="Q926" s="498"/>
      <c r="R926" s="503"/>
      <c r="S926" s="498"/>
      <c r="T926" s="502"/>
      <c r="U926" s="504"/>
      <c r="V926" s="282"/>
      <c r="W926" s="282"/>
      <c r="X926" s="282"/>
      <c r="Y926" s="6"/>
      <c r="Z926" s="6"/>
      <c r="AA926" s="26"/>
      <c r="AB926" s="26"/>
    </row>
    <row r="927" spans="1:32" s="19" customFormat="1">
      <c r="A927" s="487"/>
      <c r="B927" s="499"/>
      <c r="C927" s="507"/>
      <c r="D927" s="507"/>
      <c r="E927" s="507"/>
      <c r="F927" s="507"/>
      <c r="G927" s="507"/>
      <c r="H927" s="507"/>
      <c r="I927" s="507"/>
      <c r="J927" s="507"/>
      <c r="K927" s="510"/>
      <c r="L927" s="496"/>
      <c r="M927" s="507"/>
      <c r="N927" s="498"/>
      <c r="O927" s="498"/>
      <c r="P927" s="503"/>
      <c r="Q927" s="498"/>
      <c r="R927" s="503"/>
      <c r="S927" s="498"/>
      <c r="T927" s="502"/>
      <c r="U927" s="504"/>
      <c r="V927" s="282"/>
      <c r="W927" s="282"/>
      <c r="X927" s="282"/>
      <c r="Y927" s="6"/>
      <c r="Z927" s="6"/>
      <c r="AA927" s="26"/>
      <c r="AB927" s="26"/>
    </row>
    <row r="928" spans="1:32" s="19" customFormat="1">
      <c r="A928" s="487"/>
      <c r="B928" s="661"/>
      <c r="C928" s="498"/>
      <c r="D928" s="498"/>
      <c r="E928" s="498"/>
      <c r="F928" s="498"/>
      <c r="G928" s="498"/>
      <c r="H928" s="498"/>
      <c r="I928" s="498"/>
      <c r="J928" s="498"/>
      <c r="K928" s="498"/>
      <c r="L928" s="502"/>
      <c r="M928" s="498"/>
      <c r="N928" s="498"/>
      <c r="O928" s="498"/>
      <c r="P928" s="503"/>
      <c r="Q928" s="498"/>
      <c r="R928" s="498"/>
      <c r="S928" s="498"/>
      <c r="T928" s="502"/>
      <c r="U928" s="504"/>
      <c r="V928" s="282"/>
      <c r="W928" s="282"/>
      <c r="X928" s="282"/>
      <c r="Y928" s="27"/>
      <c r="Z928" s="27"/>
      <c r="AA928" s="27"/>
      <c r="AB928" s="27"/>
    </row>
    <row r="929" spans="1:28" ht="30">
      <c r="A929" s="198"/>
      <c r="B929" s="214" t="s">
        <v>132</v>
      </c>
      <c r="C929" s="211">
        <f>C930</f>
        <v>1107622</v>
      </c>
      <c r="D929" s="211">
        <f t="shared" ref="D929:U929" si="149">D930</f>
        <v>0</v>
      </c>
      <c r="E929" s="211">
        <f t="shared" si="149"/>
        <v>0</v>
      </c>
      <c r="F929" s="211">
        <f t="shared" si="149"/>
        <v>0</v>
      </c>
      <c r="G929" s="211">
        <f t="shared" si="149"/>
        <v>0</v>
      </c>
      <c r="H929" s="211">
        <f t="shared" si="149"/>
        <v>0</v>
      </c>
      <c r="I929" s="211">
        <f t="shared" si="149"/>
        <v>0</v>
      </c>
      <c r="J929" s="211">
        <f t="shared" si="149"/>
        <v>0</v>
      </c>
      <c r="K929" s="211">
        <f t="shared" si="149"/>
        <v>0</v>
      </c>
      <c r="L929" s="211">
        <f t="shared" si="149"/>
        <v>0</v>
      </c>
      <c r="M929" s="211">
        <f t="shared" si="149"/>
        <v>0</v>
      </c>
      <c r="N929" s="211">
        <f t="shared" si="149"/>
        <v>0</v>
      </c>
      <c r="O929" s="211">
        <f t="shared" si="149"/>
        <v>0</v>
      </c>
      <c r="P929" s="211">
        <f t="shared" si="149"/>
        <v>0</v>
      </c>
      <c r="Q929" s="211">
        <f t="shared" si="149"/>
        <v>0</v>
      </c>
      <c r="R929" s="211">
        <f t="shared" si="149"/>
        <v>726.2</v>
      </c>
      <c r="S929" s="211">
        <f t="shared" si="149"/>
        <v>1107622</v>
      </c>
      <c r="T929" s="211">
        <f t="shared" si="149"/>
        <v>0</v>
      </c>
      <c r="U929" s="211">
        <f t="shared" si="149"/>
        <v>0</v>
      </c>
      <c r="V929" s="282"/>
      <c r="W929" s="282"/>
      <c r="X929" s="282"/>
      <c r="Y929" s="10"/>
      <c r="Z929" s="10"/>
      <c r="AA929" s="10"/>
      <c r="AB929" s="10"/>
    </row>
    <row r="930" spans="1:28" ht="30">
      <c r="A930" s="487">
        <v>331</v>
      </c>
      <c r="B930" s="499" t="s">
        <v>701</v>
      </c>
      <c r="C930" s="498">
        <f>'часть 1'!L946</f>
        <v>1107622</v>
      </c>
      <c r="D930" s="498">
        <v>0</v>
      </c>
      <c r="E930" s="498">
        <v>0</v>
      </c>
      <c r="F930" s="498">
        <v>0</v>
      </c>
      <c r="G930" s="498">
        <v>0</v>
      </c>
      <c r="H930" s="498">
        <v>0</v>
      </c>
      <c r="I930" s="498">
        <v>0</v>
      </c>
      <c r="J930" s="498">
        <v>0</v>
      </c>
      <c r="K930" s="498">
        <v>0</v>
      </c>
      <c r="L930" s="502">
        <v>0</v>
      </c>
      <c r="M930" s="498">
        <v>0</v>
      </c>
      <c r="N930" s="498">
        <v>0</v>
      </c>
      <c r="O930" s="498">
        <v>0</v>
      </c>
      <c r="P930" s="503">
        <v>0</v>
      </c>
      <c r="Q930" s="498">
        <v>0</v>
      </c>
      <c r="R930" s="819">
        <v>726.2</v>
      </c>
      <c r="S930" s="498">
        <v>1107622</v>
      </c>
      <c r="T930" s="502">
        <v>0</v>
      </c>
      <c r="U930" s="504">
        <v>0</v>
      </c>
      <c r="V930" s="282"/>
      <c r="W930" s="282"/>
      <c r="X930" s="282">
        <f>S930/R930</f>
        <v>1525.2299641971908</v>
      </c>
      <c r="Y930" s="10"/>
      <c r="Z930" s="10"/>
      <c r="AA930" s="10"/>
      <c r="AB930" s="10"/>
    </row>
    <row r="931" spans="1:28" ht="30">
      <c r="A931" s="198"/>
      <c r="B931" s="214" t="s">
        <v>110</v>
      </c>
      <c r="C931" s="211">
        <f>C932</f>
        <v>2348226</v>
      </c>
      <c r="D931" s="211">
        <f t="shared" ref="D931:U931" si="150">D932</f>
        <v>0</v>
      </c>
      <c r="E931" s="211">
        <f t="shared" si="150"/>
        <v>0</v>
      </c>
      <c r="F931" s="211">
        <f t="shared" si="150"/>
        <v>0</v>
      </c>
      <c r="G931" s="211">
        <f t="shared" si="150"/>
        <v>0</v>
      </c>
      <c r="H931" s="211">
        <f t="shared" si="150"/>
        <v>0</v>
      </c>
      <c r="I931" s="211">
        <f t="shared" si="150"/>
        <v>0</v>
      </c>
      <c r="J931" s="211">
        <f t="shared" si="150"/>
        <v>0</v>
      </c>
      <c r="K931" s="211">
        <f t="shared" si="150"/>
        <v>0</v>
      </c>
      <c r="L931" s="211">
        <f t="shared" si="150"/>
        <v>0</v>
      </c>
      <c r="M931" s="211">
        <f t="shared" si="150"/>
        <v>0</v>
      </c>
      <c r="N931" s="211">
        <f t="shared" si="150"/>
        <v>738</v>
      </c>
      <c r="O931" s="211">
        <f t="shared" si="150"/>
        <v>2348226</v>
      </c>
      <c r="P931" s="211">
        <f t="shared" si="150"/>
        <v>0</v>
      </c>
      <c r="Q931" s="211">
        <f t="shared" si="150"/>
        <v>0</v>
      </c>
      <c r="R931" s="211">
        <f t="shared" si="150"/>
        <v>0</v>
      </c>
      <c r="S931" s="211">
        <f t="shared" si="150"/>
        <v>0</v>
      </c>
      <c r="T931" s="211">
        <f t="shared" si="150"/>
        <v>0</v>
      </c>
      <c r="U931" s="211">
        <f t="shared" si="150"/>
        <v>0</v>
      </c>
      <c r="V931" s="282"/>
      <c r="W931" s="282"/>
      <c r="X931" s="282"/>
      <c r="Y931" s="10"/>
      <c r="Z931" s="10"/>
      <c r="AA931" s="10"/>
      <c r="AB931" s="10"/>
    </row>
    <row r="932" spans="1:28">
      <c r="A932" s="487">
        <v>332</v>
      </c>
      <c r="B932" s="505" t="s">
        <v>475</v>
      </c>
      <c r="C932" s="498">
        <v>2348226</v>
      </c>
      <c r="D932" s="498">
        <v>0</v>
      </c>
      <c r="E932" s="498">
        <v>0</v>
      </c>
      <c r="F932" s="498">
        <v>0</v>
      </c>
      <c r="G932" s="498">
        <v>0</v>
      </c>
      <c r="H932" s="498">
        <v>0</v>
      </c>
      <c r="I932" s="498">
        <v>0</v>
      </c>
      <c r="J932" s="498">
        <v>0</v>
      </c>
      <c r="K932" s="498">
        <v>0</v>
      </c>
      <c r="L932" s="502">
        <v>0</v>
      </c>
      <c r="M932" s="498">
        <v>0</v>
      </c>
      <c r="N932" s="492">
        <v>738</v>
      </c>
      <c r="O932" s="498">
        <v>2348226</v>
      </c>
      <c r="P932" s="503">
        <v>0</v>
      </c>
      <c r="Q932" s="498">
        <v>0</v>
      </c>
      <c r="R932" s="503">
        <v>0</v>
      </c>
      <c r="S932" s="498">
        <v>0</v>
      </c>
      <c r="T932" s="502">
        <v>0</v>
      </c>
      <c r="U932" s="504">
        <v>0</v>
      </c>
      <c r="V932" s="282"/>
      <c r="W932" s="282">
        <f>O932/N932</f>
        <v>3181.8780487804879</v>
      </c>
      <c r="X932" s="282"/>
    </row>
    <row r="933" spans="1:28">
      <c r="A933" s="487"/>
      <c r="B933" s="499"/>
      <c r="C933" s="498"/>
      <c r="D933" s="498"/>
      <c r="E933" s="498"/>
      <c r="F933" s="498"/>
      <c r="G933" s="498"/>
      <c r="H933" s="498"/>
      <c r="I933" s="498"/>
      <c r="J933" s="498"/>
      <c r="K933" s="498"/>
      <c r="L933" s="502"/>
      <c r="M933" s="498"/>
      <c r="N933" s="498"/>
      <c r="O933" s="498"/>
      <c r="P933" s="503"/>
      <c r="Q933" s="498"/>
      <c r="R933" s="503"/>
      <c r="S933" s="498"/>
      <c r="T933" s="502"/>
      <c r="U933" s="504"/>
      <c r="V933" s="282"/>
      <c r="W933" s="282"/>
      <c r="X933" s="282"/>
    </row>
    <row r="934" spans="1:28" ht="30">
      <c r="A934" s="487"/>
      <c r="B934" s="499" t="s">
        <v>128</v>
      </c>
      <c r="C934" s="498">
        <f>C935+C936+C937+C938</f>
        <v>9209860</v>
      </c>
      <c r="D934" s="498">
        <f t="shared" ref="D934:V934" si="151">D935+D936+D937+D938</f>
        <v>0</v>
      </c>
      <c r="E934" s="498">
        <f t="shared" si="151"/>
        <v>0</v>
      </c>
      <c r="F934" s="498">
        <f t="shared" si="151"/>
        <v>0</v>
      </c>
      <c r="G934" s="498">
        <f t="shared" si="151"/>
        <v>0</v>
      </c>
      <c r="H934" s="498">
        <f t="shared" si="151"/>
        <v>0</v>
      </c>
      <c r="I934" s="498">
        <f t="shared" si="151"/>
        <v>0</v>
      </c>
      <c r="J934" s="498">
        <f t="shared" si="151"/>
        <v>0</v>
      </c>
      <c r="K934" s="498">
        <f t="shared" si="151"/>
        <v>0</v>
      </c>
      <c r="L934" s="498">
        <f t="shared" si="151"/>
        <v>0</v>
      </c>
      <c r="M934" s="498">
        <f t="shared" si="151"/>
        <v>0</v>
      </c>
      <c r="N934" s="498">
        <f t="shared" si="151"/>
        <v>3686.6</v>
      </c>
      <c r="O934" s="498">
        <f t="shared" si="151"/>
        <v>9209860</v>
      </c>
      <c r="P934" s="498">
        <f t="shared" si="151"/>
        <v>0</v>
      </c>
      <c r="Q934" s="498">
        <f t="shared" si="151"/>
        <v>0</v>
      </c>
      <c r="R934" s="498">
        <f t="shared" si="151"/>
        <v>0</v>
      </c>
      <c r="S934" s="498">
        <f t="shared" si="151"/>
        <v>0</v>
      </c>
      <c r="T934" s="498">
        <f t="shared" si="151"/>
        <v>0</v>
      </c>
      <c r="U934" s="498">
        <f t="shared" si="151"/>
        <v>0</v>
      </c>
      <c r="V934" s="211">
        <f t="shared" si="151"/>
        <v>0</v>
      </c>
      <c r="W934" s="282"/>
      <c r="X934" s="282"/>
    </row>
    <row r="935" spans="1:28" s="59" customFormat="1">
      <c r="A935" s="487">
        <v>334</v>
      </c>
      <c r="B935" s="804" t="s">
        <v>725</v>
      </c>
      <c r="C935" s="507">
        <f>'часть 1'!L950</f>
        <v>2620143</v>
      </c>
      <c r="D935" s="507">
        <v>0</v>
      </c>
      <c r="E935" s="507">
        <v>0</v>
      </c>
      <c r="F935" s="507">
        <v>0</v>
      </c>
      <c r="G935" s="507">
        <v>0</v>
      </c>
      <c r="H935" s="507">
        <v>0</v>
      </c>
      <c r="I935" s="507">
        <v>0</v>
      </c>
      <c r="J935" s="507">
        <v>0</v>
      </c>
      <c r="K935" s="507">
        <v>0</v>
      </c>
      <c r="L935" s="508">
        <v>0</v>
      </c>
      <c r="M935" s="507">
        <v>0</v>
      </c>
      <c r="N935" s="492">
        <v>1047</v>
      </c>
      <c r="O935" s="507">
        <v>2620143</v>
      </c>
      <c r="P935" s="508">
        <v>0</v>
      </c>
      <c r="Q935" s="507">
        <v>0</v>
      </c>
      <c r="R935" s="508">
        <v>0</v>
      </c>
      <c r="S935" s="507">
        <v>0</v>
      </c>
      <c r="T935" s="640">
        <v>0</v>
      </c>
      <c r="U935" s="641">
        <v>0</v>
      </c>
      <c r="V935" s="282"/>
      <c r="W935" s="282">
        <f>O935/N935</f>
        <v>2502.5243553008595</v>
      </c>
      <c r="X935" s="282"/>
    </row>
    <row r="936" spans="1:28" s="59" customFormat="1">
      <c r="A936" s="487">
        <v>335</v>
      </c>
      <c r="B936" s="804" t="s">
        <v>726</v>
      </c>
      <c r="C936" s="507">
        <f>'часть 1'!L951</f>
        <v>3158092</v>
      </c>
      <c r="D936" s="507">
        <v>0</v>
      </c>
      <c r="E936" s="507">
        <v>0</v>
      </c>
      <c r="F936" s="507">
        <v>0</v>
      </c>
      <c r="G936" s="507">
        <v>0</v>
      </c>
      <c r="H936" s="507">
        <v>0</v>
      </c>
      <c r="I936" s="507">
        <v>0</v>
      </c>
      <c r="J936" s="507">
        <v>0</v>
      </c>
      <c r="K936" s="507">
        <v>0</v>
      </c>
      <c r="L936" s="508">
        <v>0</v>
      </c>
      <c r="M936" s="507">
        <v>0</v>
      </c>
      <c r="N936" s="492">
        <v>1263.5999999999999</v>
      </c>
      <c r="O936" s="507">
        <v>3158092</v>
      </c>
      <c r="P936" s="508">
        <v>0</v>
      </c>
      <c r="Q936" s="507">
        <v>0</v>
      </c>
      <c r="R936" s="508">
        <v>0</v>
      </c>
      <c r="S936" s="507">
        <v>0</v>
      </c>
      <c r="T936" s="640">
        <v>0</v>
      </c>
      <c r="U936" s="641">
        <v>0</v>
      </c>
      <c r="V936" s="282"/>
      <c r="W936" s="282">
        <f t="shared" ref="W936:W938" si="152">O936/N936</f>
        <v>2499.2814181703075</v>
      </c>
      <c r="X936" s="282"/>
    </row>
    <row r="937" spans="1:28" s="59" customFormat="1">
      <c r="A937" s="487">
        <v>336</v>
      </c>
      <c r="B937" s="804" t="s">
        <v>727</v>
      </c>
      <c r="C937" s="507">
        <f>'часть 1'!L952</f>
        <v>1623752</v>
      </c>
      <c r="D937" s="507">
        <v>0</v>
      </c>
      <c r="E937" s="507">
        <v>0</v>
      </c>
      <c r="F937" s="507">
        <v>0</v>
      </c>
      <c r="G937" s="507">
        <v>0</v>
      </c>
      <c r="H937" s="507">
        <v>0</v>
      </c>
      <c r="I937" s="507">
        <v>0</v>
      </c>
      <c r="J937" s="507">
        <v>0</v>
      </c>
      <c r="K937" s="507">
        <v>0</v>
      </c>
      <c r="L937" s="508">
        <v>0</v>
      </c>
      <c r="M937" s="507">
        <v>0</v>
      </c>
      <c r="N937" s="492">
        <v>650</v>
      </c>
      <c r="O937" s="507">
        <v>1623752</v>
      </c>
      <c r="P937" s="508">
        <v>0</v>
      </c>
      <c r="Q937" s="507">
        <v>0</v>
      </c>
      <c r="R937" s="508">
        <v>0</v>
      </c>
      <c r="S937" s="507">
        <v>0</v>
      </c>
      <c r="T937" s="640">
        <v>0</v>
      </c>
      <c r="U937" s="641">
        <v>0</v>
      </c>
      <c r="V937" s="282"/>
      <c r="W937" s="282">
        <f t="shared" si="152"/>
        <v>2498.08</v>
      </c>
      <c r="X937" s="282"/>
    </row>
    <row r="938" spans="1:28" s="59" customFormat="1">
      <c r="A938" s="487">
        <v>337</v>
      </c>
      <c r="B938" s="804" t="s">
        <v>728</v>
      </c>
      <c r="C938" s="507">
        <f>'часть 1'!L953</f>
        <v>1807873</v>
      </c>
      <c r="D938" s="507">
        <v>0</v>
      </c>
      <c r="E938" s="507">
        <v>0</v>
      </c>
      <c r="F938" s="507">
        <v>0</v>
      </c>
      <c r="G938" s="507">
        <v>0</v>
      </c>
      <c r="H938" s="507">
        <v>0</v>
      </c>
      <c r="I938" s="507">
        <v>0</v>
      </c>
      <c r="J938" s="507">
        <v>0</v>
      </c>
      <c r="K938" s="507">
        <v>0</v>
      </c>
      <c r="L938" s="508">
        <v>0</v>
      </c>
      <c r="M938" s="507">
        <v>0</v>
      </c>
      <c r="N938" s="492">
        <v>726</v>
      </c>
      <c r="O938" s="507">
        <v>1807873</v>
      </c>
      <c r="P938" s="508">
        <v>0</v>
      </c>
      <c r="Q938" s="507">
        <v>0</v>
      </c>
      <c r="R938" s="508">
        <v>0</v>
      </c>
      <c r="S938" s="507">
        <v>0</v>
      </c>
      <c r="T938" s="640">
        <v>0</v>
      </c>
      <c r="U938" s="641">
        <v>0</v>
      </c>
      <c r="V938" s="282"/>
      <c r="W938" s="282">
        <f t="shared" si="152"/>
        <v>2490.1831955922867</v>
      </c>
      <c r="X938" s="282"/>
    </row>
    <row r="939" spans="1:28" s="59" customFormat="1">
      <c r="A939" s="487"/>
      <c r="B939" s="506"/>
      <c r="C939" s="507"/>
      <c r="D939" s="507"/>
      <c r="E939" s="507"/>
      <c r="F939" s="507"/>
      <c r="G939" s="507"/>
      <c r="H939" s="507"/>
      <c r="I939" s="507"/>
      <c r="J939" s="507"/>
      <c r="K939" s="507"/>
      <c r="L939" s="508"/>
      <c r="M939" s="507"/>
      <c r="N939" s="492"/>
      <c r="O939" s="507"/>
      <c r="P939" s="508"/>
      <c r="Q939" s="507"/>
      <c r="R939" s="508"/>
      <c r="S939" s="507"/>
      <c r="T939" s="640"/>
      <c r="U939" s="641"/>
      <c r="V939" s="282"/>
      <c r="W939" s="282"/>
      <c r="X939" s="282"/>
    </row>
    <row r="940" spans="1:28" s="59" customFormat="1">
      <c r="A940" s="487"/>
      <c r="B940" s="506"/>
      <c r="C940" s="507"/>
      <c r="D940" s="507"/>
      <c r="E940" s="507"/>
      <c r="F940" s="507"/>
      <c r="G940" s="507"/>
      <c r="H940" s="507"/>
      <c r="I940" s="507"/>
      <c r="J940" s="507"/>
      <c r="K940" s="507"/>
      <c r="L940" s="508"/>
      <c r="M940" s="507"/>
      <c r="N940" s="492"/>
      <c r="O940" s="507"/>
      <c r="P940" s="508"/>
      <c r="Q940" s="507"/>
      <c r="R940" s="508"/>
      <c r="S940" s="507"/>
      <c r="T940" s="640"/>
      <c r="U940" s="641"/>
      <c r="V940" s="282"/>
      <c r="W940" s="282"/>
      <c r="X940" s="282"/>
    </row>
    <row r="941" spans="1:28" s="59" customFormat="1" ht="30">
      <c r="A941" s="487"/>
      <c r="B941" s="506" t="s">
        <v>668</v>
      </c>
      <c r="C941" s="507">
        <f>C942</f>
        <v>1720569</v>
      </c>
      <c r="D941" s="507">
        <f t="shared" ref="D941:V941" si="153">D942</f>
        <v>0</v>
      </c>
      <c r="E941" s="507">
        <f t="shared" si="153"/>
        <v>0</v>
      </c>
      <c r="F941" s="507">
        <f t="shared" si="153"/>
        <v>0</v>
      </c>
      <c r="G941" s="507">
        <f t="shared" si="153"/>
        <v>0</v>
      </c>
      <c r="H941" s="507">
        <f t="shared" si="153"/>
        <v>0</v>
      </c>
      <c r="I941" s="507">
        <f t="shared" si="153"/>
        <v>0</v>
      </c>
      <c r="J941" s="507">
        <f t="shared" si="153"/>
        <v>0</v>
      </c>
      <c r="K941" s="507">
        <f t="shared" si="153"/>
        <v>0</v>
      </c>
      <c r="L941" s="507">
        <f t="shared" si="153"/>
        <v>0</v>
      </c>
      <c r="M941" s="507">
        <f t="shared" si="153"/>
        <v>0</v>
      </c>
      <c r="N941" s="507">
        <f t="shared" si="153"/>
        <v>538.9</v>
      </c>
      <c r="O941" s="507">
        <f t="shared" si="153"/>
        <v>1720569</v>
      </c>
      <c r="P941" s="507">
        <f t="shared" si="153"/>
        <v>0</v>
      </c>
      <c r="Q941" s="507">
        <f t="shared" si="153"/>
        <v>0</v>
      </c>
      <c r="R941" s="507">
        <f t="shared" si="153"/>
        <v>0</v>
      </c>
      <c r="S941" s="507">
        <f t="shared" si="153"/>
        <v>0</v>
      </c>
      <c r="T941" s="507">
        <f t="shared" si="153"/>
        <v>0</v>
      </c>
      <c r="U941" s="507">
        <f t="shared" si="153"/>
        <v>0</v>
      </c>
      <c r="V941" s="221">
        <f t="shared" si="153"/>
        <v>0</v>
      </c>
      <c r="W941" s="282"/>
      <c r="X941" s="282"/>
    </row>
    <row r="942" spans="1:28" s="59" customFormat="1">
      <c r="A942" s="487"/>
      <c r="B942" s="506" t="s">
        <v>671</v>
      </c>
      <c r="C942" s="507">
        <v>1720569</v>
      </c>
      <c r="D942" s="507">
        <v>0</v>
      </c>
      <c r="E942" s="507">
        <v>0</v>
      </c>
      <c r="F942" s="507">
        <v>0</v>
      </c>
      <c r="G942" s="507">
        <v>0</v>
      </c>
      <c r="H942" s="507">
        <v>0</v>
      </c>
      <c r="I942" s="507">
        <v>0</v>
      </c>
      <c r="J942" s="507">
        <v>0</v>
      </c>
      <c r="K942" s="507">
        <v>0</v>
      </c>
      <c r="L942" s="507">
        <v>0</v>
      </c>
      <c r="M942" s="507">
        <v>0</v>
      </c>
      <c r="N942" s="492">
        <v>538.9</v>
      </c>
      <c r="O942" s="507">
        <v>1720569</v>
      </c>
      <c r="P942" s="508">
        <v>0</v>
      </c>
      <c r="Q942" s="507">
        <v>0</v>
      </c>
      <c r="R942" s="508">
        <v>0</v>
      </c>
      <c r="S942" s="507">
        <v>0</v>
      </c>
      <c r="T942" s="640">
        <v>0</v>
      </c>
      <c r="U942" s="641">
        <v>0</v>
      </c>
      <c r="V942" s="282"/>
      <c r="W942" s="282">
        <f>O942/N942</f>
        <v>3192.7426238634257</v>
      </c>
      <c r="X942" s="282"/>
    </row>
    <row r="943" spans="1:28" ht="30">
      <c r="A943" s="198"/>
      <c r="B943" s="214" t="s">
        <v>994</v>
      </c>
      <c r="C943" s="211">
        <f>C944+C945</f>
        <v>580386</v>
      </c>
      <c r="D943" s="211">
        <f t="shared" ref="D943:U943" si="154">D944+D945</f>
        <v>0</v>
      </c>
      <c r="E943" s="211">
        <f t="shared" si="154"/>
        <v>0</v>
      </c>
      <c r="F943" s="211">
        <f t="shared" si="154"/>
        <v>0</v>
      </c>
      <c r="G943" s="211">
        <f t="shared" si="154"/>
        <v>0</v>
      </c>
      <c r="H943" s="211">
        <f t="shared" si="154"/>
        <v>0</v>
      </c>
      <c r="I943" s="211">
        <f t="shared" si="154"/>
        <v>0</v>
      </c>
      <c r="J943" s="211">
        <f t="shared" si="154"/>
        <v>0</v>
      </c>
      <c r="K943" s="211">
        <f t="shared" si="154"/>
        <v>0</v>
      </c>
      <c r="L943" s="211">
        <f t="shared" si="154"/>
        <v>0</v>
      </c>
      <c r="M943" s="211">
        <f t="shared" si="154"/>
        <v>0</v>
      </c>
      <c r="N943" s="211">
        <f t="shared" si="154"/>
        <v>0</v>
      </c>
      <c r="O943" s="211">
        <f t="shared" si="154"/>
        <v>0</v>
      </c>
      <c r="P943" s="211">
        <f t="shared" si="154"/>
        <v>0</v>
      </c>
      <c r="Q943" s="211">
        <f t="shared" si="154"/>
        <v>0</v>
      </c>
      <c r="R943" s="211">
        <f t="shared" si="154"/>
        <v>371</v>
      </c>
      <c r="S943" s="211">
        <f t="shared" si="154"/>
        <v>580386</v>
      </c>
      <c r="T943" s="211">
        <f t="shared" si="154"/>
        <v>0</v>
      </c>
      <c r="U943" s="211">
        <f t="shared" si="154"/>
        <v>0</v>
      </c>
      <c r="V943" s="211">
        <f t="shared" ref="V943" si="155">V944+V945</f>
        <v>0</v>
      </c>
      <c r="W943" s="282"/>
      <c r="X943" s="282"/>
    </row>
    <row r="944" spans="1:28" ht="25.15" customHeight="1">
      <c r="A944" s="198"/>
      <c r="B944" s="945" t="s">
        <v>996</v>
      </c>
      <c r="C944" s="211">
        <f>'часть 1'!L959</f>
        <v>290233</v>
      </c>
      <c r="D944" s="211">
        <v>0</v>
      </c>
      <c r="E944" s="211">
        <v>0</v>
      </c>
      <c r="F944" s="211">
        <v>0</v>
      </c>
      <c r="G944" s="211">
        <v>0</v>
      </c>
      <c r="H944" s="211">
        <v>0</v>
      </c>
      <c r="I944" s="211">
        <v>0</v>
      </c>
      <c r="J944" s="211">
        <v>0</v>
      </c>
      <c r="K944" s="211">
        <v>0</v>
      </c>
      <c r="L944" s="212">
        <v>0</v>
      </c>
      <c r="M944" s="211">
        <v>0</v>
      </c>
      <c r="N944" s="211">
        <v>0</v>
      </c>
      <c r="O944" s="211">
        <v>0</v>
      </c>
      <c r="P944" s="213">
        <v>0</v>
      </c>
      <c r="Q944" s="211">
        <v>0</v>
      </c>
      <c r="R944" s="211">
        <v>185.5</v>
      </c>
      <c r="S944" s="211">
        <v>290233</v>
      </c>
      <c r="T944" s="212">
        <v>0</v>
      </c>
      <c r="U944" s="290">
        <v>0</v>
      </c>
      <c r="V944" s="282"/>
      <c r="W944" s="282"/>
      <c r="X944" s="282">
        <f>S944/R944</f>
        <v>1564.5983827493262</v>
      </c>
    </row>
    <row r="945" spans="1:30" ht="22.15" customHeight="1">
      <c r="A945" s="198">
        <v>340</v>
      </c>
      <c r="B945" s="945" t="s">
        <v>997</v>
      </c>
      <c r="C945" s="211">
        <f>'часть 1'!L960</f>
        <v>290153</v>
      </c>
      <c r="D945" s="211">
        <v>0</v>
      </c>
      <c r="E945" s="211">
        <v>0</v>
      </c>
      <c r="F945" s="211">
        <v>0</v>
      </c>
      <c r="G945" s="211">
        <v>0</v>
      </c>
      <c r="H945" s="211">
        <v>0</v>
      </c>
      <c r="I945" s="211">
        <v>0</v>
      </c>
      <c r="J945" s="211">
        <v>0</v>
      </c>
      <c r="K945" s="211">
        <v>0</v>
      </c>
      <c r="L945" s="212">
        <v>0</v>
      </c>
      <c r="M945" s="211">
        <v>0</v>
      </c>
      <c r="N945" s="211">
        <v>0</v>
      </c>
      <c r="O945" s="211">
        <v>0</v>
      </c>
      <c r="P945" s="213">
        <v>0</v>
      </c>
      <c r="Q945" s="211">
        <v>0</v>
      </c>
      <c r="R945" s="211">
        <v>185.5</v>
      </c>
      <c r="S945" s="211">
        <v>290153</v>
      </c>
      <c r="T945" s="212">
        <v>0</v>
      </c>
      <c r="U945" s="290">
        <v>0</v>
      </c>
      <c r="V945" s="282"/>
      <c r="W945" s="282"/>
      <c r="X945" s="282">
        <f>S945/R945</f>
        <v>1564.167115902965</v>
      </c>
    </row>
    <row r="946" spans="1:30" ht="30">
      <c r="A946" s="198"/>
      <c r="B946" s="214" t="s">
        <v>111</v>
      </c>
      <c r="C946" s="211">
        <v>657835.92000000004</v>
      </c>
      <c r="D946" s="211"/>
      <c r="E946" s="211"/>
      <c r="F946" s="211"/>
      <c r="G946" s="211"/>
      <c r="H946" s="211"/>
      <c r="I946" s="211"/>
      <c r="J946" s="211"/>
      <c r="K946" s="211">
        <v>0</v>
      </c>
      <c r="L946" s="213">
        <v>0</v>
      </c>
      <c r="M946" s="211">
        <v>0</v>
      </c>
      <c r="N946" s="211">
        <f>N947</f>
        <v>396</v>
      </c>
      <c r="O946" s="211">
        <v>657835.92000000004</v>
      </c>
      <c r="P946" s="213">
        <v>0</v>
      </c>
      <c r="Q946" s="240">
        <v>0</v>
      </c>
      <c r="R946" s="213">
        <v>0</v>
      </c>
      <c r="S946" s="240">
        <v>0</v>
      </c>
      <c r="T946" s="212">
        <v>0</v>
      </c>
      <c r="U946" s="293">
        <v>0</v>
      </c>
      <c r="V946" s="282"/>
      <c r="W946" s="282"/>
      <c r="X946" s="282"/>
    </row>
    <row r="947" spans="1:30" ht="30">
      <c r="A947" s="198">
        <v>341</v>
      </c>
      <c r="B947" s="214" t="s">
        <v>453</v>
      </c>
      <c r="C947" s="211">
        <v>657835.92000000004</v>
      </c>
      <c r="D947" s="211"/>
      <c r="E947" s="211"/>
      <c r="F947" s="211"/>
      <c r="G947" s="211"/>
      <c r="H947" s="211"/>
      <c r="I947" s="211"/>
      <c r="J947" s="211"/>
      <c r="K947" s="211">
        <v>0</v>
      </c>
      <c r="L947" s="212">
        <v>0</v>
      </c>
      <c r="M947" s="211">
        <v>0</v>
      </c>
      <c r="N947" s="199">
        <v>396</v>
      </c>
      <c r="O947" s="211">
        <v>657835.92000000004</v>
      </c>
      <c r="P947" s="213">
        <v>0</v>
      </c>
      <c r="Q947" s="211">
        <v>0</v>
      </c>
      <c r="R947" s="213">
        <v>0</v>
      </c>
      <c r="S947" s="211">
        <v>0</v>
      </c>
      <c r="T947" s="212">
        <v>0</v>
      </c>
      <c r="U947" s="290">
        <v>0</v>
      </c>
      <c r="V947" s="282"/>
      <c r="W947" s="282"/>
      <c r="X947" s="282"/>
    </row>
    <row r="948" spans="1:30" ht="30">
      <c r="A948" s="487"/>
      <c r="B948" s="499" t="s">
        <v>129</v>
      </c>
      <c r="C948" s="498">
        <f>C949</f>
        <v>1430935</v>
      </c>
      <c r="D948" s="498">
        <f t="shared" ref="D948:V948" si="156">D949</f>
        <v>0</v>
      </c>
      <c r="E948" s="498">
        <f t="shared" si="156"/>
        <v>0</v>
      </c>
      <c r="F948" s="498">
        <f t="shared" si="156"/>
        <v>0</v>
      </c>
      <c r="G948" s="498">
        <f t="shared" si="156"/>
        <v>0</v>
      </c>
      <c r="H948" s="498">
        <f t="shared" si="156"/>
        <v>0</v>
      </c>
      <c r="I948" s="498">
        <f t="shared" si="156"/>
        <v>0</v>
      </c>
      <c r="J948" s="498">
        <f t="shared" si="156"/>
        <v>0</v>
      </c>
      <c r="K948" s="498">
        <f t="shared" si="156"/>
        <v>0</v>
      </c>
      <c r="L948" s="498">
        <f t="shared" si="156"/>
        <v>0</v>
      </c>
      <c r="M948" s="498">
        <f t="shared" si="156"/>
        <v>0</v>
      </c>
      <c r="N948" s="498">
        <f t="shared" si="156"/>
        <v>442</v>
      </c>
      <c r="O948" s="498">
        <f t="shared" si="156"/>
        <v>1430935</v>
      </c>
      <c r="P948" s="498">
        <f t="shared" si="156"/>
        <v>0</v>
      </c>
      <c r="Q948" s="498">
        <f t="shared" si="156"/>
        <v>0</v>
      </c>
      <c r="R948" s="498">
        <f t="shared" si="156"/>
        <v>0</v>
      </c>
      <c r="S948" s="498">
        <f t="shared" si="156"/>
        <v>0</v>
      </c>
      <c r="T948" s="498">
        <f t="shared" si="156"/>
        <v>0</v>
      </c>
      <c r="U948" s="498">
        <f t="shared" si="156"/>
        <v>0</v>
      </c>
      <c r="V948" s="211">
        <f t="shared" si="156"/>
        <v>0</v>
      </c>
      <c r="W948" s="282"/>
      <c r="X948" s="282"/>
    </row>
    <row r="949" spans="1:30" s="60" customFormat="1" ht="28.15" customHeight="1">
      <c r="A949" s="487">
        <v>342</v>
      </c>
      <c r="B949" s="488" t="s">
        <v>685</v>
      </c>
      <c r="C949" s="489">
        <v>1430935</v>
      </c>
      <c r="D949" s="489">
        <v>0</v>
      </c>
      <c r="E949" s="489">
        <v>0</v>
      </c>
      <c r="F949" s="489">
        <v>0</v>
      </c>
      <c r="G949" s="489">
        <v>0</v>
      </c>
      <c r="H949" s="489">
        <v>0</v>
      </c>
      <c r="I949" s="489">
        <v>0</v>
      </c>
      <c r="J949" s="489">
        <v>0</v>
      </c>
      <c r="K949" s="498">
        <v>0</v>
      </c>
      <c r="L949" s="496">
        <v>0</v>
      </c>
      <c r="M949" s="498">
        <v>0</v>
      </c>
      <c r="N949" s="492">
        <v>442</v>
      </c>
      <c r="O949" s="489">
        <v>1430935</v>
      </c>
      <c r="P949" s="572">
        <v>0</v>
      </c>
      <c r="Q949" s="498">
        <v>0</v>
      </c>
      <c r="R949" s="572">
        <v>0</v>
      </c>
      <c r="S949" s="498">
        <v>0</v>
      </c>
      <c r="T949" s="496">
        <v>0</v>
      </c>
      <c r="U949" s="504">
        <v>0</v>
      </c>
      <c r="V949" s="282"/>
      <c r="W949" s="282">
        <f>O949/N949</f>
        <v>3237.4095022624433</v>
      </c>
      <c r="X949" s="282"/>
    </row>
    <row r="950" spans="1:30" s="60" customFormat="1">
      <c r="A950" s="487"/>
      <c r="B950" s="488"/>
      <c r="C950" s="489"/>
      <c r="D950" s="489"/>
      <c r="E950" s="489"/>
      <c r="F950" s="489"/>
      <c r="G950" s="489"/>
      <c r="H950" s="489"/>
      <c r="I950" s="489"/>
      <c r="J950" s="489"/>
      <c r="K950" s="498"/>
      <c r="L950" s="496"/>
      <c r="M950" s="498"/>
      <c r="N950" s="492"/>
      <c r="O950" s="489"/>
      <c r="P950" s="572"/>
      <c r="Q950" s="498"/>
      <c r="R950" s="572"/>
      <c r="S950" s="498"/>
      <c r="T950" s="496"/>
      <c r="U950" s="504"/>
      <c r="V950" s="282"/>
      <c r="W950" s="282"/>
      <c r="X950" s="282"/>
    </row>
    <row r="951" spans="1:30" s="60" customFormat="1">
      <c r="A951" s="487"/>
      <c r="B951" s="488"/>
      <c r="C951" s="489"/>
      <c r="D951" s="489"/>
      <c r="E951" s="489"/>
      <c r="F951" s="489"/>
      <c r="G951" s="489"/>
      <c r="H951" s="489"/>
      <c r="I951" s="489"/>
      <c r="J951" s="489"/>
      <c r="K951" s="498"/>
      <c r="L951" s="496"/>
      <c r="M951" s="498"/>
      <c r="N951" s="492"/>
      <c r="O951" s="489"/>
      <c r="P951" s="572"/>
      <c r="Q951" s="498"/>
      <c r="R951" s="572"/>
      <c r="S951" s="498"/>
      <c r="T951" s="496"/>
      <c r="U951" s="504"/>
      <c r="V951" s="282"/>
      <c r="W951" s="282"/>
      <c r="X951" s="282"/>
    </row>
    <row r="952" spans="1:30" s="60" customFormat="1">
      <c r="A952" s="487"/>
      <c r="B952" s="488"/>
      <c r="C952" s="489"/>
      <c r="D952" s="489"/>
      <c r="E952" s="489"/>
      <c r="F952" s="489"/>
      <c r="G952" s="489"/>
      <c r="H952" s="489"/>
      <c r="I952" s="489"/>
      <c r="J952" s="489"/>
      <c r="K952" s="498"/>
      <c r="L952" s="496"/>
      <c r="M952" s="498"/>
      <c r="N952" s="492"/>
      <c r="O952" s="489"/>
      <c r="P952" s="572"/>
      <c r="Q952" s="498"/>
      <c r="R952" s="498"/>
      <c r="S952" s="498"/>
      <c r="T952" s="496"/>
      <c r="U952" s="504"/>
      <c r="V952" s="282"/>
      <c r="W952" s="282"/>
      <c r="X952" s="282"/>
    </row>
    <row r="953" spans="1:30">
      <c r="A953" s="198"/>
      <c r="B953" s="216" t="s">
        <v>54</v>
      </c>
      <c r="C953" s="211">
        <v>2222747</v>
      </c>
      <c r="D953" s="211"/>
      <c r="E953" s="211"/>
      <c r="F953" s="211"/>
      <c r="G953" s="211"/>
      <c r="H953" s="211"/>
      <c r="I953" s="211"/>
      <c r="J953" s="211"/>
      <c r="K953" s="211">
        <v>0</v>
      </c>
      <c r="L953" s="212">
        <v>0</v>
      </c>
      <c r="M953" s="211">
        <v>0</v>
      </c>
      <c r="N953" s="211">
        <v>1115</v>
      </c>
      <c r="O953" s="211">
        <v>2222747</v>
      </c>
      <c r="P953" s="213">
        <v>0</v>
      </c>
      <c r="Q953" s="211">
        <v>0</v>
      </c>
      <c r="R953" s="213">
        <v>0</v>
      </c>
      <c r="S953" s="211">
        <v>0</v>
      </c>
      <c r="T953" s="212">
        <v>0</v>
      </c>
      <c r="U953" s="290">
        <v>0</v>
      </c>
      <c r="V953" s="282"/>
      <c r="W953" s="282"/>
      <c r="X953" s="282"/>
    </row>
    <row r="954" spans="1:30" ht="30">
      <c r="A954" s="198"/>
      <c r="B954" s="214" t="s">
        <v>112</v>
      </c>
      <c r="C954" s="211">
        <v>2222747</v>
      </c>
      <c r="D954" s="211"/>
      <c r="E954" s="211"/>
      <c r="F954" s="211"/>
      <c r="G954" s="211"/>
      <c r="H954" s="211"/>
      <c r="I954" s="211"/>
      <c r="J954" s="211"/>
      <c r="K954" s="211">
        <v>0</v>
      </c>
      <c r="L954" s="212">
        <v>0</v>
      </c>
      <c r="M954" s="211">
        <v>0</v>
      </c>
      <c r="N954" s="211">
        <v>1115</v>
      </c>
      <c r="O954" s="211">
        <v>2222747</v>
      </c>
      <c r="P954" s="213">
        <v>0</v>
      </c>
      <c r="Q954" s="211">
        <v>0</v>
      </c>
      <c r="R954" s="213">
        <v>0</v>
      </c>
      <c r="S954" s="211">
        <v>0</v>
      </c>
      <c r="T954" s="212">
        <v>0</v>
      </c>
      <c r="U954" s="290">
        <v>0</v>
      </c>
      <c r="V954" s="282"/>
      <c r="W954" s="282"/>
      <c r="X954" s="282"/>
    </row>
    <row r="955" spans="1:30">
      <c r="A955" s="198">
        <v>346</v>
      </c>
      <c r="B955" s="216" t="s">
        <v>422</v>
      </c>
      <c r="C955" s="211">
        <v>1003542</v>
      </c>
      <c r="D955" s="211"/>
      <c r="E955" s="211"/>
      <c r="F955" s="211"/>
      <c r="G955" s="211"/>
      <c r="H955" s="211"/>
      <c r="I955" s="211"/>
      <c r="J955" s="211"/>
      <c r="K955" s="211">
        <v>0</v>
      </c>
      <c r="L955" s="212">
        <v>0</v>
      </c>
      <c r="M955" s="211">
        <v>0</v>
      </c>
      <c r="N955" s="199">
        <v>510</v>
      </c>
      <c r="O955" s="211">
        <v>1003542</v>
      </c>
      <c r="P955" s="213">
        <v>0</v>
      </c>
      <c r="Q955" s="211">
        <v>0</v>
      </c>
      <c r="R955" s="213">
        <v>0</v>
      </c>
      <c r="S955" s="211">
        <v>0</v>
      </c>
      <c r="T955" s="212">
        <v>0</v>
      </c>
      <c r="U955" s="290">
        <v>0</v>
      </c>
      <c r="V955" s="282"/>
      <c r="W955" s="282"/>
      <c r="X955" s="282"/>
    </row>
    <row r="956" spans="1:30">
      <c r="A956" s="198">
        <v>347</v>
      </c>
      <c r="B956" s="216" t="s">
        <v>421</v>
      </c>
      <c r="C956" s="211">
        <v>740146</v>
      </c>
      <c r="D956" s="211"/>
      <c r="E956" s="211"/>
      <c r="F956" s="211"/>
      <c r="G956" s="211"/>
      <c r="H956" s="211"/>
      <c r="I956" s="211"/>
      <c r="J956" s="211"/>
      <c r="K956" s="211">
        <v>0</v>
      </c>
      <c r="L956" s="212">
        <v>0</v>
      </c>
      <c r="M956" s="211">
        <v>0</v>
      </c>
      <c r="N956" s="199">
        <v>373</v>
      </c>
      <c r="O956" s="211">
        <v>740146</v>
      </c>
      <c r="P956" s="213">
        <v>0</v>
      </c>
      <c r="Q956" s="211">
        <v>0</v>
      </c>
      <c r="R956" s="213">
        <v>0</v>
      </c>
      <c r="S956" s="211">
        <v>0</v>
      </c>
      <c r="T956" s="212">
        <v>0</v>
      </c>
      <c r="U956" s="290">
        <v>0</v>
      </c>
      <c r="V956" s="282"/>
      <c r="W956" s="282"/>
      <c r="X956" s="282"/>
    </row>
    <row r="957" spans="1:30">
      <c r="A957" s="198">
        <v>348</v>
      </c>
      <c r="B957" s="216" t="s">
        <v>423</v>
      </c>
      <c r="C957" s="211">
        <v>479059</v>
      </c>
      <c r="D957" s="211"/>
      <c r="E957" s="211"/>
      <c r="F957" s="211"/>
      <c r="G957" s="211"/>
      <c r="H957" s="211"/>
      <c r="I957" s="211"/>
      <c r="J957" s="211"/>
      <c r="K957" s="211">
        <v>0</v>
      </c>
      <c r="L957" s="212">
        <v>0</v>
      </c>
      <c r="M957" s="211">
        <v>0</v>
      </c>
      <c r="N957" s="211">
        <v>232</v>
      </c>
      <c r="O957" s="211">
        <v>479059</v>
      </c>
      <c r="P957" s="213">
        <v>0</v>
      </c>
      <c r="Q957" s="211">
        <v>0</v>
      </c>
      <c r="R957" s="213">
        <v>0</v>
      </c>
      <c r="S957" s="211">
        <v>0</v>
      </c>
      <c r="T957" s="212">
        <v>0</v>
      </c>
      <c r="U957" s="290">
        <v>0</v>
      </c>
      <c r="V957" s="282"/>
      <c r="W957" s="282"/>
      <c r="X957" s="282"/>
    </row>
    <row r="958" spans="1:30">
      <c r="A958" s="198"/>
      <c r="B958" s="216" t="s">
        <v>55</v>
      </c>
      <c r="C958" s="211">
        <f>C959</f>
        <v>1739787</v>
      </c>
      <c r="D958" s="211">
        <f t="shared" ref="D958:U958" si="157">D959</f>
        <v>267870</v>
      </c>
      <c r="E958" s="211">
        <f t="shared" si="157"/>
        <v>0</v>
      </c>
      <c r="F958" s="211">
        <f t="shared" si="157"/>
        <v>0</v>
      </c>
      <c r="G958" s="211">
        <f t="shared" si="157"/>
        <v>0</v>
      </c>
      <c r="H958" s="211">
        <f t="shared" si="157"/>
        <v>0</v>
      </c>
      <c r="I958" s="211">
        <f t="shared" si="157"/>
        <v>0</v>
      </c>
      <c r="J958" s="211">
        <f t="shared" si="157"/>
        <v>267870</v>
      </c>
      <c r="K958" s="211">
        <f t="shared" si="157"/>
        <v>0</v>
      </c>
      <c r="L958" s="211">
        <f t="shared" si="157"/>
        <v>0</v>
      </c>
      <c r="M958" s="211">
        <f t="shared" si="157"/>
        <v>0</v>
      </c>
      <c r="N958" s="211">
        <f t="shared" si="157"/>
        <v>460</v>
      </c>
      <c r="O958" s="211">
        <f t="shared" si="157"/>
        <v>1471917</v>
      </c>
      <c r="P958" s="211">
        <f t="shared" si="157"/>
        <v>0</v>
      </c>
      <c r="Q958" s="211">
        <f t="shared" si="157"/>
        <v>0</v>
      </c>
      <c r="R958" s="211">
        <f t="shared" si="157"/>
        <v>0</v>
      </c>
      <c r="S958" s="211">
        <f t="shared" si="157"/>
        <v>0</v>
      </c>
      <c r="T958" s="211">
        <f t="shared" si="157"/>
        <v>0</v>
      </c>
      <c r="U958" s="211">
        <f t="shared" si="157"/>
        <v>0</v>
      </c>
      <c r="V958" s="282"/>
      <c r="W958" s="282"/>
      <c r="X958" s="282"/>
    </row>
    <row r="959" spans="1:30" ht="30">
      <c r="A959" s="198"/>
      <c r="B959" s="214" t="s">
        <v>122</v>
      </c>
      <c r="C959" s="211">
        <f>C960</f>
        <v>1739787</v>
      </c>
      <c r="D959" s="211">
        <f t="shared" ref="D959:U959" si="158">D960</f>
        <v>267870</v>
      </c>
      <c r="E959" s="211">
        <f t="shared" si="158"/>
        <v>0</v>
      </c>
      <c r="F959" s="211">
        <f t="shared" si="158"/>
        <v>0</v>
      </c>
      <c r="G959" s="211">
        <f t="shared" si="158"/>
        <v>0</v>
      </c>
      <c r="H959" s="211">
        <f t="shared" si="158"/>
        <v>0</v>
      </c>
      <c r="I959" s="211">
        <f t="shared" si="158"/>
        <v>0</v>
      </c>
      <c r="J959" s="211">
        <f t="shared" si="158"/>
        <v>267870</v>
      </c>
      <c r="K959" s="211">
        <f t="shared" si="158"/>
        <v>0</v>
      </c>
      <c r="L959" s="211">
        <f t="shared" si="158"/>
        <v>0</v>
      </c>
      <c r="M959" s="211">
        <f t="shared" si="158"/>
        <v>0</v>
      </c>
      <c r="N959" s="211">
        <f t="shared" si="158"/>
        <v>460</v>
      </c>
      <c r="O959" s="211">
        <f t="shared" si="158"/>
        <v>1471917</v>
      </c>
      <c r="P959" s="211">
        <f t="shared" si="158"/>
        <v>0</v>
      </c>
      <c r="Q959" s="211">
        <f t="shared" si="158"/>
        <v>0</v>
      </c>
      <c r="R959" s="211">
        <f t="shared" si="158"/>
        <v>0</v>
      </c>
      <c r="S959" s="211">
        <f t="shared" si="158"/>
        <v>0</v>
      </c>
      <c r="T959" s="211">
        <f t="shared" si="158"/>
        <v>0</v>
      </c>
      <c r="U959" s="211">
        <f t="shared" si="158"/>
        <v>0</v>
      </c>
      <c r="V959" s="282"/>
      <c r="W959" s="282"/>
      <c r="X959" s="282"/>
    </row>
    <row r="960" spans="1:30" s="28" customFormat="1">
      <c r="A960" s="487">
        <v>349</v>
      </c>
      <c r="B960" s="499" t="s">
        <v>602</v>
      </c>
      <c r="C960" s="557">
        <v>1739787</v>
      </c>
      <c r="D960" s="557">
        <f>E960+F960+G960+H960+I960+J960+K960</f>
        <v>267870</v>
      </c>
      <c r="E960" s="557">
        <v>0</v>
      </c>
      <c r="F960" s="557">
        <v>0</v>
      </c>
      <c r="G960" s="557">
        <v>0</v>
      </c>
      <c r="H960" s="557">
        <v>0</v>
      </c>
      <c r="I960" s="557">
        <v>0</v>
      </c>
      <c r="J960" s="557">
        <v>267870</v>
      </c>
      <c r="K960" s="489">
        <v>0</v>
      </c>
      <c r="L960" s="502">
        <v>0</v>
      </c>
      <c r="M960" s="498">
        <v>0</v>
      </c>
      <c r="N960" s="492">
        <v>460</v>
      </c>
      <c r="O960" s="489">
        <v>1471917</v>
      </c>
      <c r="P960" s="503">
        <v>0</v>
      </c>
      <c r="Q960" s="498">
        <v>0</v>
      </c>
      <c r="R960" s="498">
        <v>0</v>
      </c>
      <c r="S960" s="498">
        <v>0</v>
      </c>
      <c r="T960" s="502">
        <v>0</v>
      </c>
      <c r="U960" s="504">
        <v>0</v>
      </c>
      <c r="V960" s="282"/>
      <c r="W960" s="282">
        <f>O960/N960</f>
        <v>3199.8195652173913</v>
      </c>
      <c r="X960" s="282"/>
      <c r="AD960" s="28">
        <f>J960/'часть 1'!I975</f>
        <v>521.35072012456214</v>
      </c>
    </row>
    <row r="961" spans="1:53">
      <c r="A961" s="487"/>
      <c r="B961" s="499"/>
      <c r="C961" s="489"/>
      <c r="D961" s="489"/>
      <c r="E961" s="489"/>
      <c r="F961" s="489"/>
      <c r="G961" s="489"/>
      <c r="H961" s="489"/>
      <c r="I961" s="489"/>
      <c r="J961" s="489"/>
      <c r="K961" s="489"/>
      <c r="L961" s="502"/>
      <c r="M961" s="498"/>
      <c r="N961" s="498"/>
      <c r="O961" s="498"/>
      <c r="P961" s="503"/>
      <c r="Q961" s="498"/>
      <c r="R961" s="503"/>
      <c r="S961" s="498"/>
      <c r="T961" s="502"/>
      <c r="U961" s="504"/>
      <c r="V961" s="282"/>
      <c r="W961" s="282"/>
      <c r="X961" s="282"/>
    </row>
    <row r="962" spans="1:53">
      <c r="A962" s="487"/>
      <c r="B962" s="499"/>
      <c r="C962" s="489"/>
      <c r="D962" s="489"/>
      <c r="E962" s="489"/>
      <c r="F962" s="489"/>
      <c r="G962" s="489"/>
      <c r="H962" s="489"/>
      <c r="I962" s="489"/>
      <c r="J962" s="489"/>
      <c r="K962" s="489"/>
      <c r="L962" s="502"/>
      <c r="M962" s="498"/>
      <c r="N962" s="492"/>
      <c r="O962" s="489"/>
      <c r="P962" s="503"/>
      <c r="Q962" s="498"/>
      <c r="R962" s="498"/>
      <c r="S962" s="498"/>
      <c r="T962" s="502"/>
      <c r="U962" s="504"/>
      <c r="V962" s="282"/>
      <c r="W962" s="282"/>
      <c r="X962" s="282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</row>
    <row r="963" spans="1:53">
      <c r="A963" s="198"/>
      <c r="B963" s="216" t="s">
        <v>56</v>
      </c>
      <c r="C963" s="211">
        <v>13352826.959999999</v>
      </c>
      <c r="D963" s="211"/>
      <c r="E963" s="211"/>
      <c r="F963" s="211"/>
      <c r="G963" s="211"/>
      <c r="H963" s="211"/>
      <c r="I963" s="211"/>
      <c r="J963" s="211"/>
      <c r="K963" s="211">
        <v>8292103.96</v>
      </c>
      <c r="L963" s="212">
        <v>0</v>
      </c>
      <c r="M963" s="211">
        <v>0</v>
      </c>
      <c r="N963" s="211">
        <v>2564.5</v>
      </c>
      <c r="O963" s="211">
        <v>5060723</v>
      </c>
      <c r="P963" s="213">
        <v>0</v>
      </c>
      <c r="Q963" s="211">
        <v>0</v>
      </c>
      <c r="R963" s="213">
        <v>0</v>
      </c>
      <c r="S963" s="211">
        <v>0</v>
      </c>
      <c r="T963" s="212">
        <v>0</v>
      </c>
      <c r="U963" s="290">
        <v>0</v>
      </c>
      <c r="V963" s="282"/>
      <c r="W963" s="282"/>
      <c r="X963" s="282"/>
    </row>
    <row r="964" spans="1:53" ht="30">
      <c r="A964" s="487"/>
      <c r="B964" s="499" t="s">
        <v>424</v>
      </c>
      <c r="C964" s="498">
        <f>C965+C966+C967+C968+C969+C970</f>
        <v>8669678</v>
      </c>
      <c r="D964" s="498">
        <f t="shared" ref="D964:U964" si="159">D965+D966+D967+D968+D969+D970</f>
        <v>6476414</v>
      </c>
      <c r="E964" s="498">
        <f t="shared" si="159"/>
        <v>1762781</v>
      </c>
      <c r="F964" s="498">
        <f t="shared" si="159"/>
        <v>425687</v>
      </c>
      <c r="G964" s="498">
        <f t="shared" si="159"/>
        <v>1057272</v>
      </c>
      <c r="H964" s="498">
        <f t="shared" si="159"/>
        <v>667507</v>
      </c>
      <c r="I964" s="498">
        <f t="shared" si="159"/>
        <v>636218</v>
      </c>
      <c r="J964" s="498">
        <f t="shared" si="159"/>
        <v>1926949</v>
      </c>
      <c r="K964" s="498">
        <f t="shared" si="159"/>
        <v>0</v>
      </c>
      <c r="L964" s="498">
        <f t="shared" si="159"/>
        <v>0</v>
      </c>
      <c r="M964" s="498">
        <f t="shared" si="159"/>
        <v>0</v>
      </c>
      <c r="N964" s="498">
        <f t="shared" si="159"/>
        <v>766.38</v>
      </c>
      <c r="O964" s="498">
        <f t="shared" si="159"/>
        <v>2193264</v>
      </c>
      <c r="P964" s="498">
        <f t="shared" si="159"/>
        <v>0</v>
      </c>
      <c r="Q964" s="498">
        <f t="shared" si="159"/>
        <v>0</v>
      </c>
      <c r="R964" s="498">
        <f t="shared" si="159"/>
        <v>0</v>
      </c>
      <c r="S964" s="498">
        <f t="shared" si="159"/>
        <v>0</v>
      </c>
      <c r="T964" s="498">
        <f t="shared" si="159"/>
        <v>0</v>
      </c>
      <c r="U964" s="498">
        <f t="shared" si="159"/>
        <v>0</v>
      </c>
      <c r="V964" s="282"/>
      <c r="W964" s="282"/>
      <c r="X964" s="282"/>
    </row>
    <row r="965" spans="1:53">
      <c r="A965" s="487">
        <v>352</v>
      </c>
      <c r="B965" s="752" t="s">
        <v>708</v>
      </c>
      <c r="C965" s="498">
        <f>'часть 1'!L980</f>
        <v>435475</v>
      </c>
      <c r="D965" s="498">
        <f>E965+F965+G965+H965+I965+J965+K965</f>
        <v>435475</v>
      </c>
      <c r="E965" s="498">
        <v>170859</v>
      </c>
      <c r="F965" s="498">
        <v>0</v>
      </c>
      <c r="G965" s="498">
        <v>138971</v>
      </c>
      <c r="H965" s="498">
        <v>0</v>
      </c>
      <c r="I965" s="498">
        <v>0</v>
      </c>
      <c r="J965" s="498">
        <v>125645</v>
      </c>
      <c r="K965" s="498">
        <v>0</v>
      </c>
      <c r="L965" s="502">
        <v>0</v>
      </c>
      <c r="M965" s="498">
        <v>0</v>
      </c>
      <c r="N965" s="498">
        <v>0</v>
      </c>
      <c r="O965" s="498">
        <v>0</v>
      </c>
      <c r="P965" s="503">
        <v>0</v>
      </c>
      <c r="Q965" s="498">
        <v>0</v>
      </c>
      <c r="R965" s="503">
        <v>0</v>
      </c>
      <c r="S965" s="498">
        <v>0</v>
      </c>
      <c r="T965" s="502">
        <v>0</v>
      </c>
      <c r="U965" s="504">
        <v>0</v>
      </c>
      <c r="V965" s="282"/>
      <c r="W965" s="282"/>
      <c r="X965" s="282"/>
      <c r="Y965" s="1">
        <f>E965/'часть 1'!I980</f>
        <v>596.99161425576517</v>
      </c>
      <c r="Z965" s="1">
        <f>G965/'часть 1'!I980</f>
        <v>485.57302585604475</v>
      </c>
      <c r="AD965" s="1">
        <f>J965/'часть 1'!I980</f>
        <v>439.01118099231309</v>
      </c>
    </row>
    <row r="966" spans="1:53">
      <c r="A966" s="487">
        <v>353</v>
      </c>
      <c r="B966" s="753" t="s">
        <v>709</v>
      </c>
      <c r="C966" s="498">
        <f>'часть 1'!L981</f>
        <v>1920530</v>
      </c>
      <c r="D966" s="498">
        <f t="shared" ref="D966:D970" si="160">E966+F966+G966+H966+I966+J966+K966</f>
        <v>684403</v>
      </c>
      <c r="E966" s="498">
        <v>0</v>
      </c>
      <c r="F966" s="498">
        <v>0</v>
      </c>
      <c r="G966" s="498">
        <v>205286</v>
      </c>
      <c r="H966" s="498">
        <v>293517</v>
      </c>
      <c r="I966" s="498">
        <v>0</v>
      </c>
      <c r="J966" s="498">
        <v>185600</v>
      </c>
      <c r="K966" s="498">
        <v>0</v>
      </c>
      <c r="L966" s="502">
        <v>0</v>
      </c>
      <c r="M966" s="498">
        <v>0</v>
      </c>
      <c r="N966" s="498">
        <v>385.28</v>
      </c>
      <c r="O966" s="498">
        <v>1236127</v>
      </c>
      <c r="P966" s="503">
        <v>0</v>
      </c>
      <c r="Q966" s="498">
        <v>0</v>
      </c>
      <c r="R966" s="503">
        <v>0</v>
      </c>
      <c r="S966" s="498">
        <v>0</v>
      </c>
      <c r="T966" s="502">
        <v>0</v>
      </c>
      <c r="U966" s="504">
        <v>0</v>
      </c>
      <c r="V966" s="282"/>
      <c r="W966" s="282">
        <f>O966/N966</f>
        <v>3208.3861088039871</v>
      </c>
      <c r="X966" s="282"/>
      <c r="Z966" s="1">
        <f>G966/'часть 1'!I981</f>
        <v>575.99887766554434</v>
      </c>
      <c r="AB966" s="1">
        <f>H966/'часть 1'!I981</f>
        <v>823.56060606060612</v>
      </c>
      <c r="AD966" s="1">
        <f>J966/'часть 1'!I981</f>
        <v>520.76318742985416</v>
      </c>
    </row>
    <row r="967" spans="1:53">
      <c r="A967" s="487">
        <v>354</v>
      </c>
      <c r="B967" s="752" t="s">
        <v>710</v>
      </c>
      <c r="C967" s="498">
        <f>'часть 1'!L982</f>
        <v>957137</v>
      </c>
      <c r="D967" s="498">
        <f t="shared" si="160"/>
        <v>0</v>
      </c>
      <c r="E967" s="498">
        <v>0</v>
      </c>
      <c r="F967" s="498">
        <v>0</v>
      </c>
      <c r="G967" s="498">
        <v>0</v>
      </c>
      <c r="H967" s="498">
        <v>0</v>
      </c>
      <c r="I967" s="498">
        <v>0</v>
      </c>
      <c r="J967" s="498">
        <v>0</v>
      </c>
      <c r="K967" s="498">
        <v>0</v>
      </c>
      <c r="L967" s="502">
        <v>0</v>
      </c>
      <c r="M967" s="498">
        <v>0</v>
      </c>
      <c r="N967" s="498">
        <v>381.1</v>
      </c>
      <c r="O967" s="498">
        <v>957137</v>
      </c>
      <c r="P967" s="503">
        <v>0</v>
      </c>
      <c r="Q967" s="498">
        <v>0</v>
      </c>
      <c r="R967" s="503">
        <v>0</v>
      </c>
      <c r="S967" s="498">
        <v>0</v>
      </c>
      <c r="T967" s="502">
        <v>0</v>
      </c>
      <c r="U967" s="504">
        <v>0</v>
      </c>
      <c r="V967" s="282"/>
      <c r="W967" s="282">
        <f>O967/N967</f>
        <v>2511.5114143269479</v>
      </c>
      <c r="X967" s="282"/>
    </row>
    <row r="968" spans="1:53">
      <c r="A968" s="487">
        <v>355</v>
      </c>
      <c r="B968" s="754" t="s">
        <v>711</v>
      </c>
      <c r="C968" s="498">
        <f>'часть 1'!L983</f>
        <v>1620768</v>
      </c>
      <c r="D968" s="498">
        <f t="shared" si="160"/>
        <v>1620768</v>
      </c>
      <c r="E968" s="498">
        <v>317135</v>
      </c>
      <c r="F968" s="498">
        <v>425687</v>
      </c>
      <c r="G968" s="498">
        <v>264655</v>
      </c>
      <c r="H968" s="498">
        <v>373990</v>
      </c>
      <c r="I968" s="498">
        <v>0</v>
      </c>
      <c r="J968" s="498">
        <v>239301</v>
      </c>
      <c r="K968" s="498">
        <v>0</v>
      </c>
      <c r="L968" s="502">
        <v>0</v>
      </c>
      <c r="M968" s="498">
        <v>0</v>
      </c>
      <c r="N968" s="498">
        <v>0</v>
      </c>
      <c r="O968" s="498">
        <v>0</v>
      </c>
      <c r="P968" s="503">
        <v>0</v>
      </c>
      <c r="Q968" s="498">
        <v>0</v>
      </c>
      <c r="R968" s="503">
        <v>0</v>
      </c>
      <c r="S968" s="498">
        <v>0</v>
      </c>
      <c r="T968" s="502">
        <v>0</v>
      </c>
      <c r="U968" s="504">
        <v>0</v>
      </c>
      <c r="V968" s="282"/>
      <c r="W968" s="282"/>
      <c r="X968" s="282"/>
      <c r="Y968" s="1">
        <f>E968/'часть 1'!I983</f>
        <v>691.52856519842999</v>
      </c>
      <c r="Z968" s="1">
        <f>G968/'часть 1'!I983</f>
        <v>577.09332751853469</v>
      </c>
      <c r="AA968" s="1">
        <f>F968/'часть 1'!I983</f>
        <v>928.23157435673784</v>
      </c>
      <c r="AB968" s="1">
        <f>H968/'часть 1'!I983</f>
        <v>815.50370693414732</v>
      </c>
      <c r="AD968" s="1">
        <f>J968/'часть 1'!I983</f>
        <v>521.80767553423459</v>
      </c>
    </row>
    <row r="969" spans="1:53">
      <c r="A969" s="487">
        <v>356</v>
      </c>
      <c r="B969" s="752" t="s">
        <v>712</v>
      </c>
      <c r="C969" s="498">
        <f>'часть 1'!L984</f>
        <v>1496185</v>
      </c>
      <c r="D969" s="498">
        <f t="shared" si="160"/>
        <v>1496185</v>
      </c>
      <c r="E969" s="498">
        <v>0</v>
      </c>
      <c r="F969" s="498">
        <v>0</v>
      </c>
      <c r="G969" s="498">
        <v>448360</v>
      </c>
      <c r="H969" s="498">
        <v>0</v>
      </c>
      <c r="I969" s="498">
        <v>636218</v>
      </c>
      <c r="J969" s="498">
        <v>411607</v>
      </c>
      <c r="K969" s="498">
        <v>0</v>
      </c>
      <c r="L969" s="502">
        <v>0</v>
      </c>
      <c r="M969" s="498">
        <v>0</v>
      </c>
      <c r="N969" s="498">
        <v>0</v>
      </c>
      <c r="O969" s="498">
        <v>0</v>
      </c>
      <c r="P969" s="503">
        <v>0</v>
      </c>
      <c r="Q969" s="498">
        <v>0</v>
      </c>
      <c r="R969" s="503">
        <v>0</v>
      </c>
      <c r="S969" s="498">
        <v>0</v>
      </c>
      <c r="T969" s="502">
        <v>0</v>
      </c>
      <c r="U969" s="504">
        <v>0</v>
      </c>
      <c r="V969" s="282"/>
      <c r="W969" s="282"/>
      <c r="X969" s="282"/>
      <c r="Z969" s="1">
        <f>G969/'часть 1'!I984</f>
        <v>560.16991504247881</v>
      </c>
      <c r="AC969" s="1">
        <f>I969/'часть 1'!I984</f>
        <v>794.87506246876569</v>
      </c>
      <c r="AD969" s="1">
        <f>J969/'часть 1'!I984</f>
        <v>514.25162418790603</v>
      </c>
    </row>
    <row r="970" spans="1:53">
      <c r="A970" s="487">
        <v>357</v>
      </c>
      <c r="B970" s="754" t="s">
        <v>713</v>
      </c>
      <c r="C970" s="498">
        <f>'часть 1'!L985</f>
        <v>2239583</v>
      </c>
      <c r="D970" s="498">
        <f t="shared" si="160"/>
        <v>2239583</v>
      </c>
      <c r="E970" s="498">
        <v>1274787</v>
      </c>
      <c r="F970" s="498">
        <v>0</v>
      </c>
      <c r="G970" s="498">
        <v>0</v>
      </c>
      <c r="H970" s="498">
        <v>0</v>
      </c>
      <c r="I970" s="498">
        <v>0</v>
      </c>
      <c r="J970" s="498">
        <v>964796</v>
      </c>
      <c r="K970" s="498">
        <v>0</v>
      </c>
      <c r="L970" s="502">
        <v>0</v>
      </c>
      <c r="M970" s="498">
        <v>0</v>
      </c>
      <c r="N970" s="498">
        <v>0</v>
      </c>
      <c r="O970" s="498">
        <v>0</v>
      </c>
      <c r="P970" s="503">
        <v>0</v>
      </c>
      <c r="Q970" s="498">
        <v>0</v>
      </c>
      <c r="R970" s="503">
        <v>0</v>
      </c>
      <c r="S970" s="498">
        <v>0</v>
      </c>
      <c r="T970" s="502">
        <v>0</v>
      </c>
      <c r="U970" s="504">
        <v>0</v>
      </c>
      <c r="V970" s="282"/>
      <c r="W970" s="282"/>
      <c r="X970" s="282"/>
      <c r="Y970" s="1">
        <f>E970/'часть 1'!I985</f>
        <v>754.53506954720331</v>
      </c>
      <c r="AD970" s="1">
        <f>J970/'часть 1'!I985</f>
        <v>571.05415803492156</v>
      </c>
    </row>
    <row r="971" spans="1:53" ht="30">
      <c r="A971" s="198"/>
      <c r="B971" s="214" t="s">
        <v>121</v>
      </c>
      <c r="C971" s="211">
        <f>C972+C973+C974</f>
        <v>2114731</v>
      </c>
      <c r="D971" s="211">
        <f t="shared" ref="D971:V971" si="161">D972+D973+D974</f>
        <v>0</v>
      </c>
      <c r="E971" s="211">
        <f t="shared" si="161"/>
        <v>0</v>
      </c>
      <c r="F971" s="211">
        <f t="shared" si="161"/>
        <v>0</v>
      </c>
      <c r="G971" s="211">
        <f t="shared" si="161"/>
        <v>0</v>
      </c>
      <c r="H971" s="211">
        <f t="shared" si="161"/>
        <v>0</v>
      </c>
      <c r="I971" s="211">
        <f t="shared" si="161"/>
        <v>0</v>
      </c>
      <c r="J971" s="211">
        <f t="shared" si="161"/>
        <v>0</v>
      </c>
      <c r="K971" s="211">
        <f t="shared" si="161"/>
        <v>0</v>
      </c>
      <c r="L971" s="211">
        <f t="shared" si="161"/>
        <v>0</v>
      </c>
      <c r="M971" s="211">
        <f t="shared" si="161"/>
        <v>0</v>
      </c>
      <c r="N971" s="211">
        <f t="shared" si="161"/>
        <v>0</v>
      </c>
      <c r="O971" s="211">
        <f t="shared" si="161"/>
        <v>0</v>
      </c>
      <c r="P971" s="211">
        <f t="shared" si="161"/>
        <v>0</v>
      </c>
      <c r="Q971" s="211">
        <f t="shared" si="161"/>
        <v>0</v>
      </c>
      <c r="R971" s="211">
        <f t="shared" si="161"/>
        <v>0</v>
      </c>
      <c r="S971" s="211">
        <f t="shared" si="161"/>
        <v>2114731</v>
      </c>
      <c r="T971" s="211">
        <f t="shared" si="161"/>
        <v>0</v>
      </c>
      <c r="U971" s="211">
        <f t="shared" si="161"/>
        <v>0</v>
      </c>
      <c r="V971" s="211">
        <f t="shared" si="161"/>
        <v>0</v>
      </c>
      <c r="W971" s="282"/>
      <c r="X971" s="282"/>
    </row>
    <row r="972" spans="1:53" ht="15.75">
      <c r="A972" s="198"/>
      <c r="B972" s="934" t="s">
        <v>990</v>
      </c>
      <c r="C972" s="211">
        <f>'часть 1'!L987</f>
        <v>730231</v>
      </c>
      <c r="D972" s="211">
        <v>0</v>
      </c>
      <c r="E972" s="211">
        <v>0</v>
      </c>
      <c r="F972" s="211">
        <v>0</v>
      </c>
      <c r="G972" s="211">
        <v>0</v>
      </c>
      <c r="H972" s="211">
        <v>0</v>
      </c>
      <c r="I972" s="211">
        <v>0</v>
      </c>
      <c r="J972" s="211">
        <v>0</v>
      </c>
      <c r="K972" s="211">
        <v>0</v>
      </c>
      <c r="L972" s="212">
        <v>0</v>
      </c>
      <c r="M972" s="211">
        <v>0</v>
      </c>
      <c r="N972" s="211">
        <v>0</v>
      </c>
      <c r="O972" s="211">
        <v>0</v>
      </c>
      <c r="P972" s="213">
        <v>0</v>
      </c>
      <c r="Q972" s="211">
        <v>0</v>
      </c>
      <c r="R972" s="940"/>
      <c r="S972" s="211">
        <v>730231</v>
      </c>
      <c r="T972" s="212">
        <v>0</v>
      </c>
      <c r="U972" s="290">
        <v>0</v>
      </c>
      <c r="V972" s="282"/>
      <c r="W972" s="282"/>
      <c r="X972" s="282" t="e">
        <f>S972/R972</f>
        <v>#DIV/0!</v>
      </c>
    </row>
    <row r="973" spans="1:53" ht="15.75">
      <c r="A973" s="198"/>
      <c r="B973" s="934" t="s">
        <v>991</v>
      </c>
      <c r="C973" s="211">
        <f>'часть 1'!L988</f>
        <v>692216</v>
      </c>
      <c r="D973" s="211">
        <v>0</v>
      </c>
      <c r="E973" s="211">
        <v>0</v>
      </c>
      <c r="F973" s="211">
        <v>0</v>
      </c>
      <c r="G973" s="211">
        <v>0</v>
      </c>
      <c r="H973" s="211">
        <v>0</v>
      </c>
      <c r="I973" s="211">
        <v>0</v>
      </c>
      <c r="J973" s="211">
        <v>0</v>
      </c>
      <c r="K973" s="211">
        <v>0</v>
      </c>
      <c r="L973" s="212">
        <v>0</v>
      </c>
      <c r="M973" s="211">
        <v>0</v>
      </c>
      <c r="N973" s="211">
        <v>0</v>
      </c>
      <c r="O973" s="211">
        <v>0</v>
      </c>
      <c r="P973" s="213">
        <v>0</v>
      </c>
      <c r="Q973" s="211">
        <v>0</v>
      </c>
      <c r="R973" s="940"/>
      <c r="S973" s="211">
        <v>692216</v>
      </c>
      <c r="T973" s="212">
        <v>0</v>
      </c>
      <c r="U973" s="290">
        <v>0</v>
      </c>
      <c r="V973" s="282"/>
      <c r="W973" s="282"/>
      <c r="X973" s="282" t="e">
        <f>S973/R973</f>
        <v>#DIV/0!</v>
      </c>
    </row>
    <row r="974" spans="1:53" ht="15.75">
      <c r="A974" s="198">
        <v>362</v>
      </c>
      <c r="B974" s="934" t="s">
        <v>992</v>
      </c>
      <c r="C974" s="211">
        <f>'часть 1'!L989</f>
        <v>692284</v>
      </c>
      <c r="D974" s="211">
        <v>0</v>
      </c>
      <c r="E974" s="211">
        <v>0</v>
      </c>
      <c r="F974" s="211">
        <v>0</v>
      </c>
      <c r="G974" s="211">
        <v>0</v>
      </c>
      <c r="H974" s="211">
        <v>0</v>
      </c>
      <c r="I974" s="211">
        <v>0</v>
      </c>
      <c r="J974" s="211">
        <v>0</v>
      </c>
      <c r="K974" s="211">
        <v>0</v>
      </c>
      <c r="L974" s="212">
        <v>0</v>
      </c>
      <c r="M974" s="211">
        <v>0</v>
      </c>
      <c r="N974" s="211">
        <v>0</v>
      </c>
      <c r="O974" s="211">
        <v>0</v>
      </c>
      <c r="P974" s="213">
        <v>0</v>
      </c>
      <c r="Q974" s="211">
        <v>0</v>
      </c>
      <c r="R974" s="940"/>
      <c r="S974" s="211">
        <v>692284</v>
      </c>
      <c r="T974" s="212">
        <v>0</v>
      </c>
      <c r="U974" s="290">
        <v>0</v>
      </c>
      <c r="V974" s="282"/>
      <c r="W974" s="282"/>
      <c r="X974" s="282" t="e">
        <f>S974/R974</f>
        <v>#DIV/0!</v>
      </c>
    </row>
    <row r="975" spans="1:53" s="18" customFormat="1" ht="30">
      <c r="A975" s="198"/>
      <c r="B975" s="214" t="s">
        <v>120</v>
      </c>
      <c r="C975" s="211">
        <v>238576.03</v>
      </c>
      <c r="D975" s="211"/>
      <c r="E975" s="211"/>
      <c r="F975" s="211"/>
      <c r="G975" s="211"/>
      <c r="H975" s="211"/>
      <c r="I975" s="211"/>
      <c r="J975" s="211"/>
      <c r="K975" s="211">
        <v>238576.03</v>
      </c>
      <c r="L975" s="212">
        <v>0</v>
      </c>
      <c r="M975" s="211">
        <v>0</v>
      </c>
      <c r="N975" s="211">
        <v>0</v>
      </c>
      <c r="O975" s="211">
        <v>0</v>
      </c>
      <c r="P975" s="213">
        <v>0</v>
      </c>
      <c r="Q975" s="211">
        <v>0</v>
      </c>
      <c r="R975" s="213">
        <v>0</v>
      </c>
      <c r="S975" s="211">
        <v>0</v>
      </c>
      <c r="T975" s="212">
        <v>0</v>
      </c>
      <c r="U975" s="290">
        <v>0</v>
      </c>
      <c r="V975" s="282"/>
      <c r="W975" s="282"/>
      <c r="X975" s="282"/>
    </row>
    <row r="976" spans="1:53">
      <c r="A976" s="198">
        <v>363</v>
      </c>
      <c r="B976" s="216" t="s">
        <v>445</v>
      </c>
      <c r="C976" s="211">
        <v>238576.03</v>
      </c>
      <c r="D976" s="211"/>
      <c r="E976" s="211"/>
      <c r="F976" s="211"/>
      <c r="G976" s="211"/>
      <c r="H976" s="211"/>
      <c r="I976" s="211"/>
      <c r="J976" s="211"/>
      <c r="K976" s="211">
        <v>238576.03</v>
      </c>
      <c r="L976" s="212">
        <v>0</v>
      </c>
      <c r="M976" s="211">
        <v>0</v>
      </c>
      <c r="N976" s="211">
        <v>0</v>
      </c>
      <c r="O976" s="211">
        <v>0</v>
      </c>
      <c r="P976" s="213">
        <v>0</v>
      </c>
      <c r="Q976" s="211">
        <v>0</v>
      </c>
      <c r="R976" s="213">
        <v>0</v>
      </c>
      <c r="S976" s="211">
        <v>0</v>
      </c>
      <c r="T976" s="212">
        <v>0</v>
      </c>
      <c r="U976" s="290">
        <v>0</v>
      </c>
      <c r="V976" s="282"/>
      <c r="W976" s="282"/>
      <c r="X976" s="282"/>
    </row>
    <row r="977" spans="1:31">
      <c r="A977" s="198"/>
      <c r="B977" s="216" t="s">
        <v>57</v>
      </c>
      <c r="C977" s="211">
        <v>2349784.02</v>
      </c>
      <c r="D977" s="211"/>
      <c r="E977" s="211"/>
      <c r="F977" s="211"/>
      <c r="G977" s="211"/>
      <c r="H977" s="211"/>
      <c r="I977" s="211"/>
      <c r="J977" s="211"/>
      <c r="K977" s="211">
        <v>0</v>
      </c>
      <c r="L977" s="212">
        <v>0</v>
      </c>
      <c r="M977" s="211">
        <v>0</v>
      </c>
      <c r="N977" s="211">
        <v>709</v>
      </c>
      <c r="O977" s="211">
        <v>2349784.02</v>
      </c>
      <c r="P977" s="213">
        <v>0</v>
      </c>
      <c r="Q977" s="211">
        <v>0</v>
      </c>
      <c r="R977" s="213">
        <v>0</v>
      </c>
      <c r="S977" s="211">
        <v>0</v>
      </c>
      <c r="T977" s="212">
        <v>0</v>
      </c>
      <c r="U977" s="290">
        <v>0</v>
      </c>
      <c r="V977" s="282"/>
      <c r="W977" s="282"/>
      <c r="X977" s="282"/>
    </row>
    <row r="978" spans="1:31" ht="30">
      <c r="A978" s="198"/>
      <c r="B978" s="214" t="s">
        <v>119</v>
      </c>
      <c r="C978" s="211">
        <f>C979+C980</f>
        <v>2547865</v>
      </c>
      <c r="D978" s="211">
        <f t="shared" ref="D978:U978" si="162">D979+D980</f>
        <v>0</v>
      </c>
      <c r="E978" s="211">
        <f t="shared" si="162"/>
        <v>0</v>
      </c>
      <c r="F978" s="211">
        <f t="shared" si="162"/>
        <v>0</v>
      </c>
      <c r="G978" s="211">
        <f t="shared" si="162"/>
        <v>0</v>
      </c>
      <c r="H978" s="211">
        <f t="shared" si="162"/>
        <v>0</v>
      </c>
      <c r="I978" s="211">
        <f t="shared" si="162"/>
        <v>0</v>
      </c>
      <c r="J978" s="211">
        <f t="shared" si="162"/>
        <v>0</v>
      </c>
      <c r="K978" s="211">
        <f t="shared" si="162"/>
        <v>0</v>
      </c>
      <c r="L978" s="211">
        <f t="shared" si="162"/>
        <v>0</v>
      </c>
      <c r="M978" s="211">
        <f t="shared" si="162"/>
        <v>0</v>
      </c>
      <c r="N978" s="211">
        <f t="shared" si="162"/>
        <v>840</v>
      </c>
      <c r="O978" s="211">
        <f t="shared" si="162"/>
        <v>2107512</v>
      </c>
      <c r="P978" s="211">
        <f t="shared" si="162"/>
        <v>430</v>
      </c>
      <c r="Q978" s="211">
        <f t="shared" si="162"/>
        <v>440353</v>
      </c>
      <c r="R978" s="211">
        <f t="shared" si="162"/>
        <v>0</v>
      </c>
      <c r="S978" s="211">
        <f t="shared" si="162"/>
        <v>0</v>
      </c>
      <c r="T978" s="211">
        <f t="shared" si="162"/>
        <v>0</v>
      </c>
      <c r="U978" s="211">
        <f t="shared" si="162"/>
        <v>0</v>
      </c>
      <c r="V978" s="282"/>
      <c r="W978" s="282"/>
      <c r="X978" s="282"/>
    </row>
    <row r="979" spans="1:31" ht="15.75">
      <c r="A979" s="198">
        <v>364</v>
      </c>
      <c r="B979" s="911" t="s">
        <v>982</v>
      </c>
      <c r="C979" s="211">
        <f>'часть 1'!L994</f>
        <v>440353</v>
      </c>
      <c r="D979" s="211">
        <v>0</v>
      </c>
      <c r="E979" s="211">
        <v>0</v>
      </c>
      <c r="F979" s="211">
        <v>0</v>
      </c>
      <c r="G979" s="211">
        <v>0</v>
      </c>
      <c r="H979" s="211">
        <v>0</v>
      </c>
      <c r="I979" s="211">
        <v>0</v>
      </c>
      <c r="J979" s="211">
        <v>0</v>
      </c>
      <c r="K979" s="211">
        <v>0</v>
      </c>
      <c r="L979" s="212">
        <v>0</v>
      </c>
      <c r="M979" s="211">
        <v>0</v>
      </c>
      <c r="N979" s="211">
        <v>0</v>
      </c>
      <c r="O979" s="211">
        <v>0</v>
      </c>
      <c r="P979" s="213">
        <v>430</v>
      </c>
      <c r="Q979" s="211">
        <v>440353</v>
      </c>
      <c r="R979" s="213">
        <v>0</v>
      </c>
      <c r="S979" s="211">
        <v>0</v>
      </c>
      <c r="T979" s="212">
        <v>0</v>
      </c>
      <c r="U979" s="290">
        <v>0</v>
      </c>
      <c r="V979" s="282"/>
      <c r="W979" s="282"/>
      <c r="X979" s="282"/>
      <c r="AE979" s="1">
        <f>Q979/P979</f>
        <v>1024.0767441860464</v>
      </c>
    </row>
    <row r="980" spans="1:31" ht="15.75">
      <c r="A980" s="198">
        <v>365</v>
      </c>
      <c r="B980" s="909" t="s">
        <v>983</v>
      </c>
      <c r="C980" s="211">
        <f>'часть 1'!L995</f>
        <v>2107512</v>
      </c>
      <c r="D980" s="211">
        <v>0</v>
      </c>
      <c r="E980" s="211">
        <v>0</v>
      </c>
      <c r="F980" s="211">
        <v>0</v>
      </c>
      <c r="G980" s="211">
        <v>0</v>
      </c>
      <c r="H980" s="211">
        <v>0</v>
      </c>
      <c r="I980" s="211">
        <v>0</v>
      </c>
      <c r="J980" s="211">
        <v>0</v>
      </c>
      <c r="K980" s="211">
        <v>0</v>
      </c>
      <c r="L980" s="212">
        <v>0</v>
      </c>
      <c r="M980" s="211">
        <v>0</v>
      </c>
      <c r="N980" s="211">
        <v>840</v>
      </c>
      <c r="O980" s="211">
        <v>2107512</v>
      </c>
      <c r="P980" s="213">
        <v>0</v>
      </c>
      <c r="Q980" s="211">
        <v>0</v>
      </c>
      <c r="R980" s="213">
        <v>0</v>
      </c>
      <c r="S980" s="211">
        <v>0</v>
      </c>
      <c r="T980" s="212">
        <v>0</v>
      </c>
      <c r="U980" s="290">
        <v>0</v>
      </c>
      <c r="V980" s="282"/>
      <c r="W980" s="282">
        <f>O980/N980</f>
        <v>2508.9428571428571</v>
      </c>
      <c r="X980" s="282"/>
    </row>
    <row r="981" spans="1:31">
      <c r="A981" s="198"/>
      <c r="B981" s="216" t="s">
        <v>58</v>
      </c>
      <c r="C981" s="211">
        <v>12228909</v>
      </c>
      <c r="D981" s="211"/>
      <c r="E981" s="211"/>
      <c r="F981" s="211"/>
      <c r="G981" s="211"/>
      <c r="H981" s="211"/>
      <c r="I981" s="211"/>
      <c r="J981" s="211"/>
      <c r="K981" s="211">
        <v>215709</v>
      </c>
      <c r="L981" s="212">
        <v>0</v>
      </c>
      <c r="M981" s="211">
        <v>0</v>
      </c>
      <c r="N981" s="211">
        <v>6001.34</v>
      </c>
      <c r="O981" s="211">
        <v>12013200</v>
      </c>
      <c r="P981" s="213">
        <v>0</v>
      </c>
      <c r="Q981" s="211">
        <v>0</v>
      </c>
      <c r="R981" s="213">
        <v>0</v>
      </c>
      <c r="S981" s="211">
        <v>0</v>
      </c>
      <c r="T981" s="212">
        <v>0</v>
      </c>
      <c r="U981" s="290">
        <v>0</v>
      </c>
      <c r="V981" s="282"/>
      <c r="W981" s="282"/>
      <c r="X981" s="282"/>
    </row>
    <row r="982" spans="1:31" ht="30">
      <c r="A982" s="198"/>
      <c r="B982" s="214" t="s">
        <v>87</v>
      </c>
      <c r="C982" s="211">
        <v>12228909</v>
      </c>
      <c r="D982" s="211"/>
      <c r="E982" s="211"/>
      <c r="F982" s="211"/>
      <c r="G982" s="211"/>
      <c r="H982" s="211"/>
      <c r="I982" s="211"/>
      <c r="J982" s="211"/>
      <c r="K982" s="211">
        <v>215709</v>
      </c>
      <c r="L982" s="212">
        <v>0</v>
      </c>
      <c r="M982" s="211">
        <v>0</v>
      </c>
      <c r="N982" s="211">
        <v>6001.34</v>
      </c>
      <c r="O982" s="211">
        <v>12013200</v>
      </c>
      <c r="P982" s="213">
        <v>0</v>
      </c>
      <c r="Q982" s="211">
        <v>0</v>
      </c>
      <c r="R982" s="213">
        <v>0</v>
      </c>
      <c r="S982" s="211">
        <v>0</v>
      </c>
      <c r="T982" s="212">
        <v>0</v>
      </c>
      <c r="U982" s="290">
        <v>0</v>
      </c>
      <c r="V982" s="282"/>
      <c r="W982" s="282"/>
      <c r="X982" s="282"/>
    </row>
    <row r="983" spans="1:31" s="29" customFormat="1">
      <c r="A983" s="198">
        <v>366</v>
      </c>
      <c r="B983" s="238" t="s">
        <v>84</v>
      </c>
      <c r="C983" s="232">
        <v>1668544</v>
      </c>
      <c r="D983" s="232"/>
      <c r="E983" s="232"/>
      <c r="F983" s="232"/>
      <c r="G983" s="232"/>
      <c r="H983" s="232"/>
      <c r="I983" s="232"/>
      <c r="J983" s="232"/>
      <c r="K983" s="196">
        <v>0</v>
      </c>
      <c r="L983" s="204">
        <v>0</v>
      </c>
      <c r="M983" s="209">
        <v>0</v>
      </c>
      <c r="N983" s="199">
        <v>840</v>
      </c>
      <c r="O983" s="237">
        <v>1668544</v>
      </c>
      <c r="P983" s="200">
        <v>0</v>
      </c>
      <c r="Q983" s="199">
        <v>0</v>
      </c>
      <c r="R983" s="200">
        <v>0</v>
      </c>
      <c r="S983" s="199">
        <v>0</v>
      </c>
      <c r="T983" s="208">
        <v>0</v>
      </c>
      <c r="U983" s="294">
        <v>0</v>
      </c>
      <c r="V983" s="282"/>
      <c r="W983" s="282"/>
      <c r="X983" s="282"/>
    </row>
    <row r="984" spans="1:31" s="29" customFormat="1">
      <c r="A984" s="198">
        <v>367</v>
      </c>
      <c r="B984" s="238" t="s">
        <v>425</v>
      </c>
      <c r="C984" s="211">
        <v>2239107</v>
      </c>
      <c r="D984" s="211"/>
      <c r="E984" s="211"/>
      <c r="F984" s="211"/>
      <c r="G984" s="211"/>
      <c r="H984" s="211"/>
      <c r="I984" s="211"/>
      <c r="J984" s="211"/>
      <c r="K984" s="196">
        <v>0</v>
      </c>
      <c r="L984" s="204">
        <v>0</v>
      </c>
      <c r="M984" s="209">
        <v>0</v>
      </c>
      <c r="N984" s="199">
        <v>1101</v>
      </c>
      <c r="O984" s="237">
        <v>2239107</v>
      </c>
      <c r="P984" s="200">
        <v>0</v>
      </c>
      <c r="Q984" s="199">
        <v>0</v>
      </c>
      <c r="R984" s="200">
        <v>0</v>
      </c>
      <c r="S984" s="199">
        <v>0</v>
      </c>
      <c r="T984" s="208">
        <v>0</v>
      </c>
      <c r="U984" s="294">
        <v>0</v>
      </c>
      <c r="V984" s="282"/>
      <c r="W984" s="282"/>
      <c r="X984" s="282"/>
    </row>
    <row r="985" spans="1:31" s="29" customFormat="1">
      <c r="A985" s="198">
        <v>368</v>
      </c>
      <c r="B985" s="238" t="s">
        <v>433</v>
      </c>
      <c r="C985" s="232">
        <v>215709</v>
      </c>
      <c r="D985" s="232"/>
      <c r="E985" s="232"/>
      <c r="F985" s="232"/>
      <c r="G985" s="232"/>
      <c r="H985" s="232"/>
      <c r="I985" s="232"/>
      <c r="J985" s="232"/>
      <c r="K985" s="196">
        <v>215709</v>
      </c>
      <c r="L985" s="204">
        <v>0</v>
      </c>
      <c r="M985" s="209">
        <v>0</v>
      </c>
      <c r="N985" s="199">
        <v>0</v>
      </c>
      <c r="O985" s="237">
        <v>0</v>
      </c>
      <c r="P985" s="200">
        <v>0</v>
      </c>
      <c r="Q985" s="199">
        <v>0</v>
      </c>
      <c r="R985" s="200">
        <v>0</v>
      </c>
      <c r="S985" s="199">
        <v>0</v>
      </c>
      <c r="T985" s="208">
        <v>0</v>
      </c>
      <c r="U985" s="294">
        <v>0</v>
      </c>
      <c r="V985" s="282"/>
      <c r="W985" s="282"/>
      <c r="X985" s="282"/>
    </row>
    <row r="986" spans="1:31" s="29" customFormat="1">
      <c r="A986" s="198">
        <v>369</v>
      </c>
      <c r="B986" s="238" t="s">
        <v>79</v>
      </c>
      <c r="C986" s="211">
        <v>706234</v>
      </c>
      <c r="D986" s="211"/>
      <c r="E986" s="211"/>
      <c r="F986" s="211"/>
      <c r="G986" s="211"/>
      <c r="H986" s="211"/>
      <c r="I986" s="211"/>
      <c r="J986" s="211"/>
      <c r="K986" s="196">
        <v>0</v>
      </c>
      <c r="L986" s="204">
        <v>0</v>
      </c>
      <c r="M986" s="209">
        <v>0</v>
      </c>
      <c r="N986" s="199">
        <v>348</v>
      </c>
      <c r="O986" s="237">
        <v>706234</v>
      </c>
      <c r="P986" s="200">
        <v>0</v>
      </c>
      <c r="Q986" s="199">
        <v>0</v>
      </c>
      <c r="R986" s="200">
        <v>0</v>
      </c>
      <c r="S986" s="199">
        <v>0</v>
      </c>
      <c r="T986" s="208">
        <v>0</v>
      </c>
      <c r="U986" s="294">
        <v>0</v>
      </c>
      <c r="V986" s="282"/>
      <c r="W986" s="282"/>
      <c r="X986" s="282"/>
    </row>
    <row r="987" spans="1:31" s="29" customFormat="1">
      <c r="A987" s="198">
        <v>370</v>
      </c>
      <c r="B987" s="238" t="s">
        <v>78</v>
      </c>
      <c r="C987" s="211">
        <v>651603</v>
      </c>
      <c r="D987" s="211"/>
      <c r="E987" s="211"/>
      <c r="F987" s="211"/>
      <c r="G987" s="211"/>
      <c r="H987" s="211"/>
      <c r="I987" s="211"/>
      <c r="J987" s="211"/>
      <c r="K987" s="196">
        <v>0</v>
      </c>
      <c r="L987" s="204">
        <v>0</v>
      </c>
      <c r="M987" s="209">
        <v>0</v>
      </c>
      <c r="N987" s="199">
        <v>320</v>
      </c>
      <c r="O987" s="237">
        <v>651603</v>
      </c>
      <c r="P987" s="200">
        <v>0</v>
      </c>
      <c r="Q987" s="199">
        <v>0</v>
      </c>
      <c r="R987" s="200">
        <v>0</v>
      </c>
      <c r="S987" s="199">
        <v>0</v>
      </c>
      <c r="T987" s="208">
        <v>0</v>
      </c>
      <c r="U987" s="294">
        <v>0</v>
      </c>
      <c r="V987" s="282"/>
      <c r="W987" s="282"/>
      <c r="X987" s="282"/>
    </row>
    <row r="988" spans="1:31" s="29" customFormat="1">
      <c r="A988" s="198">
        <v>371</v>
      </c>
      <c r="B988" s="238" t="s">
        <v>426</v>
      </c>
      <c r="C988" s="232">
        <v>698701</v>
      </c>
      <c r="D988" s="232"/>
      <c r="E988" s="232"/>
      <c r="F988" s="232"/>
      <c r="G988" s="232"/>
      <c r="H988" s="232"/>
      <c r="I988" s="232"/>
      <c r="J988" s="232"/>
      <c r="K988" s="196">
        <v>0</v>
      </c>
      <c r="L988" s="204">
        <v>0</v>
      </c>
      <c r="M988" s="209">
        <v>0</v>
      </c>
      <c r="N988" s="199">
        <v>352</v>
      </c>
      <c r="O988" s="237">
        <v>698701</v>
      </c>
      <c r="P988" s="200">
        <v>0</v>
      </c>
      <c r="Q988" s="199">
        <v>0</v>
      </c>
      <c r="R988" s="200">
        <v>0</v>
      </c>
      <c r="S988" s="199">
        <v>0</v>
      </c>
      <c r="T988" s="208">
        <v>0</v>
      </c>
      <c r="U988" s="294">
        <v>0</v>
      </c>
      <c r="V988" s="282"/>
      <c r="W988" s="282"/>
      <c r="X988" s="282"/>
    </row>
    <row r="989" spans="1:31" s="29" customFormat="1">
      <c r="A989" s="198">
        <v>372</v>
      </c>
      <c r="B989" s="238" t="s">
        <v>80</v>
      </c>
      <c r="C989" s="232">
        <v>1512903</v>
      </c>
      <c r="D989" s="232"/>
      <c r="E989" s="232"/>
      <c r="F989" s="232"/>
      <c r="G989" s="232"/>
      <c r="H989" s="232"/>
      <c r="I989" s="232"/>
      <c r="J989" s="232"/>
      <c r="K989" s="196">
        <v>0</v>
      </c>
      <c r="L989" s="204">
        <v>0</v>
      </c>
      <c r="M989" s="209">
        <v>0</v>
      </c>
      <c r="N989" s="199">
        <v>762</v>
      </c>
      <c r="O989" s="237">
        <v>1512903</v>
      </c>
      <c r="P989" s="200">
        <v>0</v>
      </c>
      <c r="Q989" s="199">
        <v>0</v>
      </c>
      <c r="R989" s="200">
        <v>0</v>
      </c>
      <c r="S989" s="199">
        <v>0</v>
      </c>
      <c r="T989" s="208">
        <v>0</v>
      </c>
      <c r="U989" s="294">
        <v>0</v>
      </c>
      <c r="V989" s="282"/>
      <c r="W989" s="282"/>
      <c r="X989" s="282"/>
    </row>
    <row r="990" spans="1:31" s="29" customFormat="1">
      <c r="A990" s="198">
        <v>373</v>
      </c>
      <c r="B990" s="238" t="s">
        <v>81</v>
      </c>
      <c r="C990" s="232">
        <v>2294873</v>
      </c>
      <c r="D990" s="232"/>
      <c r="E990" s="232"/>
      <c r="F990" s="232"/>
      <c r="G990" s="232"/>
      <c r="H990" s="232"/>
      <c r="I990" s="232"/>
      <c r="J990" s="232"/>
      <c r="K990" s="196">
        <v>0</v>
      </c>
      <c r="L990" s="204">
        <v>0</v>
      </c>
      <c r="M990" s="209">
        <v>0</v>
      </c>
      <c r="N990" s="199">
        <v>1162</v>
      </c>
      <c r="O990" s="237">
        <v>2294873</v>
      </c>
      <c r="P990" s="200">
        <v>0</v>
      </c>
      <c r="Q990" s="199">
        <v>0</v>
      </c>
      <c r="R990" s="230">
        <v>0</v>
      </c>
      <c r="S990" s="237">
        <v>0</v>
      </c>
      <c r="T990" s="208">
        <v>0</v>
      </c>
      <c r="U990" s="294">
        <v>0</v>
      </c>
      <c r="V990" s="282"/>
      <c r="W990" s="282"/>
      <c r="X990" s="282"/>
    </row>
    <row r="991" spans="1:31" s="29" customFormat="1">
      <c r="A991" s="198">
        <v>374</v>
      </c>
      <c r="B991" s="238" t="s">
        <v>82</v>
      </c>
      <c r="C991" s="232">
        <v>879987</v>
      </c>
      <c r="D991" s="232"/>
      <c r="E991" s="232"/>
      <c r="F991" s="232"/>
      <c r="G991" s="232"/>
      <c r="H991" s="232"/>
      <c r="I991" s="232"/>
      <c r="J991" s="232"/>
      <c r="K991" s="196">
        <v>0</v>
      </c>
      <c r="L991" s="204">
        <v>0</v>
      </c>
      <c r="M991" s="209">
        <v>0</v>
      </c>
      <c r="N991" s="199">
        <v>436.34</v>
      </c>
      <c r="O991" s="237">
        <v>879987</v>
      </c>
      <c r="P991" s="200">
        <v>0</v>
      </c>
      <c r="Q991" s="199">
        <v>0</v>
      </c>
      <c r="R991" s="200">
        <v>0</v>
      </c>
      <c r="S991" s="237">
        <v>0</v>
      </c>
      <c r="T991" s="208">
        <v>0</v>
      </c>
      <c r="U991" s="294">
        <v>0</v>
      </c>
      <c r="V991" s="282"/>
      <c r="W991" s="282"/>
      <c r="X991" s="282"/>
    </row>
    <row r="992" spans="1:31" s="29" customFormat="1">
      <c r="A992" s="198">
        <v>375</v>
      </c>
      <c r="B992" s="238" t="s">
        <v>83</v>
      </c>
      <c r="C992" s="232">
        <v>1361248</v>
      </c>
      <c r="D992" s="232"/>
      <c r="E992" s="232"/>
      <c r="F992" s="232"/>
      <c r="G992" s="232"/>
      <c r="H992" s="232"/>
      <c r="I992" s="232"/>
      <c r="J992" s="232"/>
      <c r="K992" s="196">
        <v>0</v>
      </c>
      <c r="L992" s="204">
        <v>0</v>
      </c>
      <c r="M992" s="209">
        <v>0</v>
      </c>
      <c r="N992" s="199">
        <v>680</v>
      </c>
      <c r="O992" s="237">
        <v>1361248</v>
      </c>
      <c r="P992" s="200">
        <v>0</v>
      </c>
      <c r="Q992" s="199">
        <v>0</v>
      </c>
      <c r="R992" s="230">
        <v>0</v>
      </c>
      <c r="S992" s="237">
        <v>0</v>
      </c>
      <c r="T992" s="208">
        <v>0</v>
      </c>
      <c r="U992" s="294">
        <v>0</v>
      </c>
      <c r="V992" s="282"/>
      <c r="W992" s="282"/>
      <c r="X992" s="282"/>
    </row>
    <row r="993" spans="1:26" ht="25.9" customHeight="1">
      <c r="A993" s="487"/>
      <c r="B993" s="501" t="s">
        <v>59</v>
      </c>
      <c r="C993" s="498">
        <f>C994+C995</f>
        <v>0</v>
      </c>
      <c r="D993" s="498">
        <f t="shared" ref="D993:V993" si="163">D994+D995</f>
        <v>0</v>
      </c>
      <c r="E993" s="498">
        <f t="shared" si="163"/>
        <v>0</v>
      </c>
      <c r="F993" s="498">
        <f t="shared" si="163"/>
        <v>0</v>
      </c>
      <c r="G993" s="498">
        <f t="shared" si="163"/>
        <v>0</v>
      </c>
      <c r="H993" s="498">
        <f t="shared" si="163"/>
        <v>0</v>
      </c>
      <c r="I993" s="498">
        <f t="shared" si="163"/>
        <v>0</v>
      </c>
      <c r="J993" s="498">
        <f t="shared" si="163"/>
        <v>0</v>
      </c>
      <c r="K993" s="498">
        <f t="shared" si="163"/>
        <v>0</v>
      </c>
      <c r="L993" s="498">
        <f t="shared" si="163"/>
        <v>0</v>
      </c>
      <c r="M993" s="498">
        <f t="shared" si="163"/>
        <v>0</v>
      </c>
      <c r="N993" s="498">
        <f t="shared" si="163"/>
        <v>0</v>
      </c>
      <c r="O993" s="498">
        <f t="shared" si="163"/>
        <v>0</v>
      </c>
      <c r="P993" s="498">
        <f t="shared" si="163"/>
        <v>0</v>
      </c>
      <c r="Q993" s="498">
        <f t="shared" si="163"/>
        <v>0</v>
      </c>
      <c r="R993" s="498">
        <f t="shared" si="163"/>
        <v>0</v>
      </c>
      <c r="S993" s="498">
        <f t="shared" si="163"/>
        <v>0</v>
      </c>
      <c r="T993" s="498">
        <f t="shared" si="163"/>
        <v>0</v>
      </c>
      <c r="U993" s="498">
        <f t="shared" si="163"/>
        <v>0</v>
      </c>
      <c r="V993" s="211">
        <f t="shared" si="163"/>
        <v>0</v>
      </c>
      <c r="W993" s="282"/>
      <c r="X993" s="282"/>
    </row>
    <row r="994" spans="1:26" ht="38.450000000000003" customHeight="1">
      <c r="A994" s="487"/>
      <c r="B994" s="505" t="s">
        <v>86</v>
      </c>
      <c r="C994" s="557">
        <v>0</v>
      </c>
      <c r="D994" s="557">
        <v>0</v>
      </c>
      <c r="E994" s="557">
        <v>0</v>
      </c>
      <c r="F994" s="557">
        <v>0</v>
      </c>
      <c r="G994" s="557">
        <v>0</v>
      </c>
      <c r="H994" s="557">
        <v>0</v>
      </c>
      <c r="I994" s="557">
        <v>0</v>
      </c>
      <c r="J994" s="557">
        <v>0</v>
      </c>
      <c r="K994" s="557">
        <v>0</v>
      </c>
      <c r="L994" s="926">
        <v>0</v>
      </c>
      <c r="M994" s="557">
        <v>0</v>
      </c>
      <c r="N994" s="557">
        <v>0</v>
      </c>
      <c r="O994" s="557">
        <v>0</v>
      </c>
      <c r="P994" s="927">
        <v>0</v>
      </c>
      <c r="Q994" s="557">
        <v>0</v>
      </c>
      <c r="R994" s="557">
        <v>0</v>
      </c>
      <c r="S994" s="557">
        <v>0</v>
      </c>
      <c r="T994" s="926">
        <v>0</v>
      </c>
      <c r="U994" s="928">
        <v>0</v>
      </c>
      <c r="V994" s="282"/>
      <c r="W994" s="282"/>
      <c r="X994" s="282"/>
      <c r="Y994" s="30"/>
      <c r="Z994" s="30"/>
    </row>
    <row r="995" spans="1:26" ht="30">
      <c r="A995" s="487"/>
      <c r="B995" s="505" t="s">
        <v>85</v>
      </c>
      <c r="C995" s="557">
        <v>0</v>
      </c>
      <c r="D995" s="557">
        <v>0</v>
      </c>
      <c r="E995" s="557">
        <v>0</v>
      </c>
      <c r="F995" s="557">
        <v>0</v>
      </c>
      <c r="G995" s="557">
        <v>0</v>
      </c>
      <c r="H995" s="557">
        <v>0</v>
      </c>
      <c r="I995" s="557">
        <v>0</v>
      </c>
      <c r="J995" s="557">
        <v>0</v>
      </c>
      <c r="K995" s="557">
        <v>0</v>
      </c>
      <c r="L995" s="926">
        <v>0</v>
      </c>
      <c r="M995" s="557">
        <v>0</v>
      </c>
      <c r="N995" s="557">
        <v>0</v>
      </c>
      <c r="O995" s="557">
        <v>0</v>
      </c>
      <c r="P995" s="927">
        <v>0</v>
      </c>
      <c r="Q995" s="557">
        <v>0</v>
      </c>
      <c r="R995" s="927">
        <v>0</v>
      </c>
      <c r="S995" s="557">
        <v>0</v>
      </c>
      <c r="T995" s="929">
        <v>0</v>
      </c>
      <c r="U995" s="928">
        <v>0</v>
      </c>
      <c r="V995" s="282"/>
      <c r="W995" s="282"/>
      <c r="X995" s="282"/>
      <c r="Y995" s="92"/>
      <c r="Z995" s="92"/>
    </row>
    <row r="996" spans="1:26">
      <c r="A996" s="198"/>
      <c r="B996" s="216" t="s">
        <v>60</v>
      </c>
      <c r="C996" s="211">
        <v>9462538</v>
      </c>
      <c r="D996" s="211"/>
      <c r="E996" s="211"/>
      <c r="F996" s="211"/>
      <c r="G996" s="211"/>
      <c r="H996" s="211"/>
      <c r="I996" s="211"/>
      <c r="J996" s="211"/>
      <c r="K996" s="211">
        <v>0</v>
      </c>
      <c r="L996" s="212">
        <v>0</v>
      </c>
      <c r="M996" s="211">
        <v>0</v>
      </c>
      <c r="N996" s="211">
        <v>1596</v>
      </c>
      <c r="O996" s="211">
        <v>3173810</v>
      </c>
      <c r="P996" s="213">
        <v>0</v>
      </c>
      <c r="Q996" s="211">
        <v>0</v>
      </c>
      <c r="R996" s="211">
        <v>4347</v>
      </c>
      <c r="S996" s="211">
        <v>6288728</v>
      </c>
      <c r="T996" s="212">
        <v>0</v>
      </c>
      <c r="U996" s="290">
        <v>0</v>
      </c>
      <c r="V996" s="282"/>
      <c r="W996" s="282"/>
      <c r="X996" s="282"/>
    </row>
    <row r="997" spans="1:26" ht="30">
      <c r="A997" s="198"/>
      <c r="B997" s="214" t="s">
        <v>113</v>
      </c>
      <c r="C997" s="211">
        <v>9462538</v>
      </c>
      <c r="D997" s="211"/>
      <c r="E997" s="211"/>
      <c r="F997" s="211"/>
      <c r="G997" s="211"/>
      <c r="H997" s="211"/>
      <c r="I997" s="211"/>
      <c r="J997" s="211"/>
      <c r="K997" s="211">
        <v>0</v>
      </c>
      <c r="L997" s="212">
        <v>0</v>
      </c>
      <c r="M997" s="211">
        <v>0</v>
      </c>
      <c r="N997" s="211">
        <v>1596</v>
      </c>
      <c r="O997" s="211">
        <v>3173810</v>
      </c>
      <c r="P997" s="213">
        <v>0</v>
      </c>
      <c r="Q997" s="211">
        <v>0</v>
      </c>
      <c r="R997" s="211">
        <v>4347</v>
      </c>
      <c r="S997" s="211">
        <v>6288728</v>
      </c>
      <c r="T997" s="212">
        <v>0</v>
      </c>
      <c r="U997" s="290">
        <v>0</v>
      </c>
      <c r="V997" s="282"/>
      <c r="W997" s="282"/>
      <c r="X997" s="282"/>
      <c r="Y997" s="10"/>
      <c r="Z997" s="10"/>
    </row>
    <row r="998" spans="1:26" s="32" customFormat="1">
      <c r="A998" s="198">
        <v>435</v>
      </c>
      <c r="B998" s="206" t="s">
        <v>76</v>
      </c>
      <c r="C998" s="232">
        <v>3626543</v>
      </c>
      <c r="D998" s="232"/>
      <c r="E998" s="232"/>
      <c r="F998" s="232"/>
      <c r="G998" s="232"/>
      <c r="H998" s="232"/>
      <c r="I998" s="232"/>
      <c r="J998" s="232"/>
      <c r="K998" s="211">
        <v>0</v>
      </c>
      <c r="L998" s="212">
        <v>0</v>
      </c>
      <c r="M998" s="211">
        <v>0</v>
      </c>
      <c r="N998" s="211">
        <v>0</v>
      </c>
      <c r="O998" s="211">
        <v>0</v>
      </c>
      <c r="P998" s="213">
        <v>0</v>
      </c>
      <c r="Q998" s="211">
        <v>0</v>
      </c>
      <c r="R998" s="232">
        <v>2511</v>
      </c>
      <c r="S998" s="232">
        <v>3626543</v>
      </c>
      <c r="T998" s="212">
        <v>0</v>
      </c>
      <c r="U998" s="290">
        <v>0</v>
      </c>
      <c r="V998" s="282"/>
      <c r="W998" s="282"/>
      <c r="X998" s="282"/>
      <c r="Y998" s="31"/>
      <c r="Z998" s="31"/>
    </row>
    <row r="999" spans="1:26" s="32" customFormat="1">
      <c r="A999" s="198">
        <v>436</v>
      </c>
      <c r="B999" s="206" t="s">
        <v>75</v>
      </c>
      <c r="C999" s="232">
        <v>2160246</v>
      </c>
      <c r="D999" s="232"/>
      <c r="E999" s="232"/>
      <c r="F999" s="232"/>
      <c r="G999" s="232"/>
      <c r="H999" s="232"/>
      <c r="I999" s="232"/>
      <c r="J999" s="232"/>
      <c r="K999" s="211">
        <v>0</v>
      </c>
      <c r="L999" s="212">
        <v>0</v>
      </c>
      <c r="M999" s="211">
        <v>0</v>
      </c>
      <c r="N999" s="232">
        <v>1092</v>
      </c>
      <c r="O999" s="232">
        <v>2160246</v>
      </c>
      <c r="P999" s="213">
        <v>0</v>
      </c>
      <c r="Q999" s="211">
        <v>0</v>
      </c>
      <c r="R999" s="213">
        <v>0</v>
      </c>
      <c r="S999" s="211">
        <v>0</v>
      </c>
      <c r="T999" s="212">
        <v>0</v>
      </c>
      <c r="U999" s="290">
        <v>0</v>
      </c>
      <c r="V999" s="282"/>
      <c r="W999" s="282"/>
      <c r="X999" s="282"/>
      <c r="Y999" s="31"/>
      <c r="Z999" s="31"/>
    </row>
    <row r="1000" spans="1:26" s="32" customFormat="1">
      <c r="A1000" s="198">
        <v>437</v>
      </c>
      <c r="B1000" s="206" t="s">
        <v>77</v>
      </c>
      <c r="C1000" s="232">
        <v>1013564</v>
      </c>
      <c r="D1000" s="232"/>
      <c r="E1000" s="232"/>
      <c r="F1000" s="232"/>
      <c r="G1000" s="232"/>
      <c r="H1000" s="232"/>
      <c r="I1000" s="232"/>
      <c r="J1000" s="232"/>
      <c r="K1000" s="211">
        <v>0</v>
      </c>
      <c r="L1000" s="212">
        <v>0</v>
      </c>
      <c r="M1000" s="211">
        <v>0</v>
      </c>
      <c r="N1000" s="232">
        <v>504</v>
      </c>
      <c r="O1000" s="232">
        <v>1013564</v>
      </c>
      <c r="P1000" s="213">
        <v>0</v>
      </c>
      <c r="Q1000" s="211">
        <v>0</v>
      </c>
      <c r="R1000" s="213">
        <v>0</v>
      </c>
      <c r="S1000" s="211">
        <v>0</v>
      </c>
      <c r="T1000" s="212">
        <v>0</v>
      </c>
      <c r="U1000" s="290">
        <v>0</v>
      </c>
      <c r="V1000" s="282"/>
      <c r="W1000" s="282"/>
      <c r="X1000" s="282"/>
      <c r="Y1000" s="31"/>
      <c r="Z1000" s="31"/>
    </row>
    <row r="1001" spans="1:26" s="32" customFormat="1">
      <c r="A1001" s="198">
        <v>438</v>
      </c>
      <c r="B1001" s="206" t="s">
        <v>427</v>
      </c>
      <c r="C1001" s="232">
        <v>2662185</v>
      </c>
      <c r="D1001" s="232"/>
      <c r="E1001" s="232"/>
      <c r="F1001" s="232"/>
      <c r="G1001" s="232"/>
      <c r="H1001" s="232"/>
      <c r="I1001" s="232"/>
      <c r="J1001" s="232"/>
      <c r="K1001" s="211">
        <v>0</v>
      </c>
      <c r="L1001" s="212">
        <v>0</v>
      </c>
      <c r="M1001" s="211">
        <v>0</v>
      </c>
      <c r="N1001" s="211">
        <v>0</v>
      </c>
      <c r="O1001" s="211">
        <v>0</v>
      </c>
      <c r="P1001" s="213">
        <v>0</v>
      </c>
      <c r="Q1001" s="211">
        <v>0</v>
      </c>
      <c r="R1001" s="232">
        <v>1836</v>
      </c>
      <c r="S1001" s="232">
        <v>2662185</v>
      </c>
      <c r="T1001" s="212">
        <v>0</v>
      </c>
      <c r="U1001" s="290">
        <v>0</v>
      </c>
      <c r="V1001" s="282"/>
      <c r="W1001" s="282"/>
      <c r="X1001" s="282"/>
      <c r="Y1001" s="31"/>
      <c r="Z1001" s="31"/>
    </row>
    <row r="1002" spans="1:26" s="32" customFormat="1">
      <c r="A1002" s="198"/>
      <c r="B1002" s="206" t="s">
        <v>208</v>
      </c>
      <c r="C1002" s="232">
        <v>562350</v>
      </c>
      <c r="D1002" s="232"/>
      <c r="E1002" s="232"/>
      <c r="F1002" s="232"/>
      <c r="G1002" s="232"/>
      <c r="H1002" s="232"/>
      <c r="I1002" s="232"/>
      <c r="J1002" s="232"/>
      <c r="K1002" s="232">
        <v>0</v>
      </c>
      <c r="L1002" s="239">
        <v>0</v>
      </c>
      <c r="M1002" s="232">
        <v>0</v>
      </c>
      <c r="N1002" s="232">
        <v>275</v>
      </c>
      <c r="O1002" s="232">
        <v>562350</v>
      </c>
      <c r="P1002" s="230">
        <v>0</v>
      </c>
      <c r="Q1002" s="232">
        <v>0</v>
      </c>
      <c r="R1002" s="230">
        <v>0</v>
      </c>
      <c r="S1002" s="232">
        <v>0</v>
      </c>
      <c r="T1002" s="230">
        <v>0</v>
      </c>
      <c r="U1002" s="295">
        <v>0</v>
      </c>
      <c r="V1002" s="282"/>
      <c r="W1002" s="282"/>
      <c r="X1002" s="282"/>
      <c r="Y1002" s="31"/>
      <c r="Z1002" s="31"/>
    </row>
    <row r="1003" spans="1:26" s="32" customFormat="1" ht="30">
      <c r="A1003" s="198"/>
      <c r="B1003" s="214" t="s">
        <v>209</v>
      </c>
      <c r="C1003" s="232">
        <f>C1004</f>
        <v>423156</v>
      </c>
      <c r="D1003" s="232">
        <f t="shared" ref="D1003:U1003" si="164">D1004</f>
        <v>0</v>
      </c>
      <c r="E1003" s="232">
        <f t="shared" si="164"/>
        <v>0</v>
      </c>
      <c r="F1003" s="232">
        <f t="shared" si="164"/>
        <v>0</v>
      </c>
      <c r="G1003" s="232">
        <f t="shared" si="164"/>
        <v>0</v>
      </c>
      <c r="H1003" s="232">
        <f t="shared" si="164"/>
        <v>0</v>
      </c>
      <c r="I1003" s="232">
        <f t="shared" si="164"/>
        <v>0</v>
      </c>
      <c r="J1003" s="232">
        <f t="shared" si="164"/>
        <v>0</v>
      </c>
      <c r="K1003" s="232">
        <f t="shared" si="164"/>
        <v>0</v>
      </c>
      <c r="L1003" s="232">
        <f t="shared" si="164"/>
        <v>0</v>
      </c>
      <c r="M1003" s="232">
        <f t="shared" si="164"/>
        <v>0</v>
      </c>
      <c r="N1003" s="232">
        <f t="shared" si="164"/>
        <v>0</v>
      </c>
      <c r="O1003" s="232">
        <f t="shared" si="164"/>
        <v>0</v>
      </c>
      <c r="P1003" s="232">
        <f t="shared" si="164"/>
        <v>0</v>
      </c>
      <c r="Q1003" s="232">
        <f t="shared" si="164"/>
        <v>0</v>
      </c>
      <c r="R1003" s="232">
        <f t="shared" si="164"/>
        <v>275</v>
      </c>
      <c r="S1003" s="232">
        <f t="shared" si="164"/>
        <v>423156</v>
      </c>
      <c r="T1003" s="232">
        <f t="shared" si="164"/>
        <v>0</v>
      </c>
      <c r="U1003" s="232">
        <f t="shared" si="164"/>
        <v>0</v>
      </c>
      <c r="V1003" s="282"/>
      <c r="W1003" s="282"/>
      <c r="X1003" s="282"/>
      <c r="Y1003" s="31"/>
      <c r="Z1003" s="31"/>
    </row>
    <row r="1004" spans="1:26" s="32" customFormat="1">
      <c r="A1004" s="487">
        <v>439</v>
      </c>
      <c r="B1004" s="506" t="s">
        <v>479</v>
      </c>
      <c r="C1004" s="507">
        <v>423156</v>
      </c>
      <c r="D1004" s="507">
        <v>0</v>
      </c>
      <c r="E1004" s="507">
        <v>0</v>
      </c>
      <c r="F1004" s="507">
        <v>0</v>
      </c>
      <c r="G1004" s="507">
        <v>0</v>
      </c>
      <c r="H1004" s="507">
        <v>0</v>
      </c>
      <c r="I1004" s="507">
        <v>0</v>
      </c>
      <c r="J1004" s="507">
        <v>0</v>
      </c>
      <c r="K1004" s="498">
        <v>0</v>
      </c>
      <c r="L1004" s="502">
        <v>0</v>
      </c>
      <c r="M1004" s="498">
        <v>0</v>
      </c>
      <c r="N1004" s="498">
        <v>0</v>
      </c>
      <c r="O1004" s="498">
        <v>0</v>
      </c>
      <c r="P1004" s="503">
        <v>0</v>
      </c>
      <c r="Q1004" s="498">
        <v>0</v>
      </c>
      <c r="R1004" s="508">
        <v>275</v>
      </c>
      <c r="S1004" s="507">
        <v>423156</v>
      </c>
      <c r="T1004" s="502">
        <v>0</v>
      </c>
      <c r="U1004" s="504">
        <v>0</v>
      </c>
      <c r="V1004" s="282"/>
      <c r="W1004" s="282"/>
      <c r="X1004" s="282">
        <f>S1004/R1004</f>
        <v>1538.7490909090909</v>
      </c>
      <c r="Y1004" s="31"/>
      <c r="Z1004" s="31"/>
    </row>
    <row r="1005" spans="1:26">
      <c r="A1005" s="198"/>
      <c r="B1005" s="216" t="s">
        <v>61</v>
      </c>
      <c r="C1005" s="211">
        <v>1267050</v>
      </c>
      <c r="D1005" s="211"/>
      <c r="E1005" s="211"/>
      <c r="F1005" s="211"/>
      <c r="G1005" s="211"/>
      <c r="H1005" s="211"/>
      <c r="I1005" s="211"/>
      <c r="J1005" s="211"/>
      <c r="K1005" s="211">
        <v>0</v>
      </c>
      <c r="L1005" s="212">
        <v>0</v>
      </c>
      <c r="M1005" s="211">
        <v>0</v>
      </c>
      <c r="N1005" s="211">
        <v>643</v>
      </c>
      <c r="O1005" s="211">
        <v>1267050</v>
      </c>
      <c r="P1005" s="213">
        <v>0</v>
      </c>
      <c r="Q1005" s="211">
        <v>0</v>
      </c>
      <c r="R1005" s="213">
        <v>0</v>
      </c>
      <c r="S1005" s="211">
        <v>0</v>
      </c>
      <c r="T1005" s="212">
        <v>0</v>
      </c>
      <c r="U1005" s="290">
        <v>0</v>
      </c>
      <c r="V1005" s="282"/>
      <c r="W1005" s="282"/>
      <c r="X1005" s="282"/>
    </row>
    <row r="1006" spans="1:26" ht="30">
      <c r="A1006" s="198"/>
      <c r="B1006" s="214" t="s">
        <v>118</v>
      </c>
      <c r="C1006" s="211">
        <f>C1007+C1008+C1009</f>
        <v>4886972</v>
      </c>
      <c r="D1006" s="211">
        <f t="shared" ref="D1006:U1006" si="165">D1007+D1008+D1009</f>
        <v>0</v>
      </c>
      <c r="E1006" s="211">
        <f t="shared" si="165"/>
        <v>0</v>
      </c>
      <c r="F1006" s="211">
        <f t="shared" si="165"/>
        <v>0</v>
      </c>
      <c r="G1006" s="211">
        <f t="shared" si="165"/>
        <v>0</v>
      </c>
      <c r="H1006" s="211">
        <f t="shared" si="165"/>
        <v>0</v>
      </c>
      <c r="I1006" s="211">
        <f t="shared" si="165"/>
        <v>0</v>
      </c>
      <c r="J1006" s="211">
        <f t="shared" si="165"/>
        <v>0</v>
      </c>
      <c r="K1006" s="211">
        <f t="shared" si="165"/>
        <v>0</v>
      </c>
      <c r="L1006" s="211">
        <f t="shared" si="165"/>
        <v>0</v>
      </c>
      <c r="M1006" s="211">
        <f t="shared" si="165"/>
        <v>0</v>
      </c>
      <c r="N1006" s="211">
        <f t="shared" si="165"/>
        <v>1530.7200000000003</v>
      </c>
      <c r="O1006" s="211">
        <f t="shared" si="165"/>
        <v>4886972</v>
      </c>
      <c r="P1006" s="211">
        <f t="shared" si="165"/>
        <v>0</v>
      </c>
      <c r="Q1006" s="211">
        <f t="shared" si="165"/>
        <v>0</v>
      </c>
      <c r="R1006" s="211">
        <f t="shared" si="165"/>
        <v>0</v>
      </c>
      <c r="S1006" s="211">
        <f t="shared" si="165"/>
        <v>0</v>
      </c>
      <c r="T1006" s="211">
        <f t="shared" si="165"/>
        <v>0</v>
      </c>
      <c r="U1006" s="211">
        <f t="shared" si="165"/>
        <v>0</v>
      </c>
      <c r="V1006" s="282"/>
      <c r="W1006" s="282"/>
      <c r="X1006" s="282"/>
    </row>
    <row r="1007" spans="1:26">
      <c r="A1007" s="487"/>
      <c r="B1007" s="499" t="s">
        <v>597</v>
      </c>
      <c r="C1007" s="498">
        <v>1449272</v>
      </c>
      <c r="D1007" s="498">
        <v>0</v>
      </c>
      <c r="E1007" s="498">
        <v>0</v>
      </c>
      <c r="F1007" s="498">
        <v>0</v>
      </c>
      <c r="G1007" s="498">
        <v>0</v>
      </c>
      <c r="H1007" s="498">
        <v>0</v>
      </c>
      <c r="I1007" s="498">
        <v>0</v>
      </c>
      <c r="J1007" s="498">
        <v>0</v>
      </c>
      <c r="K1007" s="498">
        <v>0</v>
      </c>
      <c r="L1007" s="498">
        <v>0</v>
      </c>
      <c r="M1007" s="498">
        <v>0</v>
      </c>
      <c r="N1007" s="498">
        <v>453.12</v>
      </c>
      <c r="O1007" s="498">
        <v>1449272</v>
      </c>
      <c r="P1007" s="498">
        <v>0</v>
      </c>
      <c r="Q1007" s="498">
        <v>0</v>
      </c>
      <c r="R1007" s="498">
        <v>0</v>
      </c>
      <c r="S1007" s="498">
        <v>0</v>
      </c>
      <c r="T1007" s="498">
        <v>0</v>
      </c>
      <c r="U1007" s="498">
        <v>0</v>
      </c>
      <c r="V1007" s="282"/>
      <c r="W1007" s="282">
        <f>O1007/N1007</f>
        <v>3198.4286723163841</v>
      </c>
      <c r="X1007" s="282"/>
    </row>
    <row r="1008" spans="1:26">
      <c r="A1008" s="487">
        <v>440</v>
      </c>
      <c r="B1008" s="499" t="s">
        <v>493</v>
      </c>
      <c r="C1008" s="498">
        <v>2576258</v>
      </c>
      <c r="D1008" s="498">
        <v>0</v>
      </c>
      <c r="E1008" s="498">
        <v>0</v>
      </c>
      <c r="F1008" s="498">
        <v>0</v>
      </c>
      <c r="G1008" s="498">
        <v>0</v>
      </c>
      <c r="H1008" s="498">
        <v>0</v>
      </c>
      <c r="I1008" s="498">
        <v>0</v>
      </c>
      <c r="J1008" s="498">
        <v>0</v>
      </c>
      <c r="K1008" s="498">
        <v>0</v>
      </c>
      <c r="L1008" s="502">
        <v>0</v>
      </c>
      <c r="M1008" s="498">
        <v>0</v>
      </c>
      <c r="N1008" s="498">
        <v>811.2</v>
      </c>
      <c r="O1008" s="498">
        <v>2576258</v>
      </c>
      <c r="P1008" s="503">
        <v>0</v>
      </c>
      <c r="Q1008" s="498">
        <v>0</v>
      </c>
      <c r="R1008" s="503">
        <v>0</v>
      </c>
      <c r="S1008" s="498">
        <v>0</v>
      </c>
      <c r="T1008" s="502">
        <v>0</v>
      </c>
      <c r="U1008" s="504">
        <v>0</v>
      </c>
      <c r="V1008" s="282"/>
      <c r="W1008" s="282">
        <f t="shared" ref="W1008:W1009" si="166">O1008/N1008</f>
        <v>3175.8604536489152</v>
      </c>
      <c r="X1008" s="282"/>
    </row>
    <row r="1009" spans="1:31">
      <c r="A1009" s="487"/>
      <c r="B1009" s="499" t="s">
        <v>494</v>
      </c>
      <c r="C1009" s="498">
        <v>861442</v>
      </c>
      <c r="D1009" s="498">
        <v>0</v>
      </c>
      <c r="E1009" s="498">
        <v>0</v>
      </c>
      <c r="F1009" s="498">
        <v>0</v>
      </c>
      <c r="G1009" s="498">
        <v>0</v>
      </c>
      <c r="H1009" s="498">
        <v>0</v>
      </c>
      <c r="I1009" s="498">
        <v>0</v>
      </c>
      <c r="J1009" s="498">
        <v>0</v>
      </c>
      <c r="K1009" s="498">
        <v>0</v>
      </c>
      <c r="L1009" s="502">
        <v>0</v>
      </c>
      <c r="M1009" s="498">
        <v>0</v>
      </c>
      <c r="N1009" s="498">
        <v>266.39999999999998</v>
      </c>
      <c r="O1009" s="498">
        <v>861442</v>
      </c>
      <c r="P1009" s="503">
        <v>0</v>
      </c>
      <c r="Q1009" s="498">
        <v>0</v>
      </c>
      <c r="R1009" s="503">
        <v>0</v>
      </c>
      <c r="S1009" s="498">
        <v>0</v>
      </c>
      <c r="T1009" s="502">
        <v>0</v>
      </c>
      <c r="U1009" s="504">
        <v>0</v>
      </c>
      <c r="V1009" s="282"/>
      <c r="W1009" s="282">
        <f t="shared" si="166"/>
        <v>3233.6411411411414</v>
      </c>
      <c r="X1009" s="282"/>
    </row>
    <row r="1010" spans="1:31" ht="17.45" customHeight="1">
      <c r="A1010" s="194"/>
      <c r="B1010" s="214" t="s">
        <v>649</v>
      </c>
      <c r="C1010" s="211">
        <f>C1011</f>
        <v>1577672</v>
      </c>
      <c r="D1010" s="211">
        <f t="shared" ref="D1010:V1010" si="167">D1011</f>
        <v>0</v>
      </c>
      <c r="E1010" s="211">
        <f t="shared" si="167"/>
        <v>0</v>
      </c>
      <c r="F1010" s="211">
        <f t="shared" si="167"/>
        <v>0</v>
      </c>
      <c r="G1010" s="211">
        <f t="shared" si="167"/>
        <v>0</v>
      </c>
      <c r="H1010" s="211">
        <f t="shared" si="167"/>
        <v>0</v>
      </c>
      <c r="I1010" s="211">
        <f t="shared" si="167"/>
        <v>0</v>
      </c>
      <c r="J1010" s="211">
        <f t="shared" si="167"/>
        <v>0</v>
      </c>
      <c r="K1010" s="211">
        <f t="shared" si="167"/>
        <v>0</v>
      </c>
      <c r="L1010" s="211">
        <f t="shared" si="167"/>
        <v>0</v>
      </c>
      <c r="M1010" s="211">
        <f t="shared" si="167"/>
        <v>0</v>
      </c>
      <c r="N1010" s="211">
        <f t="shared" si="167"/>
        <v>0</v>
      </c>
      <c r="O1010" s="211">
        <f t="shared" si="167"/>
        <v>0</v>
      </c>
      <c r="P1010" s="211">
        <f t="shared" si="167"/>
        <v>0</v>
      </c>
      <c r="Q1010" s="211">
        <f t="shared" si="167"/>
        <v>0</v>
      </c>
      <c r="R1010" s="211">
        <f t="shared" si="167"/>
        <v>1027.1600000000001</v>
      </c>
      <c r="S1010" s="211">
        <f t="shared" si="167"/>
        <v>1577672</v>
      </c>
      <c r="T1010" s="211">
        <f t="shared" si="167"/>
        <v>0</v>
      </c>
      <c r="U1010" s="211">
        <f t="shared" si="167"/>
        <v>0</v>
      </c>
      <c r="V1010" s="211">
        <f t="shared" si="167"/>
        <v>0</v>
      </c>
      <c r="W1010" s="282"/>
      <c r="X1010" s="282"/>
    </row>
    <row r="1011" spans="1:31" ht="30">
      <c r="A1011" s="194"/>
      <c r="B1011" s="214" t="s">
        <v>652</v>
      </c>
      <c r="C1011" s="211">
        <f>C1012+C1013</f>
        <v>1577672</v>
      </c>
      <c r="D1011" s="211">
        <f t="shared" ref="D1011:U1011" si="168">D1012+D1013</f>
        <v>0</v>
      </c>
      <c r="E1011" s="211">
        <f t="shared" si="168"/>
        <v>0</v>
      </c>
      <c r="F1011" s="211">
        <f t="shared" si="168"/>
        <v>0</v>
      </c>
      <c r="G1011" s="211">
        <f t="shared" si="168"/>
        <v>0</v>
      </c>
      <c r="H1011" s="211">
        <f t="shared" si="168"/>
        <v>0</v>
      </c>
      <c r="I1011" s="211">
        <f t="shared" si="168"/>
        <v>0</v>
      </c>
      <c r="J1011" s="211">
        <f t="shared" si="168"/>
        <v>0</v>
      </c>
      <c r="K1011" s="211">
        <f t="shared" si="168"/>
        <v>0</v>
      </c>
      <c r="L1011" s="211">
        <f t="shared" si="168"/>
        <v>0</v>
      </c>
      <c r="M1011" s="211">
        <f t="shared" si="168"/>
        <v>0</v>
      </c>
      <c r="N1011" s="211">
        <f t="shared" si="168"/>
        <v>0</v>
      </c>
      <c r="O1011" s="211">
        <f t="shared" si="168"/>
        <v>0</v>
      </c>
      <c r="P1011" s="211">
        <f t="shared" si="168"/>
        <v>0</v>
      </c>
      <c r="Q1011" s="211">
        <f t="shared" si="168"/>
        <v>0</v>
      </c>
      <c r="R1011" s="211">
        <f t="shared" si="168"/>
        <v>1027.1600000000001</v>
      </c>
      <c r="S1011" s="211">
        <f t="shared" si="168"/>
        <v>1577672</v>
      </c>
      <c r="T1011" s="211">
        <f t="shared" si="168"/>
        <v>0</v>
      </c>
      <c r="U1011" s="211">
        <f t="shared" si="168"/>
        <v>0</v>
      </c>
      <c r="V1011" s="282"/>
      <c r="W1011" s="282"/>
      <c r="X1011" s="282"/>
    </row>
    <row r="1012" spans="1:31" ht="15.75">
      <c r="A1012" s="194"/>
      <c r="B1012" s="567" t="s">
        <v>653</v>
      </c>
      <c r="C1012" s="211">
        <v>788836</v>
      </c>
      <c r="D1012" s="211">
        <v>0</v>
      </c>
      <c r="E1012" s="211">
        <v>0</v>
      </c>
      <c r="F1012" s="211">
        <v>0</v>
      </c>
      <c r="G1012" s="211">
        <v>0</v>
      </c>
      <c r="H1012" s="211">
        <v>0</v>
      </c>
      <c r="I1012" s="211">
        <v>0</v>
      </c>
      <c r="J1012" s="211">
        <v>0</v>
      </c>
      <c r="K1012" s="211">
        <v>0</v>
      </c>
      <c r="L1012" s="212">
        <v>0</v>
      </c>
      <c r="M1012" s="211">
        <v>0</v>
      </c>
      <c r="N1012" s="211">
        <v>0</v>
      </c>
      <c r="O1012" s="211">
        <v>0</v>
      </c>
      <c r="P1012" s="213">
        <v>0</v>
      </c>
      <c r="Q1012" s="211">
        <v>0</v>
      </c>
      <c r="R1012" s="213">
        <v>513.58000000000004</v>
      </c>
      <c r="S1012" s="211">
        <v>788836</v>
      </c>
      <c r="T1012" s="212">
        <v>0</v>
      </c>
      <c r="U1012" s="290">
        <v>0</v>
      </c>
      <c r="V1012" s="282"/>
      <c r="W1012" s="282"/>
      <c r="X1012" s="282">
        <f>S1012/R1012</f>
        <v>1535.9554499785816</v>
      </c>
    </row>
    <row r="1013" spans="1:31" ht="15.75">
      <c r="A1013" s="194"/>
      <c r="B1013" s="567" t="s">
        <v>654</v>
      </c>
      <c r="C1013" s="211">
        <v>788836</v>
      </c>
      <c r="D1013" s="211">
        <v>0</v>
      </c>
      <c r="E1013" s="211">
        <v>0</v>
      </c>
      <c r="F1013" s="211">
        <v>0</v>
      </c>
      <c r="G1013" s="211">
        <v>0</v>
      </c>
      <c r="H1013" s="211">
        <v>0</v>
      </c>
      <c r="I1013" s="211">
        <v>0</v>
      </c>
      <c r="J1013" s="211">
        <v>0</v>
      </c>
      <c r="K1013" s="211">
        <v>0</v>
      </c>
      <c r="L1013" s="212">
        <v>0</v>
      </c>
      <c r="M1013" s="211">
        <v>0</v>
      </c>
      <c r="N1013" s="211">
        <v>0</v>
      </c>
      <c r="O1013" s="211">
        <v>0</v>
      </c>
      <c r="P1013" s="213">
        <v>0</v>
      </c>
      <c r="Q1013" s="211">
        <v>0</v>
      </c>
      <c r="R1013" s="213">
        <v>513.58000000000004</v>
      </c>
      <c r="S1013" s="211">
        <v>788836</v>
      </c>
      <c r="T1013" s="212">
        <v>0</v>
      </c>
      <c r="U1013" s="290">
        <v>0</v>
      </c>
      <c r="V1013" s="282"/>
      <c r="W1013" s="282"/>
      <c r="X1013" s="282">
        <f>S1013/R1013</f>
        <v>1535.9554499785816</v>
      </c>
    </row>
    <row r="1014" spans="1:31">
      <c r="A1014" s="198"/>
      <c r="B1014" s="216" t="s">
        <v>62</v>
      </c>
      <c r="C1014" s="211">
        <v>974618</v>
      </c>
      <c r="D1014" s="211"/>
      <c r="E1014" s="211"/>
      <c r="F1014" s="211"/>
      <c r="G1014" s="211"/>
      <c r="H1014" s="211"/>
      <c r="I1014" s="211"/>
      <c r="J1014" s="211"/>
      <c r="K1014" s="211">
        <v>0</v>
      </c>
      <c r="L1014" s="212">
        <v>0</v>
      </c>
      <c r="M1014" s="211">
        <v>0</v>
      </c>
      <c r="N1014" s="211">
        <v>484</v>
      </c>
      <c r="O1014" s="211">
        <v>974618</v>
      </c>
      <c r="P1014" s="213">
        <v>0</v>
      </c>
      <c r="Q1014" s="211">
        <v>0</v>
      </c>
      <c r="R1014" s="213">
        <v>0</v>
      </c>
      <c r="S1014" s="211">
        <v>0</v>
      </c>
      <c r="T1014" s="212">
        <v>0</v>
      </c>
      <c r="U1014" s="290">
        <v>0</v>
      </c>
      <c r="V1014" s="282"/>
      <c r="W1014" s="282"/>
      <c r="X1014" s="282"/>
    </row>
    <row r="1015" spans="1:31" ht="30">
      <c r="A1015" s="198"/>
      <c r="B1015" s="238" t="s">
        <v>117</v>
      </c>
      <c r="C1015" s="211">
        <f>C1016</f>
        <v>1134905</v>
      </c>
      <c r="D1015" s="211">
        <f t="shared" ref="D1015:V1015" si="169">D1016</f>
        <v>0</v>
      </c>
      <c r="E1015" s="211">
        <f t="shared" si="169"/>
        <v>0</v>
      </c>
      <c r="F1015" s="211">
        <f t="shared" si="169"/>
        <v>0</v>
      </c>
      <c r="G1015" s="211">
        <f t="shared" si="169"/>
        <v>0</v>
      </c>
      <c r="H1015" s="211">
        <f t="shared" si="169"/>
        <v>0</v>
      </c>
      <c r="I1015" s="211">
        <f t="shared" si="169"/>
        <v>0</v>
      </c>
      <c r="J1015" s="211">
        <f t="shared" si="169"/>
        <v>0</v>
      </c>
      <c r="K1015" s="211">
        <f t="shared" si="169"/>
        <v>0</v>
      </c>
      <c r="L1015" s="211">
        <f t="shared" si="169"/>
        <v>0</v>
      </c>
      <c r="M1015" s="211">
        <f t="shared" si="169"/>
        <v>0</v>
      </c>
      <c r="N1015" s="211">
        <f t="shared" si="169"/>
        <v>353</v>
      </c>
      <c r="O1015" s="211">
        <f t="shared" si="169"/>
        <v>1134905</v>
      </c>
      <c r="P1015" s="211">
        <f t="shared" si="169"/>
        <v>0</v>
      </c>
      <c r="Q1015" s="211">
        <f t="shared" si="169"/>
        <v>0</v>
      </c>
      <c r="R1015" s="211">
        <f t="shared" si="169"/>
        <v>0</v>
      </c>
      <c r="S1015" s="211">
        <f t="shared" si="169"/>
        <v>0</v>
      </c>
      <c r="T1015" s="211">
        <f t="shared" si="169"/>
        <v>0</v>
      </c>
      <c r="U1015" s="211">
        <f t="shared" si="169"/>
        <v>0</v>
      </c>
      <c r="V1015" s="211">
        <f t="shared" si="169"/>
        <v>0</v>
      </c>
      <c r="W1015" s="211"/>
      <c r="X1015" s="211"/>
      <c r="Y1015" s="211"/>
      <c r="Z1015" s="211"/>
      <c r="AA1015" s="211"/>
      <c r="AB1015" s="211"/>
      <c r="AC1015" s="211"/>
      <c r="AD1015" s="211"/>
      <c r="AE1015" s="211"/>
    </row>
    <row r="1016" spans="1:31">
      <c r="A1016" s="487">
        <v>441</v>
      </c>
      <c r="B1016" s="499" t="s">
        <v>487</v>
      </c>
      <c r="C1016" s="498">
        <v>1134905</v>
      </c>
      <c r="D1016" s="498">
        <v>0</v>
      </c>
      <c r="E1016" s="498">
        <v>0</v>
      </c>
      <c r="F1016" s="498">
        <v>0</v>
      </c>
      <c r="G1016" s="498">
        <v>0</v>
      </c>
      <c r="H1016" s="498">
        <v>0</v>
      </c>
      <c r="I1016" s="498">
        <v>0</v>
      </c>
      <c r="J1016" s="498">
        <v>0</v>
      </c>
      <c r="K1016" s="498">
        <v>0</v>
      </c>
      <c r="L1016" s="502">
        <v>0</v>
      </c>
      <c r="M1016" s="498">
        <v>0</v>
      </c>
      <c r="N1016" s="498">
        <v>353</v>
      </c>
      <c r="O1016" s="498">
        <v>1134905</v>
      </c>
      <c r="P1016" s="503">
        <v>0</v>
      </c>
      <c r="Q1016" s="498">
        <v>0</v>
      </c>
      <c r="R1016" s="503">
        <v>0</v>
      </c>
      <c r="S1016" s="498">
        <v>0</v>
      </c>
      <c r="T1016" s="502">
        <v>0</v>
      </c>
      <c r="U1016" s="504">
        <v>0</v>
      </c>
      <c r="V1016" s="282"/>
      <c r="W1016" s="282">
        <f>O1016/N1016</f>
        <v>3215.0283286118979</v>
      </c>
      <c r="X1016" s="282"/>
    </row>
    <row r="1017" spans="1:31">
      <c r="A1017" s="487"/>
      <c r="B1017" s="501" t="s">
        <v>63</v>
      </c>
      <c r="C1017" s="498">
        <f>C1018</f>
        <v>2751167</v>
      </c>
      <c r="D1017" s="498">
        <f t="shared" ref="D1017:U1017" si="170">D1018</f>
        <v>0</v>
      </c>
      <c r="E1017" s="498">
        <f t="shared" si="170"/>
        <v>0</v>
      </c>
      <c r="F1017" s="498">
        <f t="shared" si="170"/>
        <v>0</v>
      </c>
      <c r="G1017" s="498">
        <f t="shared" si="170"/>
        <v>0</v>
      </c>
      <c r="H1017" s="498">
        <f t="shared" si="170"/>
        <v>0</v>
      </c>
      <c r="I1017" s="498">
        <f t="shared" si="170"/>
        <v>0</v>
      </c>
      <c r="J1017" s="498">
        <f t="shared" si="170"/>
        <v>0</v>
      </c>
      <c r="K1017" s="498">
        <f t="shared" si="170"/>
        <v>0</v>
      </c>
      <c r="L1017" s="498">
        <f t="shared" si="170"/>
        <v>0</v>
      </c>
      <c r="M1017" s="498">
        <f t="shared" si="170"/>
        <v>0</v>
      </c>
      <c r="N1017" s="498">
        <f t="shared" si="170"/>
        <v>908.87</v>
      </c>
      <c r="O1017" s="498">
        <f t="shared" si="170"/>
        <v>2751167</v>
      </c>
      <c r="P1017" s="498">
        <f t="shared" si="170"/>
        <v>0</v>
      </c>
      <c r="Q1017" s="498">
        <f t="shared" si="170"/>
        <v>0</v>
      </c>
      <c r="R1017" s="498">
        <f t="shared" si="170"/>
        <v>0</v>
      </c>
      <c r="S1017" s="498">
        <f t="shared" si="170"/>
        <v>0</v>
      </c>
      <c r="T1017" s="498">
        <f t="shared" si="170"/>
        <v>0</v>
      </c>
      <c r="U1017" s="498">
        <f t="shared" si="170"/>
        <v>0</v>
      </c>
      <c r="V1017" s="282"/>
      <c r="W1017" s="282"/>
      <c r="X1017" s="282"/>
    </row>
    <row r="1018" spans="1:31" ht="30">
      <c r="A1018" s="487"/>
      <c r="B1018" s="499" t="s">
        <v>116</v>
      </c>
      <c r="C1018" s="498">
        <f>C1019+C1020</f>
        <v>2751167</v>
      </c>
      <c r="D1018" s="498">
        <f t="shared" ref="D1018:V1018" si="171">D1019+D1020</f>
        <v>0</v>
      </c>
      <c r="E1018" s="498">
        <f t="shared" si="171"/>
        <v>0</v>
      </c>
      <c r="F1018" s="498">
        <f t="shared" si="171"/>
        <v>0</v>
      </c>
      <c r="G1018" s="498">
        <f t="shared" si="171"/>
        <v>0</v>
      </c>
      <c r="H1018" s="498">
        <f t="shared" si="171"/>
        <v>0</v>
      </c>
      <c r="I1018" s="498">
        <f t="shared" si="171"/>
        <v>0</v>
      </c>
      <c r="J1018" s="498">
        <f t="shared" si="171"/>
        <v>0</v>
      </c>
      <c r="K1018" s="498">
        <f t="shared" si="171"/>
        <v>0</v>
      </c>
      <c r="L1018" s="498">
        <f t="shared" si="171"/>
        <v>0</v>
      </c>
      <c r="M1018" s="498">
        <f t="shared" si="171"/>
        <v>0</v>
      </c>
      <c r="N1018" s="498">
        <f t="shared" si="171"/>
        <v>908.87</v>
      </c>
      <c r="O1018" s="498">
        <f t="shared" si="171"/>
        <v>2751167</v>
      </c>
      <c r="P1018" s="498">
        <f t="shared" si="171"/>
        <v>0</v>
      </c>
      <c r="Q1018" s="498">
        <f t="shared" si="171"/>
        <v>0</v>
      </c>
      <c r="R1018" s="498">
        <f t="shared" si="171"/>
        <v>0</v>
      </c>
      <c r="S1018" s="498">
        <f t="shared" si="171"/>
        <v>0</v>
      </c>
      <c r="T1018" s="498">
        <f t="shared" si="171"/>
        <v>0</v>
      </c>
      <c r="U1018" s="498">
        <f t="shared" si="171"/>
        <v>0</v>
      </c>
      <c r="V1018" s="211">
        <f t="shared" si="171"/>
        <v>0</v>
      </c>
      <c r="W1018" s="282"/>
      <c r="X1018" s="282"/>
    </row>
    <row r="1019" spans="1:31">
      <c r="A1019" s="487">
        <v>442</v>
      </c>
      <c r="B1019" s="499" t="s">
        <v>677</v>
      </c>
      <c r="C1019" s="498">
        <f>'часть 1'!L1030</f>
        <v>2217768</v>
      </c>
      <c r="D1019" s="498">
        <v>0</v>
      </c>
      <c r="E1019" s="498">
        <v>0</v>
      </c>
      <c r="F1019" s="498">
        <v>0</v>
      </c>
      <c r="G1019" s="498">
        <v>0</v>
      </c>
      <c r="H1019" s="498">
        <v>0</v>
      </c>
      <c r="I1019" s="498">
        <v>0</v>
      </c>
      <c r="J1019" s="498">
        <v>0</v>
      </c>
      <c r="K1019" s="498">
        <v>0</v>
      </c>
      <c r="L1019" s="502">
        <v>0</v>
      </c>
      <c r="M1019" s="498">
        <v>0</v>
      </c>
      <c r="N1019" s="498">
        <v>697</v>
      </c>
      <c r="O1019" s="498">
        <v>2217768</v>
      </c>
      <c r="P1019" s="503">
        <v>0</v>
      </c>
      <c r="Q1019" s="498">
        <v>0</v>
      </c>
      <c r="R1019" s="503">
        <v>0</v>
      </c>
      <c r="S1019" s="498">
        <v>0</v>
      </c>
      <c r="T1019" s="502">
        <v>0</v>
      </c>
      <c r="U1019" s="504">
        <v>0</v>
      </c>
      <c r="V1019" s="282"/>
      <c r="W1019" s="282">
        <f>O1019/N1019</f>
        <v>3181.8766140602584</v>
      </c>
      <c r="X1019" s="282"/>
    </row>
    <row r="1020" spans="1:31">
      <c r="A1020" s="487">
        <v>443</v>
      </c>
      <c r="B1020" s="499" t="s">
        <v>504</v>
      </c>
      <c r="C1020" s="498">
        <f>'часть 1'!L1031</f>
        <v>533399</v>
      </c>
      <c r="D1020" s="498">
        <v>0</v>
      </c>
      <c r="E1020" s="498">
        <v>0</v>
      </c>
      <c r="F1020" s="498">
        <v>0</v>
      </c>
      <c r="G1020" s="498">
        <v>0</v>
      </c>
      <c r="H1020" s="498">
        <v>0</v>
      </c>
      <c r="I1020" s="498">
        <v>0</v>
      </c>
      <c r="J1020" s="498">
        <v>0</v>
      </c>
      <c r="K1020" s="498">
        <v>0</v>
      </c>
      <c r="L1020" s="502">
        <v>0</v>
      </c>
      <c r="M1020" s="498">
        <v>0</v>
      </c>
      <c r="N1020" s="489">
        <v>211.87</v>
      </c>
      <c r="O1020" s="498">
        <v>533399</v>
      </c>
      <c r="P1020" s="503">
        <v>0</v>
      </c>
      <c r="Q1020" s="498">
        <v>0</v>
      </c>
      <c r="R1020" s="503">
        <v>0</v>
      </c>
      <c r="S1020" s="498">
        <v>0</v>
      </c>
      <c r="T1020" s="502">
        <v>0</v>
      </c>
      <c r="U1020" s="504">
        <v>0</v>
      </c>
      <c r="V1020" s="282"/>
      <c r="W1020" s="282">
        <f>O1020/N1020</f>
        <v>2517.5768159720583</v>
      </c>
      <c r="X1020" s="282"/>
    </row>
    <row r="1021" spans="1:31">
      <c r="A1021" s="198"/>
      <c r="B1021" s="216" t="s">
        <v>64</v>
      </c>
      <c r="C1021" s="211">
        <v>6928539</v>
      </c>
      <c r="D1021" s="211"/>
      <c r="E1021" s="211"/>
      <c r="F1021" s="211"/>
      <c r="G1021" s="211"/>
      <c r="H1021" s="211"/>
      <c r="I1021" s="211"/>
      <c r="J1021" s="211"/>
      <c r="K1021" s="211">
        <v>0</v>
      </c>
      <c r="L1021" s="212">
        <v>0</v>
      </c>
      <c r="M1021" s="211">
        <v>0</v>
      </c>
      <c r="N1021" s="211">
        <v>3103</v>
      </c>
      <c r="O1021" s="211">
        <v>6183896</v>
      </c>
      <c r="P1021" s="213">
        <v>0</v>
      </c>
      <c r="Q1021" s="211">
        <v>0</v>
      </c>
      <c r="R1021" s="211">
        <v>512.4</v>
      </c>
      <c r="S1021" s="211">
        <v>744643</v>
      </c>
      <c r="T1021" s="212">
        <v>0</v>
      </c>
      <c r="U1021" s="290">
        <v>0</v>
      </c>
      <c r="V1021" s="282"/>
      <c r="W1021" s="282"/>
      <c r="X1021" s="282"/>
    </row>
    <row r="1022" spans="1:31" ht="30">
      <c r="A1022" s="198"/>
      <c r="B1022" s="214" t="s">
        <v>115</v>
      </c>
      <c r="C1022" s="211">
        <f>C1023+C1024+C1025+C1026</f>
        <v>5819333</v>
      </c>
      <c r="D1022" s="211">
        <f t="shared" ref="D1022:U1022" si="172">D1023+D1024+D1025+D1026</f>
        <v>0</v>
      </c>
      <c r="E1022" s="211">
        <f t="shared" si="172"/>
        <v>0</v>
      </c>
      <c r="F1022" s="211">
        <f t="shared" si="172"/>
        <v>0</v>
      </c>
      <c r="G1022" s="211">
        <f t="shared" si="172"/>
        <v>0</v>
      </c>
      <c r="H1022" s="211">
        <f t="shared" si="172"/>
        <v>0</v>
      </c>
      <c r="I1022" s="211">
        <f t="shared" si="172"/>
        <v>0</v>
      </c>
      <c r="J1022" s="211">
        <f t="shared" si="172"/>
        <v>0</v>
      </c>
      <c r="K1022" s="211">
        <f t="shared" si="172"/>
        <v>0</v>
      </c>
      <c r="L1022" s="211">
        <f t="shared" si="172"/>
        <v>0</v>
      </c>
      <c r="M1022" s="211">
        <f t="shared" si="172"/>
        <v>0</v>
      </c>
      <c r="N1022" s="211">
        <f t="shared" si="172"/>
        <v>1818</v>
      </c>
      <c r="O1022" s="211">
        <f t="shared" si="172"/>
        <v>5819333</v>
      </c>
      <c r="P1022" s="211">
        <f t="shared" si="172"/>
        <v>0</v>
      </c>
      <c r="Q1022" s="211">
        <f t="shared" si="172"/>
        <v>0</v>
      </c>
      <c r="R1022" s="211">
        <f t="shared" si="172"/>
        <v>0</v>
      </c>
      <c r="S1022" s="211">
        <f t="shared" si="172"/>
        <v>0</v>
      </c>
      <c r="T1022" s="211">
        <f t="shared" si="172"/>
        <v>0</v>
      </c>
      <c r="U1022" s="211">
        <f t="shared" si="172"/>
        <v>0</v>
      </c>
      <c r="V1022" s="282"/>
      <c r="W1022" s="282"/>
      <c r="X1022" s="282"/>
      <c r="Y1022" s="25"/>
      <c r="Z1022" s="25"/>
    </row>
    <row r="1023" spans="1:31" ht="30">
      <c r="A1023" s="487">
        <v>444</v>
      </c>
      <c r="B1023" s="499" t="s">
        <v>612</v>
      </c>
      <c r="C1023" s="498">
        <v>1575182</v>
      </c>
      <c r="D1023" s="498">
        <v>0</v>
      </c>
      <c r="E1023" s="498">
        <v>0</v>
      </c>
      <c r="F1023" s="498">
        <v>0</v>
      </c>
      <c r="G1023" s="498">
        <v>0</v>
      </c>
      <c r="H1023" s="498">
        <v>0</v>
      </c>
      <c r="I1023" s="498">
        <v>0</v>
      </c>
      <c r="J1023" s="498">
        <v>0</v>
      </c>
      <c r="K1023" s="498">
        <v>0</v>
      </c>
      <c r="L1023" s="502">
        <v>0</v>
      </c>
      <c r="M1023" s="498">
        <v>0</v>
      </c>
      <c r="N1023" s="498">
        <v>493</v>
      </c>
      <c r="O1023" s="498">
        <v>1575182</v>
      </c>
      <c r="P1023" s="503">
        <v>0</v>
      </c>
      <c r="Q1023" s="498">
        <v>0</v>
      </c>
      <c r="R1023" s="503">
        <v>0</v>
      </c>
      <c r="S1023" s="498">
        <v>0</v>
      </c>
      <c r="T1023" s="502">
        <v>0</v>
      </c>
      <c r="U1023" s="504">
        <v>0</v>
      </c>
      <c r="V1023" s="282"/>
      <c r="W1023" s="282">
        <f>O1023/N1023</f>
        <v>3195.0953346855986</v>
      </c>
      <c r="X1023" s="282"/>
    </row>
    <row r="1024" spans="1:31" ht="30">
      <c r="A1024" s="487">
        <v>445</v>
      </c>
      <c r="B1024" s="499" t="s">
        <v>613</v>
      </c>
      <c r="C1024" s="498">
        <v>1455693</v>
      </c>
      <c r="D1024" s="498">
        <v>0</v>
      </c>
      <c r="E1024" s="498">
        <v>0</v>
      </c>
      <c r="F1024" s="498">
        <v>0</v>
      </c>
      <c r="G1024" s="498">
        <v>0</v>
      </c>
      <c r="H1024" s="498">
        <v>0</v>
      </c>
      <c r="I1024" s="498">
        <v>0</v>
      </c>
      <c r="J1024" s="498">
        <v>0</v>
      </c>
      <c r="K1024" s="498">
        <v>0</v>
      </c>
      <c r="L1024" s="502">
        <v>0</v>
      </c>
      <c r="M1024" s="498">
        <v>0</v>
      </c>
      <c r="N1024" s="498">
        <v>455</v>
      </c>
      <c r="O1024" s="498">
        <v>1455693</v>
      </c>
      <c r="P1024" s="503">
        <v>0</v>
      </c>
      <c r="Q1024" s="498">
        <v>0</v>
      </c>
      <c r="R1024" s="503">
        <v>0</v>
      </c>
      <c r="S1024" s="498">
        <v>0</v>
      </c>
      <c r="T1024" s="502">
        <v>0</v>
      </c>
      <c r="U1024" s="504">
        <v>0</v>
      </c>
      <c r="V1024" s="282"/>
      <c r="W1024" s="282">
        <f t="shared" ref="W1024:W1026" si="173">O1024/N1024</f>
        <v>3199.3252747252745</v>
      </c>
      <c r="X1024" s="282"/>
    </row>
    <row r="1025" spans="1:35">
      <c r="A1025" s="487">
        <v>446</v>
      </c>
      <c r="B1025" s="499" t="s">
        <v>614</v>
      </c>
      <c r="C1025" s="498">
        <v>1394327</v>
      </c>
      <c r="D1025" s="498">
        <v>0</v>
      </c>
      <c r="E1025" s="498">
        <v>0</v>
      </c>
      <c r="F1025" s="498">
        <v>0</v>
      </c>
      <c r="G1025" s="498">
        <v>0</v>
      </c>
      <c r="H1025" s="498">
        <v>0</v>
      </c>
      <c r="I1025" s="498">
        <v>0</v>
      </c>
      <c r="J1025" s="498">
        <v>0</v>
      </c>
      <c r="K1025" s="498">
        <v>0</v>
      </c>
      <c r="L1025" s="502">
        <v>0</v>
      </c>
      <c r="M1025" s="498">
        <v>0</v>
      </c>
      <c r="N1025" s="498">
        <v>435</v>
      </c>
      <c r="O1025" s="498">
        <v>1394327</v>
      </c>
      <c r="P1025" s="503">
        <v>0</v>
      </c>
      <c r="Q1025" s="498">
        <v>0</v>
      </c>
      <c r="R1025" s="498">
        <v>0</v>
      </c>
      <c r="S1025" s="498">
        <v>0</v>
      </c>
      <c r="T1025" s="502">
        <v>0</v>
      </c>
      <c r="U1025" s="504">
        <v>0</v>
      </c>
      <c r="V1025" s="282"/>
      <c r="W1025" s="282">
        <f t="shared" si="173"/>
        <v>3205.3494252873561</v>
      </c>
      <c r="X1025" s="282"/>
      <c r="Y1025" s="25"/>
      <c r="Z1025" s="25"/>
    </row>
    <row r="1026" spans="1:35">
      <c r="A1026" s="487">
        <v>447</v>
      </c>
      <c r="B1026" s="499" t="s">
        <v>615</v>
      </c>
      <c r="C1026" s="498">
        <v>1394131</v>
      </c>
      <c r="D1026" s="498">
        <v>0</v>
      </c>
      <c r="E1026" s="498">
        <v>0</v>
      </c>
      <c r="F1026" s="498">
        <v>0</v>
      </c>
      <c r="G1026" s="498">
        <v>0</v>
      </c>
      <c r="H1026" s="498">
        <v>0</v>
      </c>
      <c r="I1026" s="498">
        <v>0</v>
      </c>
      <c r="J1026" s="498">
        <v>0</v>
      </c>
      <c r="K1026" s="498">
        <v>0</v>
      </c>
      <c r="L1026" s="502">
        <v>0</v>
      </c>
      <c r="M1026" s="498">
        <v>0</v>
      </c>
      <c r="N1026" s="498">
        <v>435</v>
      </c>
      <c r="O1026" s="498">
        <v>1394131</v>
      </c>
      <c r="P1026" s="503">
        <v>0</v>
      </c>
      <c r="Q1026" s="498">
        <v>0</v>
      </c>
      <c r="R1026" s="503">
        <v>0</v>
      </c>
      <c r="S1026" s="498">
        <v>0</v>
      </c>
      <c r="T1026" s="502">
        <v>0</v>
      </c>
      <c r="U1026" s="504">
        <v>0</v>
      </c>
      <c r="V1026" s="282"/>
      <c r="W1026" s="282">
        <f t="shared" si="173"/>
        <v>3204.8988505747125</v>
      </c>
      <c r="X1026" s="282"/>
    </row>
    <row r="1027" spans="1:35">
      <c r="A1027" s="198"/>
      <c r="B1027" s="216" t="s">
        <v>65</v>
      </c>
      <c r="C1027" s="211">
        <f>C1028+C1030</f>
        <v>3125223</v>
      </c>
      <c r="D1027" s="211">
        <f t="shared" ref="D1027:V1027" si="174">D1028+D1030</f>
        <v>0</v>
      </c>
      <c r="E1027" s="211">
        <f t="shared" si="174"/>
        <v>0</v>
      </c>
      <c r="F1027" s="211">
        <f t="shared" si="174"/>
        <v>0</v>
      </c>
      <c r="G1027" s="211">
        <f t="shared" si="174"/>
        <v>0</v>
      </c>
      <c r="H1027" s="211">
        <f t="shared" si="174"/>
        <v>0</v>
      </c>
      <c r="I1027" s="211">
        <f t="shared" si="174"/>
        <v>0</v>
      </c>
      <c r="J1027" s="211">
        <f t="shared" si="174"/>
        <v>0</v>
      </c>
      <c r="K1027" s="211">
        <f t="shared" si="174"/>
        <v>0</v>
      </c>
      <c r="L1027" s="211">
        <f t="shared" si="174"/>
        <v>0</v>
      </c>
      <c r="M1027" s="211">
        <f t="shared" si="174"/>
        <v>0</v>
      </c>
      <c r="N1027" s="211">
        <f t="shared" si="174"/>
        <v>977.7</v>
      </c>
      <c r="O1027" s="211">
        <f t="shared" si="174"/>
        <v>3125223</v>
      </c>
      <c r="P1027" s="211">
        <f t="shared" si="174"/>
        <v>0</v>
      </c>
      <c r="Q1027" s="211">
        <f t="shared" si="174"/>
        <v>0</v>
      </c>
      <c r="R1027" s="211">
        <f t="shared" si="174"/>
        <v>0</v>
      </c>
      <c r="S1027" s="211">
        <f t="shared" si="174"/>
        <v>0</v>
      </c>
      <c r="T1027" s="211">
        <f t="shared" si="174"/>
        <v>0</v>
      </c>
      <c r="U1027" s="211">
        <f t="shared" si="174"/>
        <v>0</v>
      </c>
      <c r="V1027" s="211">
        <f t="shared" si="174"/>
        <v>0</v>
      </c>
      <c r="W1027" s="282"/>
      <c r="X1027" s="282"/>
    </row>
    <row r="1028" spans="1:35" ht="30">
      <c r="A1028" s="198"/>
      <c r="B1028" s="214" t="s">
        <v>633</v>
      </c>
      <c r="C1028" s="211">
        <f>C1029</f>
        <v>1402855</v>
      </c>
      <c r="D1028" s="211">
        <f t="shared" ref="D1028:U1028" si="175">D1029</f>
        <v>0</v>
      </c>
      <c r="E1028" s="211">
        <f t="shared" si="175"/>
        <v>0</v>
      </c>
      <c r="F1028" s="211">
        <f t="shared" si="175"/>
        <v>0</v>
      </c>
      <c r="G1028" s="211">
        <f t="shared" si="175"/>
        <v>0</v>
      </c>
      <c r="H1028" s="211">
        <f t="shared" si="175"/>
        <v>0</v>
      </c>
      <c r="I1028" s="211">
        <f t="shared" si="175"/>
        <v>0</v>
      </c>
      <c r="J1028" s="211">
        <f t="shared" si="175"/>
        <v>0</v>
      </c>
      <c r="K1028" s="211">
        <f t="shared" si="175"/>
        <v>0</v>
      </c>
      <c r="L1028" s="211">
        <f t="shared" si="175"/>
        <v>0</v>
      </c>
      <c r="M1028" s="211">
        <f t="shared" si="175"/>
        <v>0</v>
      </c>
      <c r="N1028" s="211">
        <f t="shared" si="175"/>
        <v>438</v>
      </c>
      <c r="O1028" s="211">
        <f t="shared" si="175"/>
        <v>1402855</v>
      </c>
      <c r="P1028" s="211">
        <f t="shared" si="175"/>
        <v>0</v>
      </c>
      <c r="Q1028" s="211">
        <f t="shared" si="175"/>
        <v>0</v>
      </c>
      <c r="R1028" s="211">
        <f t="shared" si="175"/>
        <v>0</v>
      </c>
      <c r="S1028" s="211">
        <f t="shared" si="175"/>
        <v>0</v>
      </c>
      <c r="T1028" s="211">
        <f t="shared" si="175"/>
        <v>0</v>
      </c>
      <c r="U1028" s="211">
        <f t="shared" si="175"/>
        <v>0</v>
      </c>
      <c r="V1028" s="282"/>
      <c r="W1028" s="282"/>
      <c r="X1028" s="282"/>
    </row>
    <row r="1029" spans="1:35">
      <c r="A1029" s="198">
        <v>448</v>
      </c>
      <c r="B1029" s="214" t="s">
        <v>634</v>
      </c>
      <c r="C1029" s="211">
        <v>1402855</v>
      </c>
      <c r="D1029" s="211">
        <v>0</v>
      </c>
      <c r="E1029" s="211">
        <v>0</v>
      </c>
      <c r="F1029" s="211">
        <v>0</v>
      </c>
      <c r="G1029" s="211">
        <v>0</v>
      </c>
      <c r="H1029" s="211">
        <v>0</v>
      </c>
      <c r="I1029" s="211">
        <v>0</v>
      </c>
      <c r="J1029" s="211">
        <v>0</v>
      </c>
      <c r="K1029" s="211">
        <v>0</v>
      </c>
      <c r="L1029" s="212">
        <v>0</v>
      </c>
      <c r="M1029" s="211">
        <v>0</v>
      </c>
      <c r="N1029" s="211">
        <v>438</v>
      </c>
      <c r="O1029" s="211">
        <v>1402855</v>
      </c>
      <c r="P1029" s="213">
        <v>0</v>
      </c>
      <c r="Q1029" s="211">
        <v>0</v>
      </c>
      <c r="R1029" s="213">
        <v>0</v>
      </c>
      <c r="S1029" s="211">
        <v>0</v>
      </c>
      <c r="T1029" s="212">
        <v>0</v>
      </c>
      <c r="U1029" s="290">
        <v>0</v>
      </c>
      <c r="V1029" s="282"/>
      <c r="W1029" s="282">
        <f>O1029/N1029</f>
        <v>3202.8652968036531</v>
      </c>
      <c r="X1029" s="282"/>
    </row>
    <row r="1030" spans="1:35" ht="30">
      <c r="A1030" s="198"/>
      <c r="B1030" s="214" t="s">
        <v>635</v>
      </c>
      <c r="C1030" s="211">
        <f>C1031</f>
        <v>1722368</v>
      </c>
      <c r="D1030" s="211">
        <f t="shared" ref="D1030:U1030" si="176">D1031</f>
        <v>0</v>
      </c>
      <c r="E1030" s="211">
        <f t="shared" si="176"/>
        <v>0</v>
      </c>
      <c r="F1030" s="211">
        <f t="shared" si="176"/>
        <v>0</v>
      </c>
      <c r="G1030" s="211">
        <f t="shared" si="176"/>
        <v>0</v>
      </c>
      <c r="H1030" s="211">
        <f t="shared" si="176"/>
        <v>0</v>
      </c>
      <c r="I1030" s="211">
        <f t="shared" si="176"/>
        <v>0</v>
      </c>
      <c r="J1030" s="211">
        <f t="shared" si="176"/>
        <v>0</v>
      </c>
      <c r="K1030" s="211">
        <f t="shared" si="176"/>
        <v>0</v>
      </c>
      <c r="L1030" s="211">
        <f t="shared" si="176"/>
        <v>0</v>
      </c>
      <c r="M1030" s="211">
        <f t="shared" si="176"/>
        <v>0</v>
      </c>
      <c r="N1030" s="211">
        <f t="shared" si="176"/>
        <v>539.70000000000005</v>
      </c>
      <c r="O1030" s="211">
        <f t="shared" si="176"/>
        <v>1722368</v>
      </c>
      <c r="P1030" s="211">
        <f t="shared" si="176"/>
        <v>0</v>
      </c>
      <c r="Q1030" s="211">
        <f t="shared" si="176"/>
        <v>0</v>
      </c>
      <c r="R1030" s="211">
        <f t="shared" si="176"/>
        <v>0</v>
      </c>
      <c r="S1030" s="211">
        <f t="shared" si="176"/>
        <v>0</v>
      </c>
      <c r="T1030" s="211">
        <f t="shared" si="176"/>
        <v>0</v>
      </c>
      <c r="U1030" s="211">
        <f t="shared" si="176"/>
        <v>0</v>
      </c>
      <c r="V1030" s="282"/>
      <c r="W1030" s="282"/>
      <c r="X1030" s="282"/>
    </row>
    <row r="1031" spans="1:35">
      <c r="A1031" s="198">
        <v>449</v>
      </c>
      <c r="B1031" s="214" t="s">
        <v>636</v>
      </c>
      <c r="C1031" s="211">
        <v>1722368</v>
      </c>
      <c r="D1031" s="211">
        <v>0</v>
      </c>
      <c r="E1031" s="211">
        <v>0</v>
      </c>
      <c r="F1031" s="211">
        <v>0</v>
      </c>
      <c r="G1031" s="211">
        <v>0</v>
      </c>
      <c r="H1031" s="211">
        <v>0</v>
      </c>
      <c r="I1031" s="211">
        <v>0</v>
      </c>
      <c r="J1031" s="211">
        <v>0</v>
      </c>
      <c r="K1031" s="211">
        <v>0</v>
      </c>
      <c r="L1031" s="212">
        <v>0</v>
      </c>
      <c r="M1031" s="211">
        <v>0</v>
      </c>
      <c r="N1031" s="211">
        <v>539.70000000000005</v>
      </c>
      <c r="O1031" s="211">
        <v>1722368</v>
      </c>
      <c r="P1031" s="213">
        <v>0</v>
      </c>
      <c r="Q1031" s="211">
        <v>0</v>
      </c>
      <c r="R1031" s="213">
        <v>0</v>
      </c>
      <c r="S1031" s="211">
        <v>0</v>
      </c>
      <c r="T1031" s="212">
        <v>0</v>
      </c>
      <c r="U1031" s="290">
        <v>0</v>
      </c>
      <c r="V1031" s="282"/>
      <c r="W1031" s="282">
        <f>O1031/N1031</f>
        <v>3191.3433388919766</v>
      </c>
      <c r="X1031" s="282"/>
    </row>
    <row r="1032" spans="1:35">
      <c r="A1032" s="198"/>
      <c r="B1032" s="216" t="s">
        <v>66</v>
      </c>
      <c r="C1032" s="211">
        <f>C1033</f>
        <v>2792955</v>
      </c>
      <c r="D1032" s="211">
        <f t="shared" ref="D1032:V1032" si="177">D1033</f>
        <v>0</v>
      </c>
      <c r="E1032" s="211">
        <f t="shared" si="177"/>
        <v>0</v>
      </c>
      <c r="F1032" s="211">
        <f t="shared" si="177"/>
        <v>0</v>
      </c>
      <c r="G1032" s="211">
        <f t="shared" si="177"/>
        <v>0</v>
      </c>
      <c r="H1032" s="211">
        <f t="shared" si="177"/>
        <v>0</v>
      </c>
      <c r="I1032" s="211">
        <f t="shared" si="177"/>
        <v>0</v>
      </c>
      <c r="J1032" s="211">
        <f t="shared" si="177"/>
        <v>0</v>
      </c>
      <c r="K1032" s="211">
        <f t="shared" si="177"/>
        <v>0</v>
      </c>
      <c r="L1032" s="211">
        <f t="shared" si="177"/>
        <v>0</v>
      </c>
      <c r="M1032" s="211">
        <f t="shared" si="177"/>
        <v>0</v>
      </c>
      <c r="N1032" s="211">
        <f t="shared" si="177"/>
        <v>880</v>
      </c>
      <c r="O1032" s="211">
        <f t="shared" si="177"/>
        <v>2792955</v>
      </c>
      <c r="P1032" s="211">
        <f t="shared" si="177"/>
        <v>0</v>
      </c>
      <c r="Q1032" s="211">
        <f t="shared" si="177"/>
        <v>0</v>
      </c>
      <c r="R1032" s="211">
        <f t="shared" si="177"/>
        <v>0</v>
      </c>
      <c r="S1032" s="211">
        <f t="shared" si="177"/>
        <v>0</v>
      </c>
      <c r="T1032" s="211">
        <f t="shared" si="177"/>
        <v>0</v>
      </c>
      <c r="U1032" s="211">
        <f t="shared" si="177"/>
        <v>0</v>
      </c>
      <c r="V1032" s="211">
        <f t="shared" si="177"/>
        <v>0</v>
      </c>
      <c r="W1032" s="282"/>
      <c r="X1032" s="282"/>
    </row>
    <row r="1033" spans="1:35" ht="30">
      <c r="A1033" s="198"/>
      <c r="B1033" s="214" t="s">
        <v>114</v>
      </c>
      <c r="C1033" s="211">
        <f>C1034</f>
        <v>2792955</v>
      </c>
      <c r="D1033" s="211">
        <f t="shared" ref="D1033:U1033" si="178">D1034</f>
        <v>0</v>
      </c>
      <c r="E1033" s="211">
        <f t="shared" si="178"/>
        <v>0</v>
      </c>
      <c r="F1033" s="211">
        <f t="shared" si="178"/>
        <v>0</v>
      </c>
      <c r="G1033" s="211">
        <f t="shared" si="178"/>
        <v>0</v>
      </c>
      <c r="H1033" s="211">
        <f t="shared" si="178"/>
        <v>0</v>
      </c>
      <c r="I1033" s="211">
        <f t="shared" si="178"/>
        <v>0</v>
      </c>
      <c r="J1033" s="211">
        <f t="shared" si="178"/>
        <v>0</v>
      </c>
      <c r="K1033" s="211">
        <f t="shared" si="178"/>
        <v>0</v>
      </c>
      <c r="L1033" s="211">
        <f t="shared" si="178"/>
        <v>0</v>
      </c>
      <c r="M1033" s="211">
        <f t="shared" si="178"/>
        <v>0</v>
      </c>
      <c r="N1033" s="211">
        <f t="shared" si="178"/>
        <v>880</v>
      </c>
      <c r="O1033" s="211">
        <f t="shared" si="178"/>
        <v>2792955</v>
      </c>
      <c r="P1033" s="211">
        <f t="shared" si="178"/>
        <v>0</v>
      </c>
      <c r="Q1033" s="211">
        <f t="shared" si="178"/>
        <v>0</v>
      </c>
      <c r="R1033" s="211">
        <f t="shared" si="178"/>
        <v>0</v>
      </c>
      <c r="S1033" s="211">
        <f t="shared" si="178"/>
        <v>0</v>
      </c>
      <c r="T1033" s="211">
        <f t="shared" si="178"/>
        <v>0</v>
      </c>
      <c r="U1033" s="211">
        <f t="shared" si="178"/>
        <v>0</v>
      </c>
      <c r="V1033" s="282"/>
      <c r="W1033" s="282"/>
      <c r="X1033" s="282"/>
    </row>
    <row r="1034" spans="1:35" ht="15.75">
      <c r="A1034" s="487">
        <v>450</v>
      </c>
      <c r="B1034" s="364" t="s">
        <v>500</v>
      </c>
      <c r="C1034" s="498">
        <v>2792955</v>
      </c>
      <c r="D1034" s="498">
        <v>0</v>
      </c>
      <c r="E1034" s="498">
        <v>0</v>
      </c>
      <c r="F1034" s="498">
        <v>0</v>
      </c>
      <c r="G1034" s="498">
        <v>0</v>
      </c>
      <c r="H1034" s="498">
        <v>0</v>
      </c>
      <c r="I1034" s="498">
        <v>0</v>
      </c>
      <c r="J1034" s="498">
        <v>0</v>
      </c>
      <c r="K1034" s="498">
        <v>0</v>
      </c>
      <c r="L1034" s="502">
        <v>0</v>
      </c>
      <c r="M1034" s="498">
        <v>0</v>
      </c>
      <c r="N1034" s="498">
        <v>880</v>
      </c>
      <c r="O1034" s="498">
        <v>2792955</v>
      </c>
      <c r="P1034" s="503">
        <v>0</v>
      </c>
      <c r="Q1034" s="498">
        <v>0</v>
      </c>
      <c r="R1034" s="503">
        <v>0</v>
      </c>
      <c r="S1034" s="498">
        <v>0</v>
      </c>
      <c r="T1034" s="502">
        <v>0</v>
      </c>
      <c r="U1034" s="504">
        <v>0</v>
      </c>
      <c r="V1034" s="282"/>
      <c r="W1034" s="282">
        <f>O1034/N1034</f>
        <v>3173.8125</v>
      </c>
      <c r="X1034" s="282"/>
    </row>
    <row r="1035" spans="1:35" ht="15.75">
      <c r="A1035" s="487"/>
      <c r="B1035" s="364"/>
      <c r="C1035" s="498"/>
      <c r="D1035" s="498"/>
      <c r="E1035" s="498"/>
      <c r="F1035" s="498"/>
      <c r="G1035" s="498"/>
      <c r="H1035" s="498"/>
      <c r="I1035" s="498"/>
      <c r="J1035" s="498"/>
      <c r="K1035" s="498"/>
      <c r="L1035" s="502"/>
      <c r="M1035" s="498"/>
      <c r="N1035" s="498"/>
      <c r="O1035" s="498"/>
      <c r="P1035" s="503"/>
      <c r="Q1035" s="498"/>
      <c r="R1035" s="503"/>
      <c r="S1035" s="498"/>
      <c r="T1035" s="502"/>
      <c r="U1035" s="504"/>
      <c r="V1035" s="282"/>
      <c r="W1035" s="282"/>
      <c r="X1035" s="282"/>
    </row>
    <row r="1036" spans="1:35" ht="15.75">
      <c r="A1036" s="487"/>
      <c r="B1036" s="364"/>
      <c r="C1036" s="498"/>
      <c r="D1036" s="498"/>
      <c r="E1036" s="498"/>
      <c r="F1036" s="498"/>
      <c r="G1036" s="498"/>
      <c r="H1036" s="498"/>
      <c r="I1036" s="498"/>
      <c r="J1036" s="498"/>
      <c r="K1036" s="498"/>
      <c r="L1036" s="502"/>
      <c r="M1036" s="498"/>
      <c r="N1036" s="498"/>
      <c r="O1036" s="498"/>
      <c r="P1036" s="503"/>
      <c r="Q1036" s="498"/>
      <c r="R1036" s="503"/>
      <c r="S1036" s="498"/>
      <c r="T1036" s="502"/>
      <c r="U1036" s="504"/>
      <c r="V1036" s="282"/>
      <c r="W1036" s="282"/>
      <c r="X1036" s="282"/>
    </row>
    <row r="1037" spans="1:35">
      <c r="A1037" s="198"/>
      <c r="B1037" s="214" t="s">
        <v>207</v>
      </c>
      <c r="C1037" s="211">
        <f>C1038+C1039+C1040+C1041+C1042+C1043+C1044+C1045+C1046+C1047</f>
        <v>22164555</v>
      </c>
      <c r="D1037" s="211">
        <f t="shared" ref="D1037:V1037" si="179">D1038+D1039+D1040+D1041+D1042+D1043+D1044+D1045+D1046+D1047</f>
        <v>0</v>
      </c>
      <c r="E1037" s="211">
        <f t="shared" si="179"/>
        <v>0</v>
      </c>
      <c r="F1037" s="211">
        <f t="shared" si="179"/>
        <v>0</v>
      </c>
      <c r="G1037" s="211">
        <f t="shared" si="179"/>
        <v>0</v>
      </c>
      <c r="H1037" s="211">
        <f t="shared" si="179"/>
        <v>0</v>
      </c>
      <c r="I1037" s="211">
        <f t="shared" si="179"/>
        <v>0</v>
      </c>
      <c r="J1037" s="211">
        <f t="shared" si="179"/>
        <v>0</v>
      </c>
      <c r="K1037" s="211">
        <f t="shared" si="179"/>
        <v>0</v>
      </c>
      <c r="L1037" s="211">
        <f t="shared" si="179"/>
        <v>0</v>
      </c>
      <c r="M1037" s="211">
        <f t="shared" si="179"/>
        <v>0</v>
      </c>
      <c r="N1037" s="211">
        <f t="shared" si="179"/>
        <v>8790</v>
      </c>
      <c r="O1037" s="211">
        <f t="shared" si="179"/>
        <v>22164555</v>
      </c>
      <c r="P1037" s="211">
        <f t="shared" si="179"/>
        <v>0</v>
      </c>
      <c r="Q1037" s="211">
        <f t="shared" si="179"/>
        <v>0</v>
      </c>
      <c r="R1037" s="211">
        <f t="shared" si="179"/>
        <v>0</v>
      </c>
      <c r="S1037" s="211">
        <f t="shared" si="179"/>
        <v>0</v>
      </c>
      <c r="T1037" s="211">
        <f t="shared" si="179"/>
        <v>0</v>
      </c>
      <c r="U1037" s="211">
        <f t="shared" si="179"/>
        <v>0</v>
      </c>
      <c r="V1037" s="211">
        <f t="shared" si="179"/>
        <v>0</v>
      </c>
      <c r="W1037" s="211"/>
      <c r="X1037" s="211"/>
      <c r="Y1037" s="211"/>
      <c r="Z1037" s="211"/>
      <c r="AA1037" s="211"/>
      <c r="AB1037" s="211"/>
      <c r="AC1037" s="211"/>
      <c r="AD1037" s="211"/>
      <c r="AE1037" s="211"/>
      <c r="AF1037" s="211"/>
      <c r="AG1037" s="211"/>
      <c r="AH1037" s="211"/>
      <c r="AI1037" s="211"/>
    </row>
    <row r="1038" spans="1:35">
      <c r="A1038" s="487">
        <v>453</v>
      </c>
      <c r="B1038" s="509" t="s">
        <v>512</v>
      </c>
      <c r="C1038" s="498">
        <v>3034841</v>
      </c>
      <c r="D1038" s="498">
        <v>0</v>
      </c>
      <c r="E1038" s="498">
        <v>0</v>
      </c>
      <c r="F1038" s="498">
        <v>0</v>
      </c>
      <c r="G1038" s="498">
        <v>0</v>
      </c>
      <c r="H1038" s="498">
        <v>0</v>
      </c>
      <c r="I1038" s="498">
        <v>0</v>
      </c>
      <c r="J1038" s="498">
        <v>0</v>
      </c>
      <c r="K1038" s="498">
        <v>0</v>
      </c>
      <c r="L1038" s="502">
        <v>0</v>
      </c>
      <c r="M1038" s="498">
        <v>0</v>
      </c>
      <c r="N1038" s="510">
        <v>1206</v>
      </c>
      <c r="O1038" s="498">
        <v>3034841</v>
      </c>
      <c r="P1038" s="502">
        <v>0</v>
      </c>
      <c r="Q1038" s="498">
        <v>0</v>
      </c>
      <c r="R1038" s="503">
        <v>0</v>
      </c>
      <c r="S1038" s="498">
        <v>0</v>
      </c>
      <c r="T1038" s="502">
        <v>0</v>
      </c>
      <c r="U1038" s="504">
        <v>0</v>
      </c>
      <c r="V1038" s="282"/>
      <c r="W1038" s="282">
        <f>O1038/N1038</f>
        <v>2516.4519071310115</v>
      </c>
      <c r="X1038" s="282"/>
    </row>
    <row r="1039" spans="1:35">
      <c r="A1039" s="487">
        <v>454</v>
      </c>
      <c r="B1039" s="509" t="s">
        <v>513</v>
      </c>
      <c r="C1039" s="498">
        <v>925522</v>
      </c>
      <c r="D1039" s="498">
        <v>0</v>
      </c>
      <c r="E1039" s="498">
        <v>0</v>
      </c>
      <c r="F1039" s="498">
        <v>0</v>
      </c>
      <c r="G1039" s="498">
        <v>0</v>
      </c>
      <c r="H1039" s="498">
        <v>0</v>
      </c>
      <c r="I1039" s="498">
        <v>0</v>
      </c>
      <c r="J1039" s="498">
        <v>0</v>
      </c>
      <c r="K1039" s="498">
        <v>0</v>
      </c>
      <c r="L1039" s="502">
        <v>0</v>
      </c>
      <c r="M1039" s="498">
        <v>0</v>
      </c>
      <c r="N1039" s="510">
        <v>358</v>
      </c>
      <c r="O1039" s="498">
        <v>925522</v>
      </c>
      <c r="P1039" s="502">
        <v>0</v>
      </c>
      <c r="Q1039" s="498">
        <v>0</v>
      </c>
      <c r="R1039" s="503">
        <v>0</v>
      </c>
      <c r="S1039" s="498">
        <v>0</v>
      </c>
      <c r="T1039" s="502">
        <v>0</v>
      </c>
      <c r="U1039" s="504">
        <v>0</v>
      </c>
      <c r="V1039" s="282"/>
      <c r="W1039" s="282">
        <f t="shared" ref="W1039:W1047" si="180">O1039/N1039</f>
        <v>2585.2569832402237</v>
      </c>
      <c r="X1039" s="282"/>
    </row>
    <row r="1040" spans="1:35">
      <c r="A1040" s="487">
        <v>455</v>
      </c>
      <c r="B1040" s="509" t="s">
        <v>514</v>
      </c>
      <c r="C1040" s="498">
        <v>1823451</v>
      </c>
      <c r="D1040" s="498">
        <v>0</v>
      </c>
      <c r="E1040" s="498">
        <v>0</v>
      </c>
      <c r="F1040" s="498">
        <v>0</v>
      </c>
      <c r="G1040" s="498">
        <v>0</v>
      </c>
      <c r="H1040" s="498">
        <v>0</v>
      </c>
      <c r="I1040" s="498">
        <v>0</v>
      </c>
      <c r="J1040" s="498">
        <v>0</v>
      </c>
      <c r="K1040" s="498">
        <v>0</v>
      </c>
      <c r="L1040" s="502">
        <v>0</v>
      </c>
      <c r="M1040" s="498">
        <v>0</v>
      </c>
      <c r="N1040" s="498">
        <v>719</v>
      </c>
      <c r="O1040" s="498">
        <v>1823451</v>
      </c>
      <c r="P1040" s="502">
        <v>0</v>
      </c>
      <c r="Q1040" s="498">
        <v>0</v>
      </c>
      <c r="R1040" s="503">
        <v>0</v>
      </c>
      <c r="S1040" s="498">
        <v>0</v>
      </c>
      <c r="T1040" s="502">
        <v>0</v>
      </c>
      <c r="U1040" s="504">
        <v>0</v>
      </c>
      <c r="V1040" s="282"/>
      <c r="W1040" s="282">
        <f t="shared" si="180"/>
        <v>2536.0931849791377</v>
      </c>
      <c r="X1040" s="282"/>
    </row>
    <row r="1041" spans="1:49">
      <c r="A1041" s="487">
        <v>456</v>
      </c>
      <c r="B1041" s="509" t="s">
        <v>515</v>
      </c>
      <c r="C1041" s="498">
        <v>3802042</v>
      </c>
      <c r="D1041" s="498">
        <v>0</v>
      </c>
      <c r="E1041" s="498">
        <v>0</v>
      </c>
      <c r="F1041" s="498">
        <v>0</v>
      </c>
      <c r="G1041" s="498">
        <v>0</v>
      </c>
      <c r="H1041" s="498">
        <v>0</v>
      </c>
      <c r="I1041" s="498">
        <v>0</v>
      </c>
      <c r="J1041" s="498">
        <v>0</v>
      </c>
      <c r="K1041" s="498">
        <v>0</v>
      </c>
      <c r="L1041" s="502">
        <v>0</v>
      </c>
      <c r="M1041" s="498">
        <v>0</v>
      </c>
      <c r="N1041" s="510">
        <v>1514</v>
      </c>
      <c r="O1041" s="498">
        <v>3802042</v>
      </c>
      <c r="P1041" s="502">
        <v>0</v>
      </c>
      <c r="Q1041" s="498">
        <v>0</v>
      </c>
      <c r="R1041" s="503">
        <v>0</v>
      </c>
      <c r="S1041" s="498">
        <v>0</v>
      </c>
      <c r="T1041" s="502">
        <v>0</v>
      </c>
      <c r="U1041" s="504">
        <v>0</v>
      </c>
      <c r="V1041" s="282"/>
      <c r="W1041" s="282">
        <f t="shared" si="180"/>
        <v>2511.2562747688244</v>
      </c>
      <c r="X1041" s="282"/>
    </row>
    <row r="1042" spans="1:49">
      <c r="A1042" s="487">
        <v>457</v>
      </c>
      <c r="B1042" s="509" t="s">
        <v>516</v>
      </c>
      <c r="C1042" s="498">
        <v>2887804</v>
      </c>
      <c r="D1042" s="498">
        <v>0</v>
      </c>
      <c r="E1042" s="498">
        <v>0</v>
      </c>
      <c r="F1042" s="498">
        <v>0</v>
      </c>
      <c r="G1042" s="498">
        <v>0</v>
      </c>
      <c r="H1042" s="498">
        <v>0</v>
      </c>
      <c r="I1042" s="498">
        <v>0</v>
      </c>
      <c r="J1042" s="498">
        <v>0</v>
      </c>
      <c r="K1042" s="498">
        <v>0</v>
      </c>
      <c r="L1042" s="502">
        <v>0</v>
      </c>
      <c r="M1042" s="498">
        <v>0</v>
      </c>
      <c r="N1042" s="510">
        <v>1147</v>
      </c>
      <c r="O1042" s="498">
        <v>2887804</v>
      </c>
      <c r="P1042" s="502">
        <v>0</v>
      </c>
      <c r="Q1042" s="498">
        <v>0</v>
      </c>
      <c r="R1042" s="503">
        <v>0</v>
      </c>
      <c r="S1042" s="498">
        <v>0</v>
      </c>
      <c r="T1042" s="502">
        <v>0</v>
      </c>
      <c r="U1042" s="504">
        <v>0</v>
      </c>
      <c r="V1042" s="282"/>
      <c r="W1042" s="282">
        <f t="shared" si="180"/>
        <v>2517.7018308631214</v>
      </c>
      <c r="X1042" s="282"/>
    </row>
    <row r="1043" spans="1:49">
      <c r="A1043" s="487">
        <v>458</v>
      </c>
      <c r="B1043" s="509" t="s">
        <v>517</v>
      </c>
      <c r="C1043" s="498">
        <v>928016</v>
      </c>
      <c r="D1043" s="498">
        <v>0</v>
      </c>
      <c r="E1043" s="498">
        <v>0</v>
      </c>
      <c r="F1043" s="498">
        <v>0</v>
      </c>
      <c r="G1043" s="498">
        <v>0</v>
      </c>
      <c r="H1043" s="498">
        <v>0</v>
      </c>
      <c r="I1043" s="498">
        <v>0</v>
      </c>
      <c r="J1043" s="498">
        <v>0</v>
      </c>
      <c r="K1043" s="498">
        <v>0</v>
      </c>
      <c r="L1043" s="502">
        <v>0</v>
      </c>
      <c r="M1043" s="498">
        <v>0</v>
      </c>
      <c r="N1043" s="510">
        <v>359</v>
      </c>
      <c r="O1043" s="498">
        <v>928016</v>
      </c>
      <c r="P1043" s="502">
        <v>0</v>
      </c>
      <c r="Q1043" s="498">
        <v>0</v>
      </c>
      <c r="R1043" s="503">
        <v>0</v>
      </c>
      <c r="S1043" s="498">
        <v>0</v>
      </c>
      <c r="T1043" s="502">
        <v>0</v>
      </c>
      <c r="U1043" s="504">
        <v>0</v>
      </c>
      <c r="V1043" s="282"/>
      <c r="W1043" s="282">
        <f t="shared" si="180"/>
        <v>2585.0027855153203</v>
      </c>
      <c r="X1043" s="282"/>
    </row>
    <row r="1044" spans="1:49">
      <c r="A1044" s="487">
        <v>459</v>
      </c>
      <c r="B1044" s="509" t="s">
        <v>518</v>
      </c>
      <c r="C1044" s="498">
        <v>935370</v>
      </c>
      <c r="D1044" s="498">
        <v>0</v>
      </c>
      <c r="E1044" s="498">
        <v>0</v>
      </c>
      <c r="F1044" s="498">
        <v>0</v>
      </c>
      <c r="G1044" s="498">
        <v>0</v>
      </c>
      <c r="H1044" s="498">
        <v>0</v>
      </c>
      <c r="I1044" s="498">
        <v>0</v>
      </c>
      <c r="J1044" s="498">
        <v>0</v>
      </c>
      <c r="K1044" s="498">
        <v>0</v>
      </c>
      <c r="L1044" s="502">
        <v>0</v>
      </c>
      <c r="M1044" s="498">
        <v>0</v>
      </c>
      <c r="N1044" s="510">
        <v>362</v>
      </c>
      <c r="O1044" s="498">
        <v>935370</v>
      </c>
      <c r="P1044" s="502">
        <v>0</v>
      </c>
      <c r="Q1044" s="498">
        <v>0</v>
      </c>
      <c r="R1044" s="503">
        <v>0</v>
      </c>
      <c r="S1044" s="498">
        <v>0</v>
      </c>
      <c r="T1044" s="502">
        <v>0</v>
      </c>
      <c r="U1044" s="504">
        <v>0</v>
      </c>
      <c r="V1044" s="282"/>
      <c r="W1044" s="282">
        <f t="shared" si="180"/>
        <v>2583.8950276243095</v>
      </c>
      <c r="X1044" s="282"/>
    </row>
    <row r="1045" spans="1:49">
      <c r="A1045" s="487"/>
      <c r="B1045" s="509" t="s">
        <v>519</v>
      </c>
      <c r="C1045" s="498">
        <v>3352678</v>
      </c>
      <c r="D1045" s="498">
        <v>0</v>
      </c>
      <c r="E1045" s="498">
        <v>0</v>
      </c>
      <c r="F1045" s="498">
        <v>0</v>
      </c>
      <c r="G1045" s="498">
        <v>0</v>
      </c>
      <c r="H1045" s="498">
        <v>0</v>
      </c>
      <c r="I1045" s="498">
        <v>0</v>
      </c>
      <c r="J1045" s="498">
        <v>0</v>
      </c>
      <c r="K1045" s="498">
        <v>0</v>
      </c>
      <c r="L1045" s="502">
        <v>0</v>
      </c>
      <c r="M1045" s="498">
        <v>0</v>
      </c>
      <c r="N1045" s="510">
        <v>1341</v>
      </c>
      <c r="O1045" s="498">
        <v>3352678</v>
      </c>
      <c r="P1045" s="502">
        <v>0</v>
      </c>
      <c r="Q1045" s="498">
        <v>0</v>
      </c>
      <c r="R1045" s="503">
        <v>0</v>
      </c>
      <c r="S1045" s="498">
        <v>0</v>
      </c>
      <c r="T1045" s="502">
        <v>0</v>
      </c>
      <c r="U1045" s="504">
        <v>0</v>
      </c>
      <c r="V1045" s="282"/>
      <c r="W1045" s="282">
        <f t="shared" si="180"/>
        <v>2500.132736763609</v>
      </c>
      <c r="X1045" s="282"/>
    </row>
    <row r="1046" spans="1:49">
      <c r="A1046" s="487"/>
      <c r="B1046" s="509" t="s">
        <v>520</v>
      </c>
      <c r="C1046" s="498">
        <v>2535669</v>
      </c>
      <c r="D1046" s="498">
        <v>0</v>
      </c>
      <c r="E1046" s="498">
        <v>0</v>
      </c>
      <c r="F1046" s="498">
        <v>0</v>
      </c>
      <c r="G1046" s="498">
        <v>0</v>
      </c>
      <c r="H1046" s="498">
        <v>0</v>
      </c>
      <c r="I1046" s="498">
        <v>0</v>
      </c>
      <c r="J1046" s="498">
        <v>0</v>
      </c>
      <c r="K1046" s="498">
        <v>0</v>
      </c>
      <c r="L1046" s="502">
        <v>0</v>
      </c>
      <c r="M1046" s="498">
        <v>0</v>
      </c>
      <c r="N1046" s="510">
        <v>1012</v>
      </c>
      <c r="O1046" s="498">
        <v>2535669</v>
      </c>
      <c r="P1046" s="502">
        <v>0</v>
      </c>
      <c r="Q1046" s="498">
        <v>0</v>
      </c>
      <c r="R1046" s="503">
        <v>0</v>
      </c>
      <c r="S1046" s="498">
        <v>0</v>
      </c>
      <c r="T1046" s="502">
        <v>0</v>
      </c>
      <c r="U1046" s="504">
        <v>0</v>
      </c>
      <c r="V1046" s="282"/>
      <c r="W1046" s="282">
        <f t="shared" si="180"/>
        <v>2505.6017786561265</v>
      </c>
      <c r="X1046" s="282"/>
    </row>
    <row r="1047" spans="1:49">
      <c r="A1047" s="487"/>
      <c r="B1047" s="509" t="s">
        <v>521</v>
      </c>
      <c r="C1047" s="498">
        <v>1939162</v>
      </c>
      <c r="D1047" s="498">
        <v>0</v>
      </c>
      <c r="E1047" s="498">
        <v>0</v>
      </c>
      <c r="F1047" s="498">
        <v>0</v>
      </c>
      <c r="G1047" s="498">
        <v>0</v>
      </c>
      <c r="H1047" s="498">
        <v>0</v>
      </c>
      <c r="I1047" s="498">
        <v>0</v>
      </c>
      <c r="J1047" s="498">
        <v>0</v>
      </c>
      <c r="K1047" s="498">
        <v>0</v>
      </c>
      <c r="L1047" s="502">
        <v>0</v>
      </c>
      <c r="M1047" s="498">
        <v>0</v>
      </c>
      <c r="N1047" s="510">
        <v>772</v>
      </c>
      <c r="O1047" s="498">
        <v>1939162</v>
      </c>
      <c r="P1047" s="502">
        <v>0</v>
      </c>
      <c r="Q1047" s="498">
        <v>0</v>
      </c>
      <c r="R1047" s="503">
        <v>0</v>
      </c>
      <c r="S1047" s="498">
        <v>0</v>
      </c>
      <c r="T1047" s="502">
        <v>0</v>
      </c>
      <c r="U1047" s="504">
        <v>0</v>
      </c>
      <c r="V1047" s="282"/>
      <c r="W1047" s="282">
        <f t="shared" si="180"/>
        <v>2511.8678756476684</v>
      </c>
      <c r="X1047" s="282"/>
    </row>
    <row r="1048" spans="1:49">
      <c r="A1048" s="487"/>
      <c r="B1048" s="548"/>
      <c r="C1048" s="498"/>
      <c r="D1048" s="498"/>
      <c r="E1048" s="498"/>
      <c r="F1048" s="498"/>
      <c r="G1048" s="498"/>
      <c r="H1048" s="498"/>
      <c r="I1048" s="498"/>
      <c r="J1048" s="498"/>
      <c r="K1048" s="498"/>
      <c r="L1048" s="502"/>
      <c r="M1048" s="498"/>
      <c r="N1048" s="510"/>
      <c r="O1048" s="498"/>
      <c r="P1048" s="502"/>
      <c r="Q1048" s="498"/>
      <c r="R1048" s="503"/>
      <c r="S1048" s="498"/>
      <c r="T1048" s="502"/>
      <c r="U1048" s="504"/>
      <c r="V1048" s="282"/>
      <c r="W1048" s="282"/>
      <c r="X1048" s="282"/>
    </row>
    <row r="1049" spans="1:49">
      <c r="A1049" s="198"/>
      <c r="B1049" s="216" t="s">
        <v>67</v>
      </c>
      <c r="C1049" s="211">
        <v>2507155.0699999998</v>
      </c>
      <c r="D1049" s="211"/>
      <c r="E1049" s="211"/>
      <c r="F1049" s="211"/>
      <c r="G1049" s="211"/>
      <c r="H1049" s="211"/>
      <c r="I1049" s="211"/>
      <c r="J1049" s="211"/>
      <c r="K1049" s="211">
        <v>0</v>
      </c>
      <c r="L1049" s="212">
        <v>0</v>
      </c>
      <c r="M1049" s="211">
        <v>0</v>
      </c>
      <c r="N1049" s="211">
        <v>1630.2</v>
      </c>
      <c r="O1049" s="211">
        <v>2507155.0699999998</v>
      </c>
      <c r="P1049" s="212">
        <v>0</v>
      </c>
      <c r="Q1049" s="211">
        <v>0</v>
      </c>
      <c r="R1049" s="213">
        <v>0</v>
      </c>
      <c r="S1049" s="211">
        <v>0</v>
      </c>
      <c r="T1049" s="212">
        <v>0</v>
      </c>
      <c r="U1049" s="290">
        <v>0</v>
      </c>
      <c r="V1049" s="282"/>
      <c r="W1049" s="282"/>
      <c r="X1049" s="282"/>
    </row>
    <row r="1050" spans="1:49" ht="30">
      <c r="A1050" s="198"/>
      <c r="B1050" s="214" t="s">
        <v>90</v>
      </c>
      <c r="C1050" s="211">
        <v>728197.07</v>
      </c>
      <c r="D1050" s="211"/>
      <c r="E1050" s="211"/>
      <c r="F1050" s="211"/>
      <c r="G1050" s="211"/>
      <c r="H1050" s="211"/>
      <c r="I1050" s="211"/>
      <c r="J1050" s="211"/>
      <c r="K1050" s="211">
        <v>0</v>
      </c>
      <c r="L1050" s="212">
        <v>0</v>
      </c>
      <c r="M1050" s="211">
        <v>0</v>
      </c>
      <c r="N1050" s="211">
        <v>731.2</v>
      </c>
      <c r="O1050" s="211">
        <v>728197.07</v>
      </c>
      <c r="P1050" s="212">
        <v>0</v>
      </c>
      <c r="Q1050" s="211">
        <v>0</v>
      </c>
      <c r="R1050" s="213">
        <v>0</v>
      </c>
      <c r="S1050" s="211">
        <v>0</v>
      </c>
      <c r="T1050" s="212">
        <v>0</v>
      </c>
      <c r="U1050" s="290">
        <v>0</v>
      </c>
      <c r="V1050" s="282"/>
      <c r="W1050" s="282"/>
      <c r="X1050" s="282"/>
    </row>
    <row r="1051" spans="1:49" s="23" customFormat="1">
      <c r="A1051" s="198">
        <v>464</v>
      </c>
      <c r="B1051" s="241" t="s">
        <v>429</v>
      </c>
      <c r="C1051" s="211">
        <v>728197.07</v>
      </c>
      <c r="D1051" s="211"/>
      <c r="E1051" s="211"/>
      <c r="F1051" s="211"/>
      <c r="G1051" s="211"/>
      <c r="H1051" s="211"/>
      <c r="I1051" s="211"/>
      <c r="J1051" s="211"/>
      <c r="K1051" s="211">
        <v>0</v>
      </c>
      <c r="L1051" s="212">
        <v>0</v>
      </c>
      <c r="M1051" s="211">
        <v>0</v>
      </c>
      <c r="N1051" s="211">
        <v>731.2</v>
      </c>
      <c r="O1051" s="211">
        <v>728197.07</v>
      </c>
      <c r="P1051" s="212">
        <v>0</v>
      </c>
      <c r="Q1051" s="211">
        <v>0</v>
      </c>
      <c r="R1051" s="213">
        <v>0</v>
      </c>
      <c r="S1051" s="211">
        <v>0</v>
      </c>
      <c r="T1051" s="212">
        <v>0</v>
      </c>
      <c r="U1051" s="290">
        <v>0</v>
      </c>
      <c r="V1051" s="282"/>
      <c r="W1051" s="282"/>
      <c r="X1051" s="282"/>
    </row>
    <row r="1052" spans="1:49" ht="38.450000000000003" customHeight="1">
      <c r="A1052" s="487"/>
      <c r="B1052" s="499" t="s">
        <v>127</v>
      </c>
      <c r="C1052" s="498">
        <v>0</v>
      </c>
      <c r="D1052" s="498">
        <v>0</v>
      </c>
      <c r="E1052" s="498">
        <v>0</v>
      </c>
      <c r="F1052" s="498">
        <v>0</v>
      </c>
      <c r="G1052" s="498">
        <v>0</v>
      </c>
      <c r="H1052" s="498">
        <v>0</v>
      </c>
      <c r="I1052" s="498">
        <v>0</v>
      </c>
      <c r="J1052" s="498">
        <v>0</v>
      </c>
      <c r="K1052" s="498">
        <v>0</v>
      </c>
      <c r="L1052" s="502">
        <v>0</v>
      </c>
      <c r="M1052" s="498">
        <v>0</v>
      </c>
      <c r="N1052" s="498">
        <v>0</v>
      </c>
      <c r="O1052" s="498">
        <v>0</v>
      </c>
      <c r="P1052" s="502">
        <v>0</v>
      </c>
      <c r="Q1052" s="498">
        <v>0</v>
      </c>
      <c r="R1052" s="503">
        <v>0</v>
      </c>
      <c r="S1052" s="498">
        <v>0</v>
      </c>
      <c r="T1052" s="502">
        <v>0</v>
      </c>
      <c r="U1052" s="504">
        <v>0</v>
      </c>
      <c r="V1052" s="282"/>
      <c r="W1052" s="282"/>
      <c r="X1052" s="282"/>
    </row>
    <row r="1053" spans="1:49" ht="18.75" customHeight="1">
      <c r="A1053" s="470"/>
      <c r="B1053" s="511" t="s">
        <v>89</v>
      </c>
      <c r="C1053" s="512">
        <f>SUM(C1054:C1221)</f>
        <v>336230870.63</v>
      </c>
      <c r="D1053" s="512"/>
      <c r="E1053" s="512"/>
      <c r="F1053" s="512"/>
      <c r="G1053" s="512"/>
      <c r="H1053" s="512"/>
      <c r="I1053" s="512"/>
      <c r="J1053" s="512"/>
      <c r="K1053" s="512" t="e">
        <f>SUM(K1054:K1221)</f>
        <v>#REF!</v>
      </c>
      <c r="L1053" s="513">
        <v>45</v>
      </c>
      <c r="M1053" s="512">
        <f>SUM(M1054:M1221)</f>
        <v>84665172</v>
      </c>
      <c r="N1053" s="512">
        <f t="shared" ref="N1053" si="181">SUM(N1054:N1221)</f>
        <v>64824.649999999994</v>
      </c>
      <c r="O1053" s="512">
        <f>SUM(O1054:O1221)</f>
        <v>127943364.07000001</v>
      </c>
      <c r="P1053" s="512">
        <f t="shared" ref="P1053" si="182">SUM(P1054:P1221)</f>
        <v>682</v>
      </c>
      <c r="Q1053" s="512">
        <f>SUM(Q1054:Q1221)</f>
        <v>662518</v>
      </c>
      <c r="R1053" s="512">
        <f t="shared" ref="R1053" si="183">SUM(R1054:R1221)</f>
        <v>29106.850000000002</v>
      </c>
      <c r="S1053" s="512">
        <f>SUM(S1054:S1221)</f>
        <v>38255949.950000003</v>
      </c>
      <c r="T1053" s="513">
        <v>0</v>
      </c>
      <c r="U1053" s="514">
        <v>0</v>
      </c>
      <c r="V1053" s="436"/>
      <c r="W1053" s="436"/>
      <c r="X1053" s="436"/>
      <c r="Y1053" s="437"/>
      <c r="Z1053" s="437"/>
      <c r="AA1053" s="437"/>
      <c r="AB1053" s="437"/>
      <c r="AC1053" s="437"/>
      <c r="AD1053" s="437"/>
      <c r="AE1053" s="437"/>
      <c r="AF1053" s="437"/>
      <c r="AG1053" s="437"/>
      <c r="AH1053" s="437"/>
      <c r="AI1053" s="437"/>
    </row>
    <row r="1054" spans="1:49" s="59" customFormat="1">
      <c r="A1054" s="198">
        <v>1</v>
      </c>
      <c r="B1054" s="195" t="s">
        <v>324</v>
      </c>
      <c r="C1054" s="196">
        <v>5982216</v>
      </c>
      <c r="D1054" s="196"/>
      <c r="E1054" s="196"/>
      <c r="F1054" s="196"/>
      <c r="G1054" s="196"/>
      <c r="H1054" s="196"/>
      <c r="I1054" s="196"/>
      <c r="J1054" s="196"/>
      <c r="K1054" s="196">
        <v>0</v>
      </c>
      <c r="L1054" s="194">
        <v>0</v>
      </c>
      <c r="M1054" s="196">
        <v>0</v>
      </c>
      <c r="N1054" s="196">
        <v>0</v>
      </c>
      <c r="O1054" s="196">
        <v>0</v>
      </c>
      <c r="P1054" s="194">
        <v>0</v>
      </c>
      <c r="Q1054" s="196">
        <v>0</v>
      </c>
      <c r="R1054" s="199">
        <v>4158.84</v>
      </c>
      <c r="S1054" s="196">
        <v>5982216</v>
      </c>
      <c r="T1054" s="197">
        <v>0</v>
      </c>
      <c r="U1054" s="288">
        <v>0</v>
      </c>
      <c r="V1054" s="282" t="e">
        <f>C1054-'часть 1'!#REF!</f>
        <v>#REF!</v>
      </c>
      <c r="W1054" s="282"/>
      <c r="X1054" s="28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296"/>
    </row>
    <row r="1055" spans="1:49" s="89" customFormat="1">
      <c r="A1055" s="198">
        <v>2</v>
      </c>
      <c r="B1055" s="195" t="s">
        <v>325</v>
      </c>
      <c r="C1055" s="196">
        <v>9379653</v>
      </c>
      <c r="D1055" s="196"/>
      <c r="E1055" s="196"/>
      <c r="F1055" s="196"/>
      <c r="G1055" s="196"/>
      <c r="H1055" s="196"/>
      <c r="I1055" s="196"/>
      <c r="J1055" s="196"/>
      <c r="K1055" s="196">
        <v>0</v>
      </c>
      <c r="L1055" s="194">
        <v>5</v>
      </c>
      <c r="M1055" s="196">
        <v>9379653</v>
      </c>
      <c r="N1055" s="196">
        <v>0</v>
      </c>
      <c r="O1055" s="196">
        <v>0</v>
      </c>
      <c r="P1055" s="194">
        <v>0</v>
      </c>
      <c r="Q1055" s="196">
        <v>0</v>
      </c>
      <c r="R1055" s="197">
        <v>0</v>
      </c>
      <c r="S1055" s="196">
        <v>0</v>
      </c>
      <c r="T1055" s="197">
        <v>0</v>
      </c>
      <c r="U1055" s="288">
        <v>0</v>
      </c>
      <c r="V1055" s="282" t="e">
        <f>C1055-'часть 1'!#REF!</f>
        <v>#REF!</v>
      </c>
      <c r="W1055" s="282"/>
      <c r="X1055" s="28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296"/>
      <c r="AJ1055" s="59"/>
      <c r="AK1055" s="59"/>
      <c r="AL1055" s="59"/>
      <c r="AM1055" s="59"/>
      <c r="AN1055" s="59"/>
      <c r="AO1055" s="59"/>
      <c r="AP1055" s="59"/>
      <c r="AQ1055" s="59"/>
      <c r="AR1055" s="59"/>
      <c r="AS1055" s="59"/>
      <c r="AT1055" s="59"/>
      <c r="AU1055" s="59"/>
      <c r="AV1055" s="59"/>
      <c r="AW1055" s="59"/>
    </row>
    <row r="1056" spans="1:49" s="59" customFormat="1">
      <c r="A1056" s="198">
        <v>3</v>
      </c>
      <c r="B1056" s="195" t="s">
        <v>321</v>
      </c>
      <c r="C1056" s="196">
        <v>3763756</v>
      </c>
      <c r="D1056" s="196"/>
      <c r="E1056" s="196"/>
      <c r="F1056" s="196"/>
      <c r="G1056" s="196"/>
      <c r="H1056" s="196"/>
      <c r="I1056" s="196"/>
      <c r="J1056" s="196"/>
      <c r="K1056" s="196">
        <v>0</v>
      </c>
      <c r="L1056" s="194">
        <v>2</v>
      </c>
      <c r="M1056" s="196">
        <v>3763756</v>
      </c>
      <c r="N1056" s="196">
        <v>0</v>
      </c>
      <c r="O1056" s="196">
        <v>0</v>
      </c>
      <c r="P1056" s="194">
        <v>0</v>
      </c>
      <c r="Q1056" s="196">
        <v>0</v>
      </c>
      <c r="R1056" s="200">
        <v>0</v>
      </c>
      <c r="S1056" s="196">
        <v>0</v>
      </c>
      <c r="T1056" s="197">
        <v>0</v>
      </c>
      <c r="U1056" s="288">
        <v>0</v>
      </c>
      <c r="V1056" s="282" t="e">
        <f>C1056-'часть 1'!#REF!</f>
        <v>#REF!</v>
      </c>
      <c r="W1056" s="282"/>
      <c r="X1056" s="28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296"/>
    </row>
    <row r="1057" spans="1:35" s="59" customFormat="1">
      <c r="A1057" s="198">
        <v>4</v>
      </c>
      <c r="B1057" s="195" t="s">
        <v>346</v>
      </c>
      <c r="C1057" s="196">
        <v>1095812</v>
      </c>
      <c r="D1057" s="196"/>
      <c r="E1057" s="196"/>
      <c r="F1057" s="196"/>
      <c r="G1057" s="196"/>
      <c r="H1057" s="196"/>
      <c r="I1057" s="196"/>
      <c r="J1057" s="196"/>
      <c r="K1057" s="196">
        <v>1095812</v>
      </c>
      <c r="L1057" s="194">
        <v>0</v>
      </c>
      <c r="M1057" s="196">
        <v>0</v>
      </c>
      <c r="N1057" s="196">
        <v>0</v>
      </c>
      <c r="O1057" s="196">
        <v>0</v>
      </c>
      <c r="P1057" s="194">
        <v>0</v>
      </c>
      <c r="Q1057" s="196">
        <v>0</v>
      </c>
      <c r="R1057" s="200">
        <v>0</v>
      </c>
      <c r="S1057" s="196">
        <v>0</v>
      </c>
      <c r="T1057" s="197">
        <v>0</v>
      </c>
      <c r="U1057" s="288">
        <v>0</v>
      </c>
      <c r="V1057" s="282" t="e">
        <f>C1057-'часть 1'!#REF!</f>
        <v>#REF!</v>
      </c>
      <c r="W1057" s="282"/>
      <c r="X1057" s="28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296"/>
    </row>
    <row r="1058" spans="1:35" s="59" customFormat="1">
      <c r="A1058" s="198">
        <v>5</v>
      </c>
      <c r="B1058" s="195" t="s">
        <v>322</v>
      </c>
      <c r="C1058" s="196">
        <v>5619141</v>
      </c>
      <c r="D1058" s="196"/>
      <c r="E1058" s="196"/>
      <c r="F1058" s="196"/>
      <c r="G1058" s="196"/>
      <c r="H1058" s="196"/>
      <c r="I1058" s="196"/>
      <c r="J1058" s="196"/>
      <c r="K1058" s="196">
        <v>0</v>
      </c>
      <c r="L1058" s="194">
        <v>3</v>
      </c>
      <c r="M1058" s="196">
        <v>5619141</v>
      </c>
      <c r="N1058" s="196">
        <v>0</v>
      </c>
      <c r="O1058" s="196">
        <v>0</v>
      </c>
      <c r="P1058" s="194">
        <v>0</v>
      </c>
      <c r="Q1058" s="196">
        <v>0</v>
      </c>
      <c r="R1058" s="200">
        <v>0</v>
      </c>
      <c r="S1058" s="196">
        <v>0</v>
      </c>
      <c r="T1058" s="197">
        <v>0</v>
      </c>
      <c r="U1058" s="288">
        <v>0</v>
      </c>
      <c r="V1058" s="282" t="e">
        <f>C1058-'часть 1'!#REF!</f>
        <v>#REF!</v>
      </c>
      <c r="W1058" s="282"/>
      <c r="X1058" s="28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296"/>
    </row>
    <row r="1059" spans="1:35" s="59" customFormat="1">
      <c r="A1059" s="198">
        <v>6</v>
      </c>
      <c r="B1059" s="195" t="s">
        <v>320</v>
      </c>
      <c r="C1059" s="196">
        <v>3748388</v>
      </c>
      <c r="D1059" s="196"/>
      <c r="E1059" s="196"/>
      <c r="F1059" s="196"/>
      <c r="G1059" s="196"/>
      <c r="H1059" s="196"/>
      <c r="I1059" s="196"/>
      <c r="J1059" s="196"/>
      <c r="K1059" s="196">
        <v>0</v>
      </c>
      <c r="L1059" s="194">
        <v>2</v>
      </c>
      <c r="M1059" s="196">
        <v>3748388</v>
      </c>
      <c r="N1059" s="196">
        <v>0</v>
      </c>
      <c r="O1059" s="196">
        <v>0</v>
      </c>
      <c r="P1059" s="194">
        <v>0</v>
      </c>
      <c r="Q1059" s="196">
        <v>0</v>
      </c>
      <c r="R1059" s="197">
        <v>0</v>
      </c>
      <c r="S1059" s="196">
        <v>0</v>
      </c>
      <c r="T1059" s="197">
        <v>0</v>
      </c>
      <c r="U1059" s="288">
        <v>0</v>
      </c>
      <c r="V1059" s="282" t="e">
        <f>C1059-'часть 1'!#REF!</f>
        <v>#REF!</v>
      </c>
      <c r="W1059" s="282"/>
      <c r="X1059" s="28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296"/>
    </row>
    <row r="1060" spans="1:35" s="59" customFormat="1">
      <c r="A1060" s="198">
        <v>7</v>
      </c>
      <c r="B1060" s="195" t="s">
        <v>327</v>
      </c>
      <c r="C1060" s="196">
        <v>15157748</v>
      </c>
      <c r="D1060" s="196"/>
      <c r="E1060" s="196"/>
      <c r="F1060" s="196"/>
      <c r="G1060" s="196"/>
      <c r="H1060" s="196"/>
      <c r="I1060" s="196"/>
      <c r="J1060" s="196"/>
      <c r="K1060" s="196">
        <v>0</v>
      </c>
      <c r="L1060" s="194">
        <v>8</v>
      </c>
      <c r="M1060" s="196">
        <f>C1060</f>
        <v>15157748</v>
      </c>
      <c r="N1060" s="196">
        <v>0</v>
      </c>
      <c r="O1060" s="196">
        <v>0</v>
      </c>
      <c r="P1060" s="194">
        <v>0</v>
      </c>
      <c r="Q1060" s="196">
        <v>0</v>
      </c>
      <c r="R1060" s="197">
        <v>0</v>
      </c>
      <c r="S1060" s="196">
        <v>0</v>
      </c>
      <c r="T1060" s="197">
        <v>0</v>
      </c>
      <c r="U1060" s="288">
        <v>0</v>
      </c>
      <c r="V1060" s="282" t="e">
        <f>C1060-'часть 1'!#REF!</f>
        <v>#REF!</v>
      </c>
      <c r="W1060" s="282"/>
      <c r="X1060" s="28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296"/>
    </row>
    <row r="1061" spans="1:35" s="59" customFormat="1">
      <c r="A1061" s="198">
        <v>8</v>
      </c>
      <c r="B1061" s="195" t="s">
        <v>323</v>
      </c>
      <c r="C1061" s="196">
        <v>1030213</v>
      </c>
      <c r="D1061" s="196"/>
      <c r="E1061" s="196"/>
      <c r="F1061" s="196"/>
      <c r="G1061" s="196"/>
      <c r="H1061" s="196"/>
      <c r="I1061" s="196"/>
      <c r="J1061" s="196"/>
      <c r="K1061" s="196">
        <v>0</v>
      </c>
      <c r="L1061" s="194">
        <v>0</v>
      </c>
      <c r="M1061" s="196">
        <v>0</v>
      </c>
      <c r="N1061" s="196">
        <v>513.79999999999995</v>
      </c>
      <c r="O1061" s="199">
        <f>C1061</f>
        <v>1030213</v>
      </c>
      <c r="P1061" s="194">
        <v>0</v>
      </c>
      <c r="Q1061" s="196">
        <v>0</v>
      </c>
      <c r="R1061" s="200">
        <v>0</v>
      </c>
      <c r="S1061" s="196">
        <v>0</v>
      </c>
      <c r="T1061" s="197">
        <v>0</v>
      </c>
      <c r="U1061" s="288">
        <v>0</v>
      </c>
      <c r="V1061" s="282" t="e">
        <f>C1061-'часть 1'!#REF!</f>
        <v>#REF!</v>
      </c>
      <c r="W1061" s="282"/>
      <c r="X1061" s="28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296"/>
    </row>
    <row r="1062" spans="1:35" s="59" customFormat="1">
      <c r="A1062" s="198">
        <v>9</v>
      </c>
      <c r="B1062" s="195" t="s">
        <v>319</v>
      </c>
      <c r="C1062" s="196">
        <v>530465</v>
      </c>
      <c r="D1062" s="196"/>
      <c r="E1062" s="196"/>
      <c r="F1062" s="196"/>
      <c r="G1062" s="196"/>
      <c r="H1062" s="196"/>
      <c r="I1062" s="196"/>
      <c r="J1062" s="196"/>
      <c r="K1062" s="196" t="e">
        <f>#REF!</f>
        <v>#REF!</v>
      </c>
      <c r="L1062" s="194">
        <v>0</v>
      </c>
      <c r="M1062" s="196">
        <v>0</v>
      </c>
      <c r="N1062" s="199">
        <v>0</v>
      </c>
      <c r="O1062" s="196">
        <v>0</v>
      </c>
      <c r="P1062" s="194">
        <v>0</v>
      </c>
      <c r="Q1062" s="196">
        <v>0</v>
      </c>
      <c r="R1062" s="200">
        <v>0</v>
      </c>
      <c r="S1062" s="196">
        <v>0</v>
      </c>
      <c r="T1062" s="197">
        <v>0</v>
      </c>
      <c r="U1062" s="288">
        <v>0</v>
      </c>
      <c r="V1062" s="282" t="e">
        <f>C1062-'часть 1'!#REF!</f>
        <v>#REF!</v>
      </c>
      <c r="W1062" s="282"/>
      <c r="X1062" s="28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296"/>
    </row>
    <row r="1063" spans="1:35" s="59" customFormat="1">
      <c r="A1063" s="198">
        <v>10</v>
      </c>
      <c r="B1063" s="195" t="s">
        <v>326</v>
      </c>
      <c r="C1063" s="196">
        <v>1983854</v>
      </c>
      <c r="D1063" s="196"/>
      <c r="E1063" s="196"/>
      <c r="F1063" s="196"/>
      <c r="G1063" s="196"/>
      <c r="H1063" s="196"/>
      <c r="I1063" s="196"/>
      <c r="J1063" s="196"/>
      <c r="K1063" s="196">
        <v>0</v>
      </c>
      <c r="L1063" s="194">
        <v>0</v>
      </c>
      <c r="M1063" s="196">
        <v>0</v>
      </c>
      <c r="N1063" s="196">
        <v>1000</v>
      </c>
      <c r="O1063" s="196">
        <v>1983854</v>
      </c>
      <c r="P1063" s="194">
        <v>0</v>
      </c>
      <c r="Q1063" s="196">
        <v>0</v>
      </c>
      <c r="R1063" s="197">
        <v>0</v>
      </c>
      <c r="S1063" s="196">
        <v>0</v>
      </c>
      <c r="T1063" s="197">
        <v>0</v>
      </c>
      <c r="U1063" s="288">
        <v>0</v>
      </c>
      <c r="V1063" s="282" t="e">
        <f>C1063-'часть 1'!#REF!</f>
        <v>#REF!</v>
      </c>
      <c r="W1063" s="282"/>
      <c r="X1063" s="28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296"/>
    </row>
    <row r="1064" spans="1:35" s="59" customFormat="1">
      <c r="A1064" s="198">
        <v>11</v>
      </c>
      <c r="B1064" s="195" t="s">
        <v>388</v>
      </c>
      <c r="C1064" s="196">
        <v>1206304</v>
      </c>
      <c r="D1064" s="196"/>
      <c r="E1064" s="196"/>
      <c r="F1064" s="196"/>
      <c r="G1064" s="196"/>
      <c r="H1064" s="196"/>
      <c r="I1064" s="196"/>
      <c r="J1064" s="196"/>
      <c r="K1064" s="196">
        <v>0</v>
      </c>
      <c r="L1064" s="194">
        <v>0</v>
      </c>
      <c r="M1064" s="196">
        <v>0</v>
      </c>
      <c r="N1064" s="196">
        <v>576</v>
      </c>
      <c r="O1064" s="196">
        <v>1206304</v>
      </c>
      <c r="P1064" s="194">
        <v>0</v>
      </c>
      <c r="Q1064" s="196">
        <v>0</v>
      </c>
      <c r="R1064" s="197">
        <v>0</v>
      </c>
      <c r="S1064" s="196">
        <v>0</v>
      </c>
      <c r="T1064" s="197">
        <v>0</v>
      </c>
      <c r="U1064" s="288">
        <v>0</v>
      </c>
      <c r="V1064" s="282" t="e">
        <f>C1064-'часть 1'!#REF!</f>
        <v>#REF!</v>
      </c>
      <c r="W1064" s="282"/>
      <c r="X1064" s="28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296"/>
    </row>
    <row r="1065" spans="1:35" s="59" customFormat="1" ht="30">
      <c r="A1065" s="198">
        <v>12</v>
      </c>
      <c r="B1065" s="195" t="s">
        <v>419</v>
      </c>
      <c r="C1065" s="196">
        <v>402530.2</v>
      </c>
      <c r="D1065" s="196"/>
      <c r="E1065" s="196"/>
      <c r="F1065" s="196"/>
      <c r="G1065" s="196"/>
      <c r="H1065" s="196"/>
      <c r="I1065" s="196"/>
      <c r="J1065" s="196"/>
      <c r="K1065" s="196">
        <v>402530.2</v>
      </c>
      <c r="L1065" s="194">
        <v>0</v>
      </c>
      <c r="M1065" s="196">
        <v>0</v>
      </c>
      <c r="N1065" s="196">
        <v>0</v>
      </c>
      <c r="O1065" s="196">
        <v>0</v>
      </c>
      <c r="P1065" s="194">
        <v>0</v>
      </c>
      <c r="Q1065" s="196">
        <v>0</v>
      </c>
      <c r="R1065" s="197">
        <v>0</v>
      </c>
      <c r="S1065" s="196">
        <v>0</v>
      </c>
      <c r="T1065" s="197">
        <v>0</v>
      </c>
      <c r="U1065" s="288">
        <v>0</v>
      </c>
      <c r="V1065" s="282" t="e">
        <f>C1065-'часть 1'!#REF!</f>
        <v>#REF!</v>
      </c>
      <c r="W1065" s="282"/>
      <c r="X1065" s="28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296"/>
    </row>
    <row r="1066" spans="1:35" s="59" customFormat="1">
      <c r="A1066" s="198">
        <v>13</v>
      </c>
      <c r="B1066" s="195" t="s">
        <v>387</v>
      </c>
      <c r="C1066" s="196">
        <v>2861497</v>
      </c>
      <c r="D1066" s="196"/>
      <c r="E1066" s="196"/>
      <c r="F1066" s="196"/>
      <c r="G1066" s="196"/>
      <c r="H1066" s="196"/>
      <c r="I1066" s="196"/>
      <c r="J1066" s="196"/>
      <c r="K1066" s="196">
        <v>0</v>
      </c>
      <c r="L1066" s="194">
        <v>0</v>
      </c>
      <c r="M1066" s="196">
        <v>0</v>
      </c>
      <c r="N1066" s="196">
        <v>1450</v>
      </c>
      <c r="O1066" s="196">
        <v>2861497</v>
      </c>
      <c r="P1066" s="194">
        <v>0</v>
      </c>
      <c r="Q1066" s="196">
        <v>0</v>
      </c>
      <c r="R1066" s="197">
        <v>0</v>
      </c>
      <c r="S1066" s="196">
        <v>0</v>
      </c>
      <c r="T1066" s="197">
        <v>0</v>
      </c>
      <c r="U1066" s="288">
        <v>0</v>
      </c>
      <c r="V1066" s="282" t="e">
        <f>C1066-'часть 1'!#REF!</f>
        <v>#REF!</v>
      </c>
      <c r="W1066" s="282"/>
      <c r="X1066" s="28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296"/>
    </row>
    <row r="1067" spans="1:35" s="59" customFormat="1">
      <c r="A1067" s="198">
        <v>14</v>
      </c>
      <c r="B1067" s="195" t="s">
        <v>334</v>
      </c>
      <c r="C1067" s="196">
        <v>1535065.47</v>
      </c>
      <c r="D1067" s="196"/>
      <c r="E1067" s="196"/>
      <c r="F1067" s="196"/>
      <c r="G1067" s="196"/>
      <c r="H1067" s="196"/>
      <c r="I1067" s="196"/>
      <c r="J1067" s="196"/>
      <c r="K1067" s="196">
        <v>0</v>
      </c>
      <c r="L1067" s="194">
        <v>0</v>
      </c>
      <c r="M1067" s="196">
        <v>0</v>
      </c>
      <c r="N1067" s="196">
        <v>0</v>
      </c>
      <c r="O1067" s="196">
        <v>0</v>
      </c>
      <c r="P1067" s="194">
        <v>0</v>
      </c>
      <c r="Q1067" s="196">
        <v>0</v>
      </c>
      <c r="R1067" s="196">
        <v>1641</v>
      </c>
      <c r="S1067" s="196">
        <v>1535065.47</v>
      </c>
      <c r="T1067" s="197">
        <v>0</v>
      </c>
      <c r="U1067" s="288">
        <v>0</v>
      </c>
      <c r="V1067" s="282" t="e">
        <f>C1067-'часть 1'!#REF!</f>
        <v>#REF!</v>
      </c>
      <c r="W1067" s="282"/>
      <c r="X1067" s="28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296"/>
    </row>
    <row r="1068" spans="1:35" s="59" customFormat="1">
      <c r="A1068" s="198">
        <v>15</v>
      </c>
      <c r="B1068" s="195" t="s">
        <v>330</v>
      </c>
      <c r="C1068" s="196">
        <v>930534</v>
      </c>
      <c r="D1068" s="196"/>
      <c r="E1068" s="196"/>
      <c r="F1068" s="196"/>
      <c r="G1068" s="196"/>
      <c r="H1068" s="196"/>
      <c r="I1068" s="196"/>
      <c r="J1068" s="196"/>
      <c r="K1068" s="196">
        <v>930534</v>
      </c>
      <c r="L1068" s="194">
        <v>0</v>
      </c>
      <c r="M1068" s="196">
        <v>0</v>
      </c>
      <c r="N1068" s="196">
        <v>0</v>
      </c>
      <c r="O1068" s="196">
        <v>0</v>
      </c>
      <c r="P1068" s="194">
        <v>0</v>
      </c>
      <c r="Q1068" s="196">
        <v>0</v>
      </c>
      <c r="R1068" s="200">
        <v>0</v>
      </c>
      <c r="S1068" s="196">
        <v>0</v>
      </c>
      <c r="T1068" s="197">
        <v>0</v>
      </c>
      <c r="U1068" s="288">
        <v>0</v>
      </c>
      <c r="V1068" s="282" t="e">
        <f>C1068-'часть 1'!#REF!</f>
        <v>#REF!</v>
      </c>
      <c r="W1068" s="282"/>
      <c r="X1068" s="282"/>
      <c r="Y1068" s="4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296"/>
    </row>
    <row r="1069" spans="1:35" s="59" customFormat="1">
      <c r="A1069" s="198">
        <v>16</v>
      </c>
      <c r="B1069" s="195" t="s">
        <v>328</v>
      </c>
      <c r="C1069" s="196">
        <v>662518</v>
      </c>
      <c r="D1069" s="196"/>
      <c r="E1069" s="196"/>
      <c r="F1069" s="196"/>
      <c r="G1069" s="196"/>
      <c r="H1069" s="196"/>
      <c r="I1069" s="196"/>
      <c r="J1069" s="196"/>
      <c r="K1069" s="196">
        <v>0</v>
      </c>
      <c r="L1069" s="194">
        <v>0</v>
      </c>
      <c r="M1069" s="196">
        <v>0</v>
      </c>
      <c r="N1069" s="196">
        <v>0</v>
      </c>
      <c r="O1069" s="196">
        <v>0</v>
      </c>
      <c r="P1069" s="196">
        <v>682</v>
      </c>
      <c r="Q1069" s="196">
        <f>C1069</f>
        <v>662518</v>
      </c>
      <c r="R1069" s="197">
        <v>0</v>
      </c>
      <c r="S1069" s="196">
        <v>0</v>
      </c>
      <c r="T1069" s="197">
        <v>0</v>
      </c>
      <c r="U1069" s="288">
        <v>0</v>
      </c>
      <c r="V1069" s="282">
        <f>C1069-'часть 1'!L1082</f>
        <v>662518</v>
      </c>
      <c r="W1069" s="282"/>
      <c r="X1069" s="28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296"/>
    </row>
    <row r="1070" spans="1:35" s="59" customFormat="1">
      <c r="A1070" s="198">
        <v>17</v>
      </c>
      <c r="B1070" s="195" t="s">
        <v>333</v>
      </c>
      <c r="C1070" s="196">
        <v>2346663</v>
      </c>
      <c r="D1070" s="196"/>
      <c r="E1070" s="196"/>
      <c r="F1070" s="196"/>
      <c r="G1070" s="196"/>
      <c r="H1070" s="196"/>
      <c r="I1070" s="196"/>
      <c r="J1070" s="196"/>
      <c r="K1070" s="196">
        <v>2346663</v>
      </c>
      <c r="L1070" s="194">
        <v>0</v>
      </c>
      <c r="M1070" s="196">
        <v>0</v>
      </c>
      <c r="N1070" s="199">
        <v>0</v>
      </c>
      <c r="O1070" s="196">
        <v>0</v>
      </c>
      <c r="P1070" s="194">
        <v>0</v>
      </c>
      <c r="Q1070" s="196">
        <v>0</v>
      </c>
      <c r="R1070" s="200">
        <v>0</v>
      </c>
      <c r="S1070" s="196">
        <v>0</v>
      </c>
      <c r="T1070" s="197">
        <v>0</v>
      </c>
      <c r="U1070" s="288">
        <v>0</v>
      </c>
      <c r="V1070" s="282" t="e">
        <f>C1070-'часть 1'!#REF!</f>
        <v>#REF!</v>
      </c>
      <c r="W1070" s="282"/>
      <c r="X1070" s="282"/>
      <c r="Y1070" s="12"/>
      <c r="Z1070" s="12"/>
      <c r="AA1070" s="12"/>
      <c r="AB1070" s="12"/>
      <c r="AC1070" s="12"/>
      <c r="AD1070" s="12"/>
      <c r="AE1070" s="15"/>
      <c r="AF1070" s="12"/>
      <c r="AG1070" s="12"/>
      <c r="AH1070" s="12"/>
      <c r="AI1070" s="296"/>
    </row>
    <row r="1071" spans="1:35" s="59" customFormat="1">
      <c r="A1071" s="198">
        <v>18</v>
      </c>
      <c r="B1071" s="195" t="s">
        <v>331</v>
      </c>
      <c r="C1071" s="196">
        <v>727019</v>
      </c>
      <c r="D1071" s="196"/>
      <c r="E1071" s="196"/>
      <c r="F1071" s="196"/>
      <c r="G1071" s="196"/>
      <c r="H1071" s="196"/>
      <c r="I1071" s="196"/>
      <c r="J1071" s="196"/>
      <c r="K1071" s="196">
        <v>727019</v>
      </c>
      <c r="L1071" s="194">
        <v>0</v>
      </c>
      <c r="M1071" s="196">
        <v>0</v>
      </c>
      <c r="N1071" s="196">
        <v>0</v>
      </c>
      <c r="O1071" s="196">
        <v>0</v>
      </c>
      <c r="P1071" s="194">
        <v>0</v>
      </c>
      <c r="Q1071" s="196">
        <v>0</v>
      </c>
      <c r="R1071" s="200">
        <v>0</v>
      </c>
      <c r="S1071" s="196">
        <v>0</v>
      </c>
      <c r="T1071" s="197">
        <v>0</v>
      </c>
      <c r="U1071" s="288">
        <v>0</v>
      </c>
      <c r="V1071" s="282" t="e">
        <f>C1071-'часть 1'!#REF!</f>
        <v>#REF!</v>
      </c>
      <c r="W1071" s="282"/>
      <c r="X1071" s="28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296"/>
    </row>
    <row r="1072" spans="1:35" s="59" customFormat="1">
      <c r="A1072" s="198">
        <v>19</v>
      </c>
      <c r="B1072" s="195" t="s">
        <v>329</v>
      </c>
      <c r="C1072" s="196">
        <v>538121</v>
      </c>
      <c r="D1072" s="196"/>
      <c r="E1072" s="196"/>
      <c r="F1072" s="196"/>
      <c r="G1072" s="196"/>
      <c r="H1072" s="196"/>
      <c r="I1072" s="196"/>
      <c r="J1072" s="196"/>
      <c r="K1072" s="196">
        <v>538121</v>
      </c>
      <c r="L1072" s="194">
        <v>0</v>
      </c>
      <c r="M1072" s="196">
        <v>0</v>
      </c>
      <c r="N1072" s="196">
        <v>0</v>
      </c>
      <c r="O1072" s="196">
        <v>0</v>
      </c>
      <c r="P1072" s="194">
        <v>0</v>
      </c>
      <c r="Q1072" s="196">
        <v>0</v>
      </c>
      <c r="R1072" s="197">
        <v>0</v>
      </c>
      <c r="S1072" s="196">
        <v>0</v>
      </c>
      <c r="T1072" s="197">
        <v>0</v>
      </c>
      <c r="U1072" s="288">
        <v>0</v>
      </c>
      <c r="V1072" s="282" t="e">
        <f>C1072-'часть 1'!#REF!</f>
        <v>#REF!</v>
      </c>
      <c r="W1072" s="282"/>
      <c r="X1072" s="282"/>
      <c r="Y1072" s="4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296"/>
    </row>
    <row r="1073" spans="1:49" s="59" customFormat="1">
      <c r="A1073" s="198">
        <v>20</v>
      </c>
      <c r="B1073" s="195" t="s">
        <v>332</v>
      </c>
      <c r="C1073" s="196">
        <v>1756852</v>
      </c>
      <c r="D1073" s="196"/>
      <c r="E1073" s="196"/>
      <c r="F1073" s="196"/>
      <c r="G1073" s="196"/>
      <c r="H1073" s="196"/>
      <c r="I1073" s="196"/>
      <c r="J1073" s="196"/>
      <c r="K1073" s="196">
        <v>0</v>
      </c>
      <c r="L1073" s="194">
        <v>0</v>
      </c>
      <c r="M1073" s="196">
        <v>0</v>
      </c>
      <c r="N1073" s="196">
        <v>891</v>
      </c>
      <c r="O1073" s="196">
        <v>1756852</v>
      </c>
      <c r="P1073" s="194">
        <v>0</v>
      </c>
      <c r="Q1073" s="196">
        <v>0</v>
      </c>
      <c r="R1073" s="197">
        <v>0</v>
      </c>
      <c r="S1073" s="196">
        <v>0</v>
      </c>
      <c r="T1073" s="197">
        <v>0</v>
      </c>
      <c r="U1073" s="288">
        <v>0</v>
      </c>
      <c r="V1073" s="282" t="e">
        <f>C1073-'часть 1'!#REF!</f>
        <v>#REF!</v>
      </c>
      <c r="W1073" s="282"/>
      <c r="X1073" s="28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296"/>
    </row>
    <row r="1074" spans="1:49" s="59" customFormat="1">
      <c r="A1074" s="198">
        <v>21</v>
      </c>
      <c r="B1074" s="195" t="s">
        <v>316</v>
      </c>
      <c r="C1074" s="196">
        <v>676398.28</v>
      </c>
      <c r="D1074" s="196"/>
      <c r="E1074" s="196"/>
      <c r="F1074" s="196"/>
      <c r="G1074" s="196"/>
      <c r="H1074" s="196"/>
      <c r="I1074" s="196"/>
      <c r="J1074" s="196"/>
      <c r="K1074" s="196">
        <v>0</v>
      </c>
      <c r="L1074" s="194">
        <v>0</v>
      </c>
      <c r="M1074" s="196">
        <v>0</v>
      </c>
      <c r="N1074" s="196">
        <v>0</v>
      </c>
      <c r="O1074" s="196">
        <v>0</v>
      </c>
      <c r="P1074" s="194">
        <v>0</v>
      </c>
      <c r="Q1074" s="196">
        <v>0</v>
      </c>
      <c r="R1074" s="196">
        <v>1444</v>
      </c>
      <c r="S1074" s="196">
        <v>676398.28</v>
      </c>
      <c r="T1074" s="197">
        <v>0</v>
      </c>
      <c r="U1074" s="288">
        <v>0</v>
      </c>
      <c r="V1074" s="282" t="e">
        <f>C1074-'часть 1'!#REF!</f>
        <v>#REF!</v>
      </c>
      <c r="W1074" s="282"/>
      <c r="X1074" s="28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296"/>
    </row>
    <row r="1075" spans="1:49" s="59" customFormat="1">
      <c r="A1075" s="198">
        <v>22</v>
      </c>
      <c r="B1075" s="195" t="s">
        <v>313</v>
      </c>
      <c r="C1075" s="196">
        <v>766539</v>
      </c>
      <c r="D1075" s="196"/>
      <c r="E1075" s="196"/>
      <c r="F1075" s="196"/>
      <c r="G1075" s="196"/>
      <c r="H1075" s="196"/>
      <c r="I1075" s="196"/>
      <c r="J1075" s="196"/>
      <c r="K1075" s="196">
        <v>0</v>
      </c>
      <c r="L1075" s="194">
        <v>0</v>
      </c>
      <c r="M1075" s="196">
        <v>0</v>
      </c>
      <c r="N1075" s="196">
        <v>378.5</v>
      </c>
      <c r="O1075" s="196">
        <v>766539</v>
      </c>
      <c r="P1075" s="194">
        <v>0</v>
      </c>
      <c r="Q1075" s="196">
        <v>0</v>
      </c>
      <c r="R1075" s="197">
        <v>0</v>
      </c>
      <c r="S1075" s="196">
        <v>0</v>
      </c>
      <c r="T1075" s="197">
        <v>0</v>
      </c>
      <c r="U1075" s="288">
        <v>0</v>
      </c>
      <c r="V1075" s="282">
        <f>C1075-'часть 1'!L1083</f>
        <v>766539</v>
      </c>
      <c r="W1075" s="282"/>
      <c r="X1075" s="28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296"/>
      <c r="AJ1075" s="89"/>
      <c r="AK1075" s="89"/>
      <c r="AL1075" s="89"/>
      <c r="AM1075" s="89"/>
      <c r="AN1075" s="89"/>
      <c r="AO1075" s="89"/>
      <c r="AP1075" s="89"/>
      <c r="AQ1075" s="89"/>
      <c r="AR1075" s="89"/>
      <c r="AS1075" s="89"/>
      <c r="AT1075" s="89"/>
      <c r="AU1075" s="89"/>
      <c r="AV1075" s="89"/>
      <c r="AW1075" s="89"/>
    </row>
    <row r="1076" spans="1:49" s="59" customFormat="1">
      <c r="A1076" s="198">
        <v>23</v>
      </c>
      <c r="B1076" s="195" t="s">
        <v>312</v>
      </c>
      <c r="C1076" s="196">
        <v>1186114</v>
      </c>
      <c r="D1076" s="196"/>
      <c r="E1076" s="196"/>
      <c r="F1076" s="196"/>
      <c r="G1076" s="196"/>
      <c r="H1076" s="196"/>
      <c r="I1076" s="196"/>
      <c r="J1076" s="196"/>
      <c r="K1076" s="196">
        <v>0</v>
      </c>
      <c r="L1076" s="194">
        <v>0</v>
      </c>
      <c r="M1076" s="196">
        <v>0</v>
      </c>
      <c r="N1076" s="196">
        <v>586.29999999999995</v>
      </c>
      <c r="O1076" s="196">
        <v>1186114</v>
      </c>
      <c r="P1076" s="194">
        <v>0</v>
      </c>
      <c r="Q1076" s="196">
        <v>0</v>
      </c>
      <c r="R1076" s="197">
        <v>0</v>
      </c>
      <c r="S1076" s="196">
        <v>0</v>
      </c>
      <c r="T1076" s="197">
        <v>0</v>
      </c>
      <c r="U1076" s="288">
        <v>0</v>
      </c>
      <c r="V1076" s="282">
        <f>C1076-'часть 1'!L1084</f>
        <v>1186114</v>
      </c>
      <c r="W1076" s="282"/>
      <c r="X1076" s="28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296"/>
    </row>
    <row r="1077" spans="1:49" s="89" customFormat="1">
      <c r="A1077" s="198">
        <v>24</v>
      </c>
      <c r="B1077" s="195" t="s">
        <v>311</v>
      </c>
      <c r="C1077" s="196">
        <v>178272.59</v>
      </c>
      <c r="D1077" s="196"/>
      <c r="E1077" s="196"/>
      <c r="F1077" s="196"/>
      <c r="G1077" s="196"/>
      <c r="H1077" s="196"/>
      <c r="I1077" s="196"/>
      <c r="J1077" s="196"/>
      <c r="K1077" s="196">
        <v>178272.59</v>
      </c>
      <c r="L1077" s="194">
        <v>0</v>
      </c>
      <c r="M1077" s="196">
        <v>0</v>
      </c>
      <c r="N1077" s="199">
        <v>0</v>
      </c>
      <c r="O1077" s="196">
        <v>0</v>
      </c>
      <c r="P1077" s="194">
        <v>0</v>
      </c>
      <c r="Q1077" s="196">
        <v>0</v>
      </c>
      <c r="R1077" s="200">
        <v>0</v>
      </c>
      <c r="S1077" s="196">
        <v>0</v>
      </c>
      <c r="T1077" s="197">
        <v>0</v>
      </c>
      <c r="U1077" s="288">
        <v>0</v>
      </c>
      <c r="V1077" s="282">
        <f>C1077-'часть 1'!L1085</f>
        <v>-604161103.17000008</v>
      </c>
      <c r="W1077" s="282"/>
      <c r="X1077" s="28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296"/>
      <c r="AJ1077" s="59"/>
      <c r="AK1077" s="59"/>
      <c r="AL1077" s="59"/>
      <c r="AM1077" s="59"/>
      <c r="AN1077" s="59"/>
      <c r="AO1077" s="59"/>
      <c r="AP1077" s="59"/>
      <c r="AQ1077" s="59"/>
      <c r="AR1077" s="59"/>
      <c r="AS1077" s="59"/>
      <c r="AT1077" s="59"/>
      <c r="AU1077" s="59"/>
      <c r="AV1077" s="59"/>
      <c r="AW1077" s="59"/>
    </row>
    <row r="1078" spans="1:49" s="59" customFormat="1">
      <c r="A1078" s="198">
        <v>25</v>
      </c>
      <c r="B1078" s="195" t="s">
        <v>315</v>
      </c>
      <c r="C1078" s="196">
        <v>1087116</v>
      </c>
      <c r="D1078" s="196"/>
      <c r="E1078" s="196"/>
      <c r="F1078" s="196"/>
      <c r="G1078" s="196"/>
      <c r="H1078" s="196"/>
      <c r="I1078" s="196"/>
      <c r="J1078" s="196"/>
      <c r="K1078" s="196" t="e">
        <f>#REF!</f>
        <v>#REF!</v>
      </c>
      <c r="L1078" s="194">
        <v>0</v>
      </c>
      <c r="M1078" s="196">
        <v>0</v>
      </c>
      <c r="N1078" s="196">
        <v>0</v>
      </c>
      <c r="O1078" s="196">
        <v>0</v>
      </c>
      <c r="P1078" s="194">
        <v>0</v>
      </c>
      <c r="Q1078" s="196">
        <v>0</v>
      </c>
      <c r="R1078" s="197">
        <v>0</v>
      </c>
      <c r="S1078" s="196">
        <v>0</v>
      </c>
      <c r="T1078" s="197">
        <v>0</v>
      </c>
      <c r="U1078" s="288">
        <v>0</v>
      </c>
      <c r="V1078" s="282">
        <f>C1078-'часть 1'!L1086</f>
        <v>-335143754.63</v>
      </c>
      <c r="W1078" s="282"/>
      <c r="X1078" s="28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296"/>
    </row>
    <row r="1079" spans="1:49" s="59" customFormat="1">
      <c r="A1079" s="198">
        <v>26</v>
      </c>
      <c r="B1079" s="195" t="s">
        <v>351</v>
      </c>
      <c r="C1079" s="196">
        <v>1411363</v>
      </c>
      <c r="D1079" s="196"/>
      <c r="E1079" s="196"/>
      <c r="F1079" s="196"/>
      <c r="G1079" s="196"/>
      <c r="H1079" s="196"/>
      <c r="I1079" s="196"/>
      <c r="J1079" s="196"/>
      <c r="K1079" s="196">
        <v>0</v>
      </c>
      <c r="L1079" s="194">
        <v>0</v>
      </c>
      <c r="M1079" s="196">
        <v>0</v>
      </c>
      <c r="N1079" s="196">
        <v>702</v>
      </c>
      <c r="O1079" s="196">
        <v>1411363</v>
      </c>
      <c r="P1079" s="194">
        <v>0</v>
      </c>
      <c r="Q1079" s="196">
        <v>0</v>
      </c>
      <c r="R1079" s="197">
        <v>0</v>
      </c>
      <c r="S1079" s="196">
        <v>0</v>
      </c>
      <c r="T1079" s="197">
        <v>0</v>
      </c>
      <c r="U1079" s="288">
        <v>0</v>
      </c>
      <c r="V1079" s="282">
        <f>C1079-'часть 1'!L1087</f>
        <v>-4570853</v>
      </c>
      <c r="W1079" s="282"/>
      <c r="X1079" s="28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296"/>
    </row>
    <row r="1080" spans="1:49" s="59" customFormat="1">
      <c r="A1080" s="198">
        <v>27</v>
      </c>
      <c r="B1080" s="195" t="s">
        <v>314</v>
      </c>
      <c r="C1080" s="196">
        <v>1136666</v>
      </c>
      <c r="D1080" s="196"/>
      <c r="E1080" s="196"/>
      <c r="F1080" s="196"/>
      <c r="G1080" s="196"/>
      <c r="H1080" s="196"/>
      <c r="I1080" s="196"/>
      <c r="J1080" s="196"/>
      <c r="K1080" s="196">
        <v>0</v>
      </c>
      <c r="L1080" s="194">
        <v>0</v>
      </c>
      <c r="M1080" s="196">
        <v>0</v>
      </c>
      <c r="N1080" s="196">
        <v>552</v>
      </c>
      <c r="O1080" s="196">
        <v>1136666</v>
      </c>
      <c r="P1080" s="194">
        <v>0</v>
      </c>
      <c r="Q1080" s="196">
        <v>0</v>
      </c>
      <c r="R1080" s="200">
        <v>0</v>
      </c>
      <c r="S1080" s="196">
        <v>0</v>
      </c>
      <c r="T1080" s="197">
        <v>0</v>
      </c>
      <c r="U1080" s="288">
        <v>0</v>
      </c>
      <c r="V1080" s="282">
        <f>C1080-'часть 1'!L1088</f>
        <v>-8242987</v>
      </c>
      <c r="W1080" s="282"/>
      <c r="X1080" s="28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296"/>
    </row>
    <row r="1081" spans="1:49" s="59" customFormat="1">
      <c r="A1081" s="198">
        <v>28</v>
      </c>
      <c r="B1081" s="195" t="s">
        <v>369</v>
      </c>
      <c r="C1081" s="196">
        <v>1385674</v>
      </c>
      <c r="D1081" s="196"/>
      <c r="E1081" s="196"/>
      <c r="F1081" s="196"/>
      <c r="G1081" s="196"/>
      <c r="H1081" s="196"/>
      <c r="I1081" s="196"/>
      <c r="J1081" s="196"/>
      <c r="K1081" s="196">
        <v>1385674</v>
      </c>
      <c r="L1081" s="194">
        <v>0</v>
      </c>
      <c r="M1081" s="196">
        <v>0</v>
      </c>
      <c r="N1081" s="196">
        <v>0</v>
      </c>
      <c r="O1081" s="196">
        <v>0</v>
      </c>
      <c r="P1081" s="194">
        <v>0</v>
      </c>
      <c r="Q1081" s="196">
        <v>0</v>
      </c>
      <c r="R1081" s="197">
        <v>0</v>
      </c>
      <c r="S1081" s="196">
        <v>0</v>
      </c>
      <c r="T1081" s="197">
        <v>0</v>
      </c>
      <c r="U1081" s="288">
        <v>0</v>
      </c>
      <c r="V1081" s="282">
        <f>C1081-'часть 1'!L1089</f>
        <v>-2378082</v>
      </c>
      <c r="W1081" s="282"/>
      <c r="X1081" s="28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296"/>
    </row>
    <row r="1082" spans="1:49" s="59" customFormat="1">
      <c r="A1082" s="198">
        <v>29</v>
      </c>
      <c r="B1082" s="195" t="s">
        <v>370</v>
      </c>
      <c r="C1082" s="196">
        <v>4619990</v>
      </c>
      <c r="D1082" s="196"/>
      <c r="E1082" s="196"/>
      <c r="F1082" s="196"/>
      <c r="G1082" s="196"/>
      <c r="H1082" s="196"/>
      <c r="I1082" s="196"/>
      <c r="J1082" s="196"/>
      <c r="K1082" s="196">
        <v>0</v>
      </c>
      <c r="L1082" s="194">
        <v>0</v>
      </c>
      <c r="M1082" s="196">
        <v>0</v>
      </c>
      <c r="N1082" s="196">
        <v>2319</v>
      </c>
      <c r="O1082" s="196">
        <v>4619990</v>
      </c>
      <c r="P1082" s="194">
        <v>0</v>
      </c>
      <c r="Q1082" s="196">
        <v>0</v>
      </c>
      <c r="R1082" s="200">
        <v>0</v>
      </c>
      <c r="S1082" s="196">
        <v>0</v>
      </c>
      <c r="T1082" s="197">
        <v>0</v>
      </c>
      <c r="U1082" s="288">
        <v>0</v>
      </c>
      <c r="V1082" s="282">
        <f>C1082-'часть 1'!L1090</f>
        <v>3524178</v>
      </c>
      <c r="W1082" s="282"/>
      <c r="X1082" s="28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296"/>
    </row>
    <row r="1083" spans="1:49" s="59" customFormat="1">
      <c r="A1083" s="198">
        <v>30</v>
      </c>
      <c r="B1083" s="195" t="s">
        <v>373</v>
      </c>
      <c r="C1083" s="196">
        <v>1865304</v>
      </c>
      <c r="D1083" s="196"/>
      <c r="E1083" s="196"/>
      <c r="F1083" s="196"/>
      <c r="G1083" s="196"/>
      <c r="H1083" s="196"/>
      <c r="I1083" s="196"/>
      <c r="J1083" s="196"/>
      <c r="K1083" s="196">
        <v>0</v>
      </c>
      <c r="L1083" s="194">
        <v>0</v>
      </c>
      <c r="M1083" s="196">
        <v>0</v>
      </c>
      <c r="N1083" s="196">
        <v>924</v>
      </c>
      <c r="O1083" s="196">
        <v>1865304</v>
      </c>
      <c r="P1083" s="194">
        <v>0</v>
      </c>
      <c r="Q1083" s="196">
        <v>0</v>
      </c>
      <c r="R1083" s="197">
        <v>0</v>
      </c>
      <c r="S1083" s="196">
        <v>0</v>
      </c>
      <c r="T1083" s="197">
        <v>0</v>
      </c>
      <c r="U1083" s="288">
        <v>0</v>
      </c>
      <c r="V1083" s="282">
        <f>C1083-'часть 1'!L1091</f>
        <v>-3753837</v>
      </c>
      <c r="W1083" s="282"/>
      <c r="X1083" s="28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296"/>
    </row>
    <row r="1084" spans="1:49" s="59" customFormat="1">
      <c r="A1084" s="198">
        <v>31</v>
      </c>
      <c r="B1084" s="195" t="s">
        <v>381</v>
      </c>
      <c r="C1084" s="196">
        <v>1870910</v>
      </c>
      <c r="D1084" s="196"/>
      <c r="E1084" s="196"/>
      <c r="F1084" s="196"/>
      <c r="G1084" s="196"/>
      <c r="H1084" s="196"/>
      <c r="I1084" s="196"/>
      <c r="J1084" s="196"/>
      <c r="K1084" s="196">
        <v>0</v>
      </c>
      <c r="L1084" s="194">
        <v>0</v>
      </c>
      <c r="M1084" s="196">
        <v>0</v>
      </c>
      <c r="N1084" s="196">
        <v>946.3</v>
      </c>
      <c r="O1084" s="196">
        <v>1870910</v>
      </c>
      <c r="P1084" s="194">
        <v>0</v>
      </c>
      <c r="Q1084" s="196">
        <v>0</v>
      </c>
      <c r="R1084" s="197">
        <v>0</v>
      </c>
      <c r="S1084" s="196">
        <v>0</v>
      </c>
      <c r="T1084" s="197">
        <v>0</v>
      </c>
      <c r="U1084" s="288">
        <v>0</v>
      </c>
      <c r="V1084" s="282">
        <f>C1084-'часть 1'!L1092</f>
        <v>-1877478</v>
      </c>
      <c r="W1084" s="282"/>
      <c r="X1084" s="28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296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</row>
    <row r="1085" spans="1:49" s="59" customFormat="1">
      <c r="A1085" s="198">
        <v>32</v>
      </c>
      <c r="B1085" s="195" t="s">
        <v>382</v>
      </c>
      <c r="C1085" s="196">
        <v>1533757</v>
      </c>
      <c r="D1085" s="196"/>
      <c r="E1085" s="196"/>
      <c r="F1085" s="196"/>
      <c r="G1085" s="196"/>
      <c r="H1085" s="196"/>
      <c r="I1085" s="196"/>
      <c r="J1085" s="196"/>
      <c r="K1085" s="196">
        <v>0</v>
      </c>
      <c r="L1085" s="194">
        <v>0</v>
      </c>
      <c r="M1085" s="196">
        <v>0</v>
      </c>
      <c r="N1085" s="196">
        <v>772.9</v>
      </c>
      <c r="O1085" s="196">
        <v>1533757</v>
      </c>
      <c r="P1085" s="194">
        <v>0</v>
      </c>
      <c r="Q1085" s="196">
        <v>0</v>
      </c>
      <c r="R1085" s="197">
        <v>0</v>
      </c>
      <c r="S1085" s="196">
        <v>0</v>
      </c>
      <c r="T1085" s="197">
        <v>0</v>
      </c>
      <c r="U1085" s="288">
        <v>0</v>
      </c>
      <c r="V1085" s="282">
        <f>C1085-'часть 1'!L1093</f>
        <v>-13623991</v>
      </c>
      <c r="W1085" s="282"/>
      <c r="X1085" s="28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296"/>
    </row>
    <row r="1086" spans="1:49">
      <c r="A1086" s="194">
        <v>33</v>
      </c>
      <c r="B1086" s="195" t="s">
        <v>371</v>
      </c>
      <c r="C1086" s="196">
        <v>939858</v>
      </c>
      <c r="D1086" s="196"/>
      <c r="E1086" s="196"/>
      <c r="F1086" s="196"/>
      <c r="G1086" s="196"/>
      <c r="H1086" s="196"/>
      <c r="I1086" s="196"/>
      <c r="J1086" s="196"/>
      <c r="K1086" s="196">
        <v>939858</v>
      </c>
      <c r="L1086" s="194">
        <v>0</v>
      </c>
      <c r="M1086" s="196">
        <v>0</v>
      </c>
      <c r="N1086" s="196">
        <v>0</v>
      </c>
      <c r="O1086" s="196">
        <v>0</v>
      </c>
      <c r="P1086" s="194">
        <v>0</v>
      </c>
      <c r="Q1086" s="196">
        <v>0</v>
      </c>
      <c r="R1086" s="200">
        <v>0</v>
      </c>
      <c r="S1086" s="196">
        <v>0</v>
      </c>
      <c r="T1086" s="197">
        <v>0</v>
      </c>
      <c r="U1086" s="288">
        <v>0</v>
      </c>
      <c r="V1086" s="282">
        <f>C1086-'часть 1'!L1094</f>
        <v>-90355</v>
      </c>
      <c r="W1086" s="282"/>
      <c r="X1086" s="28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296"/>
      <c r="AJ1086" s="89"/>
      <c r="AK1086" s="89"/>
      <c r="AL1086" s="89"/>
      <c r="AM1086" s="89"/>
      <c r="AN1086" s="89"/>
      <c r="AO1086" s="89"/>
      <c r="AP1086" s="89"/>
      <c r="AQ1086" s="89"/>
      <c r="AR1086" s="89"/>
      <c r="AS1086" s="89"/>
      <c r="AT1086" s="89"/>
      <c r="AU1086" s="89"/>
      <c r="AV1086" s="89"/>
      <c r="AW1086" s="89"/>
    </row>
    <row r="1087" spans="1:49" s="59" customFormat="1">
      <c r="A1087" s="198">
        <v>34</v>
      </c>
      <c r="B1087" s="195" t="s">
        <v>377</v>
      </c>
      <c r="C1087" s="196">
        <v>2368392</v>
      </c>
      <c r="D1087" s="196"/>
      <c r="E1087" s="196"/>
      <c r="F1087" s="196"/>
      <c r="G1087" s="196"/>
      <c r="H1087" s="196"/>
      <c r="I1087" s="196"/>
      <c r="J1087" s="196"/>
      <c r="K1087" s="196">
        <v>0</v>
      </c>
      <c r="L1087" s="194">
        <v>0</v>
      </c>
      <c r="M1087" s="196">
        <v>0</v>
      </c>
      <c r="N1087" s="196">
        <v>1200</v>
      </c>
      <c r="O1087" s="199">
        <v>2368392</v>
      </c>
      <c r="P1087" s="194">
        <v>0</v>
      </c>
      <c r="Q1087" s="196">
        <v>0</v>
      </c>
      <c r="R1087" s="197">
        <v>0</v>
      </c>
      <c r="S1087" s="196">
        <v>0</v>
      </c>
      <c r="T1087" s="197">
        <v>0</v>
      </c>
      <c r="U1087" s="288">
        <v>0</v>
      </c>
      <c r="V1087" s="282">
        <f>C1087-'часть 1'!L1095</f>
        <v>1837927</v>
      </c>
      <c r="W1087" s="282"/>
      <c r="X1087" s="28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296"/>
    </row>
    <row r="1088" spans="1:49" s="89" customFormat="1">
      <c r="A1088" s="198">
        <v>35</v>
      </c>
      <c r="B1088" s="195" t="s">
        <v>378</v>
      </c>
      <c r="C1088" s="196">
        <v>2433930.91</v>
      </c>
      <c r="D1088" s="196"/>
      <c r="E1088" s="196"/>
      <c r="F1088" s="196"/>
      <c r="G1088" s="196"/>
      <c r="H1088" s="196"/>
      <c r="I1088" s="196"/>
      <c r="J1088" s="196"/>
      <c r="K1088" s="196">
        <v>1478520.9100000001</v>
      </c>
      <c r="L1088" s="194">
        <v>0</v>
      </c>
      <c r="M1088" s="196">
        <v>0</v>
      </c>
      <c r="N1088" s="196">
        <v>526.79999999999995</v>
      </c>
      <c r="O1088" s="196">
        <v>955410</v>
      </c>
      <c r="P1088" s="194">
        <v>0</v>
      </c>
      <c r="Q1088" s="196">
        <v>0</v>
      </c>
      <c r="R1088" s="200">
        <v>0</v>
      </c>
      <c r="S1088" s="196">
        <v>0</v>
      </c>
      <c r="T1088" s="197">
        <v>0</v>
      </c>
      <c r="U1088" s="288">
        <v>0</v>
      </c>
      <c r="V1088" s="282">
        <f>C1088-'часть 1'!L1096</f>
        <v>450076.91000000015</v>
      </c>
      <c r="W1088" s="282"/>
      <c r="X1088" s="28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296"/>
      <c r="AJ1088" s="59"/>
      <c r="AK1088" s="59"/>
      <c r="AL1088" s="59"/>
      <c r="AM1088" s="59"/>
      <c r="AN1088" s="59"/>
      <c r="AO1088" s="59"/>
      <c r="AP1088" s="59"/>
      <c r="AQ1088" s="59"/>
      <c r="AR1088" s="59"/>
      <c r="AS1088" s="59"/>
      <c r="AT1088" s="59"/>
      <c r="AU1088" s="59"/>
      <c r="AV1088" s="59"/>
      <c r="AW1088" s="59"/>
    </row>
    <row r="1089" spans="1:49" s="59" customFormat="1">
      <c r="A1089" s="198">
        <v>36</v>
      </c>
      <c r="B1089" s="195" t="s">
        <v>383</v>
      </c>
      <c r="C1089" s="196">
        <v>1721850</v>
      </c>
      <c r="D1089" s="196"/>
      <c r="E1089" s="196"/>
      <c r="F1089" s="196"/>
      <c r="G1089" s="196"/>
      <c r="H1089" s="196"/>
      <c r="I1089" s="196"/>
      <c r="J1089" s="196"/>
      <c r="K1089" s="196">
        <v>0</v>
      </c>
      <c r="L1089" s="194">
        <v>0</v>
      </c>
      <c r="M1089" s="196">
        <v>0</v>
      </c>
      <c r="N1089" s="196">
        <v>868.68</v>
      </c>
      <c r="O1089" s="196">
        <v>1721850</v>
      </c>
      <c r="P1089" s="194">
        <v>0</v>
      </c>
      <c r="Q1089" s="196">
        <v>0</v>
      </c>
      <c r="R1089" s="197">
        <v>0</v>
      </c>
      <c r="S1089" s="196">
        <v>0</v>
      </c>
      <c r="T1089" s="197">
        <v>0</v>
      </c>
      <c r="U1089" s="288">
        <v>0</v>
      </c>
      <c r="V1089" s="282">
        <f>C1089-'часть 1'!L1097</f>
        <v>515546</v>
      </c>
      <c r="W1089" s="282"/>
      <c r="X1089" s="28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296"/>
    </row>
    <row r="1090" spans="1:49" s="59" customFormat="1">
      <c r="A1090" s="198">
        <v>37</v>
      </c>
      <c r="B1090" s="195" t="s">
        <v>368</v>
      </c>
      <c r="C1090" s="196">
        <v>814117</v>
      </c>
      <c r="D1090" s="196"/>
      <c r="E1090" s="196"/>
      <c r="F1090" s="196"/>
      <c r="G1090" s="196"/>
      <c r="H1090" s="196"/>
      <c r="I1090" s="196"/>
      <c r="J1090" s="196"/>
      <c r="K1090" s="196">
        <v>814117</v>
      </c>
      <c r="L1090" s="194">
        <v>0</v>
      </c>
      <c r="M1090" s="196">
        <v>0</v>
      </c>
      <c r="N1090" s="196">
        <v>0</v>
      </c>
      <c r="O1090" s="196">
        <v>0</v>
      </c>
      <c r="P1090" s="194">
        <v>0</v>
      </c>
      <c r="Q1090" s="196">
        <v>0</v>
      </c>
      <c r="R1090" s="197">
        <v>0</v>
      </c>
      <c r="S1090" s="196">
        <v>0</v>
      </c>
      <c r="T1090" s="197">
        <v>0</v>
      </c>
      <c r="U1090" s="288">
        <v>0</v>
      </c>
      <c r="V1090" s="282">
        <f>C1090-'часть 1'!L1098</f>
        <v>411586.8</v>
      </c>
      <c r="W1090" s="282"/>
      <c r="X1090" s="28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296"/>
    </row>
    <row r="1091" spans="1:49" s="59" customFormat="1">
      <c r="A1091" s="198">
        <v>38</v>
      </c>
      <c r="B1091" s="195" t="s">
        <v>375</v>
      </c>
      <c r="C1091" s="196">
        <v>3045081</v>
      </c>
      <c r="D1091" s="196"/>
      <c r="E1091" s="196"/>
      <c r="F1091" s="196"/>
      <c r="G1091" s="196"/>
      <c r="H1091" s="196"/>
      <c r="I1091" s="196"/>
      <c r="J1091" s="196"/>
      <c r="K1091" s="196">
        <v>0</v>
      </c>
      <c r="L1091" s="194">
        <v>0</v>
      </c>
      <c r="M1091" s="196">
        <v>0</v>
      </c>
      <c r="N1091" s="196">
        <v>0</v>
      </c>
      <c r="O1091" s="196">
        <v>0</v>
      </c>
      <c r="P1091" s="194">
        <v>0</v>
      </c>
      <c r="Q1091" s="196">
        <v>0</v>
      </c>
      <c r="R1091" s="196">
        <v>2108</v>
      </c>
      <c r="S1091" s="196">
        <v>3045081</v>
      </c>
      <c r="T1091" s="197">
        <v>0</v>
      </c>
      <c r="U1091" s="288">
        <v>0</v>
      </c>
      <c r="V1091" s="282">
        <f>C1091-'часть 1'!L1099</f>
        <v>183584</v>
      </c>
      <c r="W1091" s="282"/>
      <c r="X1091" s="28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296"/>
    </row>
    <row r="1092" spans="1:49" s="59" customFormat="1">
      <c r="A1092" s="198">
        <v>39</v>
      </c>
      <c r="B1092" s="195" t="s">
        <v>380</v>
      </c>
      <c r="C1092" s="196">
        <v>2244806</v>
      </c>
      <c r="D1092" s="196"/>
      <c r="E1092" s="196"/>
      <c r="F1092" s="196"/>
      <c r="G1092" s="196"/>
      <c r="H1092" s="196"/>
      <c r="I1092" s="196"/>
      <c r="J1092" s="196"/>
      <c r="K1092" s="196">
        <v>0</v>
      </c>
      <c r="L1092" s="194">
        <v>0</v>
      </c>
      <c r="M1092" s="196">
        <v>0</v>
      </c>
      <c r="N1092" s="199">
        <v>1120</v>
      </c>
      <c r="O1092" s="196">
        <v>2244806</v>
      </c>
      <c r="P1092" s="194">
        <v>0</v>
      </c>
      <c r="Q1092" s="196">
        <v>0</v>
      </c>
      <c r="R1092" s="200">
        <v>0</v>
      </c>
      <c r="S1092" s="196">
        <v>0</v>
      </c>
      <c r="T1092" s="197">
        <v>0</v>
      </c>
      <c r="U1092" s="288">
        <v>0</v>
      </c>
      <c r="V1092" s="282">
        <f>C1092-'часть 1'!L1100</f>
        <v>709740.53</v>
      </c>
      <c r="W1092" s="282"/>
      <c r="X1092" s="28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296"/>
    </row>
    <row r="1093" spans="1:49" s="59" customFormat="1">
      <c r="A1093" s="198">
        <v>40</v>
      </c>
      <c r="B1093" s="195" t="s">
        <v>374</v>
      </c>
      <c r="C1093" s="196">
        <v>1361273</v>
      </c>
      <c r="D1093" s="196"/>
      <c r="E1093" s="196"/>
      <c r="F1093" s="196"/>
      <c r="G1093" s="196"/>
      <c r="H1093" s="196"/>
      <c r="I1093" s="196"/>
      <c r="J1093" s="196"/>
      <c r="K1093" s="196">
        <v>347471</v>
      </c>
      <c r="L1093" s="194">
        <v>0</v>
      </c>
      <c r="M1093" s="196">
        <v>0</v>
      </c>
      <c r="N1093" s="196">
        <v>0</v>
      </c>
      <c r="O1093" s="196">
        <v>0</v>
      </c>
      <c r="P1093" s="194">
        <v>0</v>
      </c>
      <c r="Q1093" s="196">
        <v>0</v>
      </c>
      <c r="R1093" s="196">
        <v>1105</v>
      </c>
      <c r="S1093" s="196">
        <v>1013802</v>
      </c>
      <c r="T1093" s="197">
        <v>0</v>
      </c>
      <c r="U1093" s="288">
        <v>0</v>
      </c>
      <c r="V1093" s="282">
        <f>C1093-'часть 1'!L1101</f>
        <v>430739</v>
      </c>
      <c r="W1093" s="282"/>
      <c r="X1093" s="28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296"/>
    </row>
    <row r="1094" spans="1:49" s="59" customFormat="1">
      <c r="A1094" s="198">
        <v>41</v>
      </c>
      <c r="B1094" s="195" t="s">
        <v>376</v>
      </c>
      <c r="C1094" s="196">
        <v>2421596</v>
      </c>
      <c r="D1094" s="196"/>
      <c r="E1094" s="196"/>
      <c r="F1094" s="196"/>
      <c r="G1094" s="196"/>
      <c r="H1094" s="196"/>
      <c r="I1094" s="196"/>
      <c r="J1094" s="196"/>
      <c r="K1094" s="196">
        <v>0</v>
      </c>
      <c r="L1094" s="194">
        <v>0</v>
      </c>
      <c r="M1094" s="196">
        <v>0</v>
      </c>
      <c r="N1094" s="196">
        <v>1230.72</v>
      </c>
      <c r="O1094" s="199">
        <v>2421596</v>
      </c>
      <c r="P1094" s="194">
        <v>0</v>
      </c>
      <c r="Q1094" s="196">
        <v>0</v>
      </c>
      <c r="R1094" s="197">
        <v>0</v>
      </c>
      <c r="S1094" s="196">
        <v>0</v>
      </c>
      <c r="T1094" s="197">
        <v>0</v>
      </c>
      <c r="U1094" s="288">
        <v>0</v>
      </c>
      <c r="V1094" s="282">
        <f>C1094-'часть 1'!L1102</f>
        <v>1759078</v>
      </c>
      <c r="W1094" s="282"/>
      <c r="X1094" s="28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296"/>
    </row>
    <row r="1095" spans="1:49" s="59" customFormat="1">
      <c r="A1095" s="198">
        <v>42</v>
      </c>
      <c r="B1095" s="195" t="s">
        <v>379</v>
      </c>
      <c r="C1095" s="196">
        <v>2056315</v>
      </c>
      <c r="D1095" s="196"/>
      <c r="E1095" s="196"/>
      <c r="F1095" s="196"/>
      <c r="G1095" s="196"/>
      <c r="H1095" s="196"/>
      <c r="I1095" s="196"/>
      <c r="J1095" s="196"/>
      <c r="K1095" s="196">
        <v>0</v>
      </c>
      <c r="L1095" s="194">
        <v>0</v>
      </c>
      <c r="M1095" s="196">
        <v>0</v>
      </c>
      <c r="N1095" s="196">
        <v>978</v>
      </c>
      <c r="O1095" s="196">
        <v>2056315</v>
      </c>
      <c r="P1095" s="194">
        <v>0</v>
      </c>
      <c r="Q1095" s="196">
        <v>0</v>
      </c>
      <c r="R1095" s="200">
        <v>0</v>
      </c>
      <c r="S1095" s="196">
        <v>0</v>
      </c>
      <c r="T1095" s="197">
        <v>0</v>
      </c>
      <c r="U1095" s="288">
        <v>0</v>
      </c>
      <c r="V1095" s="282">
        <f>C1095-'часть 1'!L1103</f>
        <v>-290348</v>
      </c>
      <c r="W1095" s="282"/>
      <c r="X1095" s="28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296"/>
    </row>
    <row r="1096" spans="1:49" s="59" customFormat="1">
      <c r="A1096" s="198">
        <v>43</v>
      </c>
      <c r="B1096" s="195" t="s">
        <v>372</v>
      </c>
      <c r="C1096" s="196">
        <v>9473593</v>
      </c>
      <c r="D1096" s="196"/>
      <c r="E1096" s="196"/>
      <c r="F1096" s="196"/>
      <c r="G1096" s="196"/>
      <c r="H1096" s="196"/>
      <c r="I1096" s="196"/>
      <c r="J1096" s="196"/>
      <c r="K1096" s="196">
        <v>0</v>
      </c>
      <c r="L1096" s="194">
        <v>5</v>
      </c>
      <c r="M1096" s="196">
        <v>9473593</v>
      </c>
      <c r="N1096" s="196">
        <v>0</v>
      </c>
      <c r="O1096" s="196">
        <v>0</v>
      </c>
      <c r="P1096" s="194">
        <v>0</v>
      </c>
      <c r="Q1096" s="196">
        <v>0</v>
      </c>
      <c r="R1096" s="197">
        <v>0</v>
      </c>
      <c r="S1096" s="196">
        <v>0</v>
      </c>
      <c r="T1096" s="197">
        <v>0</v>
      </c>
      <c r="U1096" s="288">
        <v>0</v>
      </c>
      <c r="V1096" s="282">
        <f>C1096-'часть 1'!L1104</f>
        <v>8746574</v>
      </c>
      <c r="W1096" s="282"/>
      <c r="X1096" s="28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296"/>
    </row>
    <row r="1097" spans="1:49" s="59" customFormat="1">
      <c r="A1097" s="198">
        <v>44</v>
      </c>
      <c r="B1097" s="195" t="s">
        <v>344</v>
      </c>
      <c r="C1097" s="196">
        <v>4441828</v>
      </c>
      <c r="D1097" s="196"/>
      <c r="E1097" s="196"/>
      <c r="F1097" s="196"/>
      <c r="G1097" s="196"/>
      <c r="H1097" s="196"/>
      <c r="I1097" s="196"/>
      <c r="J1097" s="196"/>
      <c r="K1097" s="196">
        <v>0</v>
      </c>
      <c r="L1097" s="194">
        <v>0</v>
      </c>
      <c r="M1097" s="196">
        <v>0</v>
      </c>
      <c r="N1097" s="196">
        <v>0</v>
      </c>
      <c r="O1097" s="196">
        <v>0</v>
      </c>
      <c r="P1097" s="194">
        <v>0</v>
      </c>
      <c r="Q1097" s="196">
        <v>0</v>
      </c>
      <c r="R1097" s="196">
        <v>3081.4</v>
      </c>
      <c r="S1097" s="196">
        <v>4441828</v>
      </c>
      <c r="T1097" s="197">
        <v>0</v>
      </c>
      <c r="U1097" s="288">
        <v>0</v>
      </c>
      <c r="V1097" s="282">
        <f>C1097-'часть 1'!L1105</f>
        <v>3903707</v>
      </c>
      <c r="W1097" s="282"/>
      <c r="X1097" s="28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296"/>
    </row>
    <row r="1098" spans="1:49" s="59" customFormat="1">
      <c r="A1098" s="198">
        <v>45</v>
      </c>
      <c r="B1098" s="195" t="s">
        <v>348</v>
      </c>
      <c r="C1098" s="196">
        <v>3051089</v>
      </c>
      <c r="D1098" s="196"/>
      <c r="E1098" s="196"/>
      <c r="F1098" s="196"/>
      <c r="G1098" s="196"/>
      <c r="H1098" s="196"/>
      <c r="I1098" s="196"/>
      <c r="J1098" s="196"/>
      <c r="K1098" s="196">
        <v>0</v>
      </c>
      <c r="L1098" s="194">
        <v>0</v>
      </c>
      <c r="M1098" s="196">
        <v>0</v>
      </c>
      <c r="N1098" s="196">
        <v>1549</v>
      </c>
      <c r="O1098" s="196">
        <v>3051089</v>
      </c>
      <c r="P1098" s="194">
        <v>0</v>
      </c>
      <c r="Q1098" s="196">
        <v>0</v>
      </c>
      <c r="R1098" s="197">
        <v>0</v>
      </c>
      <c r="S1098" s="196">
        <v>0</v>
      </c>
      <c r="T1098" s="197">
        <v>0</v>
      </c>
      <c r="U1098" s="288">
        <v>0</v>
      </c>
      <c r="V1098" s="282">
        <f>C1098-'часть 1'!L1106</f>
        <v>1294237</v>
      </c>
      <c r="W1098" s="282"/>
      <c r="X1098" s="28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296"/>
    </row>
    <row r="1099" spans="1:49" s="59" customFormat="1">
      <c r="A1099" s="198">
        <v>46</v>
      </c>
      <c r="B1099" s="195" t="s">
        <v>386</v>
      </c>
      <c r="C1099" s="196">
        <v>869749</v>
      </c>
      <c r="D1099" s="196"/>
      <c r="E1099" s="196"/>
      <c r="F1099" s="196"/>
      <c r="G1099" s="196"/>
      <c r="H1099" s="196"/>
      <c r="I1099" s="196"/>
      <c r="J1099" s="196"/>
      <c r="K1099" s="196">
        <v>0</v>
      </c>
      <c r="L1099" s="194">
        <v>0</v>
      </c>
      <c r="M1099" s="196">
        <v>0</v>
      </c>
      <c r="N1099" s="196">
        <v>431.5</v>
      </c>
      <c r="O1099" s="196">
        <f>C1099</f>
        <v>869749</v>
      </c>
      <c r="P1099" s="194">
        <v>0</v>
      </c>
      <c r="Q1099" s="196">
        <v>0</v>
      </c>
      <c r="R1099" s="197">
        <v>0</v>
      </c>
      <c r="S1099" s="196">
        <v>0</v>
      </c>
      <c r="T1099" s="197">
        <v>0</v>
      </c>
      <c r="U1099" s="288">
        <v>0</v>
      </c>
      <c r="V1099" s="282">
        <f>C1099-'часть 1'!L1107</f>
        <v>193350.71999999997</v>
      </c>
      <c r="W1099" s="282"/>
      <c r="X1099" s="28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296"/>
    </row>
    <row r="1100" spans="1:49" s="59" customFormat="1">
      <c r="A1100" s="198">
        <v>47</v>
      </c>
      <c r="B1100" s="195" t="s">
        <v>461</v>
      </c>
      <c r="C1100" s="196">
        <v>869880</v>
      </c>
      <c r="D1100" s="196"/>
      <c r="E1100" s="196"/>
      <c r="F1100" s="196"/>
      <c r="G1100" s="196"/>
      <c r="H1100" s="196"/>
      <c r="I1100" s="196"/>
      <c r="J1100" s="196"/>
      <c r="K1100" s="196">
        <v>0</v>
      </c>
      <c r="L1100" s="194">
        <v>0</v>
      </c>
      <c r="M1100" s="196">
        <v>0</v>
      </c>
      <c r="N1100" s="196">
        <v>431.5</v>
      </c>
      <c r="O1100" s="199">
        <f>C1100</f>
        <v>869880</v>
      </c>
      <c r="P1100" s="194">
        <v>0</v>
      </c>
      <c r="Q1100" s="196">
        <v>0</v>
      </c>
      <c r="R1100" s="200">
        <v>0</v>
      </c>
      <c r="S1100" s="196">
        <v>0</v>
      </c>
      <c r="T1100" s="197">
        <v>0</v>
      </c>
      <c r="U1100" s="288">
        <v>0</v>
      </c>
      <c r="V1100" s="282">
        <f>C1100-'часть 1'!L1108</f>
        <v>103341</v>
      </c>
      <c r="W1100" s="282"/>
      <c r="X1100" s="28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296"/>
    </row>
    <row r="1101" spans="1:49" s="59" customFormat="1" ht="30">
      <c r="A1101" s="198">
        <v>48</v>
      </c>
      <c r="B1101" s="195" t="s">
        <v>462</v>
      </c>
      <c r="C1101" s="196">
        <v>172302</v>
      </c>
      <c r="D1101" s="196"/>
      <c r="E1101" s="196"/>
      <c r="F1101" s="196"/>
      <c r="G1101" s="196"/>
      <c r="H1101" s="196"/>
      <c r="I1101" s="196"/>
      <c r="J1101" s="196"/>
      <c r="K1101" s="196">
        <v>172302</v>
      </c>
      <c r="L1101" s="194">
        <v>0</v>
      </c>
      <c r="M1101" s="196">
        <v>0</v>
      </c>
      <c r="N1101" s="196">
        <v>0</v>
      </c>
      <c r="O1101" s="196">
        <v>0</v>
      </c>
      <c r="P1101" s="194">
        <v>0</v>
      </c>
      <c r="Q1101" s="196">
        <v>0</v>
      </c>
      <c r="R1101" s="197">
        <v>0</v>
      </c>
      <c r="S1101" s="196">
        <v>0</v>
      </c>
      <c r="T1101" s="197">
        <v>0</v>
      </c>
      <c r="U1101" s="288">
        <v>0</v>
      </c>
      <c r="V1101" s="282">
        <f>C1101-'часть 1'!L1109</f>
        <v>-1013812</v>
      </c>
      <c r="W1101" s="282"/>
      <c r="X1101" s="28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296"/>
      <c r="AJ1101" s="89"/>
      <c r="AK1101" s="89"/>
      <c r="AL1101" s="89"/>
      <c r="AM1101" s="89"/>
      <c r="AN1101" s="89"/>
      <c r="AO1101" s="89"/>
      <c r="AP1101" s="89"/>
      <c r="AQ1101" s="89"/>
      <c r="AR1101" s="89"/>
      <c r="AS1101" s="89"/>
      <c r="AT1101" s="89"/>
      <c r="AU1101" s="89"/>
      <c r="AV1101" s="89"/>
      <c r="AW1101" s="89"/>
    </row>
    <row r="1102" spans="1:49" s="59" customFormat="1">
      <c r="A1102" s="198">
        <v>49</v>
      </c>
      <c r="B1102" s="195" t="s">
        <v>389</v>
      </c>
      <c r="C1102" s="196">
        <v>3706393</v>
      </c>
      <c r="D1102" s="196"/>
      <c r="E1102" s="196"/>
      <c r="F1102" s="196"/>
      <c r="G1102" s="196"/>
      <c r="H1102" s="196"/>
      <c r="I1102" s="196"/>
      <c r="J1102" s="196"/>
      <c r="K1102" s="196" t="e">
        <f>#REF!</f>
        <v>#REF!</v>
      </c>
      <c r="L1102" s="194">
        <v>0</v>
      </c>
      <c r="M1102" s="196">
        <v>0</v>
      </c>
      <c r="N1102" s="196">
        <v>0</v>
      </c>
      <c r="O1102" s="196">
        <v>0</v>
      </c>
      <c r="P1102" s="194">
        <v>0</v>
      </c>
      <c r="Q1102" s="196">
        <v>0</v>
      </c>
      <c r="R1102" s="197">
        <v>0</v>
      </c>
      <c r="S1102" s="196">
        <v>0</v>
      </c>
      <c r="T1102" s="197">
        <v>0</v>
      </c>
      <c r="U1102" s="288">
        <v>0</v>
      </c>
      <c r="V1102" s="282">
        <f>C1102-'часть 1'!L1110</f>
        <v>3528120.41</v>
      </c>
      <c r="W1102" s="282"/>
      <c r="X1102" s="28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296"/>
    </row>
    <row r="1103" spans="1:49" s="59" customFormat="1">
      <c r="A1103" s="198">
        <v>50</v>
      </c>
      <c r="B1103" s="195" t="s">
        <v>317</v>
      </c>
      <c r="C1103" s="196">
        <v>698585</v>
      </c>
      <c r="D1103" s="196"/>
      <c r="E1103" s="196"/>
      <c r="F1103" s="196"/>
      <c r="G1103" s="196"/>
      <c r="H1103" s="196"/>
      <c r="I1103" s="196"/>
      <c r="J1103" s="196"/>
      <c r="K1103" s="196">
        <v>698585</v>
      </c>
      <c r="L1103" s="194">
        <v>0</v>
      </c>
      <c r="M1103" s="196">
        <v>0</v>
      </c>
      <c r="N1103" s="199">
        <v>0</v>
      </c>
      <c r="O1103" s="196">
        <v>0</v>
      </c>
      <c r="P1103" s="194">
        <v>0</v>
      </c>
      <c r="Q1103" s="196">
        <v>0</v>
      </c>
      <c r="R1103" s="200">
        <v>0</v>
      </c>
      <c r="S1103" s="196">
        <v>0</v>
      </c>
      <c r="T1103" s="197">
        <v>0</v>
      </c>
      <c r="U1103" s="288">
        <v>0</v>
      </c>
      <c r="V1103" s="282">
        <f>C1103-'часть 1'!L1111</f>
        <v>-388531</v>
      </c>
      <c r="W1103" s="282"/>
      <c r="X1103" s="28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296"/>
    </row>
    <row r="1104" spans="1:49" s="59" customFormat="1">
      <c r="A1104" s="198">
        <v>51</v>
      </c>
      <c r="B1104" s="195" t="s">
        <v>384</v>
      </c>
      <c r="C1104" s="196">
        <v>951740</v>
      </c>
      <c r="D1104" s="196"/>
      <c r="E1104" s="196"/>
      <c r="F1104" s="196"/>
      <c r="G1104" s="196"/>
      <c r="H1104" s="196"/>
      <c r="I1104" s="196"/>
      <c r="J1104" s="196"/>
      <c r="K1104" s="196">
        <v>0</v>
      </c>
      <c r="L1104" s="194">
        <v>0</v>
      </c>
      <c r="M1104" s="196">
        <v>0</v>
      </c>
      <c r="N1104" s="196">
        <v>471.1</v>
      </c>
      <c r="O1104" s="196">
        <v>951740</v>
      </c>
      <c r="P1104" s="194">
        <v>0</v>
      </c>
      <c r="Q1104" s="196">
        <v>0</v>
      </c>
      <c r="R1104" s="197">
        <v>0</v>
      </c>
      <c r="S1104" s="196">
        <v>0</v>
      </c>
      <c r="T1104" s="197">
        <v>0</v>
      </c>
      <c r="U1104" s="288">
        <v>0</v>
      </c>
      <c r="V1104" s="282">
        <f>C1104-'часть 1'!L1112</f>
        <v>-459623</v>
      </c>
      <c r="W1104" s="282"/>
      <c r="X1104" s="28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296"/>
    </row>
    <row r="1105" spans="1:38">
      <c r="A1105" s="198">
        <v>52</v>
      </c>
      <c r="B1105" s="195" t="s">
        <v>247</v>
      </c>
      <c r="C1105" s="196">
        <v>2056139</v>
      </c>
      <c r="D1105" s="196"/>
      <c r="E1105" s="196"/>
      <c r="F1105" s="196"/>
      <c r="G1105" s="196"/>
      <c r="H1105" s="196"/>
      <c r="I1105" s="196"/>
      <c r="J1105" s="196"/>
      <c r="K1105" s="196">
        <v>0</v>
      </c>
      <c r="L1105" s="194">
        <v>0</v>
      </c>
      <c r="M1105" s="196">
        <v>0</v>
      </c>
      <c r="N1105" s="196">
        <v>1020</v>
      </c>
      <c r="O1105" s="196">
        <v>2056139</v>
      </c>
      <c r="P1105" s="194">
        <v>0</v>
      </c>
      <c r="Q1105" s="196">
        <v>0</v>
      </c>
      <c r="R1105" s="200">
        <v>0</v>
      </c>
      <c r="S1105" s="196">
        <v>0</v>
      </c>
      <c r="T1105" s="197">
        <v>0</v>
      </c>
      <c r="U1105" s="288">
        <v>0</v>
      </c>
      <c r="V1105" s="282">
        <f>C1105-'часть 1'!L1113</f>
        <v>919473</v>
      </c>
      <c r="W1105" s="282"/>
      <c r="X1105" s="28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296"/>
    </row>
    <row r="1106" spans="1:38">
      <c r="A1106" s="198">
        <v>53</v>
      </c>
      <c r="B1106" s="195" t="s">
        <v>274</v>
      </c>
      <c r="C1106" s="196">
        <v>1321356</v>
      </c>
      <c r="D1106" s="196"/>
      <c r="E1106" s="196"/>
      <c r="F1106" s="196"/>
      <c r="G1106" s="196"/>
      <c r="H1106" s="196"/>
      <c r="I1106" s="196"/>
      <c r="J1106" s="196"/>
      <c r="K1106" s="196">
        <v>0</v>
      </c>
      <c r="L1106" s="194">
        <v>0</v>
      </c>
      <c r="M1106" s="196">
        <v>0</v>
      </c>
      <c r="N1106" s="196">
        <v>662</v>
      </c>
      <c r="O1106" s="199">
        <v>1321356</v>
      </c>
      <c r="P1106" s="194">
        <v>0</v>
      </c>
      <c r="Q1106" s="196">
        <v>0</v>
      </c>
      <c r="R1106" s="197">
        <v>0</v>
      </c>
      <c r="S1106" s="196">
        <v>0</v>
      </c>
      <c r="T1106" s="197">
        <v>0</v>
      </c>
      <c r="U1106" s="288">
        <v>0</v>
      </c>
      <c r="V1106" s="282">
        <f>C1106-'часть 1'!L1114</f>
        <v>-64318</v>
      </c>
      <c r="W1106" s="282"/>
      <c r="X1106" s="28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296"/>
    </row>
    <row r="1107" spans="1:38" ht="30">
      <c r="A1107" s="198">
        <v>54</v>
      </c>
      <c r="B1107" s="195" t="s">
        <v>338</v>
      </c>
      <c r="C1107" s="196">
        <v>1679278</v>
      </c>
      <c r="D1107" s="196"/>
      <c r="E1107" s="196"/>
      <c r="F1107" s="196"/>
      <c r="G1107" s="196"/>
      <c r="H1107" s="196"/>
      <c r="I1107" s="196"/>
      <c r="J1107" s="196"/>
      <c r="K1107" s="196">
        <v>355519</v>
      </c>
      <c r="L1107" s="194">
        <v>0</v>
      </c>
      <c r="M1107" s="196">
        <v>0</v>
      </c>
      <c r="N1107" s="196">
        <v>663.3</v>
      </c>
      <c r="O1107" s="196">
        <v>1323759</v>
      </c>
      <c r="P1107" s="194">
        <v>0</v>
      </c>
      <c r="Q1107" s="196">
        <v>0</v>
      </c>
      <c r="R1107" s="197">
        <v>0</v>
      </c>
      <c r="S1107" s="196">
        <v>0</v>
      </c>
      <c r="T1107" s="197">
        <v>0</v>
      </c>
      <c r="U1107" s="288">
        <v>0</v>
      </c>
      <c r="V1107" s="282">
        <f>C1107-'часть 1'!L1115</f>
        <v>-2940712</v>
      </c>
      <c r="W1107" s="282"/>
      <c r="X1107" s="282"/>
      <c r="Y1107" s="12"/>
      <c r="Z1107" s="12"/>
      <c r="AA1107" s="12"/>
      <c r="AB1107" s="12"/>
      <c r="AC1107" s="12"/>
      <c r="AD1107" s="12"/>
      <c r="AE1107" s="12"/>
      <c r="AF1107" s="12"/>
      <c r="AG1107" s="4"/>
      <c r="AH1107" s="12"/>
      <c r="AI1107" s="296"/>
    </row>
    <row r="1108" spans="1:38" s="11" customFormat="1">
      <c r="A1108" s="198">
        <v>55</v>
      </c>
      <c r="B1108" s="195" t="s">
        <v>272</v>
      </c>
      <c r="C1108" s="196">
        <v>1100896</v>
      </c>
      <c r="D1108" s="196"/>
      <c r="E1108" s="196"/>
      <c r="F1108" s="196"/>
      <c r="G1108" s="196"/>
      <c r="H1108" s="196"/>
      <c r="I1108" s="196"/>
      <c r="J1108" s="196"/>
      <c r="K1108" s="196">
        <v>0</v>
      </c>
      <c r="L1108" s="194">
        <v>0</v>
      </c>
      <c r="M1108" s="196">
        <v>0</v>
      </c>
      <c r="N1108" s="196">
        <v>549</v>
      </c>
      <c r="O1108" s="199">
        <v>1100896</v>
      </c>
      <c r="P1108" s="194">
        <v>0</v>
      </c>
      <c r="Q1108" s="196">
        <v>0</v>
      </c>
      <c r="R1108" s="197">
        <v>0</v>
      </c>
      <c r="S1108" s="196">
        <v>0</v>
      </c>
      <c r="T1108" s="197">
        <v>0</v>
      </c>
      <c r="U1108" s="288">
        <v>0</v>
      </c>
      <c r="V1108" s="282">
        <f>C1108-'часть 1'!L1116</f>
        <v>-764408</v>
      </c>
      <c r="W1108" s="282"/>
      <c r="X1108" s="28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296"/>
    </row>
    <row r="1109" spans="1:38" ht="30">
      <c r="A1109" s="198">
        <v>56</v>
      </c>
      <c r="B1109" s="195" t="s">
        <v>337</v>
      </c>
      <c r="C1109" s="196">
        <v>1729707</v>
      </c>
      <c r="D1109" s="196"/>
      <c r="E1109" s="196"/>
      <c r="F1109" s="196"/>
      <c r="G1109" s="196"/>
      <c r="H1109" s="196"/>
      <c r="I1109" s="196"/>
      <c r="J1109" s="196"/>
      <c r="K1109" s="196">
        <v>630140</v>
      </c>
      <c r="L1109" s="194">
        <v>0</v>
      </c>
      <c r="M1109" s="196">
        <v>0</v>
      </c>
      <c r="N1109" s="196">
        <v>0</v>
      </c>
      <c r="O1109" s="196">
        <v>0</v>
      </c>
      <c r="P1109" s="194">
        <v>0</v>
      </c>
      <c r="Q1109" s="196">
        <v>0</v>
      </c>
      <c r="R1109" s="196">
        <v>760.3</v>
      </c>
      <c r="S1109" s="196">
        <v>1099567</v>
      </c>
      <c r="T1109" s="197">
        <v>0</v>
      </c>
      <c r="U1109" s="288">
        <v>0</v>
      </c>
      <c r="V1109" s="282">
        <f>C1109-'часть 1'!L1117</f>
        <v>-141203</v>
      </c>
      <c r="W1109" s="282"/>
      <c r="X1109" s="28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296"/>
    </row>
    <row r="1110" spans="1:38" s="59" customFormat="1">
      <c r="A1110" s="198">
        <v>57</v>
      </c>
      <c r="B1110" s="195" t="s">
        <v>257</v>
      </c>
      <c r="C1110" s="196">
        <v>451222.57</v>
      </c>
      <c r="D1110" s="196"/>
      <c r="E1110" s="196"/>
      <c r="F1110" s="196"/>
      <c r="G1110" s="196"/>
      <c r="H1110" s="196"/>
      <c r="I1110" s="196"/>
      <c r="J1110" s="196"/>
      <c r="K1110" s="196">
        <v>451222.57</v>
      </c>
      <c r="L1110" s="194">
        <v>0</v>
      </c>
      <c r="M1110" s="196">
        <v>0</v>
      </c>
      <c r="N1110" s="196">
        <v>0</v>
      </c>
      <c r="O1110" s="196">
        <v>0</v>
      </c>
      <c r="P1110" s="194">
        <v>0</v>
      </c>
      <c r="Q1110" s="196">
        <v>0</v>
      </c>
      <c r="R1110" s="197">
        <v>0</v>
      </c>
      <c r="S1110" s="196">
        <v>0</v>
      </c>
      <c r="T1110" s="197">
        <v>0</v>
      </c>
      <c r="U1110" s="288">
        <v>0</v>
      </c>
      <c r="V1110" s="282">
        <f>C1110-'часть 1'!L1118</f>
        <v>-1082534.43</v>
      </c>
      <c r="W1110" s="282"/>
      <c r="X1110" s="282"/>
      <c r="Y1110" s="12"/>
      <c r="Z1110" s="12"/>
      <c r="AA1110" s="4"/>
      <c r="AB1110" s="12"/>
      <c r="AC1110" s="12"/>
      <c r="AD1110" s="12"/>
      <c r="AE1110" s="12"/>
      <c r="AF1110" s="12"/>
      <c r="AG1110" s="12"/>
      <c r="AH1110" s="12"/>
      <c r="AI1110" s="296"/>
    </row>
    <row r="1111" spans="1:38" ht="30">
      <c r="A1111" s="198">
        <v>58</v>
      </c>
      <c r="B1111" s="195" t="s">
        <v>307</v>
      </c>
      <c r="C1111" s="196">
        <v>703675.57</v>
      </c>
      <c r="D1111" s="196"/>
      <c r="E1111" s="196"/>
      <c r="F1111" s="196"/>
      <c r="G1111" s="196"/>
      <c r="H1111" s="196"/>
      <c r="I1111" s="196"/>
      <c r="J1111" s="196"/>
      <c r="K1111" s="196">
        <v>0</v>
      </c>
      <c r="L1111" s="194">
        <v>0</v>
      </c>
      <c r="M1111" s="196">
        <v>0</v>
      </c>
      <c r="N1111" s="196">
        <v>378</v>
      </c>
      <c r="O1111" s="196">
        <v>703675.57</v>
      </c>
      <c r="P1111" s="194">
        <v>0</v>
      </c>
      <c r="Q1111" s="196">
        <v>0</v>
      </c>
      <c r="R1111" s="197">
        <v>0</v>
      </c>
      <c r="S1111" s="196">
        <v>0</v>
      </c>
      <c r="T1111" s="197">
        <v>0</v>
      </c>
      <c r="U1111" s="288">
        <v>0</v>
      </c>
      <c r="V1111" s="282">
        <f>C1111-'часть 1'!L1119</f>
        <v>-236182.43000000005</v>
      </c>
      <c r="W1111" s="282"/>
      <c r="X1111" s="28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296"/>
    </row>
    <row r="1112" spans="1:38">
      <c r="A1112" s="198">
        <v>59</v>
      </c>
      <c r="B1112" s="195" t="s">
        <v>268</v>
      </c>
      <c r="C1112" s="196">
        <v>1053533.22</v>
      </c>
      <c r="D1112" s="196"/>
      <c r="E1112" s="196"/>
      <c r="F1112" s="196"/>
      <c r="G1112" s="196"/>
      <c r="H1112" s="196"/>
      <c r="I1112" s="196"/>
      <c r="J1112" s="196"/>
      <c r="K1112" s="196">
        <v>1053533.22</v>
      </c>
      <c r="L1112" s="194">
        <v>0</v>
      </c>
      <c r="M1112" s="196">
        <v>0</v>
      </c>
      <c r="N1112" s="196">
        <v>0</v>
      </c>
      <c r="O1112" s="196">
        <v>0</v>
      </c>
      <c r="P1112" s="194">
        <v>0</v>
      </c>
      <c r="Q1112" s="196">
        <v>0</v>
      </c>
      <c r="R1112" s="197">
        <v>0</v>
      </c>
      <c r="S1112" s="196">
        <v>0</v>
      </c>
      <c r="T1112" s="197">
        <v>0</v>
      </c>
      <c r="U1112" s="288">
        <v>0</v>
      </c>
      <c r="V1112" s="282">
        <f>C1112-'часть 1'!L1120</f>
        <v>-1314858.78</v>
      </c>
      <c r="W1112" s="282"/>
      <c r="X1112" s="28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296"/>
      <c r="AJ1112" s="11"/>
      <c r="AK1112" s="11"/>
      <c r="AL1112" s="11"/>
    </row>
    <row r="1113" spans="1:38">
      <c r="A1113" s="198">
        <v>60</v>
      </c>
      <c r="B1113" s="195" t="s">
        <v>246</v>
      </c>
      <c r="C1113" s="196">
        <v>1253738</v>
      </c>
      <c r="D1113" s="196"/>
      <c r="E1113" s="196"/>
      <c r="F1113" s="196"/>
      <c r="G1113" s="196"/>
      <c r="H1113" s="196"/>
      <c r="I1113" s="196"/>
      <c r="J1113" s="196"/>
      <c r="K1113" s="196">
        <v>0</v>
      </c>
      <c r="L1113" s="194">
        <v>0</v>
      </c>
      <c r="M1113" s="196">
        <v>0</v>
      </c>
      <c r="N1113" s="196">
        <v>622</v>
      </c>
      <c r="O1113" s="196">
        <v>1253738</v>
      </c>
      <c r="P1113" s="194">
        <v>0</v>
      </c>
      <c r="Q1113" s="196">
        <v>0</v>
      </c>
      <c r="R1113" s="200">
        <v>0</v>
      </c>
      <c r="S1113" s="196">
        <v>0</v>
      </c>
      <c r="T1113" s="197">
        <v>0</v>
      </c>
      <c r="U1113" s="288">
        <v>0</v>
      </c>
      <c r="V1113" s="282">
        <f>C1113-'часть 1'!L1121</f>
        <v>-1180192.9100000001</v>
      </c>
      <c r="W1113" s="282"/>
      <c r="X1113" s="28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296"/>
    </row>
    <row r="1114" spans="1:38" s="11" customFormat="1">
      <c r="A1114" s="198">
        <v>61</v>
      </c>
      <c r="B1114" s="195" t="s">
        <v>470</v>
      </c>
      <c r="C1114" s="196">
        <v>1870046</v>
      </c>
      <c r="D1114" s="196"/>
      <c r="E1114" s="196"/>
      <c r="F1114" s="196"/>
      <c r="G1114" s="196"/>
      <c r="H1114" s="196"/>
      <c r="I1114" s="196"/>
      <c r="J1114" s="196"/>
      <c r="K1114" s="196">
        <v>0</v>
      </c>
      <c r="L1114" s="194">
        <v>1</v>
      </c>
      <c r="M1114" s="196">
        <v>1870046</v>
      </c>
      <c r="N1114" s="196">
        <v>0</v>
      </c>
      <c r="O1114" s="196">
        <v>0</v>
      </c>
      <c r="P1114" s="194">
        <v>0</v>
      </c>
      <c r="Q1114" s="196">
        <v>0</v>
      </c>
      <c r="R1114" s="197">
        <v>0</v>
      </c>
      <c r="S1114" s="196">
        <v>0</v>
      </c>
      <c r="T1114" s="197">
        <v>0</v>
      </c>
      <c r="U1114" s="288">
        <v>0</v>
      </c>
      <c r="V1114" s="282">
        <f>C1114-'часть 1'!L1122</f>
        <v>148196</v>
      </c>
      <c r="W1114" s="282"/>
      <c r="X1114" s="28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296"/>
      <c r="AJ1114" s="1"/>
      <c r="AK1114" s="1"/>
      <c r="AL1114" s="1"/>
    </row>
    <row r="1115" spans="1:38">
      <c r="A1115" s="198">
        <v>62</v>
      </c>
      <c r="B1115" s="195" t="s">
        <v>350</v>
      </c>
      <c r="C1115" s="196">
        <v>3720676</v>
      </c>
      <c r="D1115" s="196"/>
      <c r="E1115" s="196"/>
      <c r="F1115" s="196"/>
      <c r="G1115" s="196"/>
      <c r="H1115" s="196"/>
      <c r="I1115" s="196"/>
      <c r="J1115" s="196"/>
      <c r="K1115" s="196">
        <v>0</v>
      </c>
      <c r="L1115" s="194">
        <v>2</v>
      </c>
      <c r="M1115" s="196">
        <v>3720676</v>
      </c>
      <c r="N1115" s="196">
        <v>0</v>
      </c>
      <c r="O1115" s="196">
        <v>0</v>
      </c>
      <c r="P1115" s="194">
        <v>0</v>
      </c>
      <c r="Q1115" s="196">
        <v>0</v>
      </c>
      <c r="R1115" s="197">
        <v>0</v>
      </c>
      <c r="S1115" s="196">
        <v>0</v>
      </c>
      <c r="T1115" s="197">
        <v>0</v>
      </c>
      <c r="U1115" s="288">
        <v>0</v>
      </c>
      <c r="V1115" s="282">
        <f>C1115-'часть 1'!L1123</f>
        <v>2906559</v>
      </c>
      <c r="W1115" s="282"/>
      <c r="X1115" s="28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296"/>
    </row>
    <row r="1116" spans="1:38">
      <c r="A1116" s="198">
        <v>63</v>
      </c>
      <c r="B1116" s="195" t="s">
        <v>251</v>
      </c>
      <c r="C1116" s="196">
        <v>3687908</v>
      </c>
      <c r="D1116" s="196"/>
      <c r="E1116" s="196"/>
      <c r="F1116" s="196"/>
      <c r="G1116" s="196"/>
      <c r="H1116" s="196"/>
      <c r="I1116" s="196"/>
      <c r="J1116" s="196"/>
      <c r="K1116" s="196">
        <v>3687908</v>
      </c>
      <c r="L1116" s="194">
        <v>0</v>
      </c>
      <c r="M1116" s="196">
        <v>0</v>
      </c>
      <c r="N1116" s="196">
        <v>0</v>
      </c>
      <c r="O1116" s="196">
        <v>0</v>
      </c>
      <c r="P1116" s="194">
        <v>0</v>
      </c>
      <c r="Q1116" s="196">
        <v>0</v>
      </c>
      <c r="R1116" s="200">
        <v>0</v>
      </c>
      <c r="S1116" s="196">
        <v>0</v>
      </c>
      <c r="T1116" s="197">
        <v>0</v>
      </c>
      <c r="U1116" s="288">
        <v>0</v>
      </c>
      <c r="V1116" s="282">
        <f>C1116-'часть 1'!L1124</f>
        <v>642827</v>
      </c>
      <c r="W1116" s="282"/>
      <c r="X1116" s="282"/>
      <c r="Y1116" s="12"/>
      <c r="Z1116" s="12"/>
      <c r="AA1116" s="12"/>
      <c r="AB1116" s="12"/>
      <c r="AC1116" s="12"/>
      <c r="AD1116" s="12"/>
      <c r="AE1116" s="64"/>
      <c r="AF1116" s="12"/>
      <c r="AG1116" s="12"/>
      <c r="AH1116" s="12"/>
      <c r="AI1116" s="296"/>
    </row>
    <row r="1117" spans="1:38">
      <c r="A1117" s="198">
        <v>64</v>
      </c>
      <c r="B1117" s="195" t="s">
        <v>226</v>
      </c>
      <c r="C1117" s="196">
        <v>1760967.35</v>
      </c>
      <c r="D1117" s="196"/>
      <c r="E1117" s="196"/>
      <c r="F1117" s="196"/>
      <c r="G1117" s="196"/>
      <c r="H1117" s="196"/>
      <c r="I1117" s="196"/>
      <c r="J1117" s="196"/>
      <c r="K1117" s="196">
        <v>0</v>
      </c>
      <c r="L1117" s="194">
        <v>0</v>
      </c>
      <c r="M1117" s="196">
        <v>0</v>
      </c>
      <c r="N1117" s="196">
        <v>881</v>
      </c>
      <c r="O1117" s="196">
        <v>1760967.35</v>
      </c>
      <c r="P1117" s="194">
        <v>0</v>
      </c>
      <c r="Q1117" s="196">
        <v>0</v>
      </c>
      <c r="R1117" s="200">
        <v>0</v>
      </c>
      <c r="S1117" s="196">
        <v>0</v>
      </c>
      <c r="T1117" s="197">
        <v>0</v>
      </c>
      <c r="U1117" s="288">
        <v>0</v>
      </c>
      <c r="V1117" s="282">
        <f>C1117-'часть 1'!L1125</f>
        <v>-483838.64999999991</v>
      </c>
      <c r="W1117" s="282"/>
      <c r="X1117" s="28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296"/>
    </row>
    <row r="1118" spans="1:38">
      <c r="A1118" s="198">
        <v>65</v>
      </c>
      <c r="B1118" s="195" t="s">
        <v>271</v>
      </c>
      <c r="C1118" s="196">
        <v>881947</v>
      </c>
      <c r="D1118" s="196"/>
      <c r="E1118" s="196"/>
      <c r="F1118" s="196"/>
      <c r="G1118" s="196"/>
      <c r="H1118" s="196"/>
      <c r="I1118" s="196"/>
      <c r="J1118" s="196"/>
      <c r="K1118" s="196">
        <v>881947</v>
      </c>
      <c r="L1118" s="194">
        <v>0</v>
      </c>
      <c r="M1118" s="196">
        <v>0</v>
      </c>
      <c r="N1118" s="196">
        <v>0</v>
      </c>
      <c r="O1118" s="196">
        <v>0</v>
      </c>
      <c r="P1118" s="194">
        <v>0</v>
      </c>
      <c r="Q1118" s="196">
        <v>0</v>
      </c>
      <c r="R1118" s="197">
        <v>0</v>
      </c>
      <c r="S1118" s="196">
        <v>0</v>
      </c>
      <c r="T1118" s="197">
        <v>0</v>
      </c>
      <c r="U1118" s="288">
        <v>0</v>
      </c>
      <c r="V1118" s="282">
        <f>C1118-'часть 1'!L1126</f>
        <v>-479326</v>
      </c>
      <c r="W1118" s="282"/>
      <c r="X1118" s="282"/>
      <c r="Y1118" s="4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296"/>
    </row>
    <row r="1119" spans="1:38">
      <c r="A1119" s="198">
        <v>66</v>
      </c>
      <c r="B1119" s="195" t="s">
        <v>287</v>
      </c>
      <c r="C1119" s="196">
        <v>517739</v>
      </c>
      <c r="D1119" s="196"/>
      <c r="E1119" s="196"/>
      <c r="F1119" s="196"/>
      <c r="G1119" s="196"/>
      <c r="H1119" s="196"/>
      <c r="I1119" s="196"/>
      <c r="J1119" s="196"/>
      <c r="K1119" s="196">
        <v>0</v>
      </c>
      <c r="L1119" s="194">
        <v>0</v>
      </c>
      <c r="M1119" s="196">
        <v>0</v>
      </c>
      <c r="N1119" s="196">
        <v>252</v>
      </c>
      <c r="O1119" s="199">
        <v>517739</v>
      </c>
      <c r="P1119" s="194">
        <v>0</v>
      </c>
      <c r="Q1119" s="196">
        <v>0</v>
      </c>
      <c r="R1119" s="197">
        <v>0</v>
      </c>
      <c r="S1119" s="196">
        <v>0</v>
      </c>
      <c r="T1119" s="197">
        <v>0</v>
      </c>
      <c r="U1119" s="288">
        <v>0</v>
      </c>
      <c r="V1119" s="282">
        <f>C1119-'часть 1'!L1127</f>
        <v>-1903857</v>
      </c>
      <c r="W1119" s="282"/>
      <c r="X1119" s="28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296"/>
    </row>
    <row r="1120" spans="1:38">
      <c r="A1120" s="198">
        <v>67</v>
      </c>
      <c r="B1120" s="195" t="s">
        <v>289</v>
      </c>
      <c r="C1120" s="196">
        <v>1728895</v>
      </c>
      <c r="D1120" s="196"/>
      <c r="E1120" s="196"/>
      <c r="F1120" s="196"/>
      <c r="G1120" s="196"/>
      <c r="H1120" s="196"/>
      <c r="I1120" s="196"/>
      <c r="J1120" s="196"/>
      <c r="K1120" s="196">
        <v>0</v>
      </c>
      <c r="L1120" s="194">
        <v>0</v>
      </c>
      <c r="M1120" s="196">
        <v>0</v>
      </c>
      <c r="N1120" s="196">
        <v>873.06</v>
      </c>
      <c r="O1120" s="196">
        <v>1728895</v>
      </c>
      <c r="P1120" s="201">
        <v>0</v>
      </c>
      <c r="Q1120" s="196">
        <v>0</v>
      </c>
      <c r="R1120" s="200">
        <v>0</v>
      </c>
      <c r="S1120" s="196">
        <v>0</v>
      </c>
      <c r="T1120" s="197">
        <v>0</v>
      </c>
      <c r="U1120" s="288">
        <v>0</v>
      </c>
      <c r="V1120" s="282">
        <f>C1120-'часть 1'!L1128</f>
        <v>-327420</v>
      </c>
      <c r="W1120" s="282"/>
      <c r="X1120" s="28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296"/>
    </row>
    <row r="1121" spans="1:35">
      <c r="A1121" s="198">
        <v>68</v>
      </c>
      <c r="B1121" s="195" t="s">
        <v>259</v>
      </c>
      <c r="C1121" s="196">
        <v>682529</v>
      </c>
      <c r="D1121" s="196"/>
      <c r="E1121" s="196"/>
      <c r="F1121" s="196"/>
      <c r="G1121" s="196"/>
      <c r="H1121" s="196"/>
      <c r="I1121" s="196"/>
      <c r="J1121" s="196"/>
      <c r="K1121" s="196">
        <v>0</v>
      </c>
      <c r="L1121" s="194">
        <v>0</v>
      </c>
      <c r="M1121" s="196">
        <v>0</v>
      </c>
      <c r="N1121" s="196">
        <v>335.6</v>
      </c>
      <c r="O1121" s="196">
        <v>682529</v>
      </c>
      <c r="P1121" s="194">
        <v>0</v>
      </c>
      <c r="Q1121" s="196">
        <v>0</v>
      </c>
      <c r="R1121" s="197">
        <v>0</v>
      </c>
      <c r="S1121" s="196">
        <v>0</v>
      </c>
      <c r="T1121" s="197">
        <v>0</v>
      </c>
      <c r="U1121" s="288">
        <v>0</v>
      </c>
      <c r="V1121" s="282">
        <f>C1121-'часть 1'!L1129</f>
        <v>-8791064</v>
      </c>
      <c r="W1121" s="282"/>
      <c r="X1121" s="28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296"/>
    </row>
    <row r="1122" spans="1:35">
      <c r="A1122" s="198">
        <v>69</v>
      </c>
      <c r="B1122" s="195" t="s">
        <v>291</v>
      </c>
      <c r="C1122" s="196">
        <v>582157</v>
      </c>
      <c r="D1122" s="196"/>
      <c r="E1122" s="196"/>
      <c r="F1122" s="196"/>
      <c r="G1122" s="196"/>
      <c r="H1122" s="196"/>
      <c r="I1122" s="196"/>
      <c r="J1122" s="196"/>
      <c r="K1122" s="196">
        <v>0</v>
      </c>
      <c r="L1122" s="194">
        <v>0</v>
      </c>
      <c r="M1122" s="196">
        <v>0</v>
      </c>
      <c r="N1122" s="196">
        <v>285</v>
      </c>
      <c r="O1122" s="196">
        <v>582157</v>
      </c>
      <c r="P1122" s="194">
        <v>0</v>
      </c>
      <c r="Q1122" s="196">
        <v>0</v>
      </c>
      <c r="R1122" s="200">
        <v>0</v>
      </c>
      <c r="S1122" s="196">
        <v>0</v>
      </c>
      <c r="T1122" s="197">
        <v>0</v>
      </c>
      <c r="U1122" s="288">
        <v>0</v>
      </c>
      <c r="V1122" s="282">
        <f>C1122-'часть 1'!L1130</f>
        <v>-3859671</v>
      </c>
      <c r="W1122" s="282"/>
      <c r="X1122" s="28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296"/>
    </row>
    <row r="1123" spans="1:35">
      <c r="A1123" s="198">
        <v>70</v>
      </c>
      <c r="B1123" s="195" t="s">
        <v>224</v>
      </c>
      <c r="C1123" s="196">
        <v>701704</v>
      </c>
      <c r="D1123" s="196"/>
      <c r="E1123" s="196"/>
      <c r="F1123" s="196"/>
      <c r="G1123" s="196"/>
      <c r="H1123" s="196"/>
      <c r="I1123" s="196"/>
      <c r="J1123" s="196"/>
      <c r="K1123" s="196">
        <v>701704</v>
      </c>
      <c r="L1123" s="194">
        <v>0</v>
      </c>
      <c r="M1123" s="196">
        <v>0</v>
      </c>
      <c r="N1123" s="199">
        <v>0</v>
      </c>
      <c r="O1123" s="196">
        <v>0</v>
      </c>
      <c r="P1123" s="194">
        <v>0</v>
      </c>
      <c r="Q1123" s="196">
        <v>0</v>
      </c>
      <c r="R1123" s="200">
        <v>0</v>
      </c>
      <c r="S1123" s="196">
        <v>0</v>
      </c>
      <c r="T1123" s="197">
        <v>0</v>
      </c>
      <c r="U1123" s="288">
        <v>0</v>
      </c>
      <c r="V1123" s="282">
        <f>C1123-'часть 1'!L1131</f>
        <v>-2349385</v>
      </c>
      <c r="W1123" s="282"/>
      <c r="X1123" s="282"/>
      <c r="Y1123" s="4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296"/>
    </row>
    <row r="1124" spans="1:35">
      <c r="A1124" s="198">
        <v>71</v>
      </c>
      <c r="B1124" s="195" t="s">
        <v>261</v>
      </c>
      <c r="C1124" s="196">
        <v>1969149</v>
      </c>
      <c r="D1124" s="196"/>
      <c r="E1124" s="196"/>
      <c r="F1124" s="196"/>
      <c r="G1124" s="196"/>
      <c r="H1124" s="196"/>
      <c r="I1124" s="196"/>
      <c r="J1124" s="196"/>
      <c r="K1124" s="196">
        <v>0</v>
      </c>
      <c r="L1124" s="194">
        <v>0</v>
      </c>
      <c r="M1124" s="196">
        <v>0</v>
      </c>
      <c r="N1124" s="196">
        <v>995.8</v>
      </c>
      <c r="O1124" s="196">
        <v>1969149</v>
      </c>
      <c r="P1124" s="194">
        <v>0</v>
      </c>
      <c r="Q1124" s="196">
        <v>0</v>
      </c>
      <c r="R1124" s="197">
        <v>0</v>
      </c>
      <c r="S1124" s="196">
        <v>0</v>
      </c>
      <c r="T1124" s="197">
        <v>0</v>
      </c>
      <c r="U1124" s="288">
        <v>0</v>
      </c>
      <c r="V1124" s="282">
        <f>C1124-'часть 1'!L1132</f>
        <v>1099400</v>
      </c>
      <c r="W1124" s="282"/>
      <c r="X1124" s="28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296"/>
    </row>
    <row r="1125" spans="1:35">
      <c r="A1125" s="198">
        <v>72</v>
      </c>
      <c r="B1125" s="195" t="s">
        <v>239</v>
      </c>
      <c r="C1125" s="196">
        <v>1023088</v>
      </c>
      <c r="D1125" s="196"/>
      <c r="E1125" s="196"/>
      <c r="F1125" s="196"/>
      <c r="G1125" s="196"/>
      <c r="H1125" s="196"/>
      <c r="I1125" s="196"/>
      <c r="J1125" s="196"/>
      <c r="K1125" s="196">
        <v>0</v>
      </c>
      <c r="L1125" s="194">
        <v>0</v>
      </c>
      <c r="M1125" s="196">
        <v>0</v>
      </c>
      <c r="N1125" s="196">
        <v>0</v>
      </c>
      <c r="O1125" s="196">
        <v>0</v>
      </c>
      <c r="P1125" s="194">
        <v>0</v>
      </c>
      <c r="Q1125" s="196">
        <v>0</v>
      </c>
      <c r="R1125" s="196">
        <v>694</v>
      </c>
      <c r="S1125" s="199">
        <v>1023088</v>
      </c>
      <c r="T1125" s="197">
        <v>0</v>
      </c>
      <c r="U1125" s="288">
        <v>0</v>
      </c>
      <c r="V1125" s="282">
        <f>C1125-'часть 1'!L1133</f>
        <v>153208</v>
      </c>
      <c r="W1125" s="282"/>
      <c r="X1125" s="28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296"/>
    </row>
    <row r="1126" spans="1:35">
      <c r="A1126" s="198">
        <v>73</v>
      </c>
      <c r="B1126" s="195" t="s">
        <v>336</v>
      </c>
      <c r="C1126" s="196">
        <v>3334570</v>
      </c>
      <c r="D1126" s="196"/>
      <c r="E1126" s="196"/>
      <c r="F1126" s="196"/>
      <c r="G1126" s="196"/>
      <c r="H1126" s="196"/>
      <c r="I1126" s="196"/>
      <c r="J1126" s="196"/>
      <c r="K1126" s="196" t="e">
        <f>#REF!</f>
        <v>#REF!</v>
      </c>
      <c r="L1126" s="194">
        <v>0</v>
      </c>
      <c r="M1126" s="196">
        <v>0</v>
      </c>
      <c r="N1126" s="199">
        <v>0</v>
      </c>
      <c r="O1126" s="196">
        <v>0</v>
      </c>
      <c r="P1126" s="194">
        <v>0</v>
      </c>
      <c r="Q1126" s="196">
        <v>0</v>
      </c>
      <c r="R1126" s="197">
        <v>0</v>
      </c>
      <c r="S1126" s="196">
        <v>0</v>
      </c>
      <c r="T1126" s="197">
        <v>0</v>
      </c>
      <c r="U1126" s="288">
        <v>0</v>
      </c>
      <c r="V1126" s="282">
        <f>C1126-'часть 1'!L1134</f>
        <v>3162268</v>
      </c>
      <c r="W1126" s="282"/>
      <c r="X1126" s="282"/>
      <c r="Y1126" s="12"/>
      <c r="Z1126" s="12"/>
      <c r="AA1126" s="12"/>
      <c r="AB1126" s="12"/>
      <c r="AC1126" s="12"/>
      <c r="AD1126" s="12"/>
      <c r="AE1126" s="15"/>
      <c r="AF1126" s="12"/>
      <c r="AG1126" s="12"/>
      <c r="AH1126" s="12"/>
      <c r="AI1126" s="296"/>
    </row>
    <row r="1127" spans="1:35">
      <c r="A1127" s="198">
        <v>74</v>
      </c>
      <c r="B1127" s="195" t="s">
        <v>306</v>
      </c>
      <c r="C1127" s="196">
        <v>1127374.33</v>
      </c>
      <c r="D1127" s="196"/>
      <c r="E1127" s="196"/>
      <c r="F1127" s="196"/>
      <c r="G1127" s="196"/>
      <c r="H1127" s="196"/>
      <c r="I1127" s="196"/>
      <c r="J1127" s="196"/>
      <c r="K1127" s="196">
        <v>1127374.33</v>
      </c>
      <c r="L1127" s="194">
        <v>0</v>
      </c>
      <c r="M1127" s="196">
        <v>0</v>
      </c>
      <c r="N1127" s="196">
        <v>0</v>
      </c>
      <c r="O1127" s="196">
        <v>0</v>
      </c>
      <c r="P1127" s="194">
        <v>0</v>
      </c>
      <c r="Q1127" s="196">
        <v>0</v>
      </c>
      <c r="R1127" s="197">
        <v>0</v>
      </c>
      <c r="S1127" s="196">
        <v>0</v>
      </c>
      <c r="T1127" s="197">
        <v>0</v>
      </c>
      <c r="U1127" s="288">
        <v>0</v>
      </c>
      <c r="V1127" s="282">
        <f>C1127-'часть 1'!L1135</f>
        <v>-2579018.67</v>
      </c>
      <c r="W1127" s="282"/>
      <c r="X1127" s="28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296"/>
    </row>
    <row r="1128" spans="1:35">
      <c r="A1128" s="198">
        <v>75</v>
      </c>
      <c r="B1128" s="195" t="s">
        <v>234</v>
      </c>
      <c r="C1128" s="196">
        <v>1161456</v>
      </c>
      <c r="D1128" s="196"/>
      <c r="E1128" s="196"/>
      <c r="F1128" s="196"/>
      <c r="G1128" s="196"/>
      <c r="H1128" s="196"/>
      <c r="I1128" s="196"/>
      <c r="J1128" s="196"/>
      <c r="K1128" s="196">
        <v>1161456</v>
      </c>
      <c r="L1128" s="194">
        <v>0</v>
      </c>
      <c r="M1128" s="196">
        <v>0</v>
      </c>
      <c r="N1128" s="196">
        <v>0</v>
      </c>
      <c r="O1128" s="196">
        <v>0</v>
      </c>
      <c r="P1128" s="194">
        <v>0</v>
      </c>
      <c r="Q1128" s="196">
        <v>0</v>
      </c>
      <c r="R1128" s="197">
        <v>0</v>
      </c>
      <c r="S1128" s="196">
        <v>0</v>
      </c>
      <c r="T1128" s="197">
        <v>0</v>
      </c>
      <c r="U1128" s="288">
        <v>0</v>
      </c>
      <c r="V1128" s="282">
        <f>C1128-'часть 1'!L1136</f>
        <v>462871</v>
      </c>
      <c r="W1128" s="282"/>
      <c r="X1128" s="28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296"/>
    </row>
    <row r="1129" spans="1:35">
      <c r="A1129" s="198">
        <v>76</v>
      </c>
      <c r="B1129" s="195" t="s">
        <v>277</v>
      </c>
      <c r="C1129" s="196">
        <v>1197250.23</v>
      </c>
      <c r="D1129" s="196"/>
      <c r="E1129" s="196"/>
      <c r="F1129" s="196"/>
      <c r="G1129" s="196"/>
      <c r="H1129" s="196"/>
      <c r="I1129" s="196"/>
      <c r="J1129" s="196"/>
      <c r="K1129" s="196">
        <v>1197250.23</v>
      </c>
      <c r="L1129" s="194">
        <v>0</v>
      </c>
      <c r="M1129" s="196">
        <v>0</v>
      </c>
      <c r="N1129" s="199">
        <v>0</v>
      </c>
      <c r="O1129" s="196">
        <v>0</v>
      </c>
      <c r="P1129" s="194">
        <v>0</v>
      </c>
      <c r="Q1129" s="196">
        <v>0</v>
      </c>
      <c r="R1129" s="197">
        <v>0</v>
      </c>
      <c r="S1129" s="196">
        <v>0</v>
      </c>
      <c r="T1129" s="197">
        <v>0</v>
      </c>
      <c r="U1129" s="288">
        <v>0</v>
      </c>
      <c r="V1129" s="282">
        <f>C1129-'часть 1'!L1137</f>
        <v>245510.22999999998</v>
      </c>
      <c r="W1129" s="282"/>
      <c r="X1129" s="28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296"/>
    </row>
    <row r="1130" spans="1:35">
      <c r="A1130" s="198">
        <v>77</v>
      </c>
      <c r="B1130" s="195" t="s">
        <v>303</v>
      </c>
      <c r="C1130" s="196">
        <v>2784233</v>
      </c>
      <c r="D1130" s="196"/>
      <c r="E1130" s="196"/>
      <c r="F1130" s="196"/>
      <c r="G1130" s="196"/>
      <c r="H1130" s="196"/>
      <c r="I1130" s="196"/>
      <c r="J1130" s="196"/>
      <c r="K1130" s="196">
        <v>0</v>
      </c>
      <c r="L1130" s="194">
        <v>0</v>
      </c>
      <c r="M1130" s="196">
        <v>0</v>
      </c>
      <c r="N1130" s="196">
        <v>1391</v>
      </c>
      <c r="O1130" s="196">
        <v>2784233</v>
      </c>
      <c r="P1130" s="194">
        <v>0</v>
      </c>
      <c r="Q1130" s="196">
        <v>0</v>
      </c>
      <c r="R1130" s="197">
        <v>0</v>
      </c>
      <c r="S1130" s="196">
        <v>0</v>
      </c>
      <c r="T1130" s="197">
        <v>0</v>
      </c>
      <c r="U1130" s="288">
        <v>0</v>
      </c>
      <c r="V1130" s="282">
        <f>C1130-'часть 1'!L1138</f>
        <v>728094</v>
      </c>
      <c r="W1130" s="282"/>
      <c r="X1130" s="28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296"/>
    </row>
    <row r="1131" spans="1:35">
      <c r="A1131" s="198">
        <v>78</v>
      </c>
      <c r="B1131" s="195" t="s">
        <v>293</v>
      </c>
      <c r="C1131" s="196">
        <v>2369961</v>
      </c>
      <c r="D1131" s="196"/>
      <c r="E1131" s="196"/>
      <c r="F1131" s="196"/>
      <c r="G1131" s="196"/>
      <c r="H1131" s="196"/>
      <c r="I1131" s="196"/>
      <c r="J1131" s="196"/>
      <c r="K1131" s="196">
        <v>2369961</v>
      </c>
      <c r="L1131" s="194">
        <v>0</v>
      </c>
      <c r="M1131" s="196">
        <v>0</v>
      </c>
      <c r="N1131" s="196">
        <v>0</v>
      </c>
      <c r="O1131" s="196">
        <v>0</v>
      </c>
      <c r="P1131" s="194">
        <v>0</v>
      </c>
      <c r="Q1131" s="196">
        <v>0</v>
      </c>
      <c r="R1131" s="200">
        <v>0</v>
      </c>
      <c r="S1131" s="196">
        <v>0</v>
      </c>
      <c r="T1131" s="197">
        <v>0</v>
      </c>
      <c r="U1131" s="288">
        <v>0</v>
      </c>
      <c r="V1131" s="282">
        <f>C1131-'часть 1'!L1139</f>
        <v>1048605</v>
      </c>
      <c r="W1131" s="282"/>
      <c r="X1131" s="28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296"/>
    </row>
    <row r="1132" spans="1:35">
      <c r="A1132" s="198">
        <v>79</v>
      </c>
      <c r="B1132" s="195" t="s">
        <v>463</v>
      </c>
      <c r="C1132" s="196">
        <v>672819</v>
      </c>
      <c r="D1132" s="196"/>
      <c r="E1132" s="196"/>
      <c r="F1132" s="196"/>
      <c r="G1132" s="196"/>
      <c r="H1132" s="196"/>
      <c r="I1132" s="196"/>
      <c r="J1132" s="196"/>
      <c r="K1132" s="196">
        <v>0</v>
      </c>
      <c r="L1132" s="194">
        <v>0</v>
      </c>
      <c r="M1132" s="196">
        <v>0</v>
      </c>
      <c r="N1132" s="196">
        <v>331.4</v>
      </c>
      <c r="O1132" s="196">
        <v>672819</v>
      </c>
      <c r="P1132" s="194">
        <v>0</v>
      </c>
      <c r="Q1132" s="196">
        <v>0</v>
      </c>
      <c r="R1132" s="200">
        <v>0</v>
      </c>
      <c r="S1132" s="196">
        <v>0</v>
      </c>
      <c r="T1132" s="197">
        <v>0</v>
      </c>
      <c r="U1132" s="288">
        <v>0</v>
      </c>
      <c r="V1132" s="282">
        <f>C1132-'часть 1'!L1140</f>
        <v>-1006459</v>
      </c>
      <c r="W1132" s="282"/>
      <c r="X1132" s="28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296"/>
    </row>
    <row r="1133" spans="1:35">
      <c r="A1133" s="198">
        <v>80</v>
      </c>
      <c r="B1133" s="195" t="s">
        <v>340</v>
      </c>
      <c r="C1133" s="196">
        <v>1651491</v>
      </c>
      <c r="D1133" s="196"/>
      <c r="E1133" s="196"/>
      <c r="F1133" s="196"/>
      <c r="G1133" s="196"/>
      <c r="H1133" s="196"/>
      <c r="I1133" s="196"/>
      <c r="J1133" s="196"/>
      <c r="K1133" s="196">
        <v>1651491</v>
      </c>
      <c r="L1133" s="194">
        <v>0</v>
      </c>
      <c r="M1133" s="196">
        <v>0</v>
      </c>
      <c r="N1133" s="196">
        <v>0</v>
      </c>
      <c r="O1133" s="196">
        <v>0</v>
      </c>
      <c r="P1133" s="194">
        <v>0</v>
      </c>
      <c r="Q1133" s="196">
        <v>0</v>
      </c>
      <c r="R1133" s="197">
        <v>0</v>
      </c>
      <c r="S1133" s="196">
        <v>0</v>
      </c>
      <c r="T1133" s="197">
        <v>0</v>
      </c>
      <c r="U1133" s="288">
        <v>0</v>
      </c>
      <c r="V1133" s="282">
        <f>C1133-'часть 1'!L1141</f>
        <v>550595</v>
      </c>
      <c r="W1133" s="282"/>
      <c r="X1133" s="28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296"/>
    </row>
    <row r="1134" spans="1:35">
      <c r="A1134" s="198">
        <v>81</v>
      </c>
      <c r="B1134" s="195" t="s">
        <v>254</v>
      </c>
      <c r="C1134" s="196">
        <v>1432926</v>
      </c>
      <c r="D1134" s="196"/>
      <c r="E1134" s="196"/>
      <c r="F1134" s="196"/>
      <c r="G1134" s="196"/>
      <c r="H1134" s="196"/>
      <c r="I1134" s="196"/>
      <c r="J1134" s="196"/>
      <c r="K1134" s="196">
        <v>0</v>
      </c>
      <c r="L1134" s="194">
        <v>0</v>
      </c>
      <c r="M1134" s="196">
        <v>0</v>
      </c>
      <c r="N1134" s="196">
        <v>710.73</v>
      </c>
      <c r="O1134" s="196">
        <v>1432926</v>
      </c>
      <c r="P1134" s="194">
        <v>0</v>
      </c>
      <c r="Q1134" s="196">
        <v>0</v>
      </c>
      <c r="R1134" s="200">
        <v>0</v>
      </c>
      <c r="S1134" s="196">
        <v>0</v>
      </c>
      <c r="T1134" s="197">
        <v>0</v>
      </c>
      <c r="U1134" s="288">
        <v>0</v>
      </c>
      <c r="V1134" s="282">
        <f>C1134-'часть 1'!L1142</f>
        <v>-296781</v>
      </c>
      <c r="W1134" s="282"/>
      <c r="X1134" s="28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296"/>
    </row>
    <row r="1135" spans="1:35">
      <c r="A1135" s="198">
        <v>82</v>
      </c>
      <c r="B1135" s="195" t="s">
        <v>343</v>
      </c>
      <c r="C1135" s="196">
        <v>1137886</v>
      </c>
      <c r="D1135" s="196"/>
      <c r="E1135" s="196"/>
      <c r="F1135" s="196"/>
      <c r="G1135" s="196"/>
      <c r="H1135" s="196"/>
      <c r="I1135" s="196"/>
      <c r="J1135" s="196"/>
      <c r="K1135" s="196">
        <v>0</v>
      </c>
      <c r="L1135" s="194">
        <v>0</v>
      </c>
      <c r="M1135" s="196">
        <v>0</v>
      </c>
      <c r="N1135" s="196">
        <v>0</v>
      </c>
      <c r="O1135" s="196">
        <v>0</v>
      </c>
      <c r="P1135" s="194">
        <v>0</v>
      </c>
      <c r="Q1135" s="196">
        <v>0</v>
      </c>
      <c r="R1135" s="199">
        <v>785.5</v>
      </c>
      <c r="S1135" s="196">
        <v>1137886</v>
      </c>
      <c r="T1135" s="197">
        <v>0</v>
      </c>
      <c r="U1135" s="288">
        <v>0</v>
      </c>
      <c r="V1135" s="282">
        <f>C1135-'часть 1'!L1143</f>
        <v>686663.42999999993</v>
      </c>
      <c r="W1135" s="282"/>
      <c r="X1135" s="28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296"/>
    </row>
    <row r="1136" spans="1:35">
      <c r="A1136" s="198">
        <v>83</v>
      </c>
      <c r="B1136" s="195" t="s">
        <v>305</v>
      </c>
      <c r="C1136" s="196">
        <v>1814838</v>
      </c>
      <c r="D1136" s="196"/>
      <c r="E1136" s="196"/>
      <c r="F1136" s="196"/>
      <c r="G1136" s="196"/>
      <c r="H1136" s="196"/>
      <c r="I1136" s="196"/>
      <c r="J1136" s="196"/>
      <c r="K1136" s="196">
        <v>0</v>
      </c>
      <c r="L1136" s="194">
        <v>0</v>
      </c>
      <c r="M1136" s="196">
        <v>0</v>
      </c>
      <c r="N1136" s="196">
        <v>917</v>
      </c>
      <c r="O1136" s="196">
        <v>1814838</v>
      </c>
      <c r="P1136" s="194">
        <v>0</v>
      </c>
      <c r="Q1136" s="196">
        <v>0</v>
      </c>
      <c r="R1136" s="197">
        <v>0</v>
      </c>
      <c r="S1136" s="196">
        <v>0</v>
      </c>
      <c r="T1136" s="197">
        <v>0</v>
      </c>
      <c r="U1136" s="288">
        <v>0</v>
      </c>
      <c r="V1136" s="282">
        <f>C1136-'часть 1'!L1144</f>
        <v>1111162.4300000002</v>
      </c>
      <c r="W1136" s="282"/>
      <c r="X1136" s="28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296"/>
    </row>
    <row r="1137" spans="1:35">
      <c r="A1137" s="198">
        <v>84</v>
      </c>
      <c r="B1137" s="195" t="s">
        <v>345</v>
      </c>
      <c r="C1137" s="196">
        <v>1544359.54</v>
      </c>
      <c r="D1137" s="196"/>
      <c r="E1137" s="196"/>
      <c r="F1137" s="196"/>
      <c r="G1137" s="196"/>
      <c r="H1137" s="196"/>
      <c r="I1137" s="196"/>
      <c r="J1137" s="196"/>
      <c r="K1137" s="196">
        <v>1544359.54</v>
      </c>
      <c r="L1137" s="194">
        <v>0</v>
      </c>
      <c r="M1137" s="196">
        <v>0</v>
      </c>
      <c r="N1137" s="196">
        <v>0</v>
      </c>
      <c r="O1137" s="196">
        <v>0</v>
      </c>
      <c r="P1137" s="194">
        <v>0</v>
      </c>
      <c r="Q1137" s="196">
        <v>0</v>
      </c>
      <c r="R1137" s="197">
        <v>0</v>
      </c>
      <c r="S1137" s="196">
        <v>0</v>
      </c>
      <c r="T1137" s="197">
        <v>0</v>
      </c>
      <c r="U1137" s="288">
        <v>0</v>
      </c>
      <c r="V1137" s="282">
        <f>C1137-'часть 1'!L1145</f>
        <v>490826.32000000007</v>
      </c>
      <c r="W1137" s="282"/>
      <c r="X1137" s="28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297"/>
    </row>
    <row r="1138" spans="1:35" ht="30">
      <c r="A1138" s="198">
        <v>85</v>
      </c>
      <c r="B1138" s="195" t="s">
        <v>454</v>
      </c>
      <c r="C1138" s="196">
        <v>1787034</v>
      </c>
      <c r="D1138" s="196"/>
      <c r="E1138" s="196"/>
      <c r="F1138" s="196"/>
      <c r="G1138" s="196"/>
      <c r="H1138" s="196"/>
      <c r="I1138" s="196"/>
      <c r="J1138" s="196"/>
      <c r="K1138" s="196">
        <v>0</v>
      </c>
      <c r="L1138" s="194">
        <v>1</v>
      </c>
      <c r="M1138" s="196">
        <v>1787034</v>
      </c>
      <c r="N1138" s="196">
        <v>0</v>
      </c>
      <c r="O1138" s="196">
        <v>0</v>
      </c>
      <c r="P1138" s="194">
        <v>0</v>
      </c>
      <c r="Q1138" s="196">
        <v>0</v>
      </c>
      <c r="R1138" s="200">
        <v>0</v>
      </c>
      <c r="S1138" s="196">
        <v>0</v>
      </c>
      <c r="T1138" s="197">
        <v>0</v>
      </c>
      <c r="U1138" s="288">
        <v>0</v>
      </c>
      <c r="V1138" s="282">
        <f>C1138-'часть 1'!L1146</f>
        <v>533296</v>
      </c>
      <c r="W1138" s="282"/>
      <c r="X1138" s="28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296"/>
    </row>
    <row r="1139" spans="1:35" ht="30">
      <c r="A1139" s="198">
        <v>86</v>
      </c>
      <c r="B1139" s="195" t="s">
        <v>455</v>
      </c>
      <c r="C1139" s="196">
        <v>437998.57</v>
      </c>
      <c r="D1139" s="196"/>
      <c r="E1139" s="196"/>
      <c r="F1139" s="196"/>
      <c r="G1139" s="196"/>
      <c r="H1139" s="196"/>
      <c r="I1139" s="196"/>
      <c r="J1139" s="196"/>
      <c r="K1139" s="196">
        <v>437998.57</v>
      </c>
      <c r="L1139" s="194">
        <v>0</v>
      </c>
      <c r="M1139" s="196">
        <v>0</v>
      </c>
      <c r="N1139" s="199">
        <v>0</v>
      </c>
      <c r="O1139" s="196">
        <v>0</v>
      </c>
      <c r="P1139" s="194">
        <v>0</v>
      </c>
      <c r="Q1139" s="196">
        <v>0</v>
      </c>
      <c r="R1139" s="200">
        <v>0</v>
      </c>
      <c r="S1139" s="196">
        <v>0</v>
      </c>
      <c r="T1139" s="197">
        <v>0</v>
      </c>
      <c r="U1139" s="288">
        <v>0</v>
      </c>
      <c r="V1139" s="282">
        <f>C1139-'часть 1'!L1147</f>
        <v>-1432047.43</v>
      </c>
      <c r="W1139" s="282"/>
      <c r="X1139" s="28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296"/>
    </row>
    <row r="1140" spans="1:35" ht="30">
      <c r="A1140" s="198">
        <v>87</v>
      </c>
      <c r="B1140" s="195" t="s">
        <v>456</v>
      </c>
      <c r="C1140" s="196">
        <v>1116228</v>
      </c>
      <c r="D1140" s="196"/>
      <c r="E1140" s="196"/>
      <c r="F1140" s="196"/>
      <c r="G1140" s="196"/>
      <c r="H1140" s="196"/>
      <c r="I1140" s="196"/>
      <c r="J1140" s="196"/>
      <c r="K1140" s="196">
        <v>0</v>
      </c>
      <c r="L1140" s="194">
        <v>0</v>
      </c>
      <c r="M1140" s="196">
        <v>0</v>
      </c>
      <c r="N1140" s="196">
        <v>734</v>
      </c>
      <c r="O1140" s="196">
        <v>1116228</v>
      </c>
      <c r="P1140" s="194">
        <v>0</v>
      </c>
      <c r="Q1140" s="196">
        <v>0</v>
      </c>
      <c r="R1140" s="200">
        <v>0</v>
      </c>
      <c r="S1140" s="196">
        <v>0</v>
      </c>
      <c r="T1140" s="197">
        <v>0</v>
      </c>
      <c r="U1140" s="288">
        <v>0</v>
      </c>
      <c r="V1140" s="282">
        <f>C1140-'часть 1'!L1148</f>
        <v>-2604448</v>
      </c>
      <c r="W1140" s="282"/>
      <c r="X1140" s="28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296"/>
    </row>
    <row r="1141" spans="1:35" ht="30">
      <c r="A1141" s="198">
        <v>88</v>
      </c>
      <c r="B1141" s="195" t="s">
        <v>457</v>
      </c>
      <c r="C1141" s="196">
        <v>1313728</v>
      </c>
      <c r="D1141" s="196"/>
      <c r="E1141" s="196"/>
      <c r="F1141" s="196"/>
      <c r="G1141" s="196"/>
      <c r="H1141" s="196"/>
      <c r="I1141" s="196"/>
      <c r="J1141" s="196"/>
      <c r="K1141" s="196">
        <v>0</v>
      </c>
      <c r="L1141" s="194">
        <v>0</v>
      </c>
      <c r="M1141" s="196">
        <v>0</v>
      </c>
      <c r="N1141" s="199">
        <v>660.7</v>
      </c>
      <c r="O1141" s="196">
        <v>1313728</v>
      </c>
      <c r="P1141" s="194">
        <v>0</v>
      </c>
      <c r="Q1141" s="196">
        <v>0</v>
      </c>
      <c r="R1141" s="197">
        <v>0</v>
      </c>
      <c r="S1141" s="196">
        <v>0</v>
      </c>
      <c r="T1141" s="197">
        <v>0</v>
      </c>
      <c r="U1141" s="288">
        <v>0</v>
      </c>
      <c r="V1141" s="282">
        <f>C1141-'часть 1'!L1149</f>
        <v>-2374180</v>
      </c>
      <c r="W1141" s="282"/>
      <c r="X1141" s="28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296"/>
    </row>
    <row r="1142" spans="1:35">
      <c r="A1142" s="198">
        <v>89</v>
      </c>
      <c r="B1142" s="195" t="s">
        <v>241</v>
      </c>
      <c r="C1142" s="196">
        <v>359651</v>
      </c>
      <c r="D1142" s="196"/>
      <c r="E1142" s="196"/>
      <c r="F1142" s="196"/>
      <c r="G1142" s="196"/>
      <c r="H1142" s="196"/>
      <c r="I1142" s="196"/>
      <c r="J1142" s="196"/>
      <c r="K1142" s="196">
        <v>359651</v>
      </c>
      <c r="L1142" s="194">
        <v>0</v>
      </c>
      <c r="M1142" s="196">
        <v>0</v>
      </c>
      <c r="N1142" s="196">
        <v>0</v>
      </c>
      <c r="O1142" s="196">
        <v>0</v>
      </c>
      <c r="P1142" s="194">
        <v>0</v>
      </c>
      <c r="Q1142" s="196">
        <v>0</v>
      </c>
      <c r="R1142" s="197">
        <v>0</v>
      </c>
      <c r="S1142" s="196">
        <v>0</v>
      </c>
      <c r="T1142" s="197">
        <v>0</v>
      </c>
      <c r="U1142" s="288">
        <v>0</v>
      </c>
      <c r="V1142" s="282">
        <f>C1142-'часть 1'!L1150</f>
        <v>-1401316.35</v>
      </c>
      <c r="W1142" s="282"/>
      <c r="X1142" s="282"/>
      <c r="Y1142" s="12"/>
      <c r="Z1142" s="12"/>
      <c r="AA1142" s="12"/>
      <c r="AB1142" s="12"/>
      <c r="AC1142" s="4"/>
      <c r="AD1142" s="12"/>
      <c r="AE1142" s="12"/>
      <c r="AF1142" s="12"/>
      <c r="AG1142" s="12"/>
      <c r="AH1142" s="12"/>
      <c r="AI1142" s="296"/>
    </row>
    <row r="1143" spans="1:35">
      <c r="A1143" s="198">
        <v>90</v>
      </c>
      <c r="B1143" s="195" t="s">
        <v>233</v>
      </c>
      <c r="C1143" s="196">
        <v>906779</v>
      </c>
      <c r="D1143" s="196"/>
      <c r="E1143" s="196"/>
      <c r="F1143" s="196"/>
      <c r="G1143" s="196"/>
      <c r="H1143" s="196"/>
      <c r="I1143" s="196"/>
      <c r="J1143" s="196"/>
      <c r="K1143" s="196">
        <v>906779</v>
      </c>
      <c r="L1143" s="194">
        <v>0</v>
      </c>
      <c r="M1143" s="196">
        <v>0</v>
      </c>
      <c r="N1143" s="196">
        <v>0</v>
      </c>
      <c r="O1143" s="196">
        <v>0</v>
      </c>
      <c r="P1143" s="194">
        <v>0</v>
      </c>
      <c r="Q1143" s="196">
        <v>0</v>
      </c>
      <c r="R1143" s="197">
        <v>0</v>
      </c>
      <c r="S1143" s="196">
        <v>0</v>
      </c>
      <c r="T1143" s="197">
        <v>0</v>
      </c>
      <c r="U1143" s="288">
        <v>0</v>
      </c>
      <c r="V1143" s="282">
        <f>C1143-'часть 1'!L1151</f>
        <v>24832</v>
      </c>
      <c r="W1143" s="282"/>
      <c r="X1143" s="28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296"/>
    </row>
    <row r="1144" spans="1:35">
      <c r="A1144" s="198">
        <v>91</v>
      </c>
      <c r="B1144" s="195" t="s">
        <v>278</v>
      </c>
      <c r="C1144" s="196">
        <v>886559</v>
      </c>
      <c r="D1144" s="196"/>
      <c r="E1144" s="196"/>
      <c r="F1144" s="196"/>
      <c r="G1144" s="196"/>
      <c r="H1144" s="196"/>
      <c r="I1144" s="196"/>
      <c r="J1144" s="196"/>
      <c r="K1144" s="196">
        <v>0</v>
      </c>
      <c r="L1144" s="194">
        <v>0</v>
      </c>
      <c r="M1144" s="196">
        <v>0</v>
      </c>
      <c r="N1144" s="196">
        <v>440</v>
      </c>
      <c r="O1144" s="199">
        <v>886559</v>
      </c>
      <c r="P1144" s="194">
        <v>0</v>
      </c>
      <c r="Q1144" s="196">
        <v>0</v>
      </c>
      <c r="R1144" s="197">
        <v>0</v>
      </c>
      <c r="S1144" s="196">
        <v>0</v>
      </c>
      <c r="T1144" s="197">
        <v>0</v>
      </c>
      <c r="U1144" s="288">
        <v>0</v>
      </c>
      <c r="V1144" s="282">
        <f>C1144-'часть 1'!L1152</f>
        <v>368820</v>
      </c>
      <c r="W1144" s="282"/>
      <c r="X1144" s="28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296"/>
    </row>
    <row r="1145" spans="1:35">
      <c r="A1145" s="198">
        <v>92</v>
      </c>
      <c r="B1145" s="195" t="s">
        <v>347</v>
      </c>
      <c r="C1145" s="196">
        <v>642210</v>
      </c>
      <c r="D1145" s="196"/>
      <c r="E1145" s="196"/>
      <c r="F1145" s="196"/>
      <c r="G1145" s="196"/>
      <c r="H1145" s="196"/>
      <c r="I1145" s="196"/>
      <c r="J1145" s="196"/>
      <c r="K1145" s="196">
        <v>0</v>
      </c>
      <c r="L1145" s="194">
        <v>0</v>
      </c>
      <c r="M1145" s="196">
        <v>0</v>
      </c>
      <c r="N1145" s="196">
        <v>0</v>
      </c>
      <c r="O1145" s="196">
        <v>0</v>
      </c>
      <c r="P1145" s="194">
        <v>0</v>
      </c>
      <c r="Q1145" s="196">
        <v>0</v>
      </c>
      <c r="R1145" s="196">
        <v>440</v>
      </c>
      <c r="S1145" s="196">
        <v>642210</v>
      </c>
      <c r="T1145" s="197">
        <v>0</v>
      </c>
      <c r="U1145" s="288">
        <v>0</v>
      </c>
      <c r="V1145" s="282">
        <f>C1145-'часть 1'!L1153</f>
        <v>-1086685</v>
      </c>
      <c r="W1145" s="282"/>
      <c r="X1145" s="28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296"/>
    </row>
    <row r="1146" spans="1:35">
      <c r="A1146" s="198">
        <v>93</v>
      </c>
      <c r="B1146" s="195" t="s">
        <v>266</v>
      </c>
      <c r="C1146" s="196">
        <v>1952489</v>
      </c>
      <c r="D1146" s="196"/>
      <c r="E1146" s="196"/>
      <c r="F1146" s="196"/>
      <c r="G1146" s="196"/>
      <c r="H1146" s="196"/>
      <c r="I1146" s="196"/>
      <c r="J1146" s="196"/>
      <c r="K1146" s="196">
        <v>0</v>
      </c>
      <c r="L1146" s="194">
        <v>0</v>
      </c>
      <c r="M1146" s="196">
        <v>0</v>
      </c>
      <c r="N1146" s="196">
        <v>965</v>
      </c>
      <c r="O1146" s="196">
        <v>1952489</v>
      </c>
      <c r="P1146" s="194">
        <v>0</v>
      </c>
      <c r="Q1146" s="196">
        <v>0</v>
      </c>
      <c r="R1146" s="200">
        <v>0</v>
      </c>
      <c r="S1146" s="196">
        <v>0</v>
      </c>
      <c r="T1146" s="197">
        <v>0</v>
      </c>
      <c r="U1146" s="288">
        <v>0</v>
      </c>
      <c r="V1146" s="282">
        <f>C1146-'часть 1'!L1154</f>
        <v>1269960</v>
      </c>
      <c r="W1146" s="282"/>
      <c r="X1146" s="28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296"/>
    </row>
    <row r="1147" spans="1:35">
      <c r="A1147" s="198">
        <v>94</v>
      </c>
      <c r="B1147" s="195" t="s">
        <v>310</v>
      </c>
      <c r="C1147" s="196">
        <v>15157748</v>
      </c>
      <c r="D1147" s="196"/>
      <c r="E1147" s="196"/>
      <c r="F1147" s="196"/>
      <c r="G1147" s="196"/>
      <c r="H1147" s="196"/>
      <c r="I1147" s="196"/>
      <c r="J1147" s="196"/>
      <c r="K1147" s="196">
        <v>0</v>
      </c>
      <c r="L1147" s="194">
        <v>8</v>
      </c>
      <c r="M1147" s="196">
        <v>15157748</v>
      </c>
      <c r="N1147" s="196">
        <v>0</v>
      </c>
      <c r="O1147" s="196">
        <v>0</v>
      </c>
      <c r="P1147" s="194">
        <v>0</v>
      </c>
      <c r="Q1147" s="196">
        <v>0</v>
      </c>
      <c r="R1147" s="197">
        <v>0</v>
      </c>
      <c r="S1147" s="196">
        <v>0</v>
      </c>
      <c r="T1147" s="197">
        <v>0</v>
      </c>
      <c r="U1147" s="288">
        <v>0</v>
      </c>
      <c r="V1147" s="282">
        <f>C1147-'часть 1'!L1155</f>
        <v>14575591</v>
      </c>
      <c r="W1147" s="282"/>
      <c r="X1147" s="28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296"/>
    </row>
    <row r="1148" spans="1:35">
      <c r="A1148" s="198">
        <v>95</v>
      </c>
      <c r="B1148" s="195" t="s">
        <v>281</v>
      </c>
      <c r="C1148" s="196">
        <v>2542298.37</v>
      </c>
      <c r="D1148" s="196"/>
      <c r="E1148" s="196"/>
      <c r="F1148" s="196"/>
      <c r="G1148" s="196"/>
      <c r="H1148" s="196"/>
      <c r="I1148" s="196"/>
      <c r="J1148" s="196"/>
      <c r="K1148" s="196">
        <v>0</v>
      </c>
      <c r="L1148" s="194">
        <v>0</v>
      </c>
      <c r="M1148" s="196">
        <v>0</v>
      </c>
      <c r="N1148" s="196">
        <v>1350</v>
      </c>
      <c r="O1148" s="196">
        <v>2542298.37</v>
      </c>
      <c r="P1148" s="194">
        <v>0</v>
      </c>
      <c r="Q1148" s="196">
        <v>0</v>
      </c>
      <c r="R1148" s="197">
        <v>0</v>
      </c>
      <c r="S1148" s="196">
        <v>0</v>
      </c>
      <c r="T1148" s="197">
        <v>0</v>
      </c>
      <c r="U1148" s="288">
        <v>0</v>
      </c>
      <c r="V1148" s="282">
        <f>C1148-'часть 1'!L1156</f>
        <v>1840594.37</v>
      </c>
      <c r="W1148" s="282"/>
      <c r="X1148" s="28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296"/>
    </row>
    <row r="1149" spans="1:35">
      <c r="A1149" s="198">
        <v>96</v>
      </c>
      <c r="B1149" s="195" t="s">
        <v>248</v>
      </c>
      <c r="C1149" s="196">
        <v>1114586</v>
      </c>
      <c r="D1149" s="196"/>
      <c r="E1149" s="196"/>
      <c r="F1149" s="196"/>
      <c r="G1149" s="196"/>
      <c r="H1149" s="196"/>
      <c r="I1149" s="196"/>
      <c r="J1149" s="196"/>
      <c r="K1149" s="196">
        <v>0</v>
      </c>
      <c r="L1149" s="194">
        <v>0</v>
      </c>
      <c r="M1149" s="196">
        <v>0</v>
      </c>
      <c r="N1149" s="196">
        <v>550</v>
      </c>
      <c r="O1149" s="196">
        <v>1114586</v>
      </c>
      <c r="P1149" s="194">
        <v>0</v>
      </c>
      <c r="Q1149" s="196">
        <v>0</v>
      </c>
      <c r="R1149" s="200">
        <v>0</v>
      </c>
      <c r="S1149" s="196">
        <v>0</v>
      </c>
      <c r="T1149" s="197">
        <v>0</v>
      </c>
      <c r="U1149" s="288">
        <v>0</v>
      </c>
      <c r="V1149" s="282">
        <f>C1149-'часть 1'!L1157</f>
        <v>-854563</v>
      </c>
      <c r="W1149" s="282"/>
      <c r="X1149" s="28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296"/>
    </row>
    <row r="1150" spans="1:35">
      <c r="A1150" s="198">
        <v>97</v>
      </c>
      <c r="B1150" s="195" t="s">
        <v>301</v>
      </c>
      <c r="C1150" s="196">
        <v>5623853</v>
      </c>
      <c r="D1150" s="196"/>
      <c r="E1150" s="196"/>
      <c r="F1150" s="196"/>
      <c r="G1150" s="196"/>
      <c r="H1150" s="196"/>
      <c r="I1150" s="196"/>
      <c r="J1150" s="196"/>
      <c r="K1150" s="196">
        <v>0</v>
      </c>
      <c r="L1150" s="194">
        <v>3</v>
      </c>
      <c r="M1150" s="202">
        <v>5623853</v>
      </c>
      <c r="N1150" s="196">
        <v>0</v>
      </c>
      <c r="O1150" s="196">
        <v>0</v>
      </c>
      <c r="P1150" s="194">
        <v>0</v>
      </c>
      <c r="Q1150" s="196">
        <v>0</v>
      </c>
      <c r="R1150" s="200">
        <v>0</v>
      </c>
      <c r="S1150" s="196">
        <v>0</v>
      </c>
      <c r="T1150" s="197">
        <v>0</v>
      </c>
      <c r="U1150" s="288">
        <v>0</v>
      </c>
      <c r="V1150" s="282">
        <f>C1150-'часть 1'!L1158</f>
        <v>4600765</v>
      </c>
      <c r="W1150" s="282"/>
      <c r="X1150" s="28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296"/>
    </row>
    <row r="1151" spans="1:35">
      <c r="A1151" s="198">
        <v>98</v>
      </c>
      <c r="B1151" s="195" t="s">
        <v>244</v>
      </c>
      <c r="C1151" s="196">
        <v>2721106</v>
      </c>
      <c r="D1151" s="196"/>
      <c r="E1151" s="196"/>
      <c r="F1151" s="196"/>
      <c r="G1151" s="196"/>
      <c r="H1151" s="196"/>
      <c r="I1151" s="196"/>
      <c r="J1151" s="196"/>
      <c r="K1151" s="196">
        <v>0</v>
      </c>
      <c r="L1151" s="194">
        <v>0</v>
      </c>
      <c r="M1151" s="196">
        <v>0</v>
      </c>
      <c r="N1151" s="196">
        <v>1371</v>
      </c>
      <c r="O1151" s="196">
        <v>2721106</v>
      </c>
      <c r="P1151" s="194">
        <v>0</v>
      </c>
      <c r="Q1151" s="196">
        <v>0</v>
      </c>
      <c r="R1151" s="197">
        <v>0</v>
      </c>
      <c r="S1151" s="196">
        <v>0</v>
      </c>
      <c r="T1151" s="197">
        <v>0</v>
      </c>
      <c r="U1151" s="288">
        <v>0</v>
      </c>
      <c r="V1151" s="282">
        <f>C1151-'часть 1'!L1159</f>
        <v>-613464</v>
      </c>
      <c r="W1151" s="282"/>
      <c r="X1151" s="28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296"/>
    </row>
    <row r="1152" spans="1:35">
      <c r="A1152" s="198">
        <v>99</v>
      </c>
      <c r="B1152" s="195" t="s">
        <v>288</v>
      </c>
      <c r="C1152" s="196">
        <v>9789326.5500000007</v>
      </c>
      <c r="D1152" s="196"/>
      <c r="E1152" s="196"/>
      <c r="F1152" s="196"/>
      <c r="G1152" s="196"/>
      <c r="H1152" s="196"/>
      <c r="I1152" s="196"/>
      <c r="J1152" s="196"/>
      <c r="K1152" s="196">
        <v>6592990.5599999996</v>
      </c>
      <c r="L1152" s="194">
        <v>0</v>
      </c>
      <c r="M1152" s="196">
        <v>0</v>
      </c>
      <c r="N1152" s="196">
        <v>2090</v>
      </c>
      <c r="O1152" s="196">
        <v>3196335.99</v>
      </c>
      <c r="P1152" s="194">
        <v>0</v>
      </c>
      <c r="Q1152" s="196">
        <v>0</v>
      </c>
      <c r="R1152" s="197">
        <v>0</v>
      </c>
      <c r="S1152" s="196">
        <v>0</v>
      </c>
      <c r="T1152" s="197">
        <v>0</v>
      </c>
      <c r="U1152" s="288">
        <v>0</v>
      </c>
      <c r="V1152" s="282">
        <f>C1152-'часть 1'!L1160</f>
        <v>8661952.2200000007</v>
      </c>
      <c r="W1152" s="282"/>
      <c r="X1152" s="28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296"/>
    </row>
    <row r="1153" spans="1:35">
      <c r="A1153" s="198">
        <v>100</v>
      </c>
      <c r="B1153" s="195" t="s">
        <v>249</v>
      </c>
      <c r="C1153" s="196">
        <v>1615074</v>
      </c>
      <c r="D1153" s="196"/>
      <c r="E1153" s="196"/>
      <c r="F1153" s="196"/>
      <c r="G1153" s="196"/>
      <c r="H1153" s="196"/>
      <c r="I1153" s="196"/>
      <c r="J1153" s="196"/>
      <c r="K1153" s="196" t="e">
        <f>#REF!</f>
        <v>#REF!</v>
      </c>
      <c r="L1153" s="194">
        <v>0</v>
      </c>
      <c r="M1153" s="196">
        <v>0</v>
      </c>
      <c r="N1153" s="196">
        <v>0</v>
      </c>
      <c r="O1153" s="196">
        <v>0</v>
      </c>
      <c r="P1153" s="194">
        <v>0</v>
      </c>
      <c r="Q1153" s="196">
        <v>0</v>
      </c>
      <c r="R1153" s="200">
        <v>0</v>
      </c>
      <c r="S1153" s="196">
        <v>0</v>
      </c>
      <c r="T1153" s="197">
        <v>0</v>
      </c>
      <c r="U1153" s="288">
        <v>0</v>
      </c>
      <c r="V1153" s="282">
        <f>C1153-'часть 1'!L1161</f>
        <v>453618</v>
      </c>
      <c r="W1153" s="282"/>
      <c r="X1153" s="28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296"/>
    </row>
    <row r="1154" spans="1:35">
      <c r="A1154" s="198">
        <v>101</v>
      </c>
      <c r="B1154" s="195" t="s">
        <v>265</v>
      </c>
      <c r="C1154" s="196">
        <v>824390</v>
      </c>
      <c r="D1154" s="196"/>
      <c r="E1154" s="196"/>
      <c r="F1154" s="196"/>
      <c r="G1154" s="196"/>
      <c r="H1154" s="196"/>
      <c r="I1154" s="196"/>
      <c r="J1154" s="196"/>
      <c r="K1154" s="196">
        <v>824390</v>
      </c>
      <c r="L1154" s="194">
        <v>0</v>
      </c>
      <c r="M1154" s="196">
        <v>0</v>
      </c>
      <c r="N1154" s="196">
        <v>0</v>
      </c>
      <c r="O1154" s="196">
        <v>0</v>
      </c>
      <c r="P1154" s="194">
        <v>0</v>
      </c>
      <c r="Q1154" s="196">
        <v>0</v>
      </c>
      <c r="R1154" s="197">
        <v>0</v>
      </c>
      <c r="S1154" s="196">
        <v>0</v>
      </c>
      <c r="T1154" s="197">
        <v>0</v>
      </c>
      <c r="U1154" s="288">
        <v>0</v>
      </c>
      <c r="V1154" s="282">
        <f>C1154-'часть 1'!L1162</f>
        <v>-372860.23</v>
      </c>
      <c r="W1154" s="282"/>
      <c r="X1154" s="282"/>
      <c r="Y1154" s="12"/>
      <c r="Z1154" s="12"/>
      <c r="AA1154" s="4"/>
      <c r="AB1154" s="12"/>
      <c r="AC1154" s="12"/>
      <c r="AD1154" s="12"/>
      <c r="AE1154" s="12"/>
      <c r="AF1154" s="12"/>
      <c r="AG1154" s="12"/>
      <c r="AH1154" s="12"/>
      <c r="AI1154" s="296"/>
    </row>
    <row r="1155" spans="1:35">
      <c r="A1155" s="198">
        <v>102</v>
      </c>
      <c r="B1155" s="195" t="s">
        <v>292</v>
      </c>
      <c r="C1155" s="196">
        <v>2661189</v>
      </c>
      <c r="D1155" s="196"/>
      <c r="E1155" s="196"/>
      <c r="F1155" s="196"/>
      <c r="G1155" s="196"/>
      <c r="H1155" s="196"/>
      <c r="I1155" s="196"/>
      <c r="J1155" s="196"/>
      <c r="K1155" s="196">
        <v>0</v>
      </c>
      <c r="L1155" s="194">
        <v>0</v>
      </c>
      <c r="M1155" s="196">
        <v>0</v>
      </c>
      <c r="N1155" s="196">
        <v>1338.7</v>
      </c>
      <c r="O1155" s="196">
        <v>2661189</v>
      </c>
      <c r="P1155" s="194">
        <v>0</v>
      </c>
      <c r="Q1155" s="196">
        <v>0</v>
      </c>
      <c r="R1155" s="200">
        <v>0</v>
      </c>
      <c r="S1155" s="196">
        <v>0</v>
      </c>
      <c r="T1155" s="197">
        <v>0</v>
      </c>
      <c r="U1155" s="288">
        <v>0</v>
      </c>
      <c r="V1155" s="282">
        <f>C1155-'часть 1'!L1163</f>
        <v>-123044</v>
      </c>
      <c r="W1155" s="282"/>
      <c r="X1155" s="28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296"/>
    </row>
    <row r="1156" spans="1:35">
      <c r="A1156" s="198">
        <v>103</v>
      </c>
      <c r="B1156" s="195" t="s">
        <v>276</v>
      </c>
      <c r="C1156" s="196">
        <v>278220</v>
      </c>
      <c r="D1156" s="196"/>
      <c r="E1156" s="196"/>
      <c r="F1156" s="196"/>
      <c r="G1156" s="196"/>
      <c r="H1156" s="196"/>
      <c r="I1156" s="196"/>
      <c r="J1156" s="196"/>
      <c r="K1156" s="196">
        <v>278220</v>
      </c>
      <c r="L1156" s="194">
        <v>0</v>
      </c>
      <c r="M1156" s="196">
        <v>0</v>
      </c>
      <c r="N1156" s="196">
        <v>0</v>
      </c>
      <c r="O1156" s="196">
        <v>0</v>
      </c>
      <c r="P1156" s="194">
        <v>0</v>
      </c>
      <c r="Q1156" s="196">
        <v>0</v>
      </c>
      <c r="R1156" s="197">
        <v>0</v>
      </c>
      <c r="S1156" s="196">
        <v>0</v>
      </c>
      <c r="T1156" s="197">
        <v>0</v>
      </c>
      <c r="U1156" s="288">
        <v>0</v>
      </c>
      <c r="V1156" s="282">
        <f>C1156-'часть 1'!L1164</f>
        <v>-2091741</v>
      </c>
      <c r="W1156" s="282"/>
      <c r="X1156" s="28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296"/>
    </row>
    <row r="1157" spans="1:35">
      <c r="A1157" s="198">
        <v>104</v>
      </c>
      <c r="B1157" s="195" t="s">
        <v>229</v>
      </c>
      <c r="C1157" s="196">
        <v>2511472</v>
      </c>
      <c r="D1157" s="196"/>
      <c r="E1157" s="196"/>
      <c r="F1157" s="196"/>
      <c r="G1157" s="196"/>
      <c r="H1157" s="196"/>
      <c r="I1157" s="196"/>
      <c r="J1157" s="196"/>
      <c r="K1157" s="196">
        <v>2511472</v>
      </c>
      <c r="L1157" s="194">
        <v>0</v>
      </c>
      <c r="M1157" s="196">
        <v>0</v>
      </c>
      <c r="N1157" s="196">
        <v>0</v>
      </c>
      <c r="O1157" s="196">
        <v>0</v>
      </c>
      <c r="P1157" s="194">
        <v>0</v>
      </c>
      <c r="Q1157" s="196">
        <v>0</v>
      </c>
      <c r="R1157" s="197">
        <v>0</v>
      </c>
      <c r="S1157" s="196">
        <v>0</v>
      </c>
      <c r="T1157" s="197">
        <v>0</v>
      </c>
      <c r="U1157" s="288">
        <v>0</v>
      </c>
      <c r="V1157" s="282">
        <f>C1157-'часть 1'!L1165</f>
        <v>1838653</v>
      </c>
      <c r="W1157" s="282"/>
      <c r="X1157" s="28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296"/>
    </row>
    <row r="1158" spans="1:35" ht="30">
      <c r="A1158" s="198">
        <v>105</v>
      </c>
      <c r="B1158" s="195" t="s">
        <v>309</v>
      </c>
      <c r="C1158" s="196">
        <v>871988</v>
      </c>
      <c r="D1158" s="196"/>
      <c r="E1158" s="196"/>
      <c r="F1158" s="196"/>
      <c r="G1158" s="196"/>
      <c r="H1158" s="196"/>
      <c r="I1158" s="196"/>
      <c r="J1158" s="196"/>
      <c r="K1158" s="196">
        <v>0</v>
      </c>
      <c r="L1158" s="194">
        <v>0</v>
      </c>
      <c r="M1158" s="196">
        <v>0</v>
      </c>
      <c r="N1158" s="196">
        <v>438.23</v>
      </c>
      <c r="O1158" s="196">
        <v>871988</v>
      </c>
      <c r="P1158" s="194">
        <v>0</v>
      </c>
      <c r="Q1158" s="196">
        <v>0</v>
      </c>
      <c r="R1158" s="197">
        <v>0</v>
      </c>
      <c r="S1158" s="196">
        <v>0</v>
      </c>
      <c r="T1158" s="197">
        <v>0</v>
      </c>
      <c r="U1158" s="288">
        <v>0</v>
      </c>
      <c r="V1158" s="282">
        <f>C1158-'часть 1'!L1166</f>
        <v>-779503</v>
      </c>
      <c r="W1158" s="282"/>
      <c r="X1158" s="28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296"/>
    </row>
    <row r="1159" spans="1:35" ht="30">
      <c r="A1159" s="198">
        <v>106</v>
      </c>
      <c r="B1159" s="195" t="s">
        <v>308</v>
      </c>
      <c r="C1159" s="196">
        <v>2113335</v>
      </c>
      <c r="D1159" s="196"/>
      <c r="E1159" s="196"/>
      <c r="F1159" s="196"/>
      <c r="G1159" s="196"/>
      <c r="H1159" s="196"/>
      <c r="I1159" s="196"/>
      <c r="J1159" s="196"/>
      <c r="K1159" s="196" t="e">
        <f>#REF!</f>
        <v>#REF!</v>
      </c>
      <c r="L1159" s="194">
        <v>0</v>
      </c>
      <c r="M1159" s="196">
        <v>0</v>
      </c>
      <c r="N1159" s="196">
        <v>0</v>
      </c>
      <c r="O1159" s="196">
        <v>0</v>
      </c>
      <c r="P1159" s="194">
        <v>0</v>
      </c>
      <c r="Q1159" s="196">
        <v>0</v>
      </c>
      <c r="R1159" s="197">
        <v>0</v>
      </c>
      <c r="S1159" s="196">
        <v>0</v>
      </c>
      <c r="T1159" s="197">
        <v>0</v>
      </c>
      <c r="U1159" s="288">
        <v>0</v>
      </c>
      <c r="V1159" s="282">
        <f>C1159-'часть 1'!L1167</f>
        <v>680409</v>
      </c>
      <c r="W1159" s="282"/>
      <c r="X1159" s="28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296"/>
    </row>
    <row r="1160" spans="1:35">
      <c r="A1160" s="198">
        <v>107</v>
      </c>
      <c r="B1160" s="195" t="s">
        <v>296</v>
      </c>
      <c r="C1160" s="196">
        <v>996585</v>
      </c>
      <c r="D1160" s="196"/>
      <c r="E1160" s="196"/>
      <c r="F1160" s="196"/>
      <c r="G1160" s="196"/>
      <c r="H1160" s="196"/>
      <c r="I1160" s="196"/>
      <c r="J1160" s="196"/>
      <c r="K1160" s="196">
        <v>0</v>
      </c>
      <c r="L1160" s="194">
        <v>0</v>
      </c>
      <c r="M1160" s="196">
        <v>0</v>
      </c>
      <c r="N1160" s="196">
        <v>496.2</v>
      </c>
      <c r="O1160" s="196">
        <v>996585</v>
      </c>
      <c r="P1160" s="194">
        <v>0</v>
      </c>
      <c r="Q1160" s="196">
        <v>0</v>
      </c>
      <c r="R1160" s="197">
        <v>0</v>
      </c>
      <c r="S1160" s="196">
        <v>0</v>
      </c>
      <c r="T1160" s="197">
        <v>0</v>
      </c>
      <c r="U1160" s="288">
        <v>0</v>
      </c>
      <c r="V1160" s="282">
        <f>C1160-'часть 1'!L1168</f>
        <v>-141301</v>
      </c>
      <c r="W1160" s="282"/>
      <c r="X1160" s="28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296"/>
    </row>
    <row r="1161" spans="1:35">
      <c r="A1161" s="198">
        <v>108</v>
      </c>
      <c r="B1161" s="195" t="s">
        <v>240</v>
      </c>
      <c r="C1161" s="196">
        <v>637739</v>
      </c>
      <c r="D1161" s="196"/>
      <c r="E1161" s="196"/>
      <c r="F1161" s="196"/>
      <c r="G1161" s="196"/>
      <c r="H1161" s="196"/>
      <c r="I1161" s="196"/>
      <c r="J1161" s="196"/>
      <c r="K1161" s="196">
        <v>637739</v>
      </c>
      <c r="L1161" s="194">
        <v>0</v>
      </c>
      <c r="M1161" s="196">
        <v>0</v>
      </c>
      <c r="N1161" s="196">
        <v>0</v>
      </c>
      <c r="O1161" s="196">
        <v>0</v>
      </c>
      <c r="P1161" s="194">
        <v>0</v>
      </c>
      <c r="Q1161" s="196">
        <v>0</v>
      </c>
      <c r="R1161" s="197">
        <v>0</v>
      </c>
      <c r="S1161" s="196">
        <v>0</v>
      </c>
      <c r="T1161" s="197">
        <v>0</v>
      </c>
      <c r="U1161" s="288">
        <v>0</v>
      </c>
      <c r="V1161" s="282">
        <f>C1161-'часть 1'!L1169</f>
        <v>-1177099</v>
      </c>
      <c r="W1161" s="282"/>
      <c r="X1161" s="28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296"/>
    </row>
    <row r="1162" spans="1:35">
      <c r="A1162" s="198">
        <v>109</v>
      </c>
      <c r="B1162" s="195" t="s">
        <v>243</v>
      </c>
      <c r="C1162" s="196">
        <v>1357217</v>
      </c>
      <c r="D1162" s="196"/>
      <c r="E1162" s="196"/>
      <c r="F1162" s="196"/>
      <c r="G1162" s="196"/>
      <c r="H1162" s="196"/>
      <c r="I1162" s="196"/>
      <c r="J1162" s="196"/>
      <c r="K1162" s="196">
        <v>0</v>
      </c>
      <c r="L1162" s="194">
        <v>0</v>
      </c>
      <c r="M1162" s="196">
        <v>0</v>
      </c>
      <c r="N1162" s="196">
        <v>675</v>
      </c>
      <c r="O1162" s="196">
        <v>1357217</v>
      </c>
      <c r="P1162" s="194">
        <v>0</v>
      </c>
      <c r="Q1162" s="196">
        <v>0</v>
      </c>
      <c r="R1162" s="197">
        <v>0</v>
      </c>
      <c r="S1162" s="196">
        <v>0</v>
      </c>
      <c r="T1162" s="197">
        <v>0</v>
      </c>
      <c r="U1162" s="288">
        <v>0</v>
      </c>
      <c r="V1162" s="282">
        <f>C1162-'часть 1'!L1170</f>
        <v>-187142.54000000004</v>
      </c>
      <c r="W1162" s="282"/>
      <c r="X1162" s="28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296"/>
    </row>
    <row r="1163" spans="1:35">
      <c r="A1163" s="198">
        <v>110</v>
      </c>
      <c r="B1163" s="195" t="s">
        <v>269</v>
      </c>
      <c r="C1163" s="196">
        <v>836226</v>
      </c>
      <c r="D1163" s="196"/>
      <c r="E1163" s="196"/>
      <c r="F1163" s="196"/>
      <c r="G1163" s="196"/>
      <c r="H1163" s="196"/>
      <c r="I1163" s="196"/>
      <c r="J1163" s="196"/>
      <c r="K1163" s="196">
        <v>0</v>
      </c>
      <c r="L1163" s="194">
        <v>0</v>
      </c>
      <c r="M1163" s="196">
        <v>0</v>
      </c>
      <c r="N1163" s="196">
        <v>414.1</v>
      </c>
      <c r="O1163" s="199">
        <v>836226</v>
      </c>
      <c r="P1163" s="194">
        <v>0</v>
      </c>
      <c r="Q1163" s="196">
        <v>0</v>
      </c>
      <c r="R1163" s="197">
        <v>0</v>
      </c>
      <c r="S1163" s="196">
        <v>0</v>
      </c>
      <c r="T1163" s="197">
        <v>0</v>
      </c>
      <c r="U1163" s="288">
        <v>0</v>
      </c>
      <c r="V1163" s="282">
        <f>C1163-'часть 1'!L1171</f>
        <v>-950808</v>
      </c>
      <c r="W1163" s="282"/>
      <c r="X1163" s="28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296"/>
    </row>
    <row r="1164" spans="1:35">
      <c r="A1164" s="198">
        <v>111</v>
      </c>
      <c r="B1164" s="195" t="s">
        <v>299</v>
      </c>
      <c r="C1164" s="196">
        <v>640078</v>
      </c>
      <c r="D1164" s="196"/>
      <c r="E1164" s="196"/>
      <c r="F1164" s="196"/>
      <c r="G1164" s="196"/>
      <c r="H1164" s="196"/>
      <c r="I1164" s="196"/>
      <c r="J1164" s="196"/>
      <c r="K1164" s="196">
        <v>640078</v>
      </c>
      <c r="L1164" s="194">
        <v>0</v>
      </c>
      <c r="M1164" s="196">
        <v>0</v>
      </c>
      <c r="N1164" s="196">
        <v>0</v>
      </c>
      <c r="O1164" s="196">
        <v>0</v>
      </c>
      <c r="P1164" s="194">
        <v>0</v>
      </c>
      <c r="Q1164" s="196">
        <v>0</v>
      </c>
      <c r="R1164" s="197">
        <v>0</v>
      </c>
      <c r="S1164" s="196">
        <v>0</v>
      </c>
      <c r="T1164" s="197">
        <v>0</v>
      </c>
      <c r="U1164" s="288">
        <v>0</v>
      </c>
      <c r="V1164" s="282">
        <f>C1164-'часть 1'!L1172</f>
        <v>202079.43</v>
      </c>
      <c r="W1164" s="282"/>
      <c r="X1164" s="28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296"/>
    </row>
    <row r="1165" spans="1:35">
      <c r="A1165" s="198">
        <v>112</v>
      </c>
      <c r="B1165" s="195" t="s">
        <v>236</v>
      </c>
      <c r="C1165" s="196">
        <v>202649</v>
      </c>
      <c r="D1165" s="196"/>
      <c r="E1165" s="196"/>
      <c r="F1165" s="196"/>
      <c r="G1165" s="196"/>
      <c r="H1165" s="196"/>
      <c r="I1165" s="196"/>
      <c r="J1165" s="196"/>
      <c r="K1165" s="196" t="e">
        <f>#REF!</f>
        <v>#REF!</v>
      </c>
      <c r="L1165" s="194">
        <v>0</v>
      </c>
      <c r="M1165" s="196">
        <v>0</v>
      </c>
      <c r="N1165" s="196">
        <v>0</v>
      </c>
      <c r="O1165" s="196">
        <v>0</v>
      </c>
      <c r="P1165" s="194">
        <v>0</v>
      </c>
      <c r="Q1165" s="196">
        <v>0</v>
      </c>
      <c r="R1165" s="200">
        <v>0</v>
      </c>
      <c r="S1165" s="196">
        <v>0</v>
      </c>
      <c r="T1165" s="197">
        <v>0</v>
      </c>
      <c r="U1165" s="288">
        <v>0</v>
      </c>
      <c r="V1165" s="282">
        <f>C1165-'часть 1'!L1173</f>
        <v>-913579</v>
      </c>
      <c r="W1165" s="282"/>
      <c r="X1165" s="28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296"/>
    </row>
    <row r="1166" spans="1:35">
      <c r="A1166" s="198">
        <v>113</v>
      </c>
      <c r="B1166" s="195" t="s">
        <v>285</v>
      </c>
      <c r="C1166" s="196">
        <v>7892437</v>
      </c>
      <c r="D1166" s="196"/>
      <c r="E1166" s="196"/>
      <c r="F1166" s="196"/>
      <c r="G1166" s="196"/>
      <c r="H1166" s="196"/>
      <c r="I1166" s="196"/>
      <c r="J1166" s="196"/>
      <c r="K1166" s="196">
        <v>7892437</v>
      </c>
      <c r="L1166" s="194">
        <v>0</v>
      </c>
      <c r="M1166" s="196">
        <v>0</v>
      </c>
      <c r="N1166" s="196">
        <v>0</v>
      </c>
      <c r="O1166" s="196">
        <v>0</v>
      </c>
      <c r="P1166" s="194">
        <v>0</v>
      </c>
      <c r="Q1166" s="196">
        <v>0</v>
      </c>
      <c r="R1166" s="197">
        <v>0</v>
      </c>
      <c r="S1166" s="196">
        <v>0</v>
      </c>
      <c r="T1166" s="197">
        <v>0</v>
      </c>
      <c r="U1166" s="288">
        <v>0</v>
      </c>
      <c r="V1166" s="282">
        <f>C1166-'часть 1'!L1174</f>
        <v>6578709</v>
      </c>
      <c r="W1166" s="282"/>
      <c r="X1166" s="28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296"/>
    </row>
    <row r="1167" spans="1:35">
      <c r="A1167" s="198">
        <v>114</v>
      </c>
      <c r="B1167" s="195" t="s">
        <v>237</v>
      </c>
      <c r="C1167" s="196">
        <v>523389</v>
      </c>
      <c r="D1167" s="196"/>
      <c r="E1167" s="196"/>
      <c r="F1167" s="196"/>
      <c r="G1167" s="196"/>
      <c r="H1167" s="196"/>
      <c r="I1167" s="196"/>
      <c r="J1167" s="196"/>
      <c r="K1167" s="196">
        <v>0</v>
      </c>
      <c r="L1167" s="194">
        <v>0</v>
      </c>
      <c r="M1167" s="196">
        <v>0</v>
      </c>
      <c r="N1167" s="196">
        <v>255</v>
      </c>
      <c r="O1167" s="196">
        <v>523389</v>
      </c>
      <c r="P1167" s="194">
        <v>0</v>
      </c>
      <c r="Q1167" s="196">
        <v>0</v>
      </c>
      <c r="R1167" s="200">
        <v>0</v>
      </c>
      <c r="S1167" s="196">
        <v>0</v>
      </c>
      <c r="T1167" s="197">
        <v>0</v>
      </c>
      <c r="U1167" s="288">
        <v>0</v>
      </c>
      <c r="V1167" s="282">
        <f>C1167-'часть 1'!L1175</f>
        <v>163738</v>
      </c>
      <c r="W1167" s="282"/>
      <c r="X1167" s="28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296"/>
    </row>
    <row r="1168" spans="1:35">
      <c r="A1168" s="198">
        <v>115</v>
      </c>
      <c r="B1168" s="195" t="s">
        <v>264</v>
      </c>
      <c r="C1168" s="196">
        <v>1038920</v>
      </c>
      <c r="D1168" s="196"/>
      <c r="E1168" s="196"/>
      <c r="F1168" s="196"/>
      <c r="G1168" s="196"/>
      <c r="H1168" s="196"/>
      <c r="I1168" s="196"/>
      <c r="J1168" s="196"/>
      <c r="K1168" s="196">
        <v>1038920</v>
      </c>
      <c r="L1168" s="194">
        <v>0</v>
      </c>
      <c r="M1168" s="196">
        <v>0</v>
      </c>
      <c r="N1168" s="196">
        <v>0</v>
      </c>
      <c r="O1168" s="196">
        <v>0</v>
      </c>
      <c r="P1168" s="194">
        <v>0</v>
      </c>
      <c r="Q1168" s="196">
        <v>0</v>
      </c>
      <c r="R1168" s="197">
        <v>0</v>
      </c>
      <c r="S1168" s="196">
        <v>0</v>
      </c>
      <c r="T1168" s="197">
        <v>0</v>
      </c>
      <c r="U1168" s="288">
        <v>0</v>
      </c>
      <c r="V1168" s="282">
        <f>C1168-'часть 1'!L1176</f>
        <v>132141</v>
      </c>
      <c r="W1168" s="282"/>
      <c r="X1168" s="282"/>
      <c r="Y1168" s="12"/>
      <c r="Z1168" s="12"/>
      <c r="AA1168" s="12"/>
      <c r="AB1168" s="12"/>
      <c r="AC1168" s="4"/>
      <c r="AD1168" s="12"/>
      <c r="AE1168" s="12"/>
      <c r="AF1168" s="12"/>
      <c r="AG1168" s="12"/>
      <c r="AH1168" s="12"/>
      <c r="AI1168" s="296"/>
    </row>
    <row r="1169" spans="1:35">
      <c r="A1169" s="194">
        <v>116</v>
      </c>
      <c r="B1169" s="195" t="s">
        <v>258</v>
      </c>
      <c r="C1169" s="196">
        <v>1742553</v>
      </c>
      <c r="D1169" s="196"/>
      <c r="E1169" s="196"/>
      <c r="F1169" s="196"/>
      <c r="G1169" s="196"/>
      <c r="H1169" s="196"/>
      <c r="I1169" s="196"/>
      <c r="J1169" s="196"/>
      <c r="K1169" s="196">
        <v>0</v>
      </c>
      <c r="L1169" s="194">
        <v>0</v>
      </c>
      <c r="M1169" s="196">
        <v>0</v>
      </c>
      <c r="N1169" s="196">
        <v>874.22</v>
      </c>
      <c r="O1169" s="199">
        <v>1742553</v>
      </c>
      <c r="P1169" s="194">
        <v>0</v>
      </c>
      <c r="Q1169" s="196">
        <v>0</v>
      </c>
      <c r="R1169" s="197">
        <v>0</v>
      </c>
      <c r="S1169" s="196">
        <v>0</v>
      </c>
      <c r="T1169" s="197">
        <v>0</v>
      </c>
      <c r="U1169" s="288">
        <v>0</v>
      </c>
      <c r="V1169" s="282">
        <f>C1169-'часть 1'!L1177</f>
        <v>855994</v>
      </c>
      <c r="W1169" s="282"/>
      <c r="X1169" s="28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296"/>
    </row>
    <row r="1170" spans="1:35">
      <c r="A1170" s="194">
        <v>117</v>
      </c>
      <c r="B1170" s="195" t="s">
        <v>250</v>
      </c>
      <c r="C1170" s="196">
        <v>2124581</v>
      </c>
      <c r="D1170" s="196"/>
      <c r="E1170" s="196"/>
      <c r="F1170" s="196"/>
      <c r="G1170" s="196"/>
      <c r="H1170" s="196"/>
      <c r="I1170" s="196"/>
      <c r="J1170" s="196"/>
      <c r="K1170" s="196">
        <v>0</v>
      </c>
      <c r="L1170" s="194">
        <v>0</v>
      </c>
      <c r="M1170" s="196">
        <v>0</v>
      </c>
      <c r="N1170" s="196">
        <v>1070</v>
      </c>
      <c r="O1170" s="199">
        <v>2124581</v>
      </c>
      <c r="P1170" s="194">
        <v>0</v>
      </c>
      <c r="Q1170" s="196">
        <v>0</v>
      </c>
      <c r="R1170" s="200">
        <v>0</v>
      </c>
      <c r="S1170" s="196">
        <v>0</v>
      </c>
      <c r="T1170" s="197">
        <v>0</v>
      </c>
      <c r="U1170" s="288">
        <v>0</v>
      </c>
      <c r="V1170" s="282">
        <f>C1170-'часть 1'!L1178</f>
        <v>1482371</v>
      </c>
      <c r="W1170" s="282"/>
      <c r="X1170" s="28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296"/>
    </row>
    <row r="1171" spans="1:35">
      <c r="A1171" s="194">
        <v>118</v>
      </c>
      <c r="B1171" s="195" t="s">
        <v>282</v>
      </c>
      <c r="C1171" s="196">
        <v>2347478</v>
      </c>
      <c r="D1171" s="196"/>
      <c r="E1171" s="196"/>
      <c r="F1171" s="196"/>
      <c r="G1171" s="196"/>
      <c r="H1171" s="196"/>
      <c r="I1171" s="196"/>
      <c r="J1171" s="196"/>
      <c r="K1171" s="196">
        <v>0</v>
      </c>
      <c r="L1171" s="194">
        <v>0</v>
      </c>
      <c r="M1171" s="196">
        <v>0</v>
      </c>
      <c r="N1171" s="196">
        <v>1185.07</v>
      </c>
      <c r="O1171" s="196">
        <v>2347478</v>
      </c>
      <c r="P1171" s="194">
        <v>0</v>
      </c>
      <c r="Q1171" s="196">
        <v>0</v>
      </c>
      <c r="R1171" s="197">
        <v>0</v>
      </c>
      <c r="S1171" s="196">
        <v>0</v>
      </c>
      <c r="T1171" s="197">
        <v>0</v>
      </c>
      <c r="U1171" s="288">
        <v>0</v>
      </c>
      <c r="V1171" s="282">
        <f>C1171-'часть 1'!L1179</f>
        <v>394989</v>
      </c>
      <c r="W1171" s="282"/>
      <c r="X1171" s="28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296"/>
    </row>
    <row r="1172" spans="1:35">
      <c r="A1172" s="194">
        <v>119</v>
      </c>
      <c r="B1172" s="195" t="s">
        <v>267</v>
      </c>
      <c r="C1172" s="196">
        <v>2468472</v>
      </c>
      <c r="D1172" s="196"/>
      <c r="E1172" s="196"/>
      <c r="F1172" s="196"/>
      <c r="G1172" s="196"/>
      <c r="H1172" s="196"/>
      <c r="I1172" s="196"/>
      <c r="J1172" s="196"/>
      <c r="K1172" s="196">
        <v>0</v>
      </c>
      <c r="L1172" s="194">
        <v>0</v>
      </c>
      <c r="M1172" s="196">
        <v>0</v>
      </c>
      <c r="N1172" s="199">
        <v>1246.5</v>
      </c>
      <c r="O1172" s="196">
        <v>2468472</v>
      </c>
      <c r="P1172" s="194">
        <v>0</v>
      </c>
      <c r="Q1172" s="196">
        <v>0</v>
      </c>
      <c r="R1172" s="197">
        <v>0</v>
      </c>
      <c r="S1172" s="196">
        <v>0</v>
      </c>
      <c r="T1172" s="197">
        <v>0</v>
      </c>
      <c r="U1172" s="288">
        <v>0</v>
      </c>
      <c r="V1172" s="282">
        <f>C1172-'часть 1'!L1180</f>
        <v>-12689276</v>
      </c>
      <c r="W1172" s="282"/>
      <c r="X1172" s="28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296"/>
    </row>
    <row r="1173" spans="1:35">
      <c r="A1173" s="194">
        <v>120</v>
      </c>
      <c r="B1173" s="195" t="s">
        <v>284</v>
      </c>
      <c r="C1173" s="196">
        <v>1612780</v>
      </c>
      <c r="D1173" s="196"/>
      <c r="E1173" s="196"/>
      <c r="F1173" s="196"/>
      <c r="G1173" s="196"/>
      <c r="H1173" s="196"/>
      <c r="I1173" s="196"/>
      <c r="J1173" s="196"/>
      <c r="K1173" s="196">
        <v>0</v>
      </c>
      <c r="L1173" s="194">
        <v>0</v>
      </c>
      <c r="M1173" s="196">
        <v>0</v>
      </c>
      <c r="N1173" s="196">
        <v>810.5</v>
      </c>
      <c r="O1173" s="196">
        <v>1612780</v>
      </c>
      <c r="P1173" s="194">
        <v>0</v>
      </c>
      <c r="Q1173" s="196">
        <v>0</v>
      </c>
      <c r="R1173" s="197">
        <v>0</v>
      </c>
      <c r="S1173" s="196">
        <v>0</v>
      </c>
      <c r="T1173" s="197">
        <v>0</v>
      </c>
      <c r="U1173" s="288">
        <v>0</v>
      </c>
      <c r="V1173" s="282">
        <f>C1173-'часть 1'!L1181</f>
        <v>-929518.37000000011</v>
      </c>
      <c r="W1173" s="282"/>
      <c r="X1173" s="28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296"/>
    </row>
    <row r="1174" spans="1:35">
      <c r="A1174" s="194">
        <v>121</v>
      </c>
      <c r="B1174" s="195" t="s">
        <v>256</v>
      </c>
      <c r="C1174" s="196">
        <v>2580419</v>
      </c>
      <c r="D1174" s="196"/>
      <c r="E1174" s="196"/>
      <c r="F1174" s="196"/>
      <c r="G1174" s="196"/>
      <c r="H1174" s="196"/>
      <c r="I1174" s="196"/>
      <c r="J1174" s="196"/>
      <c r="K1174" s="196">
        <v>0</v>
      </c>
      <c r="L1174" s="194">
        <v>0</v>
      </c>
      <c r="M1174" s="196">
        <v>0</v>
      </c>
      <c r="N1174" s="196">
        <v>786.3</v>
      </c>
      <c r="O1174" s="196">
        <v>1565675</v>
      </c>
      <c r="P1174" s="194">
        <v>0</v>
      </c>
      <c r="Q1174" s="196">
        <v>0</v>
      </c>
      <c r="R1174" s="196">
        <v>700</v>
      </c>
      <c r="S1174" s="196">
        <v>1014744</v>
      </c>
      <c r="T1174" s="197">
        <v>0</v>
      </c>
      <c r="U1174" s="288">
        <v>0</v>
      </c>
      <c r="V1174" s="282">
        <f>C1174-'часть 1'!L1182</f>
        <v>1465833</v>
      </c>
      <c r="W1174" s="282"/>
      <c r="X1174" s="28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296"/>
    </row>
    <row r="1175" spans="1:35">
      <c r="A1175" s="194">
        <v>122</v>
      </c>
      <c r="B1175" s="195" t="s">
        <v>335</v>
      </c>
      <c r="C1175" s="196">
        <v>1681645</v>
      </c>
      <c r="D1175" s="196"/>
      <c r="E1175" s="196"/>
      <c r="F1175" s="196"/>
      <c r="G1175" s="196"/>
      <c r="H1175" s="196"/>
      <c r="I1175" s="196"/>
      <c r="J1175" s="196"/>
      <c r="K1175" s="196">
        <v>0</v>
      </c>
      <c r="L1175" s="194">
        <v>0</v>
      </c>
      <c r="M1175" s="196">
        <v>0</v>
      </c>
      <c r="N1175" s="196">
        <v>848.59</v>
      </c>
      <c r="O1175" s="196">
        <v>1681645</v>
      </c>
      <c r="P1175" s="194">
        <v>0</v>
      </c>
      <c r="Q1175" s="196">
        <v>0</v>
      </c>
      <c r="R1175" s="200">
        <v>0</v>
      </c>
      <c r="S1175" s="196">
        <v>0</v>
      </c>
      <c r="T1175" s="197">
        <v>0</v>
      </c>
      <c r="U1175" s="288">
        <v>0</v>
      </c>
      <c r="V1175" s="282">
        <f>C1175-'часть 1'!L1183</f>
        <v>-3942208</v>
      </c>
      <c r="W1175" s="282"/>
      <c r="X1175" s="28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296"/>
    </row>
    <row r="1176" spans="1:35">
      <c r="A1176" s="194">
        <v>123</v>
      </c>
      <c r="B1176" s="195" t="s">
        <v>255</v>
      </c>
      <c r="C1176" s="196">
        <v>1318880</v>
      </c>
      <c r="D1176" s="196"/>
      <c r="E1176" s="196"/>
      <c r="F1176" s="196"/>
      <c r="G1176" s="196"/>
      <c r="H1176" s="196"/>
      <c r="I1176" s="196"/>
      <c r="J1176" s="196"/>
      <c r="K1176" s="196">
        <v>0</v>
      </c>
      <c r="L1176" s="194">
        <v>0</v>
      </c>
      <c r="M1176" s="196">
        <v>0</v>
      </c>
      <c r="N1176" s="196">
        <v>660</v>
      </c>
      <c r="O1176" s="196">
        <v>1318880</v>
      </c>
      <c r="P1176" s="194">
        <v>0</v>
      </c>
      <c r="Q1176" s="196">
        <v>0</v>
      </c>
      <c r="R1176" s="200">
        <v>0</v>
      </c>
      <c r="S1176" s="196">
        <v>0</v>
      </c>
      <c r="T1176" s="197">
        <v>0</v>
      </c>
      <c r="U1176" s="288">
        <v>0</v>
      </c>
      <c r="V1176" s="282">
        <f>C1176-'часть 1'!L1184</f>
        <v>-1402226</v>
      </c>
      <c r="W1176" s="282"/>
      <c r="X1176" s="28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296"/>
    </row>
    <row r="1177" spans="1:35">
      <c r="A1177" s="194">
        <v>124</v>
      </c>
      <c r="B1177" s="195" t="s">
        <v>245</v>
      </c>
      <c r="C1177" s="196">
        <v>1566345</v>
      </c>
      <c r="D1177" s="196"/>
      <c r="E1177" s="196"/>
      <c r="F1177" s="196"/>
      <c r="G1177" s="196"/>
      <c r="H1177" s="196"/>
      <c r="I1177" s="196"/>
      <c r="J1177" s="196"/>
      <c r="K1177" s="196">
        <v>0</v>
      </c>
      <c r="L1177" s="194">
        <v>0</v>
      </c>
      <c r="M1177" s="196">
        <v>0</v>
      </c>
      <c r="N1177" s="196">
        <v>422</v>
      </c>
      <c r="O1177" s="196">
        <v>850468</v>
      </c>
      <c r="P1177" s="194">
        <v>0</v>
      </c>
      <c r="Q1177" s="196">
        <v>0</v>
      </c>
      <c r="R1177" s="196">
        <v>492</v>
      </c>
      <c r="S1177" s="196">
        <v>715877</v>
      </c>
      <c r="T1177" s="197">
        <v>0</v>
      </c>
      <c r="U1177" s="288">
        <v>0</v>
      </c>
      <c r="V1177" s="282">
        <f>C1177-'часть 1'!L1185</f>
        <v>-8222981.5500000007</v>
      </c>
      <c r="W1177" s="282"/>
      <c r="X1177" s="28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296"/>
    </row>
    <row r="1178" spans="1:35" ht="30">
      <c r="A1178" s="194">
        <v>125</v>
      </c>
      <c r="B1178" s="195" t="s">
        <v>451</v>
      </c>
      <c r="C1178" s="196">
        <v>1910088</v>
      </c>
      <c r="D1178" s="196"/>
      <c r="E1178" s="196"/>
      <c r="F1178" s="196"/>
      <c r="G1178" s="196"/>
      <c r="H1178" s="196"/>
      <c r="I1178" s="196"/>
      <c r="J1178" s="196"/>
      <c r="K1178" s="196">
        <v>1910088</v>
      </c>
      <c r="L1178" s="194">
        <v>0</v>
      </c>
      <c r="M1178" s="196">
        <v>0</v>
      </c>
      <c r="N1178" s="196">
        <v>0</v>
      </c>
      <c r="O1178" s="196">
        <v>0</v>
      </c>
      <c r="P1178" s="194">
        <v>0</v>
      </c>
      <c r="Q1178" s="196">
        <v>0</v>
      </c>
      <c r="R1178" s="200">
        <v>0</v>
      </c>
      <c r="S1178" s="196">
        <v>0</v>
      </c>
      <c r="T1178" s="197">
        <v>0</v>
      </c>
      <c r="U1178" s="288">
        <v>0</v>
      </c>
      <c r="V1178" s="282">
        <f>C1178-'часть 1'!L1186</f>
        <v>295014</v>
      </c>
      <c r="W1178" s="282"/>
      <c r="X1178" s="28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296"/>
    </row>
    <row r="1179" spans="1:35">
      <c r="A1179" s="194">
        <v>126</v>
      </c>
      <c r="B1179" s="195" t="s">
        <v>280</v>
      </c>
      <c r="C1179" s="196">
        <v>2694957</v>
      </c>
      <c r="D1179" s="196"/>
      <c r="E1179" s="196"/>
      <c r="F1179" s="196"/>
      <c r="G1179" s="196"/>
      <c r="H1179" s="196"/>
      <c r="I1179" s="196"/>
      <c r="J1179" s="196"/>
      <c r="K1179" s="196">
        <v>710638</v>
      </c>
      <c r="L1179" s="194">
        <v>0</v>
      </c>
      <c r="M1179" s="196">
        <v>0</v>
      </c>
      <c r="N1179" s="196">
        <v>0</v>
      </c>
      <c r="O1179" s="196">
        <v>0</v>
      </c>
      <c r="P1179" s="194">
        <v>0</v>
      </c>
      <c r="Q1179" s="196">
        <v>0</v>
      </c>
      <c r="R1179" s="196">
        <v>1359.5</v>
      </c>
      <c r="S1179" s="196">
        <v>1984319</v>
      </c>
      <c r="T1179" s="197">
        <v>0</v>
      </c>
      <c r="U1179" s="288">
        <v>0</v>
      </c>
      <c r="V1179" s="282">
        <f>C1179-'часть 1'!L1187</f>
        <v>1870567</v>
      </c>
      <c r="W1179" s="282"/>
      <c r="X1179" s="28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296"/>
    </row>
    <row r="1180" spans="1:35">
      <c r="A1180" s="194">
        <v>127</v>
      </c>
      <c r="B1180" s="195" t="s">
        <v>367</v>
      </c>
      <c r="C1180" s="196">
        <v>580578</v>
      </c>
      <c r="D1180" s="196"/>
      <c r="E1180" s="196"/>
      <c r="F1180" s="196"/>
      <c r="G1180" s="196"/>
      <c r="H1180" s="196"/>
      <c r="I1180" s="196"/>
      <c r="J1180" s="196"/>
      <c r="K1180" s="196">
        <v>0</v>
      </c>
      <c r="L1180" s="194">
        <v>0</v>
      </c>
      <c r="M1180" s="196">
        <v>0</v>
      </c>
      <c r="N1180" s="196">
        <v>293.5</v>
      </c>
      <c r="O1180" s="196">
        <v>580578</v>
      </c>
      <c r="P1180" s="194">
        <v>0</v>
      </c>
      <c r="Q1180" s="196">
        <v>0</v>
      </c>
      <c r="R1180" s="197">
        <v>0</v>
      </c>
      <c r="S1180" s="196">
        <v>0</v>
      </c>
      <c r="T1180" s="197">
        <v>0</v>
      </c>
      <c r="U1180" s="288">
        <v>0</v>
      </c>
      <c r="V1180" s="282">
        <f>C1180-'часть 1'!L1188</f>
        <v>-2080611</v>
      </c>
      <c r="W1180" s="282"/>
      <c r="X1180" s="28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296"/>
    </row>
    <row r="1181" spans="1:35">
      <c r="A1181" s="194">
        <v>128</v>
      </c>
      <c r="B1181" s="195" t="s">
        <v>464</v>
      </c>
      <c r="C1181" s="196">
        <v>615357</v>
      </c>
      <c r="D1181" s="196"/>
      <c r="E1181" s="196"/>
      <c r="F1181" s="196"/>
      <c r="G1181" s="196"/>
      <c r="H1181" s="196"/>
      <c r="I1181" s="196"/>
      <c r="J1181" s="196"/>
      <c r="K1181" s="196">
        <v>0</v>
      </c>
      <c r="L1181" s="194">
        <v>0</v>
      </c>
      <c r="M1181" s="196">
        <v>0</v>
      </c>
      <c r="N1181" s="196">
        <v>301</v>
      </c>
      <c r="O1181" s="196">
        <v>615357</v>
      </c>
      <c r="P1181" s="194">
        <v>0</v>
      </c>
      <c r="Q1181" s="196">
        <v>0</v>
      </c>
      <c r="R1181" s="197">
        <v>0</v>
      </c>
      <c r="S1181" s="196">
        <v>0</v>
      </c>
      <c r="T1181" s="197">
        <v>0</v>
      </c>
      <c r="U1181" s="288">
        <v>0</v>
      </c>
      <c r="V1181" s="282">
        <f>C1181-'часть 1'!L1189</f>
        <v>337137</v>
      </c>
      <c r="W1181" s="282"/>
      <c r="X1181" s="28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296"/>
    </row>
    <row r="1182" spans="1:35">
      <c r="A1182" s="194">
        <v>129</v>
      </c>
      <c r="B1182" s="195" t="s">
        <v>385</v>
      </c>
      <c r="C1182" s="196">
        <v>269948.13</v>
      </c>
      <c r="D1182" s="196"/>
      <c r="E1182" s="196"/>
      <c r="F1182" s="196"/>
      <c r="G1182" s="196"/>
      <c r="H1182" s="196"/>
      <c r="I1182" s="196"/>
      <c r="J1182" s="196"/>
      <c r="K1182" s="196">
        <v>269948.13</v>
      </c>
      <c r="L1182" s="194">
        <v>0</v>
      </c>
      <c r="M1182" s="196">
        <v>0</v>
      </c>
      <c r="N1182" s="196">
        <v>0</v>
      </c>
      <c r="O1182" s="196">
        <v>0</v>
      </c>
      <c r="P1182" s="194">
        <v>0</v>
      </c>
      <c r="Q1182" s="196">
        <v>0</v>
      </c>
      <c r="R1182" s="197">
        <v>0</v>
      </c>
      <c r="S1182" s="196">
        <v>0</v>
      </c>
      <c r="T1182" s="197">
        <v>0</v>
      </c>
      <c r="U1182" s="288">
        <v>0</v>
      </c>
      <c r="V1182" s="282">
        <f>C1182-'часть 1'!L1190</f>
        <v>-2241523.87</v>
      </c>
      <c r="W1182" s="282"/>
      <c r="X1182" s="28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296"/>
    </row>
    <row r="1183" spans="1:35">
      <c r="A1183" s="194">
        <v>130</v>
      </c>
      <c r="B1183" s="195" t="s">
        <v>238</v>
      </c>
      <c r="C1183" s="196">
        <v>807980</v>
      </c>
      <c r="D1183" s="196"/>
      <c r="E1183" s="196"/>
      <c r="F1183" s="196"/>
      <c r="G1183" s="196"/>
      <c r="H1183" s="196"/>
      <c r="I1183" s="196"/>
      <c r="J1183" s="196"/>
      <c r="K1183" s="196">
        <v>0</v>
      </c>
      <c r="L1183" s="194">
        <v>0</v>
      </c>
      <c r="M1183" s="196">
        <v>0</v>
      </c>
      <c r="N1183" s="196">
        <v>400</v>
      </c>
      <c r="O1183" s="196">
        <v>807980</v>
      </c>
      <c r="P1183" s="194">
        <v>0</v>
      </c>
      <c r="Q1183" s="196">
        <v>0</v>
      </c>
      <c r="R1183" s="200">
        <v>0</v>
      </c>
      <c r="S1183" s="196">
        <v>0</v>
      </c>
      <c r="T1183" s="197">
        <v>0</v>
      </c>
      <c r="U1183" s="288">
        <v>0</v>
      </c>
      <c r="V1183" s="282">
        <f>C1183-'часть 1'!L1191</f>
        <v>-64008</v>
      </c>
      <c r="W1183" s="282"/>
      <c r="X1183" s="28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296"/>
    </row>
    <row r="1184" spans="1:35">
      <c r="A1184" s="194">
        <v>131</v>
      </c>
      <c r="B1184" s="195" t="s">
        <v>273</v>
      </c>
      <c r="C1184" s="196">
        <v>661525</v>
      </c>
      <c r="D1184" s="196"/>
      <c r="E1184" s="196"/>
      <c r="F1184" s="196"/>
      <c r="G1184" s="196"/>
      <c r="H1184" s="196"/>
      <c r="I1184" s="196"/>
      <c r="J1184" s="196"/>
      <c r="K1184" s="196">
        <v>0</v>
      </c>
      <c r="L1184" s="194">
        <v>0</v>
      </c>
      <c r="M1184" s="196">
        <v>0</v>
      </c>
      <c r="N1184" s="196">
        <v>325</v>
      </c>
      <c r="O1184" s="199">
        <v>661525</v>
      </c>
      <c r="P1184" s="194">
        <v>0</v>
      </c>
      <c r="Q1184" s="196">
        <v>0</v>
      </c>
      <c r="R1184" s="197">
        <v>0</v>
      </c>
      <c r="S1184" s="196">
        <v>0</v>
      </c>
      <c r="T1184" s="197">
        <v>0</v>
      </c>
      <c r="U1184" s="288">
        <v>0</v>
      </c>
      <c r="V1184" s="282">
        <f>C1184-'часть 1'!L1192</f>
        <v>-1451810</v>
      </c>
      <c r="W1184" s="282"/>
      <c r="X1184" s="28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296"/>
    </row>
    <row r="1185" spans="1:35">
      <c r="A1185" s="198">
        <v>132</v>
      </c>
      <c r="B1185" s="195" t="s">
        <v>297</v>
      </c>
      <c r="C1185" s="196">
        <v>3719885</v>
      </c>
      <c r="D1185" s="196"/>
      <c r="E1185" s="196"/>
      <c r="F1185" s="196"/>
      <c r="G1185" s="196"/>
      <c r="H1185" s="196"/>
      <c r="I1185" s="196"/>
      <c r="J1185" s="196"/>
      <c r="K1185" s="196">
        <v>0</v>
      </c>
      <c r="L1185" s="194">
        <v>2</v>
      </c>
      <c r="M1185" s="196">
        <v>3719885</v>
      </c>
      <c r="N1185" s="196">
        <v>0</v>
      </c>
      <c r="O1185" s="196">
        <v>0</v>
      </c>
      <c r="P1185" s="194">
        <v>0</v>
      </c>
      <c r="Q1185" s="196">
        <v>0</v>
      </c>
      <c r="R1185" s="197">
        <v>0</v>
      </c>
      <c r="S1185" s="196">
        <v>0</v>
      </c>
      <c r="T1185" s="197">
        <v>0</v>
      </c>
      <c r="U1185" s="288">
        <v>0</v>
      </c>
      <c r="V1185" s="282">
        <f>C1185-'часть 1'!L1193</f>
        <v>2723300</v>
      </c>
      <c r="W1185" s="282"/>
      <c r="X1185" s="28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296"/>
    </row>
    <row r="1186" spans="1:35">
      <c r="A1186" s="198">
        <v>133</v>
      </c>
      <c r="B1186" s="195" t="s">
        <v>263</v>
      </c>
      <c r="C1186" s="196">
        <v>1726391</v>
      </c>
      <c r="D1186" s="196"/>
      <c r="E1186" s="196"/>
      <c r="F1186" s="196"/>
      <c r="G1186" s="196"/>
      <c r="H1186" s="196"/>
      <c r="I1186" s="196"/>
      <c r="J1186" s="196"/>
      <c r="K1186" s="196">
        <v>0</v>
      </c>
      <c r="L1186" s="194">
        <v>0</v>
      </c>
      <c r="M1186" s="196">
        <v>0</v>
      </c>
      <c r="N1186" s="196">
        <v>866.8</v>
      </c>
      <c r="O1186" s="196">
        <v>1726391</v>
      </c>
      <c r="P1186" s="194">
        <v>0</v>
      </c>
      <c r="Q1186" s="196">
        <v>0</v>
      </c>
      <c r="R1186" s="197">
        <v>0</v>
      </c>
      <c r="S1186" s="196">
        <v>0</v>
      </c>
      <c r="T1186" s="197">
        <v>0</v>
      </c>
      <c r="U1186" s="288">
        <v>0</v>
      </c>
      <c r="V1186" s="282">
        <f>C1186-'часть 1'!L1194</f>
        <v>1088652</v>
      </c>
      <c r="W1186" s="282"/>
      <c r="X1186" s="28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296"/>
    </row>
    <row r="1187" spans="1:35">
      <c r="A1187" s="198">
        <v>134</v>
      </c>
      <c r="B1187" s="195" t="s">
        <v>235</v>
      </c>
      <c r="C1187" s="196">
        <v>1521754</v>
      </c>
      <c r="D1187" s="196"/>
      <c r="E1187" s="196"/>
      <c r="F1187" s="196"/>
      <c r="G1187" s="196"/>
      <c r="H1187" s="196"/>
      <c r="I1187" s="196"/>
      <c r="J1187" s="196"/>
      <c r="K1187" s="196">
        <v>0</v>
      </c>
      <c r="L1187" s="194">
        <v>0</v>
      </c>
      <c r="M1187" s="196">
        <v>0</v>
      </c>
      <c r="N1187" s="196">
        <v>430</v>
      </c>
      <c r="O1187" s="196">
        <v>866735</v>
      </c>
      <c r="P1187" s="194">
        <v>0</v>
      </c>
      <c r="Q1187" s="196">
        <v>0</v>
      </c>
      <c r="R1187" s="196">
        <v>449</v>
      </c>
      <c r="S1187" s="196">
        <v>655019</v>
      </c>
      <c r="T1187" s="197">
        <v>0</v>
      </c>
      <c r="U1187" s="288">
        <v>0</v>
      </c>
      <c r="V1187" s="282">
        <f>C1187-'часть 1'!L1195</f>
        <v>164537</v>
      </c>
      <c r="W1187" s="282"/>
      <c r="X1187" s="28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296"/>
    </row>
    <row r="1188" spans="1:35">
      <c r="A1188" s="198">
        <v>135</v>
      </c>
      <c r="B1188" s="195" t="s">
        <v>227</v>
      </c>
      <c r="C1188" s="196">
        <v>671505</v>
      </c>
      <c r="D1188" s="196"/>
      <c r="E1188" s="196"/>
      <c r="F1188" s="196"/>
      <c r="G1188" s="196"/>
      <c r="H1188" s="196"/>
      <c r="I1188" s="196"/>
      <c r="J1188" s="196"/>
      <c r="K1188" s="196" t="e">
        <f>#REF!</f>
        <v>#REF!</v>
      </c>
      <c r="L1188" s="194">
        <v>0</v>
      </c>
      <c r="M1188" s="196">
        <v>0</v>
      </c>
      <c r="N1188" s="196">
        <v>0</v>
      </c>
      <c r="O1188" s="196">
        <v>0</v>
      </c>
      <c r="P1188" s="194">
        <v>0</v>
      </c>
      <c r="Q1188" s="196">
        <v>0</v>
      </c>
      <c r="R1188" s="196">
        <v>404.5</v>
      </c>
      <c r="S1188" s="196">
        <v>591227</v>
      </c>
      <c r="T1188" s="197">
        <v>0</v>
      </c>
      <c r="U1188" s="288">
        <v>0</v>
      </c>
      <c r="V1188" s="282">
        <f>C1188-'часть 1'!L1196</f>
        <v>-164721</v>
      </c>
      <c r="W1188" s="282"/>
      <c r="X1188" s="282"/>
      <c r="Y1188" s="12"/>
      <c r="Z1188" s="274"/>
      <c r="AA1188" s="12"/>
      <c r="AB1188" s="12"/>
      <c r="AC1188" s="12"/>
      <c r="AD1188" s="12"/>
      <c r="AE1188" s="12"/>
      <c r="AF1188" s="12"/>
      <c r="AG1188" s="12"/>
      <c r="AH1188" s="12"/>
      <c r="AI1188" s="296"/>
    </row>
    <row r="1189" spans="1:35">
      <c r="A1189" s="198">
        <v>136</v>
      </c>
      <c r="B1189" s="195" t="s">
        <v>339</v>
      </c>
      <c r="C1189" s="196">
        <v>1081718</v>
      </c>
      <c r="D1189" s="196"/>
      <c r="E1189" s="196"/>
      <c r="F1189" s="196"/>
      <c r="G1189" s="196"/>
      <c r="H1189" s="196"/>
      <c r="I1189" s="196"/>
      <c r="J1189" s="196"/>
      <c r="K1189" s="196">
        <v>0</v>
      </c>
      <c r="L1189" s="194">
        <v>0</v>
      </c>
      <c r="M1189" s="196">
        <v>0</v>
      </c>
      <c r="N1189" s="196">
        <v>531.70000000000005</v>
      </c>
      <c r="O1189" s="196">
        <v>1081718</v>
      </c>
      <c r="P1189" s="194">
        <v>0</v>
      </c>
      <c r="Q1189" s="196">
        <v>0</v>
      </c>
      <c r="R1189" s="197">
        <v>0</v>
      </c>
      <c r="S1189" s="196">
        <v>0</v>
      </c>
      <c r="T1189" s="197">
        <v>0</v>
      </c>
      <c r="U1189" s="288">
        <v>0</v>
      </c>
      <c r="V1189" s="282">
        <f>C1189-'часть 1'!L1197</f>
        <v>441640</v>
      </c>
      <c r="W1189" s="282"/>
      <c r="X1189" s="28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296"/>
    </row>
    <row r="1190" spans="1:35">
      <c r="A1190" s="198">
        <v>137</v>
      </c>
      <c r="B1190" s="195" t="s">
        <v>231</v>
      </c>
      <c r="C1190" s="196">
        <v>206635</v>
      </c>
      <c r="D1190" s="196"/>
      <c r="E1190" s="196"/>
      <c r="F1190" s="196"/>
      <c r="G1190" s="196"/>
      <c r="H1190" s="196"/>
      <c r="I1190" s="196"/>
      <c r="J1190" s="196"/>
      <c r="K1190" s="196">
        <v>206635</v>
      </c>
      <c r="L1190" s="194">
        <v>0</v>
      </c>
      <c r="M1190" s="196">
        <v>0</v>
      </c>
      <c r="N1190" s="196">
        <v>0</v>
      </c>
      <c r="O1190" s="196">
        <v>0</v>
      </c>
      <c r="P1190" s="194">
        <v>0</v>
      </c>
      <c r="Q1190" s="196">
        <v>0</v>
      </c>
      <c r="R1190" s="197">
        <v>0</v>
      </c>
      <c r="S1190" s="196">
        <v>0</v>
      </c>
      <c r="T1190" s="197">
        <v>0</v>
      </c>
      <c r="U1190" s="288">
        <v>0</v>
      </c>
      <c r="V1190" s="282">
        <f>C1190-'часть 1'!L1198</f>
        <v>3986</v>
      </c>
      <c r="W1190" s="282"/>
      <c r="X1190" s="28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296"/>
    </row>
    <row r="1191" spans="1:35">
      <c r="A1191" s="198">
        <v>138</v>
      </c>
      <c r="B1191" s="195" t="s">
        <v>300</v>
      </c>
      <c r="C1191" s="196">
        <v>1044081.04</v>
      </c>
      <c r="D1191" s="196"/>
      <c r="E1191" s="196"/>
      <c r="F1191" s="196"/>
      <c r="G1191" s="196"/>
      <c r="H1191" s="196"/>
      <c r="I1191" s="196"/>
      <c r="J1191" s="196"/>
      <c r="K1191" s="196">
        <v>0</v>
      </c>
      <c r="L1191" s="194">
        <v>0</v>
      </c>
      <c r="M1191" s="196">
        <v>0</v>
      </c>
      <c r="N1191" s="196">
        <v>516.5</v>
      </c>
      <c r="O1191" s="196">
        <v>1044081.04</v>
      </c>
      <c r="P1191" s="194">
        <v>0</v>
      </c>
      <c r="Q1191" s="196">
        <v>0</v>
      </c>
      <c r="R1191" s="200">
        <v>0</v>
      </c>
      <c r="S1191" s="196">
        <v>0</v>
      </c>
      <c r="T1191" s="197">
        <v>0</v>
      </c>
      <c r="U1191" s="288">
        <v>0</v>
      </c>
      <c r="V1191" s="282">
        <f>C1191-'часть 1'!L1199</f>
        <v>-6848355.96</v>
      </c>
      <c r="W1191" s="282"/>
      <c r="X1191" s="28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296"/>
    </row>
    <row r="1192" spans="1:35">
      <c r="A1192" s="198">
        <v>139</v>
      </c>
      <c r="B1192" s="195" t="s">
        <v>283</v>
      </c>
      <c r="C1192" s="196">
        <v>1340000</v>
      </c>
      <c r="D1192" s="196"/>
      <c r="E1192" s="196"/>
      <c r="F1192" s="196"/>
      <c r="G1192" s="196"/>
      <c r="H1192" s="196"/>
      <c r="I1192" s="196"/>
      <c r="J1192" s="196"/>
      <c r="K1192" s="196">
        <v>1340000</v>
      </c>
      <c r="L1192" s="194">
        <v>0</v>
      </c>
      <c r="M1192" s="196">
        <v>0</v>
      </c>
      <c r="N1192" s="196">
        <v>0</v>
      </c>
      <c r="O1192" s="196">
        <v>0</v>
      </c>
      <c r="P1192" s="194">
        <v>0</v>
      </c>
      <c r="Q1192" s="196">
        <v>0</v>
      </c>
      <c r="R1192" s="197">
        <v>0</v>
      </c>
      <c r="S1192" s="196">
        <v>0</v>
      </c>
      <c r="T1192" s="197">
        <v>0</v>
      </c>
      <c r="U1192" s="288">
        <v>0</v>
      </c>
      <c r="V1192" s="282">
        <f>C1192-'часть 1'!L1200</f>
        <v>816611</v>
      </c>
      <c r="W1192" s="282"/>
      <c r="X1192" s="28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296"/>
    </row>
    <row r="1193" spans="1:35">
      <c r="A1193" s="198">
        <v>140</v>
      </c>
      <c r="B1193" s="195" t="s">
        <v>450</v>
      </c>
      <c r="C1193" s="196">
        <v>2294529</v>
      </c>
      <c r="D1193" s="196"/>
      <c r="E1193" s="196"/>
      <c r="F1193" s="196"/>
      <c r="G1193" s="196"/>
      <c r="H1193" s="196"/>
      <c r="I1193" s="196"/>
      <c r="J1193" s="196"/>
      <c r="K1193" s="196">
        <v>0</v>
      </c>
      <c r="L1193" s="194">
        <v>0</v>
      </c>
      <c r="M1193" s="196">
        <v>0</v>
      </c>
      <c r="N1193" s="196">
        <v>1162</v>
      </c>
      <c r="O1193" s="196">
        <v>2294529</v>
      </c>
      <c r="P1193" s="194">
        <v>0</v>
      </c>
      <c r="Q1193" s="196">
        <v>0</v>
      </c>
      <c r="R1193" s="197">
        <v>0</v>
      </c>
      <c r="S1193" s="196">
        <v>0</v>
      </c>
      <c r="T1193" s="197">
        <v>0</v>
      </c>
      <c r="U1193" s="288">
        <v>0</v>
      </c>
      <c r="V1193" s="282">
        <f>C1193-'часть 1'!L1201</f>
        <v>1255609</v>
      </c>
      <c r="W1193" s="282"/>
      <c r="X1193" s="28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296"/>
    </row>
    <row r="1194" spans="1:35">
      <c r="A1194" s="198">
        <v>141</v>
      </c>
      <c r="B1194" s="195" t="s">
        <v>230</v>
      </c>
      <c r="C1194" s="196">
        <v>2615616.2000000002</v>
      </c>
      <c r="D1194" s="196"/>
      <c r="E1194" s="196"/>
      <c r="F1194" s="196"/>
      <c r="G1194" s="196"/>
      <c r="H1194" s="196"/>
      <c r="I1194" s="196"/>
      <c r="J1194" s="196"/>
      <c r="K1194" s="196">
        <v>0</v>
      </c>
      <c r="L1194" s="194">
        <v>0</v>
      </c>
      <c r="M1194" s="196">
        <v>0</v>
      </c>
      <c r="N1194" s="196">
        <v>0</v>
      </c>
      <c r="O1194" s="196">
        <v>0</v>
      </c>
      <c r="P1194" s="194">
        <v>0</v>
      </c>
      <c r="Q1194" s="196">
        <v>0</v>
      </c>
      <c r="R1194" s="196">
        <v>2540</v>
      </c>
      <c r="S1194" s="196">
        <v>2615616.2000000002</v>
      </c>
      <c r="T1194" s="197">
        <v>0</v>
      </c>
      <c r="U1194" s="288">
        <v>0</v>
      </c>
      <c r="V1194" s="282">
        <f>C1194-'часть 1'!L1202</f>
        <v>873063.20000000019</v>
      </c>
      <c r="W1194" s="282"/>
      <c r="X1194" s="28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296"/>
    </row>
    <row r="1195" spans="1:35">
      <c r="A1195" s="198">
        <v>142</v>
      </c>
      <c r="B1195" s="195" t="s">
        <v>295</v>
      </c>
      <c r="C1195" s="196">
        <v>1561539</v>
      </c>
      <c r="D1195" s="196"/>
      <c r="E1195" s="196"/>
      <c r="F1195" s="196"/>
      <c r="G1195" s="196"/>
      <c r="H1195" s="196"/>
      <c r="I1195" s="196"/>
      <c r="J1195" s="196"/>
      <c r="K1195" s="196">
        <v>0</v>
      </c>
      <c r="L1195" s="194">
        <v>0</v>
      </c>
      <c r="M1195" s="196">
        <v>0</v>
      </c>
      <c r="N1195" s="196">
        <v>787.85</v>
      </c>
      <c r="O1195" s="196">
        <v>1561539</v>
      </c>
      <c r="P1195" s="201">
        <v>0</v>
      </c>
      <c r="Q1195" s="196">
        <v>0</v>
      </c>
      <c r="R1195" s="200">
        <v>0</v>
      </c>
      <c r="S1195" s="196">
        <v>0</v>
      </c>
      <c r="T1195" s="197">
        <v>0</v>
      </c>
      <c r="U1195" s="288">
        <v>0</v>
      </c>
      <c r="V1195" s="282">
        <f>C1195-'часть 1'!L1203</f>
        <v>-563042</v>
      </c>
      <c r="W1195" s="282"/>
      <c r="X1195" s="28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296"/>
    </row>
    <row r="1196" spans="1:35">
      <c r="A1196" s="198">
        <v>143</v>
      </c>
      <c r="B1196" s="195" t="s">
        <v>294</v>
      </c>
      <c r="C1196" s="196">
        <v>1421187</v>
      </c>
      <c r="D1196" s="196"/>
      <c r="E1196" s="196"/>
      <c r="F1196" s="196"/>
      <c r="G1196" s="196"/>
      <c r="H1196" s="196"/>
      <c r="I1196" s="196"/>
      <c r="J1196" s="196"/>
      <c r="K1196" s="196">
        <v>0</v>
      </c>
      <c r="L1196" s="194">
        <v>0</v>
      </c>
      <c r="M1196" s="196">
        <v>0</v>
      </c>
      <c r="N1196" s="196">
        <v>687</v>
      </c>
      <c r="O1196" s="199">
        <v>1421187</v>
      </c>
      <c r="P1196" s="194">
        <v>0</v>
      </c>
      <c r="Q1196" s="196">
        <v>0</v>
      </c>
      <c r="R1196" s="200">
        <v>0</v>
      </c>
      <c r="S1196" s="196">
        <v>0</v>
      </c>
      <c r="T1196" s="197">
        <v>0</v>
      </c>
      <c r="U1196" s="288">
        <v>0</v>
      </c>
      <c r="V1196" s="282">
        <f>C1196-'часть 1'!L1204</f>
        <v>-926291</v>
      </c>
      <c r="W1196" s="282"/>
      <c r="X1196" s="28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296"/>
    </row>
    <row r="1197" spans="1:35">
      <c r="A1197" s="198">
        <v>144</v>
      </c>
      <c r="B1197" s="195" t="s">
        <v>270</v>
      </c>
      <c r="C1197" s="196">
        <v>2469740</v>
      </c>
      <c r="D1197" s="196"/>
      <c r="E1197" s="196"/>
      <c r="F1197" s="196"/>
      <c r="G1197" s="196"/>
      <c r="H1197" s="196"/>
      <c r="I1197" s="196"/>
      <c r="J1197" s="196"/>
      <c r="K1197" s="196">
        <v>757154</v>
      </c>
      <c r="L1197" s="194">
        <v>0</v>
      </c>
      <c r="M1197" s="196">
        <v>0</v>
      </c>
      <c r="N1197" s="196">
        <v>868.1</v>
      </c>
      <c r="O1197" s="196">
        <v>1712586</v>
      </c>
      <c r="P1197" s="194">
        <v>0</v>
      </c>
      <c r="Q1197" s="196">
        <v>0</v>
      </c>
      <c r="R1197" s="197">
        <v>0</v>
      </c>
      <c r="S1197" s="196">
        <v>0</v>
      </c>
      <c r="T1197" s="197">
        <v>0</v>
      </c>
      <c r="U1197" s="288">
        <v>0</v>
      </c>
      <c r="V1197" s="282">
        <f>C1197-'часть 1'!L1205</f>
        <v>1268</v>
      </c>
      <c r="W1197" s="282"/>
      <c r="X1197" s="28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296"/>
    </row>
    <row r="1198" spans="1:35">
      <c r="A1198" s="198">
        <v>145</v>
      </c>
      <c r="B1198" s="195" t="s">
        <v>252</v>
      </c>
      <c r="C1198" s="196">
        <v>1104857</v>
      </c>
      <c r="D1198" s="196"/>
      <c r="E1198" s="196"/>
      <c r="F1198" s="196"/>
      <c r="G1198" s="196"/>
      <c r="H1198" s="196"/>
      <c r="I1198" s="196"/>
      <c r="J1198" s="196"/>
      <c r="K1198" s="196">
        <v>0</v>
      </c>
      <c r="L1198" s="194">
        <v>0</v>
      </c>
      <c r="M1198" s="196">
        <v>0</v>
      </c>
      <c r="N1198" s="196">
        <v>545.6</v>
      </c>
      <c r="O1198" s="196">
        <v>1104857</v>
      </c>
      <c r="P1198" s="194">
        <v>0</v>
      </c>
      <c r="Q1198" s="196">
        <v>0</v>
      </c>
      <c r="R1198" s="200">
        <v>0</v>
      </c>
      <c r="S1198" s="196">
        <v>0</v>
      </c>
      <c r="T1198" s="197">
        <v>0</v>
      </c>
      <c r="U1198" s="288">
        <v>0</v>
      </c>
      <c r="V1198" s="282">
        <f>C1198-'часть 1'!L1206</f>
        <v>-507923</v>
      </c>
      <c r="W1198" s="282"/>
      <c r="X1198" s="28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296"/>
    </row>
    <row r="1199" spans="1:35">
      <c r="A1199" s="198">
        <v>146</v>
      </c>
      <c r="B1199" s="195" t="s">
        <v>304</v>
      </c>
      <c r="C1199" s="196">
        <v>1877378</v>
      </c>
      <c r="D1199" s="196"/>
      <c r="E1199" s="196"/>
      <c r="F1199" s="196"/>
      <c r="G1199" s="196"/>
      <c r="H1199" s="196"/>
      <c r="I1199" s="196"/>
      <c r="J1199" s="196"/>
      <c r="K1199" s="196">
        <v>0</v>
      </c>
      <c r="L1199" s="194">
        <v>1</v>
      </c>
      <c r="M1199" s="199">
        <v>1877378</v>
      </c>
      <c r="N1199" s="196">
        <v>0</v>
      </c>
      <c r="O1199" s="196">
        <v>0</v>
      </c>
      <c r="P1199" s="194">
        <v>0</v>
      </c>
      <c r="Q1199" s="196">
        <v>0</v>
      </c>
      <c r="R1199" s="197">
        <v>0</v>
      </c>
      <c r="S1199" s="196">
        <v>0</v>
      </c>
      <c r="T1199" s="197">
        <v>0</v>
      </c>
      <c r="U1199" s="288">
        <v>0</v>
      </c>
      <c r="V1199" s="282">
        <f>C1199-'часть 1'!L1207</f>
        <v>-703041</v>
      </c>
      <c r="W1199" s="282"/>
      <c r="X1199" s="28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296"/>
    </row>
    <row r="1200" spans="1:35">
      <c r="A1200" s="198">
        <v>147</v>
      </c>
      <c r="B1200" s="195" t="s">
        <v>228</v>
      </c>
      <c r="C1200" s="196">
        <v>2945836</v>
      </c>
      <c r="D1200" s="196"/>
      <c r="E1200" s="196"/>
      <c r="F1200" s="196"/>
      <c r="G1200" s="196"/>
      <c r="H1200" s="196"/>
      <c r="I1200" s="196"/>
      <c r="J1200" s="196"/>
      <c r="K1200" s="196" t="e">
        <f>#REF!</f>
        <v>#REF!</v>
      </c>
      <c r="L1200" s="194">
        <v>0</v>
      </c>
      <c r="M1200" s="196">
        <v>0</v>
      </c>
      <c r="N1200" s="196">
        <v>0</v>
      </c>
      <c r="O1200" s="196">
        <v>0</v>
      </c>
      <c r="P1200" s="194">
        <v>0</v>
      </c>
      <c r="Q1200" s="196">
        <v>0</v>
      </c>
      <c r="R1200" s="197">
        <v>0</v>
      </c>
      <c r="S1200" s="196">
        <v>0</v>
      </c>
      <c r="T1200" s="197">
        <v>0</v>
      </c>
      <c r="U1200" s="288">
        <v>0</v>
      </c>
      <c r="V1200" s="282">
        <f>C1200-'часть 1'!L1208</f>
        <v>1264191</v>
      </c>
      <c r="W1200" s="282"/>
      <c r="X1200" s="282"/>
      <c r="Y1200" s="12"/>
      <c r="Z1200" s="12"/>
      <c r="AA1200" s="12"/>
      <c r="AB1200" s="274"/>
      <c r="AC1200" s="12"/>
      <c r="AD1200" s="12"/>
      <c r="AE1200" s="12"/>
      <c r="AF1200" s="274"/>
      <c r="AG1200" s="12"/>
      <c r="AH1200" s="12"/>
      <c r="AI1200" s="296"/>
    </row>
    <row r="1201" spans="1:35">
      <c r="A1201" s="198">
        <v>148</v>
      </c>
      <c r="B1201" s="195" t="s">
        <v>225</v>
      </c>
      <c r="C1201" s="196">
        <v>1118494</v>
      </c>
      <c r="D1201" s="196"/>
      <c r="E1201" s="196"/>
      <c r="F1201" s="196"/>
      <c r="G1201" s="196"/>
      <c r="H1201" s="196"/>
      <c r="I1201" s="196"/>
      <c r="J1201" s="196"/>
      <c r="K1201" s="196">
        <v>1118494</v>
      </c>
      <c r="L1201" s="194">
        <v>0</v>
      </c>
      <c r="M1201" s="196">
        <v>0</v>
      </c>
      <c r="N1201" s="199">
        <v>0</v>
      </c>
      <c r="O1201" s="196">
        <v>0</v>
      </c>
      <c r="P1201" s="194">
        <v>0</v>
      </c>
      <c r="Q1201" s="196">
        <v>0</v>
      </c>
      <c r="R1201" s="200">
        <v>0</v>
      </c>
      <c r="S1201" s="196">
        <v>0</v>
      </c>
      <c r="T1201" s="197">
        <v>0</v>
      </c>
      <c r="U1201" s="288">
        <v>0</v>
      </c>
      <c r="V1201" s="282">
        <f>C1201-'часть 1'!L1209</f>
        <v>-200386</v>
      </c>
      <c r="W1201" s="282"/>
      <c r="X1201" s="28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296"/>
    </row>
    <row r="1202" spans="1:35">
      <c r="A1202" s="198">
        <v>149</v>
      </c>
      <c r="B1202" s="195" t="s">
        <v>232</v>
      </c>
      <c r="C1202" s="196">
        <v>2540427</v>
      </c>
      <c r="D1202" s="196"/>
      <c r="E1202" s="196"/>
      <c r="F1202" s="196"/>
      <c r="G1202" s="196"/>
      <c r="H1202" s="196"/>
      <c r="I1202" s="196"/>
      <c r="J1202" s="196"/>
      <c r="K1202" s="196">
        <v>0</v>
      </c>
      <c r="L1202" s="194">
        <v>0</v>
      </c>
      <c r="M1202" s="196">
        <v>0</v>
      </c>
      <c r="N1202" s="196">
        <v>592</v>
      </c>
      <c r="O1202" s="196">
        <v>1201460</v>
      </c>
      <c r="P1202" s="194">
        <v>0</v>
      </c>
      <c r="Q1202" s="196">
        <v>0</v>
      </c>
      <c r="R1202" s="196">
        <v>922</v>
      </c>
      <c r="S1202" s="196">
        <v>1338967</v>
      </c>
      <c r="T1202" s="197">
        <v>0</v>
      </c>
      <c r="U1202" s="288">
        <v>0</v>
      </c>
      <c r="V1202" s="282">
        <f>C1202-'часть 1'!L1210</f>
        <v>974082</v>
      </c>
      <c r="W1202" s="282"/>
      <c r="X1202" s="28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296"/>
    </row>
    <row r="1203" spans="1:35">
      <c r="A1203" s="198">
        <v>150</v>
      </c>
      <c r="B1203" s="195" t="s">
        <v>275</v>
      </c>
      <c r="C1203" s="196">
        <v>2253297</v>
      </c>
      <c r="D1203" s="196"/>
      <c r="E1203" s="196"/>
      <c r="F1203" s="196"/>
      <c r="G1203" s="196"/>
      <c r="H1203" s="196"/>
      <c r="I1203" s="196"/>
      <c r="J1203" s="196"/>
      <c r="K1203" s="196">
        <v>0</v>
      </c>
      <c r="L1203" s="194">
        <v>0</v>
      </c>
      <c r="M1203" s="196">
        <v>0</v>
      </c>
      <c r="N1203" s="196">
        <v>1126</v>
      </c>
      <c r="O1203" s="196">
        <v>2253297</v>
      </c>
      <c r="P1203" s="194">
        <v>0</v>
      </c>
      <c r="Q1203" s="196">
        <v>0</v>
      </c>
      <c r="R1203" s="197">
        <v>0</v>
      </c>
      <c r="S1203" s="196">
        <v>0</v>
      </c>
      <c r="T1203" s="197">
        <v>0</v>
      </c>
      <c r="U1203" s="288">
        <v>0</v>
      </c>
      <c r="V1203" s="282">
        <f>C1203-'часть 1'!L1211</f>
        <v>343209</v>
      </c>
      <c r="W1203" s="282"/>
      <c r="X1203" s="28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296"/>
    </row>
    <row r="1204" spans="1:35" s="278" customFormat="1">
      <c r="A1204" s="194">
        <v>151</v>
      </c>
      <c r="B1204" s="195" t="s">
        <v>286</v>
      </c>
      <c r="C1204" s="196">
        <v>1390061</v>
      </c>
      <c r="D1204" s="196"/>
      <c r="E1204" s="196"/>
      <c r="F1204" s="196"/>
      <c r="G1204" s="196"/>
      <c r="H1204" s="196"/>
      <c r="I1204" s="196"/>
      <c r="J1204" s="196"/>
      <c r="K1204" s="196" t="e">
        <f>#REF!</f>
        <v>#REF!</v>
      </c>
      <c r="L1204" s="194">
        <v>0</v>
      </c>
      <c r="M1204" s="196">
        <v>0</v>
      </c>
      <c r="N1204" s="196">
        <v>0</v>
      </c>
      <c r="O1204" s="196">
        <v>0</v>
      </c>
      <c r="P1204" s="194">
        <v>0</v>
      </c>
      <c r="Q1204" s="196">
        <v>0</v>
      </c>
      <c r="R1204" s="197">
        <v>0</v>
      </c>
      <c r="S1204" s="196">
        <v>0</v>
      </c>
      <c r="T1204" s="197">
        <v>0</v>
      </c>
      <c r="U1204" s="288">
        <v>0</v>
      </c>
      <c r="V1204" s="282">
        <f>C1204-'часть 1'!L1212</f>
        <v>-1304896</v>
      </c>
      <c r="W1204" s="282"/>
      <c r="X1204" s="282"/>
      <c r="Y1204" s="277"/>
      <c r="Z1204" s="277"/>
      <c r="AA1204" s="277"/>
      <c r="AB1204" s="277"/>
      <c r="AC1204" s="277"/>
      <c r="AD1204" s="277"/>
      <c r="AE1204" s="277"/>
      <c r="AF1204" s="277"/>
      <c r="AG1204" s="277"/>
      <c r="AH1204" s="277"/>
      <c r="AI1204" s="298"/>
    </row>
    <row r="1205" spans="1:35" ht="30">
      <c r="A1205" s="198">
        <v>152</v>
      </c>
      <c r="B1205" s="195" t="s">
        <v>342</v>
      </c>
      <c r="C1205" s="196">
        <v>3213804</v>
      </c>
      <c r="D1205" s="196"/>
      <c r="E1205" s="196"/>
      <c r="F1205" s="196"/>
      <c r="G1205" s="196"/>
      <c r="H1205" s="196"/>
      <c r="I1205" s="196"/>
      <c r="J1205" s="196"/>
      <c r="K1205" s="196">
        <v>846948</v>
      </c>
      <c r="L1205" s="194">
        <v>0</v>
      </c>
      <c r="M1205" s="196">
        <v>0</v>
      </c>
      <c r="N1205" s="196">
        <v>1200</v>
      </c>
      <c r="O1205" s="196">
        <v>2366856</v>
      </c>
      <c r="P1205" s="194">
        <v>0</v>
      </c>
      <c r="Q1205" s="196">
        <v>0</v>
      </c>
      <c r="R1205" s="197">
        <v>0</v>
      </c>
      <c r="S1205" s="196">
        <v>0</v>
      </c>
      <c r="T1205" s="197">
        <v>0</v>
      </c>
      <c r="U1205" s="288">
        <v>0</v>
      </c>
      <c r="V1205" s="282">
        <f>C1205-'часть 1'!L1213</f>
        <v>2633226</v>
      </c>
      <c r="W1205" s="282"/>
      <c r="X1205" s="28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296"/>
    </row>
    <row r="1206" spans="1:35">
      <c r="A1206" s="198">
        <v>153</v>
      </c>
      <c r="B1206" s="195" t="s">
        <v>298</v>
      </c>
      <c r="C1206" s="196">
        <v>3202371</v>
      </c>
      <c r="D1206" s="196"/>
      <c r="E1206" s="196"/>
      <c r="F1206" s="196"/>
      <c r="G1206" s="196"/>
      <c r="H1206" s="196"/>
      <c r="I1206" s="196"/>
      <c r="J1206" s="196"/>
      <c r="K1206" s="196">
        <v>0</v>
      </c>
      <c r="L1206" s="194">
        <v>0</v>
      </c>
      <c r="M1206" s="196">
        <v>0</v>
      </c>
      <c r="N1206" s="196">
        <v>0</v>
      </c>
      <c r="O1206" s="196">
        <v>0</v>
      </c>
      <c r="P1206" s="194">
        <v>0</v>
      </c>
      <c r="Q1206" s="196">
        <v>0</v>
      </c>
      <c r="R1206" s="196">
        <v>2220.83</v>
      </c>
      <c r="S1206" s="196">
        <v>3202371</v>
      </c>
      <c r="T1206" s="197">
        <v>0</v>
      </c>
      <c r="U1206" s="288">
        <v>0</v>
      </c>
      <c r="V1206" s="282">
        <f>C1206-'часть 1'!L1214</f>
        <v>2587014</v>
      </c>
      <c r="W1206" s="282"/>
      <c r="X1206" s="28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296"/>
    </row>
    <row r="1207" spans="1:35">
      <c r="A1207" s="198">
        <v>154</v>
      </c>
      <c r="B1207" s="195" t="s">
        <v>253</v>
      </c>
      <c r="C1207" s="196">
        <v>709022</v>
      </c>
      <c r="D1207" s="196"/>
      <c r="E1207" s="196"/>
      <c r="F1207" s="196"/>
      <c r="G1207" s="196"/>
      <c r="H1207" s="196"/>
      <c r="I1207" s="196"/>
      <c r="J1207" s="196"/>
      <c r="K1207" s="196">
        <v>0</v>
      </c>
      <c r="L1207" s="194">
        <v>0</v>
      </c>
      <c r="M1207" s="196">
        <v>0</v>
      </c>
      <c r="N1207" s="196">
        <v>0</v>
      </c>
      <c r="O1207" s="196">
        <v>0</v>
      </c>
      <c r="P1207" s="194">
        <v>0</v>
      </c>
      <c r="Q1207" s="196">
        <v>0</v>
      </c>
      <c r="R1207" s="196">
        <v>486.6</v>
      </c>
      <c r="S1207" s="199">
        <v>709022</v>
      </c>
      <c r="T1207" s="197">
        <v>0</v>
      </c>
      <c r="U1207" s="288">
        <v>0</v>
      </c>
      <c r="V1207" s="282">
        <f>C1207-'часть 1'!L1215</f>
        <v>439073.87</v>
      </c>
      <c r="W1207" s="282"/>
      <c r="X1207" s="28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296"/>
    </row>
    <row r="1208" spans="1:35">
      <c r="A1208" s="194">
        <v>155</v>
      </c>
      <c r="B1208" s="195" t="s">
        <v>260</v>
      </c>
      <c r="C1208" s="196">
        <v>1136930</v>
      </c>
      <c r="D1208" s="196"/>
      <c r="E1208" s="196"/>
      <c r="F1208" s="196"/>
      <c r="G1208" s="196"/>
      <c r="H1208" s="196"/>
      <c r="I1208" s="196"/>
      <c r="J1208" s="196"/>
      <c r="K1208" s="196">
        <v>0</v>
      </c>
      <c r="L1208" s="194">
        <v>0</v>
      </c>
      <c r="M1208" s="196">
        <v>0</v>
      </c>
      <c r="N1208" s="196">
        <v>278</v>
      </c>
      <c r="O1208" s="196">
        <v>570382</v>
      </c>
      <c r="P1208" s="194">
        <v>0</v>
      </c>
      <c r="Q1208" s="196">
        <v>0</v>
      </c>
      <c r="R1208" s="196">
        <v>386.88</v>
      </c>
      <c r="S1208" s="196">
        <v>566548</v>
      </c>
      <c r="T1208" s="197">
        <v>0</v>
      </c>
      <c r="U1208" s="288">
        <v>0</v>
      </c>
      <c r="V1208" s="282">
        <f>C1208-'часть 1'!L1216</f>
        <v>328950</v>
      </c>
      <c r="W1208" s="282"/>
      <c r="X1208" s="28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296"/>
    </row>
    <row r="1209" spans="1:35">
      <c r="A1209" s="198">
        <v>156</v>
      </c>
      <c r="B1209" s="195" t="s">
        <v>349</v>
      </c>
      <c r="C1209" s="196">
        <v>1320636</v>
      </c>
      <c r="D1209" s="196"/>
      <c r="E1209" s="196"/>
      <c r="F1209" s="196"/>
      <c r="G1209" s="196"/>
      <c r="H1209" s="196"/>
      <c r="I1209" s="196"/>
      <c r="J1209" s="196"/>
      <c r="K1209" s="196">
        <v>0</v>
      </c>
      <c r="L1209" s="194">
        <v>0</v>
      </c>
      <c r="M1209" s="196">
        <v>0</v>
      </c>
      <c r="N1209" s="203">
        <v>662</v>
      </c>
      <c r="O1209" s="199">
        <v>1320636</v>
      </c>
      <c r="P1209" s="194">
        <v>0</v>
      </c>
      <c r="Q1209" s="196">
        <v>0</v>
      </c>
      <c r="R1209" s="197">
        <v>0</v>
      </c>
      <c r="S1209" s="196">
        <v>0</v>
      </c>
      <c r="T1209" s="197">
        <v>0</v>
      </c>
      <c r="U1209" s="288">
        <v>0</v>
      </c>
      <c r="V1209" s="282">
        <f>C1209-'часть 1'!L1217</f>
        <v>659111</v>
      </c>
      <c r="W1209" s="282"/>
      <c r="X1209" s="28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296"/>
    </row>
    <row r="1210" spans="1:35">
      <c r="A1210" s="198">
        <v>157</v>
      </c>
      <c r="B1210" s="195" t="s">
        <v>302</v>
      </c>
      <c r="C1210" s="196">
        <v>4265098</v>
      </c>
      <c r="D1210" s="196"/>
      <c r="E1210" s="196"/>
      <c r="F1210" s="196"/>
      <c r="G1210" s="196"/>
      <c r="H1210" s="196"/>
      <c r="I1210" s="196"/>
      <c r="J1210" s="196"/>
      <c r="K1210" s="196">
        <v>0</v>
      </c>
      <c r="L1210" s="194">
        <v>0</v>
      </c>
      <c r="M1210" s="196">
        <v>0</v>
      </c>
      <c r="N1210" s="196">
        <v>0</v>
      </c>
      <c r="O1210" s="196">
        <v>0</v>
      </c>
      <c r="P1210" s="194">
        <v>0</v>
      </c>
      <c r="Q1210" s="196">
        <v>0</v>
      </c>
      <c r="R1210" s="196">
        <v>2927.5</v>
      </c>
      <c r="S1210" s="196">
        <v>4265098</v>
      </c>
      <c r="T1210" s="197">
        <v>0</v>
      </c>
      <c r="U1210" s="288">
        <v>0</v>
      </c>
      <c r="V1210" s="282">
        <f>C1210-'часть 1'!L1218</f>
        <v>545213</v>
      </c>
      <c r="W1210" s="282"/>
      <c r="X1210" s="28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296"/>
    </row>
    <row r="1211" spans="1:35">
      <c r="A1211" s="198">
        <v>158</v>
      </c>
      <c r="B1211" s="195" t="s">
        <v>341</v>
      </c>
      <c r="C1211" s="196">
        <v>2115890</v>
      </c>
      <c r="D1211" s="196"/>
      <c r="E1211" s="196"/>
      <c r="F1211" s="196"/>
      <c r="G1211" s="196"/>
      <c r="H1211" s="196"/>
      <c r="I1211" s="196"/>
      <c r="J1211" s="196"/>
      <c r="K1211" s="196">
        <v>2115890</v>
      </c>
      <c r="L1211" s="194">
        <v>0</v>
      </c>
      <c r="M1211" s="196">
        <v>0</v>
      </c>
      <c r="N1211" s="196">
        <v>0</v>
      </c>
      <c r="O1211" s="196">
        <v>0</v>
      </c>
      <c r="P1211" s="194">
        <v>0</v>
      </c>
      <c r="Q1211" s="196">
        <v>0</v>
      </c>
      <c r="R1211" s="197">
        <v>0</v>
      </c>
      <c r="S1211" s="196">
        <v>0</v>
      </c>
      <c r="T1211" s="197">
        <v>0</v>
      </c>
      <c r="U1211" s="288">
        <v>0</v>
      </c>
      <c r="V1211" s="282">
        <f>C1211-'часть 1'!L1219</f>
        <v>389499</v>
      </c>
      <c r="W1211" s="282"/>
      <c r="X1211" s="28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296"/>
    </row>
    <row r="1212" spans="1:35">
      <c r="A1212" s="198">
        <v>159</v>
      </c>
      <c r="B1212" s="195" t="s">
        <v>242</v>
      </c>
      <c r="C1212" s="196">
        <v>482251.51</v>
      </c>
      <c r="D1212" s="196"/>
      <c r="E1212" s="196"/>
      <c r="F1212" s="196"/>
      <c r="G1212" s="196"/>
      <c r="H1212" s="196"/>
      <c r="I1212" s="196"/>
      <c r="J1212" s="196"/>
      <c r="K1212" s="196">
        <v>482251.51</v>
      </c>
      <c r="L1212" s="194">
        <v>0</v>
      </c>
      <c r="M1212" s="196">
        <v>0</v>
      </c>
      <c r="N1212" s="196">
        <v>0</v>
      </c>
      <c r="O1212" s="196">
        <v>0</v>
      </c>
      <c r="P1212" s="194">
        <v>0</v>
      </c>
      <c r="Q1212" s="196">
        <v>0</v>
      </c>
      <c r="R1212" s="197">
        <v>0</v>
      </c>
      <c r="S1212" s="196">
        <v>0</v>
      </c>
      <c r="T1212" s="197">
        <v>0</v>
      </c>
      <c r="U1212" s="288">
        <v>0</v>
      </c>
      <c r="V1212" s="282">
        <f>C1212-'часть 1'!L1220</f>
        <v>-1039502.49</v>
      </c>
      <c r="W1212" s="282"/>
      <c r="X1212" s="28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296"/>
    </row>
    <row r="1213" spans="1:35">
      <c r="A1213" s="198">
        <v>160</v>
      </c>
      <c r="B1213" s="195" t="s">
        <v>279</v>
      </c>
      <c r="C1213" s="196">
        <v>1018040.92</v>
      </c>
      <c r="D1213" s="196"/>
      <c r="E1213" s="196"/>
      <c r="F1213" s="196"/>
      <c r="G1213" s="196"/>
      <c r="H1213" s="196"/>
      <c r="I1213" s="196"/>
      <c r="J1213" s="196"/>
      <c r="K1213" s="196">
        <v>0</v>
      </c>
      <c r="L1213" s="194">
        <v>0</v>
      </c>
      <c r="M1213" s="196">
        <v>0</v>
      </c>
      <c r="N1213" s="196">
        <v>516.5</v>
      </c>
      <c r="O1213" s="196">
        <v>1018040.92</v>
      </c>
      <c r="P1213" s="194">
        <v>0</v>
      </c>
      <c r="Q1213" s="196">
        <v>0</v>
      </c>
      <c r="R1213" s="197">
        <v>0</v>
      </c>
      <c r="S1213" s="196">
        <v>0</v>
      </c>
      <c r="T1213" s="197">
        <v>0</v>
      </c>
      <c r="U1213" s="288">
        <v>0</v>
      </c>
      <c r="V1213" s="282">
        <f>C1213-'часть 1'!L1221</f>
        <v>346535.92000000004</v>
      </c>
      <c r="W1213" s="282"/>
      <c r="X1213" s="28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296"/>
    </row>
    <row r="1214" spans="1:35">
      <c r="A1214" s="198">
        <v>161</v>
      </c>
      <c r="B1214" s="195" t="s">
        <v>262</v>
      </c>
      <c r="C1214" s="196">
        <v>1871554</v>
      </c>
      <c r="D1214" s="196"/>
      <c r="E1214" s="196"/>
      <c r="F1214" s="196"/>
      <c r="G1214" s="196"/>
      <c r="H1214" s="196"/>
      <c r="I1214" s="196"/>
      <c r="J1214" s="196"/>
      <c r="K1214" s="196">
        <v>0</v>
      </c>
      <c r="L1214" s="194">
        <v>1</v>
      </c>
      <c r="M1214" s="196">
        <v>1871554</v>
      </c>
      <c r="N1214" s="196">
        <v>0</v>
      </c>
      <c r="O1214" s="196">
        <v>0</v>
      </c>
      <c r="P1214" s="194">
        <v>0</v>
      </c>
      <c r="Q1214" s="196">
        <v>0</v>
      </c>
      <c r="R1214" s="197">
        <v>0</v>
      </c>
      <c r="S1214" s="196">
        <v>0</v>
      </c>
      <c r="T1214" s="197">
        <v>0</v>
      </c>
      <c r="U1214" s="288">
        <v>0</v>
      </c>
      <c r="V1214" s="282">
        <f>C1214-'часть 1'!L1222</f>
        <v>789836</v>
      </c>
      <c r="W1214" s="282"/>
      <c r="X1214" s="28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296"/>
    </row>
    <row r="1215" spans="1:35">
      <c r="A1215" s="198">
        <v>162</v>
      </c>
      <c r="B1215" s="195" t="s">
        <v>290</v>
      </c>
      <c r="C1215" s="196">
        <v>2652530</v>
      </c>
      <c r="D1215" s="196"/>
      <c r="E1215" s="196"/>
      <c r="F1215" s="196"/>
      <c r="G1215" s="196"/>
      <c r="H1215" s="196"/>
      <c r="I1215" s="196"/>
      <c r="J1215" s="196"/>
      <c r="K1215" s="196">
        <v>2652530</v>
      </c>
      <c r="L1215" s="194">
        <v>0</v>
      </c>
      <c r="M1215" s="196">
        <v>0</v>
      </c>
      <c r="N1215" s="199">
        <v>0</v>
      </c>
      <c r="O1215" s="196">
        <v>0</v>
      </c>
      <c r="P1215" s="194">
        <v>0</v>
      </c>
      <c r="Q1215" s="196">
        <v>0</v>
      </c>
      <c r="R1215" s="200">
        <v>0</v>
      </c>
      <c r="S1215" s="196">
        <v>0</v>
      </c>
      <c r="T1215" s="197">
        <v>0</v>
      </c>
      <c r="U1215" s="288">
        <v>0</v>
      </c>
      <c r="V1215" s="282">
        <f>C1215-'часть 1'!L1223</f>
        <v>2445895</v>
      </c>
      <c r="W1215" s="282"/>
      <c r="X1215" s="28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296"/>
    </row>
    <row r="1216" spans="1:35">
      <c r="A1216" s="198">
        <v>163</v>
      </c>
      <c r="B1216" s="195" t="s">
        <v>356</v>
      </c>
      <c r="C1216" s="196">
        <v>3645969</v>
      </c>
      <c r="D1216" s="196"/>
      <c r="E1216" s="196"/>
      <c r="F1216" s="196"/>
      <c r="G1216" s="196"/>
      <c r="H1216" s="196"/>
      <c r="I1216" s="196"/>
      <c r="J1216" s="196"/>
      <c r="K1216" s="196" t="e">
        <f>#REF!</f>
        <v>#REF!</v>
      </c>
      <c r="L1216" s="194">
        <v>0</v>
      </c>
      <c r="M1216" s="196">
        <v>0</v>
      </c>
      <c r="N1216" s="196">
        <v>0</v>
      </c>
      <c r="O1216" s="196">
        <v>0</v>
      </c>
      <c r="P1216" s="194">
        <v>0</v>
      </c>
      <c r="Q1216" s="196">
        <v>0</v>
      </c>
      <c r="R1216" s="200">
        <v>0</v>
      </c>
      <c r="S1216" s="196">
        <v>0</v>
      </c>
      <c r="T1216" s="197">
        <v>0</v>
      </c>
      <c r="U1216" s="288">
        <v>0</v>
      </c>
      <c r="V1216" s="282">
        <f>C1216-'часть 1'!L1224</f>
        <v>2601887.96</v>
      </c>
      <c r="W1216" s="282"/>
      <c r="X1216" s="282"/>
      <c r="Y1216" s="12"/>
      <c r="Z1216" s="12"/>
      <c r="AA1216" s="12"/>
      <c r="AB1216" s="12"/>
      <c r="AC1216" s="4"/>
      <c r="AD1216" s="12"/>
      <c r="AE1216" s="12"/>
      <c r="AF1216" s="12"/>
      <c r="AG1216" s="12"/>
      <c r="AH1216" s="12"/>
      <c r="AI1216" s="296"/>
    </row>
    <row r="1217" spans="1:35">
      <c r="A1217" s="198">
        <v>164</v>
      </c>
      <c r="B1217" s="195" t="s">
        <v>354</v>
      </c>
      <c r="C1217" s="196">
        <v>771330</v>
      </c>
      <c r="D1217" s="196"/>
      <c r="E1217" s="196"/>
      <c r="F1217" s="196"/>
      <c r="G1217" s="196"/>
      <c r="H1217" s="196"/>
      <c r="I1217" s="196"/>
      <c r="J1217" s="196"/>
      <c r="K1217" s="196">
        <v>0</v>
      </c>
      <c r="L1217" s="194">
        <v>0</v>
      </c>
      <c r="M1217" s="196">
        <v>0</v>
      </c>
      <c r="N1217" s="196">
        <v>376</v>
      </c>
      <c r="O1217" s="196">
        <v>771330</v>
      </c>
      <c r="P1217" s="194">
        <v>0</v>
      </c>
      <c r="Q1217" s="196">
        <v>0</v>
      </c>
      <c r="R1217" s="197">
        <v>0</v>
      </c>
      <c r="S1217" s="196">
        <v>0</v>
      </c>
      <c r="T1217" s="197">
        <v>0</v>
      </c>
      <c r="U1217" s="288">
        <v>0</v>
      </c>
      <c r="V1217" s="282">
        <f>C1217-'часть 1'!L1225</f>
        <v>-568670</v>
      </c>
      <c r="W1217" s="282"/>
      <c r="X1217" s="28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296"/>
    </row>
    <row r="1218" spans="1:35">
      <c r="A1218" s="198">
        <v>165</v>
      </c>
      <c r="B1218" s="195" t="s">
        <v>352</v>
      </c>
      <c r="C1218" s="196">
        <v>1894719</v>
      </c>
      <c r="D1218" s="196"/>
      <c r="E1218" s="196"/>
      <c r="F1218" s="196"/>
      <c r="G1218" s="196"/>
      <c r="H1218" s="196"/>
      <c r="I1218" s="196"/>
      <c r="J1218" s="196"/>
      <c r="K1218" s="196">
        <v>0</v>
      </c>
      <c r="L1218" s="194">
        <v>1</v>
      </c>
      <c r="M1218" s="196">
        <v>1894719</v>
      </c>
      <c r="N1218" s="196">
        <v>0</v>
      </c>
      <c r="O1218" s="196">
        <v>0</v>
      </c>
      <c r="P1218" s="194">
        <v>0</v>
      </c>
      <c r="Q1218" s="196">
        <v>0</v>
      </c>
      <c r="R1218" s="197">
        <v>0</v>
      </c>
      <c r="S1218" s="196">
        <v>0</v>
      </c>
      <c r="T1218" s="197">
        <v>0</v>
      </c>
      <c r="U1218" s="288">
        <v>0</v>
      </c>
      <c r="V1218" s="282">
        <f>C1218-'часть 1'!L1226</f>
        <v>-399810</v>
      </c>
      <c r="W1218" s="282"/>
      <c r="X1218" s="28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296"/>
    </row>
    <row r="1219" spans="1:35">
      <c r="A1219" s="198">
        <v>166</v>
      </c>
      <c r="B1219" s="195" t="s">
        <v>355</v>
      </c>
      <c r="C1219" s="196">
        <v>1492412</v>
      </c>
      <c r="D1219" s="196"/>
      <c r="E1219" s="196"/>
      <c r="F1219" s="196"/>
      <c r="G1219" s="196"/>
      <c r="H1219" s="196"/>
      <c r="I1219" s="196"/>
      <c r="J1219" s="196"/>
      <c r="K1219" s="196">
        <v>0</v>
      </c>
      <c r="L1219" s="194">
        <v>0</v>
      </c>
      <c r="M1219" s="196">
        <v>0</v>
      </c>
      <c r="N1219" s="196">
        <v>752</v>
      </c>
      <c r="O1219" s="196">
        <v>1492412</v>
      </c>
      <c r="P1219" s="194">
        <v>0</v>
      </c>
      <c r="Q1219" s="196">
        <v>0</v>
      </c>
      <c r="R1219" s="197">
        <v>0</v>
      </c>
      <c r="S1219" s="196">
        <v>0</v>
      </c>
      <c r="T1219" s="197">
        <v>0</v>
      </c>
      <c r="U1219" s="288">
        <v>0</v>
      </c>
      <c r="V1219" s="282">
        <f>C1219-'часть 1'!L1227</f>
        <v>-1123204.2000000002</v>
      </c>
      <c r="W1219" s="282"/>
      <c r="X1219" s="28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296"/>
    </row>
    <row r="1220" spans="1:35">
      <c r="A1220" s="198">
        <v>167</v>
      </c>
      <c r="B1220" s="195" t="s">
        <v>318</v>
      </c>
      <c r="C1220" s="196">
        <v>651523.25</v>
      </c>
      <c r="D1220" s="196"/>
      <c r="E1220" s="196"/>
      <c r="F1220" s="196"/>
      <c r="G1220" s="196"/>
      <c r="H1220" s="196"/>
      <c r="I1220" s="196"/>
      <c r="J1220" s="196"/>
      <c r="K1220" s="196">
        <v>651523.25</v>
      </c>
      <c r="L1220" s="194">
        <v>0</v>
      </c>
      <c r="M1220" s="196">
        <v>0</v>
      </c>
      <c r="N1220" s="199">
        <v>0</v>
      </c>
      <c r="O1220" s="196">
        <v>0</v>
      </c>
      <c r="P1220" s="194">
        <v>0</v>
      </c>
      <c r="Q1220" s="196">
        <v>0</v>
      </c>
      <c r="R1220" s="200">
        <v>0</v>
      </c>
      <c r="S1220" s="196">
        <v>0</v>
      </c>
      <c r="T1220" s="197">
        <v>0</v>
      </c>
      <c r="U1220" s="288">
        <v>0</v>
      </c>
      <c r="V1220" s="282">
        <f>C1220-'часть 1'!L1228</f>
        <v>-910015.75</v>
      </c>
      <c r="W1220" s="282"/>
      <c r="X1220" s="28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296"/>
    </row>
    <row r="1221" spans="1:35" ht="15.75" thickBot="1">
      <c r="A1221" s="198">
        <v>168</v>
      </c>
      <c r="B1221" s="195" t="s">
        <v>353</v>
      </c>
      <c r="C1221" s="196">
        <v>1221424.83</v>
      </c>
      <c r="D1221" s="196"/>
      <c r="E1221" s="196"/>
      <c r="F1221" s="196"/>
      <c r="G1221" s="196"/>
      <c r="H1221" s="196"/>
      <c r="I1221" s="196"/>
      <c r="J1221" s="196"/>
      <c r="K1221" s="196">
        <v>0</v>
      </c>
      <c r="L1221" s="194">
        <v>0</v>
      </c>
      <c r="M1221" s="196">
        <v>0</v>
      </c>
      <c r="N1221" s="196">
        <v>640</v>
      </c>
      <c r="O1221" s="196">
        <v>1221424.83</v>
      </c>
      <c r="P1221" s="194">
        <v>0</v>
      </c>
      <c r="Q1221" s="196">
        <v>0</v>
      </c>
      <c r="R1221" s="200">
        <v>0</v>
      </c>
      <c r="S1221" s="196">
        <v>0</v>
      </c>
      <c r="T1221" s="197">
        <v>0</v>
      </c>
      <c r="U1221" s="288">
        <v>0</v>
      </c>
      <c r="V1221" s="282">
        <f>C1221-'часть 1'!L1229</f>
        <v>-199762.16999999993</v>
      </c>
      <c r="W1221" s="282"/>
      <c r="X1221" s="282"/>
      <c r="Y1221" s="65"/>
      <c r="Z1221" s="12"/>
      <c r="AA1221" s="65"/>
      <c r="AB1221" s="12"/>
      <c r="AC1221" s="65"/>
      <c r="AD1221" s="12"/>
      <c r="AE1221" s="65"/>
      <c r="AF1221" s="12"/>
      <c r="AG1221" s="65"/>
      <c r="AH1221" s="12"/>
      <c r="AI1221" s="299"/>
    </row>
    <row r="1222" spans="1:35" ht="31.5" customHeight="1">
      <c r="A1222" s="198"/>
      <c r="B1222" s="195" t="s">
        <v>91</v>
      </c>
      <c r="C1222" s="196">
        <f>C1223+C1224+C1225+C1226+C1227+C1228+C1229+C1230+C1231+C1232+C1233</f>
        <v>20085822.140000001</v>
      </c>
      <c r="D1222" s="196">
        <f t="shared" ref="D1222:U1222" si="184">D1223+D1224+D1225+D1226+D1227+D1228+D1229+D1230+D1231+D1232+D1233</f>
        <v>0</v>
      </c>
      <c r="E1222" s="196">
        <f t="shared" si="184"/>
        <v>0</v>
      </c>
      <c r="F1222" s="196">
        <f t="shared" si="184"/>
        <v>0</v>
      </c>
      <c r="G1222" s="196">
        <f t="shared" si="184"/>
        <v>0</v>
      </c>
      <c r="H1222" s="196">
        <f t="shared" si="184"/>
        <v>0</v>
      </c>
      <c r="I1222" s="196">
        <f t="shared" si="184"/>
        <v>0</v>
      </c>
      <c r="J1222" s="196">
        <f t="shared" si="184"/>
        <v>0</v>
      </c>
      <c r="K1222" s="196">
        <f t="shared" si="184"/>
        <v>0</v>
      </c>
      <c r="L1222" s="196">
        <f t="shared" si="184"/>
        <v>0</v>
      </c>
      <c r="M1222" s="196">
        <f t="shared" si="184"/>
        <v>0</v>
      </c>
      <c r="N1222" s="196">
        <f t="shared" si="184"/>
        <v>6378.11</v>
      </c>
      <c r="O1222" s="196">
        <f t="shared" si="184"/>
        <v>20085822.140000001</v>
      </c>
      <c r="P1222" s="196">
        <f t="shared" si="184"/>
        <v>0</v>
      </c>
      <c r="Q1222" s="196">
        <f t="shared" si="184"/>
        <v>0</v>
      </c>
      <c r="R1222" s="196">
        <f t="shared" si="184"/>
        <v>0</v>
      </c>
      <c r="S1222" s="196">
        <f t="shared" si="184"/>
        <v>0</v>
      </c>
      <c r="T1222" s="196">
        <f t="shared" si="184"/>
        <v>0</v>
      </c>
      <c r="U1222" s="196">
        <f t="shared" si="184"/>
        <v>0</v>
      </c>
      <c r="V1222" s="282"/>
      <c r="W1222" s="282"/>
      <c r="X1222" s="282"/>
    </row>
    <row r="1223" spans="1:35" ht="15.75">
      <c r="A1223" s="198">
        <v>169</v>
      </c>
      <c r="B1223" s="941" t="s">
        <v>963</v>
      </c>
      <c r="C1223" s="196">
        <f>'часть 1'!L1256</f>
        <v>568539.85</v>
      </c>
      <c r="D1223" s="196">
        <v>0</v>
      </c>
      <c r="E1223" s="196">
        <v>0</v>
      </c>
      <c r="F1223" s="196">
        <v>0</v>
      </c>
      <c r="G1223" s="196">
        <v>0</v>
      </c>
      <c r="H1223" s="196">
        <v>0</v>
      </c>
      <c r="I1223" s="196">
        <v>0</v>
      </c>
      <c r="J1223" s="196">
        <v>0</v>
      </c>
      <c r="K1223" s="196">
        <v>0</v>
      </c>
      <c r="L1223" s="207">
        <v>0</v>
      </c>
      <c r="M1223" s="199">
        <v>0</v>
      </c>
      <c r="N1223" s="199">
        <v>311</v>
      </c>
      <c r="O1223" s="199">
        <f>C1223</f>
        <v>568539.85</v>
      </c>
      <c r="P1223" s="208">
        <v>0</v>
      </c>
      <c r="Q1223" s="199">
        <v>0</v>
      </c>
      <c r="R1223" s="200">
        <v>0</v>
      </c>
      <c r="S1223" s="209">
        <v>0</v>
      </c>
      <c r="T1223" s="208">
        <v>0</v>
      </c>
      <c r="U1223" s="289">
        <v>0</v>
      </c>
      <c r="V1223" s="282"/>
      <c r="W1223" s="282">
        <f>O1223/N1223</f>
        <v>1828.1024115755627</v>
      </c>
      <c r="X1223" s="282"/>
    </row>
    <row r="1224" spans="1:35" ht="15.75">
      <c r="A1224" s="198">
        <v>170</v>
      </c>
      <c r="B1224" s="941" t="s">
        <v>964</v>
      </c>
      <c r="C1224" s="196">
        <f>'часть 1'!L1257</f>
        <v>690413</v>
      </c>
      <c r="D1224" s="196">
        <v>0</v>
      </c>
      <c r="E1224" s="196">
        <v>0</v>
      </c>
      <c r="F1224" s="196">
        <v>0</v>
      </c>
      <c r="G1224" s="196">
        <v>0</v>
      </c>
      <c r="H1224" s="196">
        <v>0</v>
      </c>
      <c r="I1224" s="196">
        <v>0</v>
      </c>
      <c r="J1224" s="196">
        <v>0</v>
      </c>
      <c r="K1224" s="196">
        <v>0</v>
      </c>
      <c r="L1224" s="207">
        <v>0</v>
      </c>
      <c r="M1224" s="199">
        <v>0</v>
      </c>
      <c r="N1224" s="199">
        <v>214.48</v>
      </c>
      <c r="O1224" s="199">
        <f t="shared" ref="O1224:O1233" si="185">C1224</f>
        <v>690413</v>
      </c>
      <c r="P1224" s="208">
        <v>0</v>
      </c>
      <c r="Q1224" s="199">
        <v>0</v>
      </c>
      <c r="R1224" s="200">
        <v>0</v>
      </c>
      <c r="S1224" s="209">
        <v>0</v>
      </c>
      <c r="T1224" s="208">
        <v>0</v>
      </c>
      <c r="U1224" s="289">
        <v>0</v>
      </c>
      <c r="V1224" s="282"/>
      <c r="W1224" s="282">
        <f t="shared" ref="W1224:W1233" si="186">O1224/N1224</f>
        <v>3219.0087653860501</v>
      </c>
      <c r="X1224" s="282"/>
    </row>
    <row r="1225" spans="1:35" ht="15.75">
      <c r="A1225" s="198">
        <v>171</v>
      </c>
      <c r="B1225" s="941" t="s">
        <v>965</v>
      </c>
      <c r="C1225" s="196">
        <f>'часть 1'!L1258</f>
        <v>1677206</v>
      </c>
      <c r="D1225" s="196">
        <v>0</v>
      </c>
      <c r="E1225" s="196">
        <v>0</v>
      </c>
      <c r="F1225" s="196">
        <v>0</v>
      </c>
      <c r="G1225" s="196">
        <v>0</v>
      </c>
      <c r="H1225" s="196">
        <v>0</v>
      </c>
      <c r="I1225" s="196">
        <v>0</v>
      </c>
      <c r="J1225" s="196">
        <v>0</v>
      </c>
      <c r="K1225" s="196">
        <v>0</v>
      </c>
      <c r="L1225" s="207">
        <v>0</v>
      </c>
      <c r="M1225" s="199">
        <v>0</v>
      </c>
      <c r="N1225" s="199">
        <v>525</v>
      </c>
      <c r="O1225" s="199">
        <f t="shared" si="185"/>
        <v>1677206</v>
      </c>
      <c r="P1225" s="208">
        <v>0</v>
      </c>
      <c r="Q1225" s="199">
        <v>0</v>
      </c>
      <c r="R1225" s="200">
        <v>0</v>
      </c>
      <c r="S1225" s="209">
        <v>0</v>
      </c>
      <c r="T1225" s="208">
        <v>0</v>
      </c>
      <c r="U1225" s="289">
        <v>0</v>
      </c>
      <c r="V1225" s="282"/>
      <c r="W1225" s="282">
        <f t="shared" si="186"/>
        <v>3194.678095238095</v>
      </c>
      <c r="X1225" s="282"/>
    </row>
    <row r="1226" spans="1:35" ht="15.75">
      <c r="A1226" s="198">
        <v>172</v>
      </c>
      <c r="B1226" s="941" t="s">
        <v>966</v>
      </c>
      <c r="C1226" s="196">
        <f>'часть 1'!L1259</f>
        <v>1912197</v>
      </c>
      <c r="D1226" s="196">
        <v>0</v>
      </c>
      <c r="E1226" s="196">
        <v>0</v>
      </c>
      <c r="F1226" s="196">
        <v>0</v>
      </c>
      <c r="G1226" s="196">
        <v>0</v>
      </c>
      <c r="H1226" s="196">
        <v>0</v>
      </c>
      <c r="I1226" s="196">
        <v>0</v>
      </c>
      <c r="J1226" s="196">
        <v>0</v>
      </c>
      <c r="K1226" s="196">
        <v>0</v>
      </c>
      <c r="L1226" s="207">
        <v>0</v>
      </c>
      <c r="M1226" s="199">
        <v>0</v>
      </c>
      <c r="N1226" s="199">
        <v>600</v>
      </c>
      <c r="O1226" s="199">
        <f t="shared" si="185"/>
        <v>1912197</v>
      </c>
      <c r="P1226" s="208">
        <v>0</v>
      </c>
      <c r="Q1226" s="199">
        <v>0</v>
      </c>
      <c r="R1226" s="200">
        <v>0</v>
      </c>
      <c r="S1226" s="209">
        <v>0</v>
      </c>
      <c r="T1226" s="208">
        <v>0</v>
      </c>
      <c r="U1226" s="289">
        <v>0</v>
      </c>
      <c r="V1226" s="282"/>
      <c r="W1226" s="282">
        <f t="shared" si="186"/>
        <v>3186.9949999999999</v>
      </c>
      <c r="X1226" s="282"/>
    </row>
    <row r="1227" spans="1:35" ht="15.75">
      <c r="A1227" s="198">
        <v>173</v>
      </c>
      <c r="B1227" s="941" t="s">
        <v>967</v>
      </c>
      <c r="C1227" s="196">
        <f>'часть 1'!L1260</f>
        <v>2920191</v>
      </c>
      <c r="D1227" s="196">
        <v>0</v>
      </c>
      <c r="E1227" s="196">
        <v>0</v>
      </c>
      <c r="F1227" s="196">
        <v>0</v>
      </c>
      <c r="G1227" s="196">
        <v>0</v>
      </c>
      <c r="H1227" s="196">
        <v>0</v>
      </c>
      <c r="I1227" s="196">
        <v>0</v>
      </c>
      <c r="J1227" s="196">
        <v>0</v>
      </c>
      <c r="K1227" s="196">
        <v>0</v>
      </c>
      <c r="L1227" s="207">
        <v>0</v>
      </c>
      <c r="M1227" s="199">
        <v>0</v>
      </c>
      <c r="N1227" s="199">
        <v>915</v>
      </c>
      <c r="O1227" s="199">
        <f t="shared" si="185"/>
        <v>2920191</v>
      </c>
      <c r="P1227" s="208">
        <v>0</v>
      </c>
      <c r="Q1227" s="199">
        <v>0</v>
      </c>
      <c r="R1227" s="200">
        <v>0</v>
      </c>
      <c r="S1227" s="209">
        <v>0</v>
      </c>
      <c r="T1227" s="208">
        <v>0</v>
      </c>
      <c r="U1227" s="289">
        <v>0</v>
      </c>
      <c r="V1227" s="282"/>
      <c r="W1227" s="282">
        <f t="shared" si="186"/>
        <v>3191.465573770492</v>
      </c>
      <c r="X1227" s="282"/>
    </row>
    <row r="1228" spans="1:35" ht="15.75">
      <c r="A1228" s="198">
        <v>174</v>
      </c>
      <c r="B1228" s="941" t="s">
        <v>968</v>
      </c>
      <c r="C1228" s="196">
        <f>'часть 1'!L1261</f>
        <v>1379030</v>
      </c>
      <c r="D1228" s="196">
        <v>0</v>
      </c>
      <c r="E1228" s="196">
        <v>0</v>
      </c>
      <c r="F1228" s="196">
        <v>0</v>
      </c>
      <c r="G1228" s="196">
        <v>0</v>
      </c>
      <c r="H1228" s="196">
        <v>0</v>
      </c>
      <c r="I1228" s="196">
        <v>0</v>
      </c>
      <c r="J1228" s="196">
        <v>0</v>
      </c>
      <c r="K1228" s="196">
        <v>0</v>
      </c>
      <c r="L1228" s="207">
        <v>0</v>
      </c>
      <c r="M1228" s="199">
        <v>0</v>
      </c>
      <c r="N1228" s="199">
        <v>430.15</v>
      </c>
      <c r="O1228" s="199">
        <f t="shared" si="185"/>
        <v>1379030</v>
      </c>
      <c r="P1228" s="208">
        <v>0</v>
      </c>
      <c r="Q1228" s="199">
        <v>0</v>
      </c>
      <c r="R1228" s="200">
        <v>0</v>
      </c>
      <c r="S1228" s="209">
        <v>0</v>
      </c>
      <c r="T1228" s="208">
        <v>0</v>
      </c>
      <c r="U1228" s="289">
        <v>0</v>
      </c>
      <c r="V1228" s="282"/>
      <c r="W1228" s="282">
        <f t="shared" si="186"/>
        <v>3205.9281645937467</v>
      </c>
      <c r="X1228" s="282"/>
    </row>
    <row r="1229" spans="1:35" ht="15.75">
      <c r="A1229" s="198"/>
      <c r="B1229" s="941" t="s">
        <v>969</v>
      </c>
      <c r="C1229" s="196">
        <f>'часть 1'!L1262</f>
        <v>1053343</v>
      </c>
      <c r="D1229" s="196">
        <v>0</v>
      </c>
      <c r="E1229" s="196">
        <v>0</v>
      </c>
      <c r="F1229" s="196">
        <v>0</v>
      </c>
      <c r="G1229" s="196">
        <v>0</v>
      </c>
      <c r="H1229" s="196">
        <v>0</v>
      </c>
      <c r="I1229" s="196">
        <v>0</v>
      </c>
      <c r="J1229" s="196">
        <v>0</v>
      </c>
      <c r="K1229" s="196">
        <v>0</v>
      </c>
      <c r="L1229" s="207">
        <v>0</v>
      </c>
      <c r="M1229" s="199">
        <v>0</v>
      </c>
      <c r="N1229" s="199">
        <v>327</v>
      </c>
      <c r="O1229" s="199">
        <f t="shared" si="185"/>
        <v>1053343</v>
      </c>
      <c r="P1229" s="208">
        <v>0</v>
      </c>
      <c r="Q1229" s="199">
        <v>0</v>
      </c>
      <c r="R1229" s="200">
        <v>0</v>
      </c>
      <c r="S1229" s="209">
        <v>0</v>
      </c>
      <c r="T1229" s="208">
        <v>0</v>
      </c>
      <c r="U1229" s="289">
        <v>0</v>
      </c>
      <c r="V1229" s="282"/>
      <c r="W1229" s="282">
        <f t="shared" si="186"/>
        <v>3221.2324159021405</v>
      </c>
      <c r="X1229" s="282"/>
    </row>
    <row r="1230" spans="1:35" ht="15.75">
      <c r="A1230" s="198"/>
      <c r="B1230" s="941" t="s">
        <v>970</v>
      </c>
      <c r="C1230" s="196">
        <f>'часть 1'!L1263</f>
        <v>2217592</v>
      </c>
      <c r="D1230" s="196">
        <v>0</v>
      </c>
      <c r="E1230" s="196">
        <v>0</v>
      </c>
      <c r="F1230" s="196">
        <v>0</v>
      </c>
      <c r="G1230" s="196">
        <v>0</v>
      </c>
      <c r="H1230" s="196">
        <v>0</v>
      </c>
      <c r="I1230" s="196">
        <v>0</v>
      </c>
      <c r="J1230" s="196">
        <v>0</v>
      </c>
      <c r="K1230" s="196">
        <v>0</v>
      </c>
      <c r="L1230" s="207">
        <v>0</v>
      </c>
      <c r="M1230" s="199">
        <v>0</v>
      </c>
      <c r="N1230" s="199">
        <v>883.7</v>
      </c>
      <c r="O1230" s="199">
        <f t="shared" si="185"/>
        <v>2217592</v>
      </c>
      <c r="P1230" s="208">
        <v>0</v>
      </c>
      <c r="Q1230" s="199">
        <v>0</v>
      </c>
      <c r="R1230" s="200">
        <v>0</v>
      </c>
      <c r="S1230" s="209">
        <v>0</v>
      </c>
      <c r="T1230" s="208">
        <v>0</v>
      </c>
      <c r="U1230" s="289">
        <v>0</v>
      </c>
      <c r="V1230" s="282"/>
      <c r="W1230" s="282">
        <f t="shared" si="186"/>
        <v>2509.4398551544641</v>
      </c>
      <c r="X1230" s="282"/>
    </row>
    <row r="1231" spans="1:35" ht="15.75">
      <c r="A1231" s="198"/>
      <c r="B1231" s="941" t="s">
        <v>971</v>
      </c>
      <c r="C1231" s="196">
        <f>'часть 1'!L1264</f>
        <v>3519351</v>
      </c>
      <c r="D1231" s="196">
        <v>0</v>
      </c>
      <c r="E1231" s="196">
        <v>0</v>
      </c>
      <c r="F1231" s="196">
        <v>0</v>
      </c>
      <c r="G1231" s="196">
        <v>0</v>
      </c>
      <c r="H1231" s="196">
        <v>0</v>
      </c>
      <c r="I1231" s="196">
        <v>0</v>
      </c>
      <c r="J1231" s="196">
        <v>0</v>
      </c>
      <c r="K1231" s="196">
        <v>0</v>
      </c>
      <c r="L1231" s="207">
        <v>0</v>
      </c>
      <c r="M1231" s="199">
        <v>0</v>
      </c>
      <c r="N1231" s="199">
        <v>1106.78</v>
      </c>
      <c r="O1231" s="199">
        <f t="shared" si="185"/>
        <v>3519351</v>
      </c>
      <c r="P1231" s="208">
        <v>0</v>
      </c>
      <c r="Q1231" s="199">
        <v>0</v>
      </c>
      <c r="R1231" s="200">
        <v>0</v>
      </c>
      <c r="S1231" s="209">
        <v>0</v>
      </c>
      <c r="T1231" s="208">
        <v>0</v>
      </c>
      <c r="U1231" s="289">
        <v>0</v>
      </c>
      <c r="V1231" s="282"/>
      <c r="W1231" s="282">
        <f t="shared" si="186"/>
        <v>3179.8108025081769</v>
      </c>
      <c r="X1231" s="282"/>
    </row>
    <row r="1232" spans="1:35" ht="15.75">
      <c r="A1232" s="198">
        <v>175</v>
      </c>
      <c r="B1232" s="941" t="s">
        <v>972</v>
      </c>
      <c r="C1232" s="196">
        <f>'часть 1'!L1265</f>
        <v>1482982.29</v>
      </c>
      <c r="D1232" s="196">
        <v>0</v>
      </c>
      <c r="E1232" s="196">
        <v>0</v>
      </c>
      <c r="F1232" s="196">
        <v>0</v>
      </c>
      <c r="G1232" s="196">
        <v>0</v>
      </c>
      <c r="H1232" s="196">
        <v>0</v>
      </c>
      <c r="I1232" s="196">
        <v>0</v>
      </c>
      <c r="J1232" s="196">
        <v>0</v>
      </c>
      <c r="K1232" s="196">
        <v>0</v>
      </c>
      <c r="L1232" s="207">
        <v>0</v>
      </c>
      <c r="M1232" s="199">
        <v>0</v>
      </c>
      <c r="N1232" s="199">
        <v>0</v>
      </c>
      <c r="O1232" s="199">
        <f t="shared" si="185"/>
        <v>1482982.29</v>
      </c>
      <c r="P1232" s="208">
        <v>0</v>
      </c>
      <c r="Q1232" s="199">
        <v>0</v>
      </c>
      <c r="R1232" s="200">
        <v>0</v>
      </c>
      <c r="S1232" s="209">
        <v>0</v>
      </c>
      <c r="T1232" s="208">
        <v>0</v>
      </c>
      <c r="U1232" s="289">
        <v>0</v>
      </c>
      <c r="V1232" s="282"/>
      <c r="W1232" s="282" t="e">
        <f t="shared" si="186"/>
        <v>#DIV/0!</v>
      </c>
      <c r="X1232" s="282"/>
    </row>
    <row r="1233" spans="1:24" ht="15.75">
      <c r="A1233" s="198">
        <v>176</v>
      </c>
      <c r="B1233" s="941" t="s">
        <v>973</v>
      </c>
      <c r="C1233" s="196">
        <f>'часть 1'!L1266</f>
        <v>2664977</v>
      </c>
      <c r="D1233" s="196">
        <v>0</v>
      </c>
      <c r="E1233" s="196">
        <v>0</v>
      </c>
      <c r="F1233" s="196">
        <v>0</v>
      </c>
      <c r="G1233" s="196">
        <v>0</v>
      </c>
      <c r="H1233" s="196">
        <v>0</v>
      </c>
      <c r="I1233" s="196">
        <v>0</v>
      </c>
      <c r="J1233" s="196">
        <v>0</v>
      </c>
      <c r="K1233" s="196">
        <v>0</v>
      </c>
      <c r="L1233" s="207">
        <v>0</v>
      </c>
      <c r="M1233" s="199">
        <v>0</v>
      </c>
      <c r="N1233" s="199">
        <v>1065</v>
      </c>
      <c r="O1233" s="199">
        <f t="shared" si="185"/>
        <v>2664977</v>
      </c>
      <c r="P1233" s="208">
        <v>0</v>
      </c>
      <c r="Q1233" s="199">
        <v>0</v>
      </c>
      <c r="R1233" s="200">
        <v>0</v>
      </c>
      <c r="S1233" s="209">
        <v>0</v>
      </c>
      <c r="T1233" s="208">
        <v>0</v>
      </c>
      <c r="U1233" s="289">
        <v>0</v>
      </c>
      <c r="V1233" s="282"/>
      <c r="W1233" s="282">
        <f t="shared" si="186"/>
        <v>2502.3258215962442</v>
      </c>
      <c r="X1233" s="282"/>
    </row>
    <row r="1234" spans="1:24" ht="18.75" customHeight="1">
      <c r="A1234" s="470"/>
      <c r="B1234" s="520" t="s">
        <v>92</v>
      </c>
      <c r="C1234" s="512">
        <f>C1235</f>
        <v>0</v>
      </c>
      <c r="D1234" s="512">
        <f t="shared" ref="D1234:U1234" si="187">D1235</f>
        <v>0</v>
      </c>
      <c r="E1234" s="512">
        <f t="shared" si="187"/>
        <v>0</v>
      </c>
      <c r="F1234" s="512">
        <f t="shared" si="187"/>
        <v>0</v>
      </c>
      <c r="G1234" s="512">
        <f t="shared" si="187"/>
        <v>0</v>
      </c>
      <c r="H1234" s="512">
        <f t="shared" si="187"/>
        <v>0</v>
      </c>
      <c r="I1234" s="512">
        <f t="shared" si="187"/>
        <v>0</v>
      </c>
      <c r="J1234" s="512">
        <f t="shared" si="187"/>
        <v>0</v>
      </c>
      <c r="K1234" s="512">
        <f t="shared" si="187"/>
        <v>0</v>
      </c>
      <c r="L1234" s="512">
        <f t="shared" si="187"/>
        <v>0</v>
      </c>
      <c r="M1234" s="512">
        <f t="shared" si="187"/>
        <v>0</v>
      </c>
      <c r="N1234" s="512">
        <f t="shared" si="187"/>
        <v>0</v>
      </c>
      <c r="O1234" s="512">
        <f t="shared" si="187"/>
        <v>0</v>
      </c>
      <c r="P1234" s="512">
        <f t="shared" si="187"/>
        <v>0</v>
      </c>
      <c r="Q1234" s="512">
        <f t="shared" si="187"/>
        <v>0</v>
      </c>
      <c r="R1234" s="512">
        <f t="shared" si="187"/>
        <v>0</v>
      </c>
      <c r="S1234" s="512">
        <f t="shared" si="187"/>
        <v>0</v>
      </c>
      <c r="T1234" s="512">
        <f t="shared" si="187"/>
        <v>0</v>
      </c>
      <c r="U1234" s="512">
        <f t="shared" si="187"/>
        <v>0</v>
      </c>
      <c r="V1234" s="282"/>
      <c r="W1234" s="282"/>
      <c r="X1234" s="282"/>
    </row>
    <row r="1235" spans="1:24">
      <c r="A1235" s="470"/>
      <c r="B1235" s="520"/>
      <c r="C1235" s="512"/>
      <c r="D1235" s="512"/>
      <c r="E1235" s="512"/>
      <c r="F1235" s="512"/>
      <c r="G1235" s="512"/>
      <c r="H1235" s="512"/>
      <c r="I1235" s="512"/>
      <c r="J1235" s="512"/>
      <c r="K1235" s="512"/>
      <c r="L1235" s="525"/>
      <c r="M1235" s="472"/>
      <c r="N1235" s="558"/>
      <c r="O1235" s="472"/>
      <c r="P1235" s="473"/>
      <c r="Q1235" s="472"/>
      <c r="R1235" s="474"/>
      <c r="S1235" s="475"/>
      <c r="T1235" s="473"/>
      <c r="U1235" s="904"/>
      <c r="V1235" s="282"/>
      <c r="W1235" s="282"/>
      <c r="X1235" s="282"/>
    </row>
    <row r="1236" spans="1:24" ht="18.75" customHeight="1">
      <c r="A1236" s="470"/>
      <c r="B1236" s="511" t="s">
        <v>93</v>
      </c>
      <c r="C1236" s="512">
        <f>C1237+C1238+C1239+C1240</f>
        <v>12233600</v>
      </c>
      <c r="D1236" s="512">
        <f t="shared" ref="D1236:V1236" si="188">D1237+D1238+D1239+D1240</f>
        <v>0</v>
      </c>
      <c r="E1236" s="512">
        <f t="shared" si="188"/>
        <v>0</v>
      </c>
      <c r="F1236" s="512">
        <f t="shared" si="188"/>
        <v>0</v>
      </c>
      <c r="G1236" s="512">
        <f t="shared" si="188"/>
        <v>0</v>
      </c>
      <c r="H1236" s="512">
        <f t="shared" si="188"/>
        <v>0</v>
      </c>
      <c r="I1236" s="512">
        <f t="shared" si="188"/>
        <v>0</v>
      </c>
      <c r="J1236" s="512">
        <f t="shared" si="188"/>
        <v>0</v>
      </c>
      <c r="K1236" s="512">
        <f t="shared" si="188"/>
        <v>0</v>
      </c>
      <c r="L1236" s="512">
        <f t="shared" si="188"/>
        <v>0</v>
      </c>
      <c r="M1236" s="512">
        <f t="shared" si="188"/>
        <v>0</v>
      </c>
      <c r="N1236" s="512">
        <f t="shared" si="188"/>
        <v>4541.1400000000003</v>
      </c>
      <c r="O1236" s="512">
        <f t="shared" si="188"/>
        <v>12233600</v>
      </c>
      <c r="P1236" s="512">
        <f t="shared" si="188"/>
        <v>0</v>
      </c>
      <c r="Q1236" s="512">
        <f t="shared" si="188"/>
        <v>0</v>
      </c>
      <c r="R1236" s="512">
        <f t="shared" si="188"/>
        <v>0</v>
      </c>
      <c r="S1236" s="512">
        <f t="shared" si="188"/>
        <v>0</v>
      </c>
      <c r="T1236" s="512">
        <f t="shared" si="188"/>
        <v>0</v>
      </c>
      <c r="U1236" s="512">
        <f t="shared" si="188"/>
        <v>0</v>
      </c>
      <c r="V1236" s="512">
        <f t="shared" si="188"/>
        <v>0</v>
      </c>
      <c r="W1236" s="282"/>
      <c r="X1236" s="282"/>
    </row>
    <row r="1237" spans="1:24" s="23" customFormat="1">
      <c r="A1237" s="470">
        <v>178</v>
      </c>
      <c r="B1237" s="699" t="s">
        <v>790</v>
      </c>
      <c r="C1237" s="479">
        <f>'часть 1'!L1270</f>
        <v>3401438</v>
      </c>
      <c r="D1237" s="479">
        <v>0</v>
      </c>
      <c r="E1237" s="479">
        <v>0</v>
      </c>
      <c r="F1237" s="479">
        <v>0</v>
      </c>
      <c r="G1237" s="479">
        <v>0</v>
      </c>
      <c r="H1237" s="479">
        <v>0</v>
      </c>
      <c r="I1237" s="479">
        <v>0</v>
      </c>
      <c r="J1237" s="479">
        <v>0</v>
      </c>
      <c r="K1237" s="479">
        <v>0</v>
      </c>
      <c r="L1237" s="515">
        <v>0</v>
      </c>
      <c r="M1237" s="479">
        <v>0</v>
      </c>
      <c r="N1237" s="479">
        <v>1360.8</v>
      </c>
      <c r="O1237" s="479">
        <v>3401438</v>
      </c>
      <c r="P1237" s="515">
        <v>0</v>
      </c>
      <c r="Q1237" s="479">
        <v>0</v>
      </c>
      <c r="R1237" s="516">
        <v>0</v>
      </c>
      <c r="S1237" s="479">
        <v>0</v>
      </c>
      <c r="T1237" s="515">
        <v>0</v>
      </c>
      <c r="U1237" s="517">
        <v>0</v>
      </c>
      <c r="V1237" s="282"/>
      <c r="W1237" s="282">
        <f>O1237/N1237</f>
        <v>2499.5870076425631</v>
      </c>
      <c r="X1237" s="282"/>
    </row>
    <row r="1238" spans="1:24" s="23" customFormat="1">
      <c r="A1238" s="470">
        <v>179</v>
      </c>
      <c r="B1238" s="699" t="s">
        <v>791</v>
      </c>
      <c r="C1238" s="479">
        <f>'часть 1'!L1271</f>
        <v>2323942</v>
      </c>
      <c r="D1238" s="479">
        <v>0</v>
      </c>
      <c r="E1238" s="479">
        <v>0</v>
      </c>
      <c r="F1238" s="479">
        <v>0</v>
      </c>
      <c r="G1238" s="479">
        <v>0</v>
      </c>
      <c r="H1238" s="479">
        <v>0</v>
      </c>
      <c r="I1238" s="479">
        <v>0</v>
      </c>
      <c r="J1238" s="479">
        <v>0</v>
      </c>
      <c r="K1238" s="479">
        <v>0</v>
      </c>
      <c r="L1238" s="515">
        <v>0</v>
      </c>
      <c r="M1238" s="479">
        <v>0</v>
      </c>
      <c r="N1238" s="479">
        <v>927</v>
      </c>
      <c r="O1238" s="479">
        <v>2323942</v>
      </c>
      <c r="P1238" s="515">
        <v>0</v>
      </c>
      <c r="Q1238" s="479">
        <v>0</v>
      </c>
      <c r="R1238" s="516">
        <v>0</v>
      </c>
      <c r="S1238" s="479">
        <v>0</v>
      </c>
      <c r="T1238" s="515">
        <v>0</v>
      </c>
      <c r="U1238" s="517">
        <v>0</v>
      </c>
      <c r="V1238" s="282"/>
      <c r="W1238" s="282">
        <f t="shared" ref="W1238:W1240" si="189">O1238/N1238</f>
        <v>2506.9492988133766</v>
      </c>
      <c r="X1238" s="282"/>
    </row>
    <row r="1239" spans="1:24" s="23" customFormat="1">
      <c r="A1239" s="470">
        <v>180</v>
      </c>
      <c r="B1239" s="699" t="s">
        <v>792</v>
      </c>
      <c r="C1239" s="479">
        <f>'часть 1'!L1272</f>
        <v>4059506</v>
      </c>
      <c r="D1239" s="479">
        <v>0</v>
      </c>
      <c r="E1239" s="479">
        <v>0</v>
      </c>
      <c r="F1239" s="479">
        <v>0</v>
      </c>
      <c r="G1239" s="479">
        <v>0</v>
      </c>
      <c r="H1239" s="479">
        <v>0</v>
      </c>
      <c r="I1239" s="479">
        <v>0</v>
      </c>
      <c r="J1239" s="479">
        <v>0</v>
      </c>
      <c r="K1239" s="479">
        <v>0</v>
      </c>
      <c r="L1239" s="515">
        <v>0</v>
      </c>
      <c r="M1239" s="479">
        <v>0</v>
      </c>
      <c r="N1239" s="479">
        <v>1275.8399999999999</v>
      </c>
      <c r="O1239" s="479">
        <v>4059506</v>
      </c>
      <c r="P1239" s="515">
        <v>0</v>
      </c>
      <c r="Q1239" s="479">
        <v>0</v>
      </c>
      <c r="R1239" s="516">
        <v>0</v>
      </c>
      <c r="S1239" s="479">
        <v>0</v>
      </c>
      <c r="T1239" s="515">
        <v>0</v>
      </c>
      <c r="U1239" s="517">
        <v>0</v>
      </c>
      <c r="V1239" s="282"/>
      <c r="W1239" s="282">
        <f t="shared" si="189"/>
        <v>3181.830010032606</v>
      </c>
      <c r="X1239" s="282"/>
    </row>
    <row r="1240" spans="1:24" s="23" customFormat="1">
      <c r="A1240" s="470">
        <v>181</v>
      </c>
      <c r="B1240" s="699" t="s">
        <v>793</v>
      </c>
      <c r="C1240" s="479">
        <f>'часть 1'!L1273</f>
        <v>2448714</v>
      </c>
      <c r="D1240" s="479">
        <v>0</v>
      </c>
      <c r="E1240" s="479">
        <v>0</v>
      </c>
      <c r="F1240" s="479">
        <v>0</v>
      </c>
      <c r="G1240" s="479">
        <v>0</v>
      </c>
      <c r="H1240" s="479">
        <v>0</v>
      </c>
      <c r="I1240" s="479">
        <v>0</v>
      </c>
      <c r="J1240" s="479">
        <v>0</v>
      </c>
      <c r="K1240" s="479">
        <v>0</v>
      </c>
      <c r="L1240" s="515">
        <v>0</v>
      </c>
      <c r="M1240" s="479">
        <v>0</v>
      </c>
      <c r="N1240" s="479">
        <v>977.5</v>
      </c>
      <c r="O1240" s="479">
        <v>2448714</v>
      </c>
      <c r="P1240" s="515">
        <v>0</v>
      </c>
      <c r="Q1240" s="479">
        <v>0</v>
      </c>
      <c r="R1240" s="516">
        <v>0</v>
      </c>
      <c r="S1240" s="479">
        <v>0</v>
      </c>
      <c r="T1240" s="515">
        <v>0</v>
      </c>
      <c r="U1240" s="517">
        <v>0</v>
      </c>
      <c r="V1240" s="282"/>
      <c r="W1240" s="282">
        <f t="shared" si="189"/>
        <v>2505.0782608695654</v>
      </c>
      <c r="X1240" s="282"/>
    </row>
    <row r="1241" spans="1:24" s="23" customFormat="1">
      <c r="A1241" s="470"/>
      <c r="B1241" s="699"/>
      <c r="C1241" s="479"/>
      <c r="D1241" s="479"/>
      <c r="E1241" s="479"/>
      <c r="F1241" s="479"/>
      <c r="G1241" s="479"/>
      <c r="H1241" s="479"/>
      <c r="I1241" s="479"/>
      <c r="J1241" s="479"/>
      <c r="K1241" s="479"/>
      <c r="L1241" s="515"/>
      <c r="M1241" s="479"/>
      <c r="N1241" s="479"/>
      <c r="O1241" s="479"/>
      <c r="P1241" s="515"/>
      <c r="Q1241" s="479"/>
      <c r="R1241" s="516"/>
      <c r="S1241" s="479"/>
      <c r="T1241" s="515"/>
      <c r="U1241" s="517"/>
      <c r="V1241" s="282"/>
      <c r="W1241" s="282"/>
      <c r="X1241" s="282"/>
    </row>
    <row r="1242" spans="1:24" s="23" customFormat="1">
      <c r="A1242" s="470"/>
      <c r="B1242" s="699"/>
      <c r="C1242" s="479"/>
      <c r="D1242" s="479"/>
      <c r="E1242" s="479"/>
      <c r="F1242" s="479"/>
      <c r="G1242" s="479"/>
      <c r="H1242" s="479"/>
      <c r="I1242" s="479"/>
      <c r="J1242" s="479"/>
      <c r="K1242" s="479"/>
      <c r="L1242" s="515"/>
      <c r="M1242" s="479"/>
      <c r="N1242" s="479"/>
      <c r="O1242" s="479"/>
      <c r="P1242" s="515"/>
      <c r="Q1242" s="479"/>
      <c r="R1242" s="516"/>
      <c r="S1242" s="479"/>
      <c r="T1242" s="515"/>
      <c r="U1242" s="517"/>
      <c r="V1242" s="282"/>
      <c r="W1242" s="282"/>
      <c r="X1242" s="282"/>
    </row>
    <row r="1243" spans="1:24" s="23" customFormat="1">
      <c r="A1243" s="470"/>
      <c r="B1243" s="699"/>
      <c r="C1243" s="479"/>
      <c r="D1243" s="479"/>
      <c r="E1243" s="479"/>
      <c r="F1243" s="479"/>
      <c r="G1243" s="479"/>
      <c r="H1243" s="479"/>
      <c r="I1243" s="479"/>
      <c r="J1243" s="479"/>
      <c r="K1243" s="479"/>
      <c r="L1243" s="515"/>
      <c r="M1243" s="479"/>
      <c r="N1243" s="479"/>
      <c r="O1243" s="479"/>
      <c r="P1243" s="515"/>
      <c r="Q1243" s="479"/>
      <c r="R1243" s="516"/>
      <c r="S1243" s="479"/>
      <c r="T1243" s="515"/>
      <c r="U1243" s="517"/>
      <c r="V1243" s="282"/>
      <c r="W1243" s="282"/>
      <c r="X1243" s="282"/>
    </row>
    <row r="1244" spans="1:24" s="23" customFormat="1">
      <c r="A1244" s="470"/>
      <c r="B1244" s="699"/>
      <c r="C1244" s="479"/>
      <c r="D1244" s="479"/>
      <c r="E1244" s="479"/>
      <c r="F1244" s="479"/>
      <c r="G1244" s="479"/>
      <c r="H1244" s="479"/>
      <c r="I1244" s="479"/>
      <c r="J1244" s="479"/>
      <c r="K1244" s="479"/>
      <c r="L1244" s="515"/>
      <c r="M1244" s="479"/>
      <c r="N1244" s="479"/>
      <c r="O1244" s="479"/>
      <c r="P1244" s="515"/>
      <c r="Q1244" s="479"/>
      <c r="R1244" s="516"/>
      <c r="S1244" s="479"/>
      <c r="T1244" s="515"/>
      <c r="U1244" s="517"/>
      <c r="V1244" s="282"/>
      <c r="W1244" s="282"/>
      <c r="X1244" s="282"/>
    </row>
    <row r="1245" spans="1:24" s="23" customFormat="1">
      <c r="A1245" s="470"/>
      <c r="B1245" s="699"/>
      <c r="C1245" s="479"/>
      <c r="D1245" s="479"/>
      <c r="E1245" s="479"/>
      <c r="F1245" s="479"/>
      <c r="G1245" s="479"/>
      <c r="H1245" s="479"/>
      <c r="I1245" s="479"/>
      <c r="J1245" s="479"/>
      <c r="K1245" s="479"/>
      <c r="L1245" s="515"/>
      <c r="M1245" s="479"/>
      <c r="N1245" s="479"/>
      <c r="O1245" s="479"/>
      <c r="P1245" s="515"/>
      <c r="Q1245" s="479"/>
      <c r="R1245" s="516"/>
      <c r="S1245" s="479"/>
      <c r="T1245" s="515"/>
      <c r="U1245" s="517"/>
      <c r="V1245" s="282"/>
      <c r="W1245" s="282"/>
      <c r="X1245" s="282"/>
    </row>
    <row r="1246" spans="1:24" s="23" customFormat="1">
      <c r="A1246" s="470"/>
      <c r="B1246" s="699"/>
      <c r="C1246" s="479"/>
      <c r="D1246" s="479"/>
      <c r="E1246" s="479"/>
      <c r="F1246" s="479"/>
      <c r="G1246" s="479"/>
      <c r="H1246" s="479"/>
      <c r="I1246" s="479"/>
      <c r="J1246" s="479"/>
      <c r="K1246" s="479"/>
      <c r="L1246" s="515"/>
      <c r="M1246" s="479"/>
      <c r="N1246" s="479"/>
      <c r="O1246" s="479"/>
      <c r="P1246" s="515"/>
      <c r="Q1246" s="479"/>
      <c r="R1246" s="516"/>
      <c r="S1246" s="479"/>
      <c r="T1246" s="515"/>
      <c r="U1246" s="517"/>
      <c r="V1246" s="282"/>
      <c r="W1246" s="282"/>
      <c r="X1246" s="282"/>
    </row>
    <row r="1247" spans="1:24" s="23" customFormat="1">
      <c r="A1247" s="470"/>
      <c r="B1247" s="699"/>
      <c r="C1247" s="479"/>
      <c r="D1247" s="479"/>
      <c r="E1247" s="479"/>
      <c r="F1247" s="479"/>
      <c r="G1247" s="479"/>
      <c r="H1247" s="479"/>
      <c r="I1247" s="479"/>
      <c r="J1247" s="479"/>
      <c r="K1247" s="479"/>
      <c r="L1247" s="515"/>
      <c r="M1247" s="479"/>
      <c r="N1247" s="479"/>
      <c r="O1247" s="479"/>
      <c r="P1247" s="515"/>
      <c r="Q1247" s="479"/>
      <c r="R1247" s="516"/>
      <c r="S1247" s="479"/>
      <c r="T1247" s="515"/>
      <c r="U1247" s="517"/>
      <c r="V1247" s="282"/>
      <c r="W1247" s="282"/>
      <c r="X1247" s="282"/>
    </row>
    <row r="1248" spans="1:24" s="23" customFormat="1">
      <c r="A1248" s="470"/>
      <c r="B1248" s="699"/>
      <c r="C1248" s="479"/>
      <c r="D1248" s="479"/>
      <c r="E1248" s="479"/>
      <c r="F1248" s="479"/>
      <c r="G1248" s="479"/>
      <c r="H1248" s="479"/>
      <c r="I1248" s="479"/>
      <c r="J1248" s="479"/>
      <c r="K1248" s="479"/>
      <c r="L1248" s="515"/>
      <c r="M1248" s="479"/>
      <c r="N1248" s="479"/>
      <c r="O1248" s="479"/>
      <c r="P1248" s="515"/>
      <c r="Q1248" s="479"/>
      <c r="R1248" s="516"/>
      <c r="S1248" s="479"/>
      <c r="T1248" s="515"/>
      <c r="U1248" s="517"/>
      <c r="V1248" s="282"/>
      <c r="W1248" s="282"/>
      <c r="X1248" s="282"/>
    </row>
    <row r="1249" spans="1:32" s="23" customFormat="1">
      <c r="A1249" s="470"/>
      <c r="B1249" s="699"/>
      <c r="C1249" s="479"/>
      <c r="D1249" s="479"/>
      <c r="E1249" s="479"/>
      <c r="F1249" s="479"/>
      <c r="G1249" s="479"/>
      <c r="H1249" s="479"/>
      <c r="I1249" s="479"/>
      <c r="J1249" s="479"/>
      <c r="K1249" s="479"/>
      <c r="L1249" s="515"/>
      <c r="M1249" s="479"/>
      <c r="N1249" s="479"/>
      <c r="O1249" s="479"/>
      <c r="P1249" s="515"/>
      <c r="Q1249" s="479"/>
      <c r="R1249" s="516"/>
      <c r="S1249" s="479"/>
      <c r="T1249" s="515"/>
      <c r="U1249" s="517"/>
      <c r="V1249" s="282"/>
      <c r="W1249" s="282"/>
      <c r="X1249" s="282"/>
    </row>
    <row r="1250" spans="1:32" s="23" customFormat="1">
      <c r="A1250" s="470"/>
      <c r="B1250" s="699"/>
      <c r="C1250" s="479"/>
      <c r="D1250" s="479"/>
      <c r="E1250" s="479"/>
      <c r="F1250" s="479"/>
      <c r="G1250" s="479"/>
      <c r="H1250" s="479"/>
      <c r="I1250" s="479"/>
      <c r="J1250" s="479"/>
      <c r="K1250" s="479"/>
      <c r="L1250" s="515"/>
      <c r="M1250" s="479"/>
      <c r="N1250" s="479"/>
      <c r="O1250" s="479"/>
      <c r="P1250" s="515"/>
      <c r="Q1250" s="479"/>
      <c r="R1250" s="516"/>
      <c r="S1250" s="479"/>
      <c r="T1250" s="515"/>
      <c r="U1250" s="517"/>
      <c r="V1250" s="282"/>
      <c r="W1250" s="282"/>
      <c r="X1250" s="282"/>
    </row>
    <row r="1251" spans="1:32" s="23" customFormat="1">
      <c r="A1251" s="470"/>
      <c r="B1251" s="699"/>
      <c r="C1251" s="479"/>
      <c r="D1251" s="479"/>
      <c r="E1251" s="479"/>
      <c r="F1251" s="479"/>
      <c r="G1251" s="479"/>
      <c r="H1251" s="479"/>
      <c r="I1251" s="479"/>
      <c r="J1251" s="479"/>
      <c r="K1251" s="479"/>
      <c r="L1251" s="515"/>
      <c r="M1251" s="479"/>
      <c r="N1251" s="479"/>
      <c r="O1251" s="479"/>
      <c r="P1251" s="515"/>
      <c r="Q1251" s="479"/>
      <c r="R1251" s="516"/>
      <c r="S1251" s="479"/>
      <c r="T1251" s="515"/>
      <c r="U1251" s="517"/>
      <c r="V1251" s="282"/>
      <c r="W1251" s="282"/>
      <c r="X1251" s="282"/>
    </row>
    <row r="1252" spans="1:32" s="23" customFormat="1">
      <c r="A1252" s="470"/>
      <c r="B1252" s="699"/>
      <c r="C1252" s="479"/>
      <c r="D1252" s="479"/>
      <c r="E1252" s="479"/>
      <c r="F1252" s="479"/>
      <c r="G1252" s="479"/>
      <c r="H1252" s="479"/>
      <c r="I1252" s="479"/>
      <c r="J1252" s="479"/>
      <c r="K1252" s="479"/>
      <c r="L1252" s="515"/>
      <c r="M1252" s="479"/>
      <c r="N1252" s="479"/>
      <c r="O1252" s="479"/>
      <c r="P1252" s="515"/>
      <c r="Q1252" s="479"/>
      <c r="R1252" s="516"/>
      <c r="S1252" s="479"/>
      <c r="T1252" s="515"/>
      <c r="U1252" s="517"/>
      <c r="V1252" s="282"/>
      <c r="W1252" s="282"/>
      <c r="X1252" s="282"/>
    </row>
    <row r="1253" spans="1:32" s="23" customFormat="1">
      <c r="A1253" s="470"/>
      <c r="B1253" s="699"/>
      <c r="C1253" s="479"/>
      <c r="D1253" s="479"/>
      <c r="E1253" s="479"/>
      <c r="F1253" s="479"/>
      <c r="G1253" s="479"/>
      <c r="H1253" s="479"/>
      <c r="I1253" s="479"/>
      <c r="J1253" s="479"/>
      <c r="K1253" s="479"/>
      <c r="L1253" s="515"/>
      <c r="M1253" s="479"/>
      <c r="N1253" s="479"/>
      <c r="O1253" s="479"/>
      <c r="P1253" s="515"/>
      <c r="Q1253" s="479"/>
      <c r="R1253" s="516"/>
      <c r="S1253" s="479"/>
      <c r="T1253" s="515"/>
      <c r="U1253" s="517"/>
      <c r="V1253" s="282"/>
      <c r="W1253" s="282"/>
      <c r="X1253" s="282"/>
    </row>
    <row r="1254" spans="1:32" s="23" customFormat="1">
      <c r="A1254" s="470"/>
      <c r="B1254" s="699"/>
      <c r="C1254" s="479"/>
      <c r="D1254" s="479"/>
      <c r="E1254" s="479"/>
      <c r="F1254" s="479"/>
      <c r="G1254" s="479"/>
      <c r="H1254" s="479"/>
      <c r="I1254" s="479"/>
      <c r="J1254" s="479"/>
      <c r="K1254" s="479"/>
      <c r="L1254" s="515"/>
      <c r="M1254" s="479"/>
      <c r="N1254" s="479"/>
      <c r="O1254" s="479"/>
      <c r="P1254" s="515"/>
      <c r="Q1254" s="479"/>
      <c r="R1254" s="516"/>
      <c r="S1254" s="479"/>
      <c r="T1254" s="515"/>
      <c r="U1254" s="517"/>
      <c r="V1254" s="282"/>
      <c r="W1254" s="282"/>
      <c r="X1254" s="282"/>
    </row>
    <row r="1255" spans="1:32" s="23" customFormat="1">
      <c r="A1255" s="470"/>
      <c r="B1255" s="699"/>
      <c r="C1255" s="479"/>
      <c r="D1255" s="479"/>
      <c r="E1255" s="479"/>
      <c r="F1255" s="479"/>
      <c r="G1255" s="479"/>
      <c r="H1255" s="479"/>
      <c r="I1255" s="479"/>
      <c r="J1255" s="479"/>
      <c r="K1255" s="479"/>
      <c r="L1255" s="515"/>
      <c r="M1255" s="479"/>
      <c r="N1255" s="479"/>
      <c r="O1255" s="479"/>
      <c r="P1255" s="515"/>
      <c r="Q1255" s="479"/>
      <c r="R1255" s="516"/>
      <c r="S1255" s="479"/>
      <c r="T1255" s="515"/>
      <c r="U1255" s="517"/>
      <c r="V1255" s="282"/>
      <c r="W1255" s="282"/>
      <c r="X1255" s="282"/>
    </row>
    <row r="1256" spans="1:32" s="23" customFormat="1">
      <c r="A1256" s="470"/>
      <c r="B1256" s="699"/>
      <c r="C1256" s="479"/>
      <c r="D1256" s="479"/>
      <c r="E1256" s="479"/>
      <c r="F1256" s="479"/>
      <c r="G1256" s="479"/>
      <c r="H1256" s="479"/>
      <c r="I1256" s="479"/>
      <c r="J1256" s="479"/>
      <c r="K1256" s="479"/>
      <c r="L1256" s="515"/>
      <c r="M1256" s="479"/>
      <c r="N1256" s="479"/>
      <c r="O1256" s="479"/>
      <c r="P1256" s="515"/>
      <c r="Q1256" s="479"/>
      <c r="R1256" s="516"/>
      <c r="S1256" s="479"/>
      <c r="T1256" s="515"/>
      <c r="U1256" s="517"/>
      <c r="V1256" s="282"/>
      <c r="W1256" s="282"/>
      <c r="X1256" s="282"/>
    </row>
    <row r="1257" spans="1:32" s="23" customFormat="1">
      <c r="A1257" s="470"/>
      <c r="B1257" s="699"/>
      <c r="C1257" s="479"/>
      <c r="D1257" s="479"/>
      <c r="E1257" s="479"/>
      <c r="F1257" s="479"/>
      <c r="G1257" s="479"/>
      <c r="H1257" s="479"/>
      <c r="I1257" s="479"/>
      <c r="J1257" s="479"/>
      <c r="K1257" s="479"/>
      <c r="L1257" s="515"/>
      <c r="M1257" s="479"/>
      <c r="N1257" s="479"/>
      <c r="O1257" s="479"/>
      <c r="P1257" s="515"/>
      <c r="Q1257" s="479"/>
      <c r="R1257" s="516"/>
      <c r="S1257" s="479"/>
      <c r="T1257" s="515"/>
      <c r="U1257" s="517"/>
      <c r="V1257" s="282"/>
      <c r="W1257" s="282"/>
      <c r="X1257" s="282"/>
    </row>
    <row r="1258" spans="1:32" s="23" customFormat="1">
      <c r="A1258" s="470"/>
      <c r="B1258" s="699"/>
      <c r="C1258" s="479"/>
      <c r="D1258" s="479"/>
      <c r="E1258" s="479"/>
      <c r="F1258" s="479"/>
      <c r="G1258" s="479"/>
      <c r="H1258" s="479"/>
      <c r="I1258" s="479"/>
      <c r="J1258" s="479"/>
      <c r="K1258" s="479"/>
      <c r="L1258" s="515"/>
      <c r="M1258" s="479"/>
      <c r="N1258" s="479"/>
      <c r="O1258" s="479"/>
      <c r="P1258" s="515"/>
      <c r="Q1258" s="479"/>
      <c r="R1258" s="516"/>
      <c r="S1258" s="479"/>
      <c r="T1258" s="515"/>
      <c r="U1258" s="517"/>
      <c r="V1258" s="282"/>
      <c r="W1258" s="282"/>
      <c r="X1258" s="282"/>
    </row>
    <row r="1259" spans="1:32" s="23" customFormat="1">
      <c r="A1259" s="470"/>
      <c r="B1259" s="699"/>
      <c r="C1259" s="479"/>
      <c r="D1259" s="479"/>
      <c r="E1259" s="479"/>
      <c r="F1259" s="479"/>
      <c r="G1259" s="479"/>
      <c r="H1259" s="479"/>
      <c r="I1259" s="479"/>
      <c r="J1259" s="479"/>
      <c r="K1259" s="479"/>
      <c r="L1259" s="515"/>
      <c r="M1259" s="479"/>
      <c r="N1259" s="479"/>
      <c r="O1259" s="479"/>
      <c r="P1259" s="515"/>
      <c r="Q1259" s="479"/>
      <c r="R1259" s="516"/>
      <c r="S1259" s="479"/>
      <c r="T1259" s="515"/>
      <c r="U1259" s="517"/>
      <c r="V1259" s="282"/>
      <c r="W1259" s="282"/>
      <c r="X1259" s="282"/>
    </row>
    <row r="1260" spans="1:32" s="23" customFormat="1">
      <c r="A1260" s="470"/>
      <c r="B1260" s="699"/>
      <c r="C1260" s="479"/>
      <c r="D1260" s="479"/>
      <c r="E1260" s="479"/>
      <c r="F1260" s="479"/>
      <c r="G1260" s="479"/>
      <c r="H1260" s="479"/>
      <c r="I1260" s="479"/>
      <c r="J1260" s="479"/>
      <c r="K1260" s="479"/>
      <c r="L1260" s="515"/>
      <c r="M1260" s="479"/>
      <c r="N1260" s="479"/>
      <c r="O1260" s="479"/>
      <c r="P1260" s="515"/>
      <c r="Q1260" s="479"/>
      <c r="R1260" s="516"/>
      <c r="S1260" s="479"/>
      <c r="T1260" s="515"/>
      <c r="U1260" s="517"/>
      <c r="V1260" s="282"/>
      <c r="W1260" s="282"/>
      <c r="X1260" s="282"/>
    </row>
    <row r="1261" spans="1:32" s="23" customFormat="1">
      <c r="A1261" s="470"/>
      <c r="B1261" s="699"/>
      <c r="C1261" s="479"/>
      <c r="D1261" s="479"/>
      <c r="E1261" s="479"/>
      <c r="F1261" s="479"/>
      <c r="G1261" s="479"/>
      <c r="H1261" s="479"/>
      <c r="I1261" s="479"/>
      <c r="J1261" s="479"/>
      <c r="K1261" s="479"/>
      <c r="L1261" s="515"/>
      <c r="M1261" s="479"/>
      <c r="N1261" s="479"/>
      <c r="O1261" s="479"/>
      <c r="P1261" s="515"/>
      <c r="Q1261" s="479"/>
      <c r="R1261" s="516"/>
      <c r="S1261" s="479"/>
      <c r="T1261" s="515"/>
      <c r="U1261" s="517"/>
      <c r="V1261" s="282"/>
      <c r="W1261" s="282"/>
      <c r="X1261" s="282"/>
    </row>
    <row r="1262" spans="1:32" ht="18.75" customHeight="1">
      <c r="A1262" s="198"/>
      <c r="B1262" s="214" t="s">
        <v>94</v>
      </c>
      <c r="C1262" s="211">
        <f>C1263+C1264</f>
        <v>2634518</v>
      </c>
      <c r="D1262" s="211">
        <f t="shared" ref="D1262:V1262" si="190">D1263+D1264</f>
        <v>0</v>
      </c>
      <c r="E1262" s="211">
        <f t="shared" si="190"/>
        <v>0</v>
      </c>
      <c r="F1262" s="211">
        <f t="shared" si="190"/>
        <v>0</v>
      </c>
      <c r="G1262" s="211">
        <f t="shared" si="190"/>
        <v>0</v>
      </c>
      <c r="H1262" s="211">
        <f t="shared" si="190"/>
        <v>0</v>
      </c>
      <c r="I1262" s="211">
        <f t="shared" si="190"/>
        <v>0</v>
      </c>
      <c r="J1262" s="211">
        <f t="shared" si="190"/>
        <v>0</v>
      </c>
      <c r="K1262" s="211">
        <f t="shared" si="190"/>
        <v>0</v>
      </c>
      <c r="L1262" s="211">
        <f t="shared" si="190"/>
        <v>1</v>
      </c>
      <c r="M1262" s="211">
        <f t="shared" si="190"/>
        <v>1960022</v>
      </c>
      <c r="N1262" s="211">
        <f t="shared" si="190"/>
        <v>0</v>
      </c>
      <c r="O1262" s="211">
        <f t="shared" si="190"/>
        <v>0</v>
      </c>
      <c r="P1262" s="211">
        <f t="shared" si="190"/>
        <v>0</v>
      </c>
      <c r="Q1262" s="211">
        <f t="shared" si="190"/>
        <v>0</v>
      </c>
      <c r="R1262" s="211">
        <f t="shared" si="190"/>
        <v>438.6</v>
      </c>
      <c r="S1262" s="211">
        <f t="shared" si="190"/>
        <v>674496</v>
      </c>
      <c r="T1262" s="211">
        <f t="shared" si="190"/>
        <v>0</v>
      </c>
      <c r="U1262" s="211">
        <f t="shared" si="190"/>
        <v>0</v>
      </c>
      <c r="V1262" s="211">
        <f t="shared" si="190"/>
        <v>0</v>
      </c>
      <c r="W1262" s="282"/>
      <c r="X1262" s="282"/>
      <c r="Y1262" s="10"/>
      <c r="Z1262" s="10"/>
      <c r="AA1262" s="10"/>
      <c r="AB1262" s="10"/>
    </row>
    <row r="1263" spans="1:32" s="5" customFormat="1">
      <c r="A1263" s="470"/>
      <c r="B1263" s="471" t="s">
        <v>976</v>
      </c>
      <c r="C1263" s="472">
        <f>'часть 1'!L1296</f>
        <v>1960022</v>
      </c>
      <c r="D1263" s="472">
        <v>0</v>
      </c>
      <c r="E1263" s="472">
        <v>0</v>
      </c>
      <c r="F1263" s="472">
        <v>0</v>
      </c>
      <c r="G1263" s="472">
        <v>0</v>
      </c>
      <c r="H1263" s="472">
        <v>0</v>
      </c>
      <c r="I1263" s="472">
        <v>0</v>
      </c>
      <c r="J1263" s="472">
        <v>0</v>
      </c>
      <c r="K1263" s="472">
        <v>0</v>
      </c>
      <c r="L1263" s="473">
        <v>1</v>
      </c>
      <c r="M1263" s="472">
        <v>1960022</v>
      </c>
      <c r="N1263" s="472">
        <v>0</v>
      </c>
      <c r="O1263" s="472">
        <v>0</v>
      </c>
      <c r="P1263" s="473">
        <v>0</v>
      </c>
      <c r="Q1263" s="472">
        <v>0</v>
      </c>
      <c r="R1263" s="474">
        <v>0</v>
      </c>
      <c r="S1263" s="475">
        <v>0</v>
      </c>
      <c r="T1263" s="476">
        <v>0</v>
      </c>
      <c r="U1263" s="477">
        <v>0</v>
      </c>
      <c r="V1263" s="282"/>
      <c r="W1263" s="282"/>
      <c r="X1263" s="282"/>
      <c r="Y1263" s="24"/>
      <c r="Z1263" s="24"/>
      <c r="AA1263" s="8"/>
      <c r="AB1263" s="8"/>
      <c r="AF1263" s="5">
        <f>M1263/L1263</f>
        <v>1960022</v>
      </c>
    </row>
    <row r="1264" spans="1:32" s="5" customFormat="1">
      <c r="A1264" s="470"/>
      <c r="B1264" s="471" t="s">
        <v>977</v>
      </c>
      <c r="C1264" s="472">
        <f>'часть 1'!L1297</f>
        <v>674496</v>
      </c>
      <c r="D1264" s="472">
        <v>0</v>
      </c>
      <c r="E1264" s="472">
        <v>0</v>
      </c>
      <c r="F1264" s="472">
        <v>0</v>
      </c>
      <c r="G1264" s="472">
        <v>0</v>
      </c>
      <c r="H1264" s="472">
        <v>0</v>
      </c>
      <c r="I1264" s="472">
        <v>0</v>
      </c>
      <c r="J1264" s="472">
        <v>0</v>
      </c>
      <c r="K1264" s="472">
        <v>0</v>
      </c>
      <c r="L1264" s="473">
        <v>0</v>
      </c>
      <c r="M1264" s="472">
        <v>0</v>
      </c>
      <c r="N1264" s="472">
        <v>0</v>
      </c>
      <c r="O1264" s="472">
        <v>0</v>
      </c>
      <c r="P1264" s="473">
        <v>0</v>
      </c>
      <c r="Q1264" s="472">
        <v>0</v>
      </c>
      <c r="R1264" s="474">
        <v>438.6</v>
      </c>
      <c r="S1264" s="475">
        <v>674496</v>
      </c>
      <c r="T1264" s="476">
        <v>0</v>
      </c>
      <c r="U1264" s="477">
        <v>0</v>
      </c>
      <c r="V1264" s="282"/>
      <c r="W1264" s="282"/>
      <c r="X1264" s="282">
        <f>S1264/R1264</f>
        <v>1537.8385772913816</v>
      </c>
      <c r="Y1264" s="24"/>
      <c r="Z1264" s="24"/>
      <c r="AA1264" s="8"/>
      <c r="AB1264" s="8"/>
    </row>
    <row r="1265" spans="1:30" s="5" customFormat="1">
      <c r="A1265" s="470"/>
      <c r="B1265" s="471"/>
      <c r="C1265" s="472"/>
      <c r="D1265" s="472"/>
      <c r="E1265" s="472"/>
      <c r="F1265" s="472"/>
      <c r="G1265" s="472"/>
      <c r="H1265" s="472"/>
      <c r="I1265" s="472"/>
      <c r="J1265" s="472"/>
      <c r="K1265" s="472"/>
      <c r="L1265" s="473"/>
      <c r="M1265" s="472"/>
      <c r="N1265" s="472"/>
      <c r="O1265" s="472"/>
      <c r="P1265" s="473"/>
      <c r="Q1265" s="472"/>
      <c r="R1265" s="474"/>
      <c r="S1265" s="475"/>
      <c r="T1265" s="476"/>
      <c r="U1265" s="477"/>
      <c r="V1265" s="282"/>
      <c r="W1265" s="282"/>
      <c r="X1265" s="282"/>
      <c r="Y1265" s="24"/>
      <c r="Z1265" s="24"/>
      <c r="AA1265" s="8"/>
      <c r="AB1265" s="8"/>
    </row>
    <row r="1266" spans="1:30" s="5" customFormat="1">
      <c r="A1266" s="470"/>
      <c r="B1266" s="478"/>
      <c r="C1266" s="472"/>
      <c r="D1266" s="472"/>
      <c r="E1266" s="472"/>
      <c r="F1266" s="472"/>
      <c r="G1266" s="472"/>
      <c r="H1266" s="472"/>
      <c r="I1266" s="472"/>
      <c r="J1266" s="472"/>
      <c r="K1266" s="472"/>
      <c r="L1266" s="473"/>
      <c r="M1266" s="472"/>
      <c r="N1266" s="472"/>
      <c r="O1266" s="472"/>
      <c r="P1266" s="473"/>
      <c r="Q1266" s="472"/>
      <c r="R1266" s="474"/>
      <c r="S1266" s="475"/>
      <c r="T1266" s="476"/>
      <c r="U1266" s="477"/>
      <c r="V1266" s="282"/>
      <c r="W1266" s="282"/>
      <c r="X1266" s="282"/>
      <c r="Y1266" s="24"/>
      <c r="Z1266" s="24"/>
      <c r="AA1266" s="8"/>
      <c r="AB1266" s="8"/>
    </row>
    <row r="1267" spans="1:30" s="5" customFormat="1">
      <c r="A1267" s="470"/>
      <c r="B1267" s="471"/>
      <c r="C1267" s="472"/>
      <c r="D1267" s="472"/>
      <c r="E1267" s="472"/>
      <c r="F1267" s="472"/>
      <c r="G1267" s="472"/>
      <c r="H1267" s="472"/>
      <c r="I1267" s="472"/>
      <c r="J1267" s="472"/>
      <c r="K1267" s="472"/>
      <c r="L1267" s="473"/>
      <c r="M1267" s="472"/>
      <c r="N1267" s="479"/>
      <c r="O1267" s="472"/>
      <c r="P1267" s="473"/>
      <c r="Q1267" s="472"/>
      <c r="R1267" s="474"/>
      <c r="S1267" s="475"/>
      <c r="T1267" s="476"/>
      <c r="U1267" s="477"/>
      <c r="V1267" s="282"/>
      <c r="W1267" s="282"/>
      <c r="X1267" s="282"/>
      <c r="Y1267" s="24"/>
      <c r="Z1267" s="24"/>
      <c r="AA1267" s="8"/>
      <c r="AB1267" s="8"/>
    </row>
    <row r="1268" spans="1:30" s="5" customFormat="1">
      <c r="A1268" s="470"/>
      <c r="B1268" s="471"/>
      <c r="C1268" s="472"/>
      <c r="D1268" s="472"/>
      <c r="E1268" s="472"/>
      <c r="F1268" s="472"/>
      <c r="G1268" s="472"/>
      <c r="H1268" s="472"/>
      <c r="I1268" s="472"/>
      <c r="J1268" s="472"/>
      <c r="K1268" s="472"/>
      <c r="L1268" s="473"/>
      <c r="M1268" s="472"/>
      <c r="N1268" s="472"/>
      <c r="O1268" s="472"/>
      <c r="P1268" s="473"/>
      <c r="Q1268" s="472"/>
      <c r="R1268" s="474"/>
      <c r="S1268" s="475"/>
      <c r="T1268" s="476"/>
      <c r="U1268" s="477"/>
      <c r="V1268" s="282"/>
      <c r="W1268" s="282"/>
      <c r="X1268" s="282"/>
      <c r="Y1268" s="24"/>
      <c r="Z1268" s="24"/>
      <c r="AA1268" s="8"/>
      <c r="AB1268" s="8"/>
    </row>
    <row r="1269" spans="1:30" s="5" customFormat="1">
      <c r="A1269" s="470"/>
      <c r="B1269" s="471"/>
      <c r="C1269" s="472"/>
      <c r="D1269" s="472"/>
      <c r="E1269" s="472"/>
      <c r="F1269" s="472"/>
      <c r="G1269" s="472"/>
      <c r="H1269" s="472"/>
      <c r="I1269" s="472"/>
      <c r="J1269" s="472"/>
      <c r="K1269" s="472"/>
      <c r="L1269" s="473"/>
      <c r="M1269" s="472"/>
      <c r="N1269" s="472"/>
      <c r="O1269" s="472"/>
      <c r="P1269" s="473"/>
      <c r="Q1269" s="472"/>
      <c r="R1269" s="474"/>
      <c r="S1269" s="475"/>
      <c r="T1269" s="476"/>
      <c r="U1269" s="477"/>
      <c r="V1269" s="282"/>
      <c r="W1269" s="282"/>
      <c r="X1269" s="282"/>
      <c r="Y1269" s="24"/>
      <c r="Z1269" s="24"/>
      <c r="AA1269" s="8"/>
      <c r="AB1269" s="8"/>
    </row>
    <row r="1270" spans="1:30" s="5" customFormat="1">
      <c r="A1270" s="470"/>
      <c r="B1270" s="471"/>
      <c r="C1270" s="472"/>
      <c r="D1270" s="472"/>
      <c r="E1270" s="472"/>
      <c r="F1270" s="472"/>
      <c r="G1270" s="472"/>
      <c r="H1270" s="472"/>
      <c r="I1270" s="472"/>
      <c r="J1270" s="472"/>
      <c r="K1270" s="472"/>
      <c r="L1270" s="473"/>
      <c r="M1270" s="472"/>
      <c r="N1270" s="472"/>
      <c r="O1270" s="472"/>
      <c r="P1270" s="473"/>
      <c r="Q1270" s="472"/>
      <c r="R1270" s="474"/>
      <c r="S1270" s="475"/>
      <c r="T1270" s="476"/>
      <c r="U1270" s="477"/>
      <c r="V1270" s="282"/>
      <c r="W1270" s="282"/>
      <c r="X1270" s="282"/>
      <c r="Y1270" s="24"/>
      <c r="Z1270" s="24"/>
      <c r="AA1270" s="8"/>
      <c r="AB1270" s="8"/>
    </row>
    <row r="1271" spans="1:30" s="5" customFormat="1">
      <c r="A1271" s="470"/>
      <c r="B1271" s="471"/>
      <c r="C1271" s="472"/>
      <c r="D1271" s="472"/>
      <c r="E1271" s="472"/>
      <c r="F1271" s="472"/>
      <c r="G1271" s="472"/>
      <c r="H1271" s="472"/>
      <c r="I1271" s="472"/>
      <c r="J1271" s="472"/>
      <c r="K1271" s="472"/>
      <c r="L1271" s="473"/>
      <c r="M1271" s="472"/>
      <c r="N1271" s="472"/>
      <c r="O1271" s="472"/>
      <c r="P1271" s="473"/>
      <c r="Q1271" s="472"/>
      <c r="R1271" s="474"/>
      <c r="S1271" s="475"/>
      <c r="T1271" s="476"/>
      <c r="U1271" s="477"/>
      <c r="V1271" s="282"/>
      <c r="W1271" s="282"/>
      <c r="X1271" s="282"/>
      <c r="Y1271" s="6"/>
      <c r="Z1271" s="6"/>
      <c r="AA1271" s="7"/>
      <c r="AB1271" s="7"/>
    </row>
    <row r="1272" spans="1:30" s="5" customFormat="1">
      <c r="A1272" s="470"/>
      <c r="B1272" s="480"/>
      <c r="C1272" s="472"/>
      <c r="D1272" s="472"/>
      <c r="E1272" s="472"/>
      <c r="F1272" s="472"/>
      <c r="G1272" s="472"/>
      <c r="H1272" s="472"/>
      <c r="I1272" s="472"/>
      <c r="J1272" s="472"/>
      <c r="K1272" s="472"/>
      <c r="L1272" s="473"/>
      <c r="M1272" s="472"/>
      <c r="N1272" s="472"/>
      <c r="O1272" s="472"/>
      <c r="P1272" s="473"/>
      <c r="Q1272" s="472"/>
      <c r="R1272" s="474"/>
      <c r="S1272" s="475"/>
      <c r="T1272" s="476"/>
      <c r="U1272" s="477"/>
      <c r="V1272" s="282"/>
      <c r="W1272" s="282"/>
      <c r="X1272" s="282"/>
      <c r="Y1272" s="24"/>
      <c r="Z1272" s="24"/>
      <c r="AA1272" s="8"/>
      <c r="AB1272" s="8"/>
    </row>
    <row r="1273" spans="1:30" s="5" customFormat="1">
      <c r="A1273" s="470"/>
      <c r="B1273" s="480"/>
      <c r="C1273" s="472"/>
      <c r="D1273" s="472"/>
      <c r="E1273" s="472"/>
      <c r="F1273" s="472"/>
      <c r="G1273" s="472"/>
      <c r="H1273" s="472"/>
      <c r="I1273" s="472"/>
      <c r="J1273" s="472"/>
      <c r="K1273" s="472"/>
      <c r="L1273" s="473"/>
      <c r="M1273" s="472"/>
      <c r="N1273" s="472"/>
      <c r="O1273" s="472"/>
      <c r="P1273" s="473"/>
      <c r="Q1273" s="472"/>
      <c r="R1273" s="474"/>
      <c r="S1273" s="475"/>
      <c r="T1273" s="476"/>
      <c r="U1273" s="477"/>
      <c r="V1273" s="282"/>
      <c r="W1273" s="282"/>
      <c r="X1273" s="282"/>
      <c r="Y1273" s="24"/>
      <c r="Z1273" s="24"/>
      <c r="AA1273" s="8"/>
      <c r="AB1273" s="8"/>
    </row>
    <row r="1274" spans="1:30" s="5" customFormat="1">
      <c r="A1274" s="470"/>
      <c r="B1274" s="481"/>
      <c r="C1274" s="472"/>
      <c r="D1274" s="472"/>
      <c r="E1274" s="472"/>
      <c r="F1274" s="472"/>
      <c r="G1274" s="472"/>
      <c r="H1274" s="472"/>
      <c r="I1274" s="472"/>
      <c r="J1274" s="472"/>
      <c r="K1274" s="472"/>
      <c r="L1274" s="473"/>
      <c r="M1274" s="472"/>
      <c r="N1274" s="472"/>
      <c r="O1274" s="472"/>
      <c r="P1274" s="473"/>
      <c r="Q1274" s="472"/>
      <c r="R1274" s="474"/>
      <c r="S1274" s="475"/>
      <c r="T1274" s="476"/>
      <c r="U1274" s="477"/>
      <c r="V1274" s="282"/>
      <c r="W1274" s="282"/>
      <c r="X1274" s="282"/>
      <c r="Y1274" s="24"/>
      <c r="Z1274" s="24"/>
      <c r="AA1274" s="8"/>
      <c r="AB1274" s="8"/>
    </row>
    <row r="1275" spans="1:30" ht="18.600000000000001" customHeight="1">
      <c r="A1275" s="470"/>
      <c r="B1275" s="511" t="s">
        <v>123</v>
      </c>
      <c r="C1275" s="512">
        <f>C1276+C1277+C1278</f>
        <v>10007426</v>
      </c>
      <c r="D1275" s="512">
        <f t="shared" ref="D1275:U1275" si="191">D1276+D1277+D1278</f>
        <v>3698811</v>
      </c>
      <c r="E1275" s="512">
        <f t="shared" si="191"/>
        <v>0</v>
      </c>
      <c r="F1275" s="512">
        <f t="shared" si="191"/>
        <v>0</v>
      </c>
      <c r="G1275" s="512">
        <f t="shared" si="191"/>
        <v>0</v>
      </c>
      <c r="H1275" s="512">
        <f t="shared" si="191"/>
        <v>0</v>
      </c>
      <c r="I1275" s="512">
        <f t="shared" si="191"/>
        <v>3698811</v>
      </c>
      <c r="J1275" s="512">
        <f t="shared" si="191"/>
        <v>0</v>
      </c>
      <c r="K1275" s="512">
        <f t="shared" si="191"/>
        <v>0</v>
      </c>
      <c r="L1275" s="512">
        <f t="shared" si="191"/>
        <v>0</v>
      </c>
      <c r="M1275" s="512">
        <f t="shared" si="191"/>
        <v>0</v>
      </c>
      <c r="N1275" s="512">
        <f t="shared" si="191"/>
        <v>2523.1999999999998</v>
      </c>
      <c r="O1275" s="512">
        <f t="shared" si="191"/>
        <v>6308615</v>
      </c>
      <c r="P1275" s="512">
        <f t="shared" si="191"/>
        <v>0</v>
      </c>
      <c r="Q1275" s="512">
        <f t="shared" si="191"/>
        <v>0</v>
      </c>
      <c r="R1275" s="512">
        <f t="shared" si="191"/>
        <v>0</v>
      </c>
      <c r="S1275" s="512">
        <f t="shared" si="191"/>
        <v>0</v>
      </c>
      <c r="T1275" s="512">
        <f t="shared" si="191"/>
        <v>0</v>
      </c>
      <c r="U1275" s="512">
        <f t="shared" si="191"/>
        <v>0</v>
      </c>
      <c r="V1275" s="196" t="e">
        <f>V1276++V1277+#REF!+V1278</f>
        <v>#REF!</v>
      </c>
      <c r="W1275" s="282"/>
      <c r="X1275" s="282"/>
    </row>
    <row r="1276" spans="1:30" ht="15.75">
      <c r="A1276" s="470">
        <v>215</v>
      </c>
      <c r="B1276" s="877" t="s">
        <v>943</v>
      </c>
      <c r="C1276" s="512">
        <f>'часть 1'!L1309</f>
        <v>3237114</v>
      </c>
      <c r="D1276" s="512">
        <f t="shared" ref="D1276:D1278" si="192">E1276+F1276+G1276+H1276+I1276+J1276+K1276</f>
        <v>0</v>
      </c>
      <c r="E1276" s="512">
        <v>0</v>
      </c>
      <c r="F1276" s="512">
        <v>0</v>
      </c>
      <c r="G1276" s="512">
        <v>0</v>
      </c>
      <c r="H1276" s="512">
        <v>0</v>
      </c>
      <c r="I1276" s="512">
        <v>0</v>
      </c>
      <c r="J1276" s="512">
        <v>0</v>
      </c>
      <c r="K1276" s="558">
        <v>0</v>
      </c>
      <c r="L1276" s="651">
        <v>0</v>
      </c>
      <c r="M1276" s="518">
        <v>0</v>
      </c>
      <c r="N1276" s="518">
        <v>1295</v>
      </c>
      <c r="O1276" s="518">
        <v>3237114</v>
      </c>
      <c r="P1276" s="651">
        <v>0</v>
      </c>
      <c r="Q1276" s="518">
        <v>0</v>
      </c>
      <c r="R1276" s="652">
        <v>0</v>
      </c>
      <c r="S1276" s="518">
        <v>0</v>
      </c>
      <c r="T1276" s="651">
        <v>0</v>
      </c>
      <c r="U1276" s="477">
        <v>0</v>
      </c>
      <c r="V1276" s="282"/>
      <c r="W1276" s="282">
        <f>O1276/N1276</f>
        <v>2499.7019305019303</v>
      </c>
      <c r="X1276" s="282"/>
      <c r="AD1276" s="1">
        <f>J1276/'часть 1'!I1309</f>
        <v>0</v>
      </c>
    </row>
    <row r="1277" spans="1:30" ht="15.75">
      <c r="A1277" s="470">
        <v>216</v>
      </c>
      <c r="B1277" s="877" t="s">
        <v>741</v>
      </c>
      <c r="C1277" s="512">
        <f>'часть 1'!L1310</f>
        <v>3071501</v>
      </c>
      <c r="D1277" s="512">
        <f t="shared" si="192"/>
        <v>0</v>
      </c>
      <c r="E1277" s="512">
        <v>0</v>
      </c>
      <c r="F1277" s="512">
        <v>0</v>
      </c>
      <c r="G1277" s="512">
        <v>0</v>
      </c>
      <c r="H1277" s="512">
        <v>0</v>
      </c>
      <c r="I1277" s="512">
        <v>0</v>
      </c>
      <c r="J1277" s="512">
        <v>0</v>
      </c>
      <c r="K1277" s="558">
        <v>0</v>
      </c>
      <c r="L1277" s="651">
        <v>0</v>
      </c>
      <c r="M1277" s="518">
        <v>0</v>
      </c>
      <c r="N1277" s="518">
        <v>1228.2</v>
      </c>
      <c r="O1277" s="518">
        <v>3071501</v>
      </c>
      <c r="P1277" s="651">
        <v>0</v>
      </c>
      <c r="Q1277" s="518">
        <v>0</v>
      </c>
      <c r="R1277" s="652">
        <v>0</v>
      </c>
      <c r="S1277" s="518">
        <v>0</v>
      </c>
      <c r="T1277" s="651">
        <v>0</v>
      </c>
      <c r="U1277" s="477">
        <v>0</v>
      </c>
      <c r="V1277" s="282"/>
      <c r="W1277" s="282">
        <f>O1277/N1277</f>
        <v>2500.8150138413939</v>
      </c>
      <c r="X1277" s="282"/>
    </row>
    <row r="1278" spans="1:30" ht="15.75">
      <c r="A1278" s="470">
        <v>218</v>
      </c>
      <c r="B1278" s="877" t="s">
        <v>742</v>
      </c>
      <c r="C1278" s="512">
        <f>'часть 1'!L1311</f>
        <v>3698811</v>
      </c>
      <c r="D1278" s="512">
        <f t="shared" si="192"/>
        <v>3698811</v>
      </c>
      <c r="E1278" s="512">
        <v>0</v>
      </c>
      <c r="F1278" s="512">
        <v>0</v>
      </c>
      <c r="G1278" s="512">
        <v>0</v>
      </c>
      <c r="H1278" s="512">
        <v>0</v>
      </c>
      <c r="I1278" s="512">
        <v>3698811</v>
      </c>
      <c r="J1278" s="512">
        <v>0</v>
      </c>
      <c r="K1278" s="558">
        <v>0</v>
      </c>
      <c r="L1278" s="651">
        <v>0</v>
      </c>
      <c r="M1278" s="518">
        <v>0</v>
      </c>
      <c r="N1278" s="518">
        <v>0</v>
      </c>
      <c r="O1278" s="518">
        <v>0</v>
      </c>
      <c r="P1278" s="651">
        <v>0</v>
      </c>
      <c r="Q1278" s="518">
        <v>0</v>
      </c>
      <c r="R1278" s="652">
        <v>0</v>
      </c>
      <c r="S1278" s="518">
        <v>0</v>
      </c>
      <c r="T1278" s="651">
        <v>0</v>
      </c>
      <c r="U1278" s="477">
        <v>0</v>
      </c>
      <c r="V1278" s="282"/>
      <c r="W1278" s="282"/>
      <c r="X1278" s="282"/>
      <c r="AC1278" s="1">
        <f>I1278/'часть 1'!I1311</f>
        <v>781.28268712454701</v>
      </c>
    </row>
    <row r="1279" spans="1:30">
      <c r="A1279" s="470"/>
      <c r="B1279" s="524"/>
      <c r="C1279" s="512"/>
      <c r="D1279" s="512"/>
      <c r="E1279" s="512"/>
      <c r="F1279" s="512"/>
      <c r="G1279" s="512"/>
      <c r="H1279" s="512"/>
      <c r="I1279" s="512"/>
      <c r="J1279" s="512"/>
      <c r="K1279" s="512"/>
      <c r="L1279" s="651"/>
      <c r="M1279" s="518"/>
      <c r="N1279" s="518"/>
      <c r="O1279" s="518"/>
      <c r="P1279" s="651"/>
      <c r="Q1279" s="518"/>
      <c r="R1279" s="652"/>
      <c r="S1279" s="518"/>
      <c r="T1279" s="651"/>
      <c r="U1279" s="477"/>
      <c r="V1279" s="282"/>
      <c r="W1279" s="282"/>
      <c r="X1279" s="282"/>
    </row>
    <row r="1280" spans="1:30">
      <c r="A1280" s="470"/>
      <c r="B1280" s="524"/>
      <c r="C1280" s="512"/>
      <c r="D1280" s="512"/>
      <c r="E1280" s="512"/>
      <c r="F1280" s="512"/>
      <c r="G1280" s="512"/>
      <c r="H1280" s="512"/>
      <c r="I1280" s="512"/>
      <c r="J1280" s="512"/>
      <c r="K1280" s="558"/>
      <c r="L1280" s="651"/>
      <c r="M1280" s="518"/>
      <c r="N1280" s="518"/>
      <c r="O1280" s="518"/>
      <c r="P1280" s="651"/>
      <c r="Q1280" s="518"/>
      <c r="R1280" s="652"/>
      <c r="S1280" s="518"/>
      <c r="T1280" s="651"/>
      <c r="U1280" s="477"/>
      <c r="V1280" s="282"/>
      <c r="W1280" s="282"/>
      <c r="X1280" s="282"/>
    </row>
    <row r="1281" spans="1:24">
      <c r="A1281" s="470"/>
      <c r="B1281" s="524"/>
      <c r="C1281" s="512"/>
      <c r="D1281" s="512"/>
      <c r="E1281" s="512"/>
      <c r="F1281" s="512"/>
      <c r="G1281" s="512"/>
      <c r="H1281" s="512"/>
      <c r="I1281" s="512"/>
      <c r="J1281" s="512"/>
      <c r="K1281" s="512"/>
      <c r="L1281" s="651"/>
      <c r="M1281" s="518"/>
      <c r="N1281" s="518"/>
      <c r="O1281" s="518"/>
      <c r="P1281" s="651"/>
      <c r="Q1281" s="518"/>
      <c r="R1281" s="652"/>
      <c r="S1281" s="518"/>
      <c r="T1281" s="651"/>
      <c r="U1281" s="477"/>
      <c r="V1281" s="282"/>
      <c r="W1281" s="282"/>
      <c r="X1281" s="282"/>
    </row>
    <row r="1282" spans="1:24">
      <c r="A1282" s="470"/>
      <c r="B1282" s="524"/>
      <c r="C1282" s="512"/>
      <c r="D1282" s="512"/>
      <c r="E1282" s="512"/>
      <c r="F1282" s="512"/>
      <c r="G1282" s="512"/>
      <c r="H1282" s="512"/>
      <c r="I1282" s="512"/>
      <c r="J1282" s="512"/>
      <c r="K1282" s="512"/>
      <c r="L1282" s="651"/>
      <c r="M1282" s="518"/>
      <c r="N1282" s="518"/>
      <c r="O1282" s="518"/>
      <c r="P1282" s="651"/>
      <c r="Q1282" s="518"/>
      <c r="R1282" s="652"/>
      <c r="S1282" s="518"/>
      <c r="T1282" s="651"/>
      <c r="U1282" s="477"/>
      <c r="V1282" s="282"/>
      <c r="W1282" s="282"/>
      <c r="X1282" s="282"/>
    </row>
    <row r="1283" spans="1:24">
      <c r="A1283" s="470"/>
      <c r="B1283" s="524"/>
      <c r="C1283" s="512"/>
      <c r="D1283" s="512"/>
      <c r="E1283" s="512"/>
      <c r="F1283" s="512"/>
      <c r="G1283" s="512"/>
      <c r="H1283" s="512"/>
      <c r="I1283" s="512"/>
      <c r="J1283" s="512"/>
      <c r="K1283" s="558"/>
      <c r="L1283" s="651"/>
      <c r="M1283" s="518"/>
      <c r="N1283" s="518"/>
      <c r="O1283" s="518"/>
      <c r="P1283" s="651"/>
      <c r="Q1283" s="518"/>
      <c r="R1283" s="652"/>
      <c r="S1283" s="518"/>
      <c r="T1283" s="651"/>
      <c r="U1283" s="477"/>
      <c r="V1283" s="282"/>
      <c r="W1283" s="282"/>
      <c r="X1283" s="282"/>
    </row>
    <row r="1284" spans="1:24">
      <c r="A1284" s="470"/>
      <c r="B1284" s="524"/>
      <c r="C1284" s="512"/>
      <c r="D1284" s="512"/>
      <c r="E1284" s="512"/>
      <c r="F1284" s="512"/>
      <c r="G1284" s="512"/>
      <c r="H1284" s="512"/>
      <c r="I1284" s="512"/>
      <c r="J1284" s="512"/>
      <c r="K1284" s="558"/>
      <c r="L1284" s="651"/>
      <c r="M1284" s="518"/>
      <c r="N1284" s="518"/>
      <c r="O1284" s="518"/>
      <c r="P1284" s="651"/>
      <c r="Q1284" s="518"/>
      <c r="R1284" s="652"/>
      <c r="S1284" s="518"/>
      <c r="T1284" s="651"/>
      <c r="U1284" s="477"/>
      <c r="V1284" s="282"/>
      <c r="W1284" s="282"/>
      <c r="X1284" s="282"/>
    </row>
    <row r="1285" spans="1:24">
      <c r="A1285" s="470"/>
      <c r="B1285" s="524"/>
      <c r="C1285" s="512"/>
      <c r="D1285" s="512"/>
      <c r="E1285" s="512"/>
      <c r="F1285" s="512"/>
      <c r="G1285" s="512"/>
      <c r="H1285" s="512"/>
      <c r="I1285" s="512"/>
      <c r="J1285" s="512"/>
      <c r="K1285" s="558"/>
      <c r="L1285" s="651"/>
      <c r="M1285" s="518"/>
      <c r="N1285" s="518"/>
      <c r="O1285" s="518"/>
      <c r="P1285" s="651"/>
      <c r="Q1285" s="518"/>
      <c r="R1285" s="652"/>
      <c r="S1285" s="518"/>
      <c r="T1285" s="651"/>
      <c r="U1285" s="477"/>
      <c r="V1285" s="282"/>
      <c r="W1285" s="282"/>
      <c r="X1285" s="282"/>
    </row>
    <row r="1286" spans="1:24">
      <c r="A1286" s="470"/>
      <c r="B1286" s="524"/>
      <c r="C1286" s="512"/>
      <c r="D1286" s="512"/>
      <c r="E1286" s="512"/>
      <c r="F1286" s="512"/>
      <c r="G1286" s="512"/>
      <c r="H1286" s="512"/>
      <c r="I1286" s="512"/>
      <c r="J1286" s="512"/>
      <c r="K1286" s="558"/>
      <c r="L1286" s="651"/>
      <c r="M1286" s="518"/>
      <c r="N1286" s="518"/>
      <c r="O1286" s="518"/>
      <c r="P1286" s="651"/>
      <c r="Q1286" s="518"/>
      <c r="R1286" s="652"/>
      <c r="S1286" s="518"/>
      <c r="T1286" s="651"/>
      <c r="U1286" s="477"/>
      <c r="V1286" s="282"/>
      <c r="W1286" s="282"/>
      <c r="X1286" s="282"/>
    </row>
    <row r="1287" spans="1:24">
      <c r="A1287" s="470"/>
      <c r="B1287" s="524"/>
      <c r="C1287" s="512"/>
      <c r="D1287" s="512"/>
      <c r="E1287" s="512"/>
      <c r="F1287" s="512"/>
      <c r="G1287" s="512"/>
      <c r="H1287" s="512"/>
      <c r="I1287" s="512"/>
      <c r="J1287" s="512"/>
      <c r="K1287" s="558"/>
      <c r="L1287" s="651"/>
      <c r="M1287" s="518"/>
      <c r="N1287" s="518"/>
      <c r="O1287" s="518"/>
      <c r="P1287" s="651"/>
      <c r="Q1287" s="518"/>
      <c r="R1287" s="652"/>
      <c r="S1287" s="518"/>
      <c r="T1287" s="651"/>
      <c r="U1287" s="477"/>
      <c r="V1287" s="282"/>
      <c r="W1287" s="282"/>
      <c r="X1287" s="282"/>
    </row>
    <row r="1288" spans="1:24" ht="18.600000000000001" customHeight="1">
      <c r="A1288" s="470"/>
      <c r="B1288" s="524" t="s">
        <v>864</v>
      </c>
      <c r="C1288" s="512">
        <f>C1289</f>
        <v>1112894</v>
      </c>
      <c r="D1288" s="512">
        <f t="shared" ref="D1288:V1288" si="193">D1289</f>
        <v>0</v>
      </c>
      <c r="E1288" s="512">
        <f t="shared" si="193"/>
        <v>0</v>
      </c>
      <c r="F1288" s="512">
        <f t="shared" si="193"/>
        <v>0</v>
      </c>
      <c r="G1288" s="512">
        <f t="shared" si="193"/>
        <v>0</v>
      </c>
      <c r="H1288" s="512">
        <f t="shared" si="193"/>
        <v>0</v>
      </c>
      <c r="I1288" s="512">
        <f t="shared" si="193"/>
        <v>0</v>
      </c>
      <c r="J1288" s="512">
        <f t="shared" si="193"/>
        <v>0</v>
      </c>
      <c r="K1288" s="512">
        <f t="shared" si="193"/>
        <v>0</v>
      </c>
      <c r="L1288" s="512">
        <f t="shared" si="193"/>
        <v>0</v>
      </c>
      <c r="M1288" s="512">
        <f t="shared" si="193"/>
        <v>0</v>
      </c>
      <c r="N1288" s="512">
        <f t="shared" si="193"/>
        <v>0</v>
      </c>
      <c r="O1288" s="512">
        <f t="shared" si="193"/>
        <v>0</v>
      </c>
      <c r="P1288" s="512">
        <f t="shared" si="193"/>
        <v>0</v>
      </c>
      <c r="Q1288" s="512">
        <f t="shared" si="193"/>
        <v>0</v>
      </c>
      <c r="R1288" s="512">
        <f t="shared" si="193"/>
        <v>721.5</v>
      </c>
      <c r="S1288" s="512">
        <f t="shared" si="193"/>
        <v>1112894</v>
      </c>
      <c r="T1288" s="512">
        <f t="shared" si="193"/>
        <v>0</v>
      </c>
      <c r="U1288" s="512">
        <f t="shared" si="193"/>
        <v>0</v>
      </c>
      <c r="V1288" s="196">
        <f t="shared" si="193"/>
        <v>0</v>
      </c>
      <c r="W1288" s="282"/>
      <c r="X1288" s="282"/>
    </row>
    <row r="1289" spans="1:24">
      <c r="A1289" s="470"/>
      <c r="B1289" s="524" t="s">
        <v>869</v>
      </c>
      <c r="C1289" s="512">
        <f>'часть 1'!L1321</f>
        <v>1112894</v>
      </c>
      <c r="D1289" s="512">
        <v>0</v>
      </c>
      <c r="E1289" s="512">
        <v>0</v>
      </c>
      <c r="F1289" s="512">
        <v>0</v>
      </c>
      <c r="G1289" s="512">
        <v>0</v>
      </c>
      <c r="H1289" s="512">
        <v>0</v>
      </c>
      <c r="I1289" s="512">
        <v>0</v>
      </c>
      <c r="J1289" s="512">
        <v>0</v>
      </c>
      <c r="K1289" s="558">
        <v>0</v>
      </c>
      <c r="L1289" s="651">
        <v>0</v>
      </c>
      <c r="M1289" s="518">
        <v>0</v>
      </c>
      <c r="N1289" s="558">
        <v>0</v>
      </c>
      <c r="O1289" s="558">
        <v>0</v>
      </c>
      <c r="P1289" s="651">
        <v>0</v>
      </c>
      <c r="Q1289" s="518">
        <v>0</v>
      </c>
      <c r="R1289" s="815">
        <v>721.5</v>
      </c>
      <c r="S1289" s="518">
        <v>1112894</v>
      </c>
      <c r="T1289" s="651">
        <v>0</v>
      </c>
      <c r="U1289" s="477">
        <v>0</v>
      </c>
      <c r="V1289" s="282"/>
      <c r="W1289" s="282"/>
      <c r="X1289" s="282">
        <f>S1289/R1289</f>
        <v>1542.4726264726264</v>
      </c>
    </row>
    <row r="1290" spans="1:24" ht="18.75" customHeight="1">
      <c r="A1290" s="470"/>
      <c r="B1290" s="480" t="s">
        <v>72</v>
      </c>
      <c r="C1290" s="512">
        <f>C1291</f>
        <v>4547991</v>
      </c>
      <c r="D1290" s="512">
        <f t="shared" ref="D1290:V1290" si="194">D1291</f>
        <v>0</v>
      </c>
      <c r="E1290" s="512">
        <f t="shared" si="194"/>
        <v>0</v>
      </c>
      <c r="F1290" s="512">
        <f t="shared" si="194"/>
        <v>0</v>
      </c>
      <c r="G1290" s="512">
        <f t="shared" si="194"/>
        <v>0</v>
      </c>
      <c r="H1290" s="512">
        <f t="shared" si="194"/>
        <v>0</v>
      </c>
      <c r="I1290" s="512">
        <f t="shared" si="194"/>
        <v>0</v>
      </c>
      <c r="J1290" s="512">
        <f t="shared" si="194"/>
        <v>0</v>
      </c>
      <c r="K1290" s="512">
        <f t="shared" si="194"/>
        <v>0</v>
      </c>
      <c r="L1290" s="512">
        <f t="shared" si="194"/>
        <v>0</v>
      </c>
      <c r="M1290" s="512">
        <f t="shared" si="194"/>
        <v>0</v>
      </c>
      <c r="N1290" s="512">
        <f t="shared" si="194"/>
        <v>460</v>
      </c>
      <c r="O1290" s="512">
        <f t="shared" si="194"/>
        <v>1471990</v>
      </c>
      <c r="P1290" s="512">
        <f t="shared" si="194"/>
        <v>0</v>
      </c>
      <c r="Q1290" s="512">
        <f t="shared" si="194"/>
        <v>0</v>
      </c>
      <c r="R1290" s="512">
        <f t="shared" si="194"/>
        <v>2006</v>
      </c>
      <c r="S1290" s="512">
        <f t="shared" si="194"/>
        <v>3076001</v>
      </c>
      <c r="T1290" s="512">
        <f t="shared" si="194"/>
        <v>0</v>
      </c>
      <c r="U1290" s="512">
        <f t="shared" si="194"/>
        <v>0</v>
      </c>
      <c r="V1290" s="196">
        <f t="shared" si="194"/>
        <v>0</v>
      </c>
      <c r="W1290" s="282"/>
      <c r="X1290" s="282"/>
    </row>
    <row r="1291" spans="1:24" ht="30.75" customHeight="1">
      <c r="A1291" s="470"/>
      <c r="B1291" s="480" t="s">
        <v>95</v>
      </c>
      <c r="C1291" s="512">
        <f>C1292+C1293+C1294+C1295</f>
        <v>4547991</v>
      </c>
      <c r="D1291" s="512">
        <f t="shared" ref="D1291:U1291" si="195">D1292+D1293+D1294+D1295</f>
        <v>0</v>
      </c>
      <c r="E1291" s="512">
        <f t="shared" si="195"/>
        <v>0</v>
      </c>
      <c r="F1291" s="512">
        <f t="shared" si="195"/>
        <v>0</v>
      </c>
      <c r="G1291" s="512">
        <f t="shared" si="195"/>
        <v>0</v>
      </c>
      <c r="H1291" s="512">
        <f t="shared" si="195"/>
        <v>0</v>
      </c>
      <c r="I1291" s="512">
        <f t="shared" si="195"/>
        <v>0</v>
      </c>
      <c r="J1291" s="512">
        <f t="shared" si="195"/>
        <v>0</v>
      </c>
      <c r="K1291" s="512">
        <f t="shared" si="195"/>
        <v>0</v>
      </c>
      <c r="L1291" s="512">
        <f t="shared" si="195"/>
        <v>0</v>
      </c>
      <c r="M1291" s="512">
        <f t="shared" si="195"/>
        <v>0</v>
      </c>
      <c r="N1291" s="512">
        <f t="shared" si="195"/>
        <v>460</v>
      </c>
      <c r="O1291" s="512">
        <f t="shared" si="195"/>
        <v>1471990</v>
      </c>
      <c r="P1291" s="512">
        <f t="shared" si="195"/>
        <v>0</v>
      </c>
      <c r="Q1291" s="512">
        <f t="shared" si="195"/>
        <v>0</v>
      </c>
      <c r="R1291" s="512">
        <f t="shared" si="195"/>
        <v>2006</v>
      </c>
      <c r="S1291" s="512">
        <f t="shared" si="195"/>
        <v>3076001</v>
      </c>
      <c r="T1291" s="512">
        <f t="shared" si="195"/>
        <v>0</v>
      </c>
      <c r="U1291" s="512">
        <f t="shared" si="195"/>
        <v>0</v>
      </c>
      <c r="V1291" s="282"/>
      <c r="W1291" s="282"/>
      <c r="X1291" s="282"/>
    </row>
    <row r="1292" spans="1:24" ht="15.75">
      <c r="A1292" s="470">
        <v>231</v>
      </c>
      <c r="B1292" s="338" t="s">
        <v>625</v>
      </c>
      <c r="C1292" s="512">
        <f>'часть 1'!L1324</f>
        <v>2106656</v>
      </c>
      <c r="D1292" s="512">
        <v>0</v>
      </c>
      <c r="E1292" s="512">
        <v>0</v>
      </c>
      <c r="F1292" s="512">
        <v>0</v>
      </c>
      <c r="G1292" s="512">
        <v>0</v>
      </c>
      <c r="H1292" s="512">
        <v>0</v>
      </c>
      <c r="I1292" s="512">
        <v>0</v>
      </c>
      <c r="J1292" s="512">
        <v>0</v>
      </c>
      <c r="K1292" s="512">
        <v>0</v>
      </c>
      <c r="L1292" s="525">
        <v>0</v>
      </c>
      <c r="M1292" s="562">
        <v>0</v>
      </c>
      <c r="N1292" s="472">
        <v>460</v>
      </c>
      <c r="O1292" s="512">
        <v>1471990</v>
      </c>
      <c r="P1292" s="525">
        <v>0</v>
      </c>
      <c r="Q1292" s="512">
        <v>0</v>
      </c>
      <c r="R1292" s="513">
        <v>412</v>
      </c>
      <c r="S1292" s="512">
        <v>634666</v>
      </c>
      <c r="T1292" s="525">
        <v>0</v>
      </c>
      <c r="U1292" s="563">
        <v>0</v>
      </c>
      <c r="V1292" s="282"/>
      <c r="W1292" s="282">
        <f>O1292/N1292</f>
        <v>3199.978260869565</v>
      </c>
      <c r="X1292" s="282">
        <f>S1292/R1292</f>
        <v>1540.4514563106795</v>
      </c>
    </row>
    <row r="1293" spans="1:24" ht="15.75">
      <c r="A1293" s="470">
        <v>232</v>
      </c>
      <c r="B1293" s="338" t="s">
        <v>626</v>
      </c>
      <c r="C1293" s="512">
        <f>'часть 1'!L1325</f>
        <v>649678</v>
      </c>
      <c r="D1293" s="512">
        <v>0</v>
      </c>
      <c r="E1293" s="512">
        <v>0</v>
      </c>
      <c r="F1293" s="512">
        <v>0</v>
      </c>
      <c r="G1293" s="512">
        <v>0</v>
      </c>
      <c r="H1293" s="512">
        <v>0</v>
      </c>
      <c r="I1293" s="512">
        <v>0</v>
      </c>
      <c r="J1293" s="512">
        <v>0</v>
      </c>
      <c r="K1293" s="512">
        <v>0</v>
      </c>
      <c r="L1293" s="525">
        <v>0</v>
      </c>
      <c r="M1293" s="562">
        <v>0</v>
      </c>
      <c r="N1293" s="472">
        <v>0</v>
      </c>
      <c r="O1293" s="512">
        <v>0</v>
      </c>
      <c r="P1293" s="525">
        <v>0</v>
      </c>
      <c r="Q1293" s="512">
        <v>0</v>
      </c>
      <c r="R1293" s="513">
        <v>422</v>
      </c>
      <c r="S1293" s="512">
        <v>649678</v>
      </c>
      <c r="T1293" s="525">
        <v>0</v>
      </c>
      <c r="U1293" s="563">
        <v>0</v>
      </c>
      <c r="V1293" s="282"/>
      <c r="W1293" s="282"/>
      <c r="X1293" s="282">
        <f t="shared" ref="X1293:X1295" si="196">S1293/R1293</f>
        <v>1539.5213270142181</v>
      </c>
    </row>
    <row r="1294" spans="1:24" ht="15.75">
      <c r="A1294" s="470">
        <v>233</v>
      </c>
      <c r="B1294" s="338" t="s">
        <v>443</v>
      </c>
      <c r="C1294" s="512">
        <f>'часть 1'!L1326</f>
        <v>1157557</v>
      </c>
      <c r="D1294" s="512">
        <v>0</v>
      </c>
      <c r="E1294" s="512">
        <v>0</v>
      </c>
      <c r="F1294" s="512">
        <v>0</v>
      </c>
      <c r="G1294" s="512">
        <v>0</v>
      </c>
      <c r="H1294" s="512">
        <v>0</v>
      </c>
      <c r="I1294" s="512">
        <v>0</v>
      </c>
      <c r="J1294" s="512">
        <v>0</v>
      </c>
      <c r="K1294" s="512">
        <v>0</v>
      </c>
      <c r="L1294" s="525">
        <v>0</v>
      </c>
      <c r="M1294" s="562">
        <v>0</v>
      </c>
      <c r="N1294" s="472">
        <v>0</v>
      </c>
      <c r="O1294" s="512">
        <v>0</v>
      </c>
      <c r="P1294" s="525">
        <v>0</v>
      </c>
      <c r="Q1294" s="512">
        <v>0</v>
      </c>
      <c r="R1294" s="513">
        <v>760</v>
      </c>
      <c r="S1294" s="512">
        <v>1157557</v>
      </c>
      <c r="T1294" s="525">
        <v>0</v>
      </c>
      <c r="U1294" s="563">
        <v>0</v>
      </c>
      <c r="V1294" s="282"/>
      <c r="W1294" s="282"/>
      <c r="X1294" s="282">
        <f t="shared" si="196"/>
        <v>1523.1013157894736</v>
      </c>
    </row>
    <row r="1295" spans="1:24" ht="15.75">
      <c r="A1295" s="470">
        <v>234</v>
      </c>
      <c r="B1295" s="338" t="s">
        <v>391</v>
      </c>
      <c r="C1295" s="512">
        <f>'часть 1'!L1327</f>
        <v>634100</v>
      </c>
      <c r="D1295" s="512">
        <v>0</v>
      </c>
      <c r="E1295" s="512">
        <v>0</v>
      </c>
      <c r="F1295" s="512">
        <v>0</v>
      </c>
      <c r="G1295" s="512">
        <v>0</v>
      </c>
      <c r="H1295" s="512">
        <v>0</v>
      </c>
      <c r="I1295" s="512">
        <v>0</v>
      </c>
      <c r="J1295" s="512">
        <v>0</v>
      </c>
      <c r="K1295" s="512">
        <v>0</v>
      </c>
      <c r="L1295" s="525">
        <v>0</v>
      </c>
      <c r="M1295" s="562">
        <v>0</v>
      </c>
      <c r="N1295" s="472">
        <v>0</v>
      </c>
      <c r="O1295" s="512">
        <v>0</v>
      </c>
      <c r="P1295" s="525">
        <v>0</v>
      </c>
      <c r="Q1295" s="512">
        <v>0</v>
      </c>
      <c r="R1295" s="513">
        <v>412</v>
      </c>
      <c r="S1295" s="512">
        <v>634100</v>
      </c>
      <c r="T1295" s="525">
        <v>0</v>
      </c>
      <c r="U1295" s="563">
        <v>0</v>
      </c>
      <c r="V1295" s="282"/>
      <c r="W1295" s="282"/>
      <c r="X1295" s="282">
        <f t="shared" si="196"/>
        <v>1539.0776699029127</v>
      </c>
    </row>
    <row r="1296" spans="1:24" ht="15.75">
      <c r="A1296" s="470"/>
      <c r="B1296" s="338"/>
      <c r="C1296" s="512"/>
      <c r="D1296" s="512"/>
      <c r="E1296" s="512"/>
      <c r="F1296" s="512"/>
      <c r="G1296" s="512"/>
      <c r="H1296" s="512"/>
      <c r="I1296" s="512"/>
      <c r="J1296" s="512"/>
      <c r="K1296" s="512"/>
      <c r="L1296" s="525"/>
      <c r="M1296" s="562"/>
      <c r="N1296" s="472"/>
      <c r="O1296" s="512"/>
      <c r="P1296" s="525"/>
      <c r="Q1296" s="512"/>
      <c r="R1296" s="513"/>
      <c r="S1296" s="562"/>
      <c r="T1296" s="525"/>
      <c r="U1296" s="563"/>
      <c r="V1296" s="282"/>
      <c r="W1296" s="282"/>
      <c r="X1296" s="282"/>
    </row>
    <row r="1297" spans="1:35" ht="15.75">
      <c r="A1297" s="470"/>
      <c r="B1297" s="338"/>
      <c r="C1297" s="512"/>
      <c r="D1297" s="512"/>
      <c r="E1297" s="512"/>
      <c r="F1297" s="512"/>
      <c r="G1297" s="512"/>
      <c r="H1297" s="512"/>
      <c r="I1297" s="512"/>
      <c r="J1297" s="512"/>
      <c r="K1297" s="512"/>
      <c r="L1297" s="525"/>
      <c r="M1297" s="562"/>
      <c r="N1297" s="472"/>
      <c r="O1297" s="512"/>
      <c r="P1297" s="525"/>
      <c r="Q1297" s="512"/>
      <c r="R1297" s="513"/>
      <c r="S1297" s="562"/>
      <c r="T1297" s="525"/>
      <c r="U1297" s="563"/>
      <c r="V1297" s="282"/>
      <c r="W1297" s="282"/>
      <c r="X1297" s="282"/>
    </row>
    <row r="1298" spans="1:35" ht="15.75">
      <c r="A1298" s="470"/>
      <c r="B1298" s="338"/>
      <c r="C1298" s="512"/>
      <c r="D1298" s="512"/>
      <c r="E1298" s="512"/>
      <c r="F1298" s="512"/>
      <c r="G1298" s="512"/>
      <c r="H1298" s="512"/>
      <c r="I1298" s="512"/>
      <c r="J1298" s="512"/>
      <c r="K1298" s="512"/>
      <c r="L1298" s="525"/>
      <c r="M1298" s="562"/>
      <c r="N1298" s="472"/>
      <c r="O1298" s="512"/>
      <c r="P1298" s="525"/>
      <c r="Q1298" s="512"/>
      <c r="R1298" s="513"/>
      <c r="S1298" s="562"/>
      <c r="T1298" s="525"/>
      <c r="U1298" s="563"/>
      <c r="V1298" s="282"/>
      <c r="W1298" s="282"/>
      <c r="X1298" s="282"/>
    </row>
    <row r="1299" spans="1:35">
      <c r="A1299" s="198"/>
      <c r="B1299" s="217" t="s">
        <v>41</v>
      </c>
      <c r="C1299" s="192">
        <f>C1300</f>
        <v>12671361</v>
      </c>
      <c r="D1299" s="192">
        <f t="shared" ref="D1299:U1299" si="197">D1300</f>
        <v>8521269</v>
      </c>
      <c r="E1299" s="192">
        <f t="shared" si="197"/>
        <v>0</v>
      </c>
      <c r="F1299" s="192">
        <f t="shared" si="197"/>
        <v>5886903</v>
      </c>
      <c r="G1299" s="192">
        <f t="shared" si="197"/>
        <v>0</v>
      </c>
      <c r="H1299" s="192">
        <f t="shared" si="197"/>
        <v>1602037</v>
      </c>
      <c r="I1299" s="192">
        <f t="shared" si="197"/>
        <v>0</v>
      </c>
      <c r="J1299" s="192">
        <f t="shared" si="197"/>
        <v>1032329</v>
      </c>
      <c r="K1299" s="192">
        <f t="shared" si="197"/>
        <v>0</v>
      </c>
      <c r="L1299" s="192">
        <f t="shared" si="197"/>
        <v>0</v>
      </c>
      <c r="M1299" s="192">
        <f t="shared" si="197"/>
        <v>0</v>
      </c>
      <c r="N1299" s="192">
        <f t="shared" si="197"/>
        <v>1654</v>
      </c>
      <c r="O1299" s="192">
        <f t="shared" si="197"/>
        <v>4150092</v>
      </c>
      <c r="P1299" s="192">
        <f t="shared" si="197"/>
        <v>0</v>
      </c>
      <c r="Q1299" s="192">
        <f t="shared" si="197"/>
        <v>0</v>
      </c>
      <c r="R1299" s="192">
        <f t="shared" si="197"/>
        <v>0</v>
      </c>
      <c r="S1299" s="192">
        <f t="shared" si="197"/>
        <v>0</v>
      </c>
      <c r="T1299" s="192">
        <f t="shared" si="197"/>
        <v>0</v>
      </c>
      <c r="U1299" s="192">
        <f t="shared" si="197"/>
        <v>0</v>
      </c>
      <c r="V1299" s="282"/>
      <c r="W1299" s="282"/>
      <c r="X1299" s="282"/>
    </row>
    <row r="1300" spans="1:35" ht="30">
      <c r="A1300" s="198"/>
      <c r="B1300" s="195" t="s">
        <v>96</v>
      </c>
      <c r="C1300" s="196">
        <f>C1301+C1302+C1303+C1304</f>
        <v>12671361</v>
      </c>
      <c r="D1300" s="196">
        <f t="shared" ref="D1300:U1300" si="198">D1301+D1302+D1303+D1304</f>
        <v>8521269</v>
      </c>
      <c r="E1300" s="196">
        <f t="shared" si="198"/>
        <v>0</v>
      </c>
      <c r="F1300" s="196">
        <f t="shared" si="198"/>
        <v>5886903</v>
      </c>
      <c r="G1300" s="196">
        <f t="shared" si="198"/>
        <v>0</v>
      </c>
      <c r="H1300" s="196">
        <f t="shared" si="198"/>
        <v>1602037</v>
      </c>
      <c r="I1300" s="196">
        <f t="shared" si="198"/>
        <v>0</v>
      </c>
      <c r="J1300" s="196">
        <f t="shared" si="198"/>
        <v>1032329</v>
      </c>
      <c r="K1300" s="196">
        <f t="shared" si="198"/>
        <v>0</v>
      </c>
      <c r="L1300" s="196">
        <f t="shared" si="198"/>
        <v>0</v>
      </c>
      <c r="M1300" s="196">
        <f t="shared" si="198"/>
        <v>0</v>
      </c>
      <c r="N1300" s="196">
        <f t="shared" si="198"/>
        <v>1654</v>
      </c>
      <c r="O1300" s="196">
        <f t="shared" si="198"/>
        <v>4150092</v>
      </c>
      <c r="P1300" s="196">
        <f t="shared" si="198"/>
        <v>0</v>
      </c>
      <c r="Q1300" s="196">
        <f t="shared" si="198"/>
        <v>0</v>
      </c>
      <c r="R1300" s="196">
        <f t="shared" si="198"/>
        <v>0</v>
      </c>
      <c r="S1300" s="196">
        <f t="shared" si="198"/>
        <v>0</v>
      </c>
      <c r="T1300" s="196">
        <f t="shared" si="198"/>
        <v>0</v>
      </c>
      <c r="U1300" s="196">
        <f t="shared" si="198"/>
        <v>0</v>
      </c>
      <c r="V1300" s="196">
        <f t="shared" ref="V1300" si="199">V1301+V1302+V1303+V1304</f>
        <v>0</v>
      </c>
      <c r="W1300" s="282"/>
      <c r="X1300" s="282"/>
    </row>
    <row r="1301" spans="1:35" ht="31.5">
      <c r="A1301" s="198">
        <v>238</v>
      </c>
      <c r="B1301" s="780" t="s">
        <v>831</v>
      </c>
      <c r="C1301" s="196">
        <f>'часть 1'!L1333</f>
        <v>4056611</v>
      </c>
      <c r="D1301" s="196">
        <f>E1301+F1301+G1301+H1301+I1301+J1301+K1301</f>
        <v>4056611</v>
      </c>
      <c r="E1301" s="196">
        <v>0</v>
      </c>
      <c r="F1301" s="196">
        <v>4056611</v>
      </c>
      <c r="G1301" s="196">
        <v>0</v>
      </c>
      <c r="H1301" s="196">
        <v>0</v>
      </c>
      <c r="I1301" s="196">
        <v>0</v>
      </c>
      <c r="J1301" s="196">
        <v>0</v>
      </c>
      <c r="K1301" s="196">
        <v>0</v>
      </c>
      <c r="L1301" s="204">
        <v>0</v>
      </c>
      <c r="M1301" s="199">
        <v>0</v>
      </c>
      <c r="N1301" s="199">
        <v>0</v>
      </c>
      <c r="O1301" s="196">
        <v>0</v>
      </c>
      <c r="P1301" s="193">
        <v>0</v>
      </c>
      <c r="Q1301" s="192">
        <v>0</v>
      </c>
      <c r="R1301" s="193">
        <v>0</v>
      </c>
      <c r="S1301" s="192">
        <v>0</v>
      </c>
      <c r="T1301" s="205">
        <v>0</v>
      </c>
      <c r="U1301" s="287">
        <v>0</v>
      </c>
      <c r="V1301" s="282"/>
      <c r="W1301" s="282"/>
      <c r="X1301" s="282"/>
      <c r="AA1301" s="1">
        <f>F1301/'часть 1'!I1333</f>
        <v>997.98047638025787</v>
      </c>
    </row>
    <row r="1302" spans="1:35" ht="31.5">
      <c r="A1302" s="198">
        <v>239</v>
      </c>
      <c r="B1302" s="780" t="s">
        <v>832</v>
      </c>
      <c r="C1302" s="196">
        <f>'часть 1'!L1334</f>
        <v>2157151</v>
      </c>
      <c r="D1302" s="196">
        <f t="shared" ref="D1302:D1304" si="200">E1302+F1302+G1302+H1302+I1302+J1302+K1302</f>
        <v>0</v>
      </c>
      <c r="E1302" s="196">
        <v>0</v>
      </c>
      <c r="F1302" s="196">
        <v>0</v>
      </c>
      <c r="G1302" s="196">
        <v>0</v>
      </c>
      <c r="H1302" s="196">
        <v>0</v>
      </c>
      <c r="I1302" s="196">
        <v>0</v>
      </c>
      <c r="J1302" s="196">
        <v>0</v>
      </c>
      <c r="K1302" s="196">
        <v>0</v>
      </c>
      <c r="L1302" s="204">
        <v>0</v>
      </c>
      <c r="M1302" s="199">
        <v>0</v>
      </c>
      <c r="N1302" s="199">
        <v>860</v>
      </c>
      <c r="O1302" s="196">
        <v>2157151</v>
      </c>
      <c r="P1302" s="193">
        <v>0</v>
      </c>
      <c r="Q1302" s="192">
        <v>0</v>
      </c>
      <c r="R1302" s="193">
        <v>0</v>
      </c>
      <c r="S1302" s="192">
        <v>0</v>
      </c>
      <c r="T1302" s="205">
        <v>0</v>
      </c>
      <c r="U1302" s="287">
        <v>0</v>
      </c>
      <c r="V1302" s="282"/>
      <c r="W1302" s="282">
        <f>O1302/N1302</f>
        <v>2508.3151162790696</v>
      </c>
      <c r="X1302" s="282"/>
    </row>
    <row r="1303" spans="1:35" ht="24" customHeight="1">
      <c r="A1303" s="198">
        <v>240</v>
      </c>
      <c r="B1303" s="780" t="s">
        <v>833</v>
      </c>
      <c r="C1303" s="196">
        <f>'часть 1'!L1335</f>
        <v>1992941</v>
      </c>
      <c r="D1303" s="196">
        <f t="shared" si="200"/>
        <v>0</v>
      </c>
      <c r="E1303" s="196">
        <v>0</v>
      </c>
      <c r="F1303" s="196">
        <v>0</v>
      </c>
      <c r="G1303" s="196">
        <v>0</v>
      </c>
      <c r="H1303" s="196">
        <v>0</v>
      </c>
      <c r="I1303" s="196">
        <v>0</v>
      </c>
      <c r="J1303" s="196">
        <v>0</v>
      </c>
      <c r="K1303" s="196">
        <v>0</v>
      </c>
      <c r="L1303" s="204">
        <v>0</v>
      </c>
      <c r="M1303" s="199">
        <v>0</v>
      </c>
      <c r="N1303" s="199">
        <v>794</v>
      </c>
      <c r="O1303" s="196">
        <v>1992941</v>
      </c>
      <c r="P1303" s="193">
        <v>0</v>
      </c>
      <c r="Q1303" s="192">
        <v>0</v>
      </c>
      <c r="R1303" s="193">
        <v>0</v>
      </c>
      <c r="S1303" s="192">
        <v>0</v>
      </c>
      <c r="T1303" s="205">
        <v>0</v>
      </c>
      <c r="U1303" s="287">
        <v>0</v>
      </c>
      <c r="V1303" s="282"/>
      <c r="W1303" s="282">
        <f>O1303/N1303</f>
        <v>2510.001259445844</v>
      </c>
      <c r="X1303" s="282"/>
    </row>
    <row r="1304" spans="1:35" ht="19.899999999999999" customHeight="1">
      <c r="A1304" s="198"/>
      <c r="B1304" s="218" t="s">
        <v>948</v>
      </c>
      <c r="C1304" s="196">
        <f>'часть 1'!L1336</f>
        <v>4464658</v>
      </c>
      <c r="D1304" s="196">
        <f t="shared" si="200"/>
        <v>4464658</v>
      </c>
      <c r="E1304" s="196">
        <v>0</v>
      </c>
      <c r="F1304" s="196">
        <v>1830292</v>
      </c>
      <c r="G1304" s="196">
        <v>0</v>
      </c>
      <c r="H1304" s="196">
        <v>1602037</v>
      </c>
      <c r="I1304" s="196">
        <v>0</v>
      </c>
      <c r="J1304" s="196">
        <v>1032329</v>
      </c>
      <c r="K1304" s="196">
        <v>0</v>
      </c>
      <c r="L1304" s="204">
        <v>0</v>
      </c>
      <c r="M1304" s="199">
        <v>0</v>
      </c>
      <c r="N1304" s="192">
        <v>0</v>
      </c>
      <c r="O1304" s="192">
        <v>0</v>
      </c>
      <c r="P1304" s="193">
        <v>0</v>
      </c>
      <c r="Q1304" s="192">
        <v>0</v>
      </c>
      <c r="R1304" s="193">
        <v>0</v>
      </c>
      <c r="S1304" s="192">
        <v>0</v>
      </c>
      <c r="T1304" s="205">
        <v>0</v>
      </c>
      <c r="U1304" s="287">
        <v>0</v>
      </c>
      <c r="V1304" s="282"/>
      <c r="W1304" s="282"/>
      <c r="X1304" s="282"/>
      <c r="AA1304" s="1">
        <f>F1304/'часть 1'!I1336</f>
        <v>927.85764980229146</v>
      </c>
      <c r="AB1304" s="1">
        <f>H1304/'часть 1'!I1336</f>
        <v>812.14488492345129</v>
      </c>
      <c r="AD1304" s="1">
        <f>J1304/'часть 1'!I1336</f>
        <v>523.33417824191429</v>
      </c>
    </row>
    <row r="1305" spans="1:35">
      <c r="A1305" s="198"/>
      <c r="B1305" s="195"/>
      <c r="C1305" s="196"/>
      <c r="D1305" s="196"/>
      <c r="E1305" s="196"/>
      <c r="F1305" s="196"/>
      <c r="G1305" s="196"/>
      <c r="H1305" s="196"/>
      <c r="I1305" s="196"/>
      <c r="J1305" s="196"/>
      <c r="K1305" s="196"/>
      <c r="L1305" s="204"/>
      <c r="M1305" s="199"/>
      <c r="N1305" s="199"/>
      <c r="O1305" s="196"/>
      <c r="P1305" s="193"/>
      <c r="Q1305" s="211"/>
      <c r="R1305" s="213"/>
      <c r="S1305" s="211"/>
      <c r="T1305" s="212"/>
      <c r="U1305" s="290"/>
      <c r="V1305" s="282"/>
      <c r="W1305" s="282"/>
      <c r="X1305" s="282"/>
    </row>
    <row r="1306" spans="1:35">
      <c r="A1306" s="198"/>
      <c r="B1306" s="218" t="s">
        <v>68</v>
      </c>
      <c r="C1306" s="196">
        <f>C1307</f>
        <v>0</v>
      </c>
      <c r="D1306" s="196">
        <f t="shared" ref="D1306:U1306" si="201">D1307</f>
        <v>0</v>
      </c>
      <c r="E1306" s="196">
        <f t="shared" si="201"/>
        <v>0</v>
      </c>
      <c r="F1306" s="196">
        <f t="shared" si="201"/>
        <v>0</v>
      </c>
      <c r="G1306" s="196">
        <f t="shared" si="201"/>
        <v>0</v>
      </c>
      <c r="H1306" s="196">
        <f t="shared" si="201"/>
        <v>0</v>
      </c>
      <c r="I1306" s="196">
        <f t="shared" si="201"/>
        <v>0</v>
      </c>
      <c r="J1306" s="196">
        <f t="shared" si="201"/>
        <v>0</v>
      </c>
      <c r="K1306" s="196">
        <f t="shared" si="201"/>
        <v>0</v>
      </c>
      <c r="L1306" s="196">
        <f t="shared" si="201"/>
        <v>0</v>
      </c>
      <c r="M1306" s="196">
        <f t="shared" si="201"/>
        <v>0</v>
      </c>
      <c r="N1306" s="196">
        <f t="shared" si="201"/>
        <v>0</v>
      </c>
      <c r="O1306" s="196">
        <f t="shared" si="201"/>
        <v>0</v>
      </c>
      <c r="P1306" s="196">
        <f t="shared" si="201"/>
        <v>0</v>
      </c>
      <c r="Q1306" s="196">
        <f t="shared" si="201"/>
        <v>0</v>
      </c>
      <c r="R1306" s="196">
        <f t="shared" si="201"/>
        <v>0</v>
      </c>
      <c r="S1306" s="196">
        <f t="shared" si="201"/>
        <v>0</v>
      </c>
      <c r="T1306" s="196">
        <f t="shared" si="201"/>
        <v>0</v>
      </c>
      <c r="U1306" s="196">
        <f t="shared" si="201"/>
        <v>0</v>
      </c>
      <c r="V1306" s="282"/>
      <c r="W1306" s="282"/>
      <c r="X1306" s="282"/>
    </row>
    <row r="1307" spans="1:35" ht="30">
      <c r="A1307" s="470"/>
      <c r="B1307" s="511" t="s">
        <v>97</v>
      </c>
      <c r="C1307" s="512">
        <v>0</v>
      </c>
      <c r="D1307" s="512">
        <v>0</v>
      </c>
      <c r="E1307" s="512">
        <v>0</v>
      </c>
      <c r="F1307" s="512">
        <v>0</v>
      </c>
      <c r="G1307" s="512">
        <v>0</v>
      </c>
      <c r="H1307" s="512">
        <v>0</v>
      </c>
      <c r="I1307" s="512">
        <v>0</v>
      </c>
      <c r="J1307" s="512">
        <v>0</v>
      </c>
      <c r="K1307" s="512">
        <v>0</v>
      </c>
      <c r="L1307" s="525">
        <v>0</v>
      </c>
      <c r="M1307" s="512">
        <v>0</v>
      </c>
      <c r="N1307" s="512">
        <v>0</v>
      </c>
      <c r="O1307" s="512">
        <v>0</v>
      </c>
      <c r="P1307" s="513">
        <v>0</v>
      </c>
      <c r="Q1307" s="512">
        <v>0</v>
      </c>
      <c r="R1307" s="513">
        <v>0</v>
      </c>
      <c r="S1307" s="512">
        <v>0</v>
      </c>
      <c r="T1307" s="525">
        <v>0</v>
      </c>
      <c r="U1307" s="514">
        <v>0</v>
      </c>
      <c r="V1307" s="282"/>
      <c r="W1307" s="282"/>
      <c r="X1307" s="282"/>
    </row>
    <row r="1308" spans="1:35">
      <c r="A1308" s="470"/>
      <c r="B1308" s="524"/>
      <c r="C1308" s="479"/>
      <c r="D1308" s="479"/>
      <c r="E1308" s="479"/>
      <c r="F1308" s="479"/>
      <c r="G1308" s="479"/>
      <c r="H1308" s="479"/>
      <c r="I1308" s="479"/>
      <c r="J1308" s="479"/>
      <c r="K1308" s="479"/>
      <c r="L1308" s="515"/>
      <c r="M1308" s="479"/>
      <c r="N1308" s="479"/>
      <c r="O1308" s="479"/>
      <c r="P1308" s="516"/>
      <c r="Q1308" s="479"/>
      <c r="R1308" s="516"/>
      <c r="S1308" s="479"/>
      <c r="T1308" s="515"/>
      <c r="U1308" s="517"/>
      <c r="V1308" s="282"/>
      <c r="W1308" s="282"/>
      <c r="X1308" s="282"/>
    </row>
    <row r="1309" spans="1:35" s="18" customFormat="1">
      <c r="A1309" s="198"/>
      <c r="B1309" s="216" t="s">
        <v>43</v>
      </c>
      <c r="C1309" s="211">
        <v>23032470</v>
      </c>
      <c r="D1309" s="211"/>
      <c r="E1309" s="211"/>
      <c r="F1309" s="211"/>
      <c r="G1309" s="211"/>
      <c r="H1309" s="211"/>
      <c r="I1309" s="211"/>
      <c r="J1309" s="211"/>
      <c r="K1309" s="211">
        <v>0</v>
      </c>
      <c r="L1309" s="213">
        <v>0</v>
      </c>
      <c r="M1309" s="211">
        <v>0</v>
      </c>
      <c r="N1309" s="211">
        <v>11598.699999999999</v>
      </c>
      <c r="O1309" s="211">
        <v>23032470</v>
      </c>
      <c r="P1309" s="213">
        <v>0</v>
      </c>
      <c r="Q1309" s="211">
        <v>0</v>
      </c>
      <c r="R1309" s="213">
        <v>0</v>
      </c>
      <c r="S1309" s="211">
        <v>0</v>
      </c>
      <c r="T1309" s="213">
        <v>0</v>
      </c>
      <c r="U1309" s="290">
        <v>0</v>
      </c>
      <c r="V1309" s="282"/>
      <c r="W1309" s="282"/>
      <c r="X1309" s="282"/>
    </row>
    <row r="1310" spans="1:35" ht="30">
      <c r="A1310" s="198"/>
      <c r="B1310" s="214" t="s">
        <v>125</v>
      </c>
      <c r="C1310" s="211">
        <v>20696312</v>
      </c>
      <c r="D1310" s="211"/>
      <c r="E1310" s="211"/>
      <c r="F1310" s="211"/>
      <c r="G1310" s="211"/>
      <c r="H1310" s="211"/>
      <c r="I1310" s="211"/>
      <c r="J1310" s="211"/>
      <c r="K1310" s="211">
        <v>0</v>
      </c>
      <c r="L1310" s="212">
        <v>0</v>
      </c>
      <c r="M1310" s="211">
        <v>0</v>
      </c>
      <c r="N1310" s="211">
        <v>10402.699999999999</v>
      </c>
      <c r="O1310" s="211">
        <v>20696312</v>
      </c>
      <c r="P1310" s="213">
        <v>0</v>
      </c>
      <c r="Q1310" s="211">
        <v>0</v>
      </c>
      <c r="R1310" s="213">
        <v>0</v>
      </c>
      <c r="S1310" s="211">
        <v>0</v>
      </c>
      <c r="T1310" s="212">
        <v>0</v>
      </c>
      <c r="U1310" s="290">
        <v>0</v>
      </c>
      <c r="V1310" s="282"/>
      <c r="W1310" s="282"/>
      <c r="X1310" s="282"/>
    </row>
    <row r="1311" spans="1:35" s="46" customFormat="1">
      <c r="A1311" s="198">
        <v>244</v>
      </c>
      <c r="B1311" s="219" t="s">
        <v>405</v>
      </c>
      <c r="C1311" s="220">
        <v>2301804</v>
      </c>
      <c r="D1311" s="220"/>
      <c r="E1311" s="220"/>
      <c r="F1311" s="220"/>
      <c r="G1311" s="220"/>
      <c r="H1311" s="220"/>
      <c r="I1311" s="220"/>
      <c r="J1311" s="220"/>
      <c r="K1311" s="221">
        <v>0</v>
      </c>
      <c r="L1311" s="222">
        <v>0</v>
      </c>
      <c r="M1311" s="221">
        <v>0</v>
      </c>
      <c r="N1311" s="223">
        <v>1167</v>
      </c>
      <c r="O1311" s="224">
        <v>2301804</v>
      </c>
      <c r="P1311" s="225">
        <v>0</v>
      </c>
      <c r="Q1311" s="221">
        <v>0</v>
      </c>
      <c r="R1311" s="225">
        <v>0</v>
      </c>
      <c r="S1311" s="221">
        <v>0</v>
      </c>
      <c r="T1311" s="226">
        <v>0</v>
      </c>
      <c r="U1311" s="291">
        <v>0</v>
      </c>
      <c r="V1311" s="282"/>
      <c r="W1311" s="282"/>
      <c r="X1311" s="282"/>
    </row>
    <row r="1312" spans="1:35" s="90" customFormat="1">
      <c r="A1312" s="198">
        <v>245</v>
      </c>
      <c r="B1312" s="219" t="s">
        <v>393</v>
      </c>
      <c r="C1312" s="220">
        <v>1743478</v>
      </c>
      <c r="D1312" s="220"/>
      <c r="E1312" s="220"/>
      <c r="F1312" s="220"/>
      <c r="G1312" s="220"/>
      <c r="H1312" s="220"/>
      <c r="I1312" s="220"/>
      <c r="J1312" s="220"/>
      <c r="K1312" s="227">
        <v>0</v>
      </c>
      <c r="L1312" s="208">
        <v>0</v>
      </c>
      <c r="M1312" s="227">
        <v>0</v>
      </c>
      <c r="N1312" s="228">
        <v>880</v>
      </c>
      <c r="O1312" s="224">
        <v>1743478</v>
      </c>
      <c r="P1312" s="225">
        <v>0</v>
      </c>
      <c r="Q1312" s="221">
        <v>0</v>
      </c>
      <c r="R1312" s="225">
        <v>0</v>
      </c>
      <c r="S1312" s="221">
        <v>0</v>
      </c>
      <c r="T1312" s="226">
        <v>0</v>
      </c>
      <c r="U1312" s="291">
        <v>0</v>
      </c>
      <c r="V1312" s="282"/>
      <c r="W1312" s="282"/>
      <c r="X1312" s="282"/>
      <c r="Y1312" s="46"/>
      <c r="Z1312" s="46"/>
      <c r="AA1312" s="46"/>
      <c r="AB1312" s="46"/>
      <c r="AC1312" s="46"/>
      <c r="AD1312" s="46"/>
      <c r="AE1312" s="46"/>
      <c r="AF1312" s="46"/>
      <c r="AG1312" s="46"/>
      <c r="AH1312" s="46"/>
      <c r="AI1312" s="46"/>
    </row>
    <row r="1313" spans="1:35" s="90" customFormat="1">
      <c r="A1313" s="198">
        <v>246</v>
      </c>
      <c r="B1313" s="219" t="s">
        <v>406</v>
      </c>
      <c r="C1313" s="220">
        <v>2485001</v>
      </c>
      <c r="D1313" s="220"/>
      <c r="E1313" s="220"/>
      <c r="F1313" s="220"/>
      <c r="G1313" s="220"/>
      <c r="H1313" s="220"/>
      <c r="I1313" s="220"/>
      <c r="J1313" s="220"/>
      <c r="K1313" s="221">
        <v>0</v>
      </c>
      <c r="L1313" s="222">
        <v>0</v>
      </c>
      <c r="M1313" s="221">
        <v>0</v>
      </c>
      <c r="N1313" s="229">
        <v>1268.4000000000001</v>
      </c>
      <c r="O1313" s="224">
        <v>2485001</v>
      </c>
      <c r="P1313" s="225">
        <v>0</v>
      </c>
      <c r="Q1313" s="221">
        <v>0</v>
      </c>
      <c r="R1313" s="225">
        <v>0</v>
      </c>
      <c r="S1313" s="221">
        <v>0</v>
      </c>
      <c r="T1313" s="226">
        <v>0</v>
      </c>
      <c r="U1313" s="291">
        <v>0</v>
      </c>
      <c r="V1313" s="282"/>
      <c r="W1313" s="282"/>
      <c r="X1313" s="282"/>
      <c r="Y1313" s="46"/>
      <c r="Z1313" s="46"/>
      <c r="AA1313" s="46"/>
      <c r="AB1313" s="46"/>
      <c r="AC1313" s="46"/>
      <c r="AD1313" s="46"/>
      <c r="AE1313" s="46"/>
      <c r="AF1313" s="46"/>
      <c r="AG1313" s="46"/>
      <c r="AH1313" s="46"/>
      <c r="AI1313" s="46"/>
    </row>
    <row r="1314" spans="1:35" s="46" customFormat="1">
      <c r="A1314" s="198">
        <v>247</v>
      </c>
      <c r="B1314" s="219" t="s">
        <v>402</v>
      </c>
      <c r="C1314" s="220">
        <v>1237591</v>
      </c>
      <c r="D1314" s="220"/>
      <c r="E1314" s="220"/>
      <c r="F1314" s="220"/>
      <c r="G1314" s="220"/>
      <c r="H1314" s="220"/>
      <c r="I1314" s="220"/>
      <c r="J1314" s="220"/>
      <c r="K1314" s="221">
        <v>0</v>
      </c>
      <c r="L1314" s="222">
        <v>0</v>
      </c>
      <c r="M1314" s="221">
        <v>0</v>
      </c>
      <c r="N1314" s="223">
        <v>620</v>
      </c>
      <c r="O1314" s="224">
        <v>1237591</v>
      </c>
      <c r="P1314" s="225">
        <v>0</v>
      </c>
      <c r="Q1314" s="221">
        <v>0</v>
      </c>
      <c r="R1314" s="225">
        <v>0</v>
      </c>
      <c r="S1314" s="221">
        <v>0</v>
      </c>
      <c r="T1314" s="226">
        <v>0</v>
      </c>
      <c r="U1314" s="291">
        <v>0</v>
      </c>
      <c r="V1314" s="282"/>
      <c r="W1314" s="282"/>
      <c r="X1314" s="282"/>
      <c r="Y1314" s="43"/>
      <c r="Z1314" s="43"/>
      <c r="AA1314" s="43"/>
      <c r="AB1314" s="43"/>
      <c r="AC1314" s="43"/>
      <c r="AD1314" s="43"/>
      <c r="AE1314" s="43"/>
      <c r="AF1314" s="43"/>
      <c r="AG1314" s="43"/>
      <c r="AH1314" s="43"/>
      <c r="AI1314" s="43"/>
    </row>
    <row r="1315" spans="1:35" s="42" customFormat="1">
      <c r="A1315" s="198">
        <v>248</v>
      </c>
      <c r="B1315" s="219" t="s">
        <v>397</v>
      </c>
      <c r="C1315" s="220">
        <v>1448078</v>
      </c>
      <c r="D1315" s="220"/>
      <c r="E1315" s="220"/>
      <c r="F1315" s="220"/>
      <c r="G1315" s="220"/>
      <c r="H1315" s="220"/>
      <c r="I1315" s="220"/>
      <c r="J1315" s="220"/>
      <c r="K1315" s="221">
        <v>0</v>
      </c>
      <c r="L1315" s="222">
        <v>0</v>
      </c>
      <c r="M1315" s="221">
        <v>0</v>
      </c>
      <c r="N1315" s="229">
        <v>729</v>
      </c>
      <c r="O1315" s="224">
        <v>1448078</v>
      </c>
      <c r="P1315" s="225">
        <v>0</v>
      </c>
      <c r="Q1315" s="221">
        <v>0</v>
      </c>
      <c r="R1315" s="225">
        <v>0</v>
      </c>
      <c r="S1315" s="221">
        <v>0</v>
      </c>
      <c r="T1315" s="226">
        <v>0</v>
      </c>
      <c r="U1315" s="291">
        <v>0</v>
      </c>
      <c r="V1315" s="282"/>
      <c r="W1315" s="282"/>
      <c r="X1315" s="282"/>
    </row>
    <row r="1316" spans="1:35" s="46" customFormat="1">
      <c r="A1316" s="198">
        <v>249</v>
      </c>
      <c r="B1316" s="219" t="s">
        <v>398</v>
      </c>
      <c r="C1316" s="220">
        <v>1963797</v>
      </c>
      <c r="D1316" s="220"/>
      <c r="E1316" s="220"/>
      <c r="F1316" s="220"/>
      <c r="G1316" s="220"/>
      <c r="H1316" s="220"/>
      <c r="I1316" s="220"/>
      <c r="J1316" s="220"/>
      <c r="K1316" s="221">
        <v>0</v>
      </c>
      <c r="L1316" s="222">
        <v>0</v>
      </c>
      <c r="M1316" s="221">
        <v>0</v>
      </c>
      <c r="N1316" s="223">
        <v>991.4</v>
      </c>
      <c r="O1316" s="224">
        <v>1963797</v>
      </c>
      <c r="P1316" s="225">
        <v>0</v>
      </c>
      <c r="Q1316" s="221">
        <v>0</v>
      </c>
      <c r="R1316" s="225">
        <v>0</v>
      </c>
      <c r="S1316" s="221">
        <v>0</v>
      </c>
      <c r="T1316" s="226">
        <v>0</v>
      </c>
      <c r="U1316" s="291">
        <v>0</v>
      </c>
      <c r="V1316" s="282"/>
      <c r="W1316" s="282"/>
      <c r="X1316" s="282"/>
    </row>
    <row r="1317" spans="1:35" s="46" customFormat="1">
      <c r="A1317" s="198">
        <v>250</v>
      </c>
      <c r="B1317" s="219" t="s">
        <v>399</v>
      </c>
      <c r="C1317" s="220">
        <v>2119530</v>
      </c>
      <c r="D1317" s="220"/>
      <c r="E1317" s="220"/>
      <c r="F1317" s="220"/>
      <c r="G1317" s="220"/>
      <c r="H1317" s="220"/>
      <c r="I1317" s="220"/>
      <c r="J1317" s="220"/>
      <c r="K1317" s="221">
        <v>0</v>
      </c>
      <c r="L1317" s="222">
        <v>0</v>
      </c>
      <c r="M1317" s="221">
        <v>0</v>
      </c>
      <c r="N1317" s="223">
        <v>1054.5</v>
      </c>
      <c r="O1317" s="224">
        <v>2119530</v>
      </c>
      <c r="P1317" s="225">
        <v>0</v>
      </c>
      <c r="Q1317" s="221">
        <v>0</v>
      </c>
      <c r="R1317" s="225">
        <v>0</v>
      </c>
      <c r="S1317" s="221">
        <v>0</v>
      </c>
      <c r="T1317" s="226">
        <v>0</v>
      </c>
      <c r="U1317" s="291">
        <v>0</v>
      </c>
      <c r="V1317" s="282"/>
      <c r="W1317" s="282"/>
      <c r="X1317" s="282"/>
    </row>
    <row r="1318" spans="1:35" s="46" customFormat="1">
      <c r="A1318" s="198">
        <v>251</v>
      </c>
      <c r="B1318" s="219" t="s">
        <v>403</v>
      </c>
      <c r="C1318" s="220">
        <v>1098163</v>
      </c>
      <c r="D1318" s="220"/>
      <c r="E1318" s="220"/>
      <c r="F1318" s="220"/>
      <c r="G1318" s="220"/>
      <c r="H1318" s="220"/>
      <c r="I1318" s="220"/>
      <c r="J1318" s="220"/>
      <c r="K1318" s="221">
        <v>0</v>
      </c>
      <c r="L1318" s="222">
        <v>0</v>
      </c>
      <c r="M1318" s="221">
        <v>0</v>
      </c>
      <c r="N1318" s="223">
        <v>548</v>
      </c>
      <c r="O1318" s="224">
        <v>1098163</v>
      </c>
      <c r="P1318" s="225">
        <v>0</v>
      </c>
      <c r="Q1318" s="221">
        <v>0</v>
      </c>
      <c r="R1318" s="225">
        <v>0</v>
      </c>
      <c r="S1318" s="221">
        <v>0</v>
      </c>
      <c r="T1318" s="226">
        <v>0</v>
      </c>
      <c r="U1318" s="291">
        <v>0</v>
      </c>
      <c r="V1318" s="282"/>
      <c r="W1318" s="282"/>
      <c r="X1318" s="282"/>
      <c r="Y1318" s="43"/>
      <c r="Z1318" s="43"/>
      <c r="AA1318" s="43"/>
      <c r="AB1318" s="43"/>
      <c r="AC1318" s="43"/>
      <c r="AD1318" s="43"/>
      <c r="AE1318" s="43"/>
      <c r="AF1318" s="43"/>
      <c r="AG1318" s="43"/>
      <c r="AH1318" s="43"/>
      <c r="AI1318" s="43"/>
    </row>
    <row r="1319" spans="1:35" s="46" customFormat="1">
      <c r="A1319" s="198">
        <v>252</v>
      </c>
      <c r="B1319" s="219" t="s">
        <v>404</v>
      </c>
      <c r="C1319" s="220">
        <v>1241309</v>
      </c>
      <c r="D1319" s="220"/>
      <c r="E1319" s="220"/>
      <c r="F1319" s="220"/>
      <c r="G1319" s="220"/>
      <c r="H1319" s="220"/>
      <c r="I1319" s="220"/>
      <c r="J1319" s="220"/>
      <c r="K1319" s="221">
        <v>0</v>
      </c>
      <c r="L1319" s="222">
        <v>0</v>
      </c>
      <c r="M1319" s="221">
        <v>0</v>
      </c>
      <c r="N1319" s="223">
        <v>622</v>
      </c>
      <c r="O1319" s="224">
        <v>1241309</v>
      </c>
      <c r="P1319" s="225">
        <v>0</v>
      </c>
      <c r="Q1319" s="221">
        <v>0</v>
      </c>
      <c r="R1319" s="225">
        <v>0</v>
      </c>
      <c r="S1319" s="221">
        <v>0</v>
      </c>
      <c r="T1319" s="226">
        <v>0</v>
      </c>
      <c r="U1319" s="291">
        <v>0</v>
      </c>
      <c r="V1319" s="282"/>
      <c r="W1319" s="282"/>
      <c r="X1319" s="282"/>
    </row>
    <row r="1320" spans="1:35" s="43" customFormat="1">
      <c r="A1320" s="198">
        <v>253</v>
      </c>
      <c r="B1320" s="219" t="s">
        <v>400</v>
      </c>
      <c r="C1320" s="220">
        <v>1041360</v>
      </c>
      <c r="D1320" s="220"/>
      <c r="E1320" s="220"/>
      <c r="F1320" s="220"/>
      <c r="G1320" s="220"/>
      <c r="H1320" s="220"/>
      <c r="I1320" s="220"/>
      <c r="J1320" s="220"/>
      <c r="K1320" s="221">
        <v>0</v>
      </c>
      <c r="L1320" s="222">
        <v>0</v>
      </c>
      <c r="M1320" s="221">
        <v>0</v>
      </c>
      <c r="N1320" s="223">
        <v>520</v>
      </c>
      <c r="O1320" s="224">
        <v>1041360</v>
      </c>
      <c r="P1320" s="225">
        <v>0</v>
      </c>
      <c r="Q1320" s="221">
        <v>0</v>
      </c>
      <c r="R1320" s="225">
        <v>0</v>
      </c>
      <c r="S1320" s="221">
        <v>0</v>
      </c>
      <c r="T1320" s="226">
        <v>0</v>
      </c>
      <c r="U1320" s="291">
        <v>0</v>
      </c>
      <c r="V1320" s="282"/>
      <c r="W1320" s="282"/>
      <c r="X1320" s="282"/>
      <c r="Y1320" s="46"/>
      <c r="Z1320" s="46"/>
      <c r="AA1320" s="46"/>
      <c r="AB1320" s="46"/>
      <c r="AC1320" s="46"/>
      <c r="AD1320" s="46"/>
      <c r="AE1320" s="46"/>
      <c r="AF1320" s="46"/>
      <c r="AG1320" s="46"/>
      <c r="AH1320" s="46"/>
      <c r="AI1320" s="46"/>
    </row>
    <row r="1321" spans="1:35" s="43" customFormat="1">
      <c r="A1321" s="198">
        <v>254</v>
      </c>
      <c r="B1321" s="219" t="s">
        <v>401</v>
      </c>
      <c r="C1321" s="220">
        <v>1138866</v>
      </c>
      <c r="D1321" s="220"/>
      <c r="E1321" s="220"/>
      <c r="F1321" s="220"/>
      <c r="G1321" s="220"/>
      <c r="H1321" s="220"/>
      <c r="I1321" s="220"/>
      <c r="J1321" s="220"/>
      <c r="K1321" s="221">
        <v>0</v>
      </c>
      <c r="L1321" s="222">
        <v>0</v>
      </c>
      <c r="M1321" s="221">
        <v>0</v>
      </c>
      <c r="N1321" s="223">
        <v>570</v>
      </c>
      <c r="O1321" s="224">
        <v>1138866</v>
      </c>
      <c r="P1321" s="225">
        <v>0</v>
      </c>
      <c r="Q1321" s="221">
        <v>0</v>
      </c>
      <c r="R1321" s="225">
        <v>0</v>
      </c>
      <c r="S1321" s="221">
        <v>0</v>
      </c>
      <c r="T1321" s="226">
        <v>0</v>
      </c>
      <c r="U1321" s="291">
        <v>0</v>
      </c>
      <c r="V1321" s="282"/>
      <c r="W1321" s="282"/>
      <c r="X1321" s="282"/>
      <c r="Y1321" s="46"/>
      <c r="Z1321" s="46"/>
      <c r="AA1321" s="46"/>
      <c r="AB1321" s="46"/>
      <c r="AC1321" s="46"/>
      <c r="AD1321" s="46"/>
      <c r="AE1321" s="46"/>
      <c r="AF1321" s="46"/>
      <c r="AG1321" s="46"/>
      <c r="AH1321" s="46"/>
      <c r="AI1321" s="46"/>
    </row>
    <row r="1322" spans="1:35" s="46" customFormat="1">
      <c r="A1322" s="198">
        <v>255</v>
      </c>
      <c r="B1322" s="219" t="s">
        <v>394</v>
      </c>
      <c r="C1322" s="220">
        <v>848546</v>
      </c>
      <c r="D1322" s="220"/>
      <c r="E1322" s="220"/>
      <c r="F1322" s="220"/>
      <c r="G1322" s="220"/>
      <c r="H1322" s="220"/>
      <c r="I1322" s="220"/>
      <c r="J1322" s="220"/>
      <c r="K1322" s="221">
        <v>0</v>
      </c>
      <c r="L1322" s="222">
        <v>0</v>
      </c>
      <c r="M1322" s="221">
        <v>0</v>
      </c>
      <c r="N1322" s="229">
        <v>421.2</v>
      </c>
      <c r="O1322" s="224">
        <v>848546</v>
      </c>
      <c r="P1322" s="225">
        <v>0</v>
      </c>
      <c r="Q1322" s="221">
        <v>0</v>
      </c>
      <c r="R1322" s="225">
        <v>0</v>
      </c>
      <c r="S1322" s="221">
        <v>0</v>
      </c>
      <c r="T1322" s="226">
        <v>0</v>
      </c>
      <c r="U1322" s="291">
        <v>0</v>
      </c>
      <c r="V1322" s="282"/>
      <c r="W1322" s="282"/>
      <c r="X1322" s="282"/>
      <c r="Y1322" s="90"/>
      <c r="Z1322" s="90"/>
      <c r="AA1322" s="90"/>
      <c r="AB1322" s="90"/>
      <c r="AC1322" s="90"/>
      <c r="AD1322" s="90"/>
      <c r="AE1322" s="90"/>
      <c r="AF1322" s="90"/>
      <c r="AG1322" s="90"/>
      <c r="AH1322" s="90"/>
      <c r="AI1322" s="90"/>
    </row>
    <row r="1323" spans="1:35" s="46" customFormat="1">
      <c r="A1323" s="198">
        <v>256</v>
      </c>
      <c r="B1323" s="219" t="s">
        <v>395</v>
      </c>
      <c r="C1323" s="220">
        <v>848706</v>
      </c>
      <c r="D1323" s="220"/>
      <c r="E1323" s="220"/>
      <c r="F1323" s="220"/>
      <c r="G1323" s="220"/>
      <c r="H1323" s="220"/>
      <c r="I1323" s="220"/>
      <c r="J1323" s="220"/>
      <c r="K1323" s="221">
        <v>0</v>
      </c>
      <c r="L1323" s="222">
        <v>0</v>
      </c>
      <c r="M1323" s="221">
        <v>0</v>
      </c>
      <c r="N1323" s="229">
        <v>421.2</v>
      </c>
      <c r="O1323" s="224">
        <v>848706</v>
      </c>
      <c r="P1323" s="225">
        <v>0</v>
      </c>
      <c r="Q1323" s="221">
        <v>0</v>
      </c>
      <c r="R1323" s="225">
        <v>0</v>
      </c>
      <c r="S1323" s="221">
        <v>0</v>
      </c>
      <c r="T1323" s="226">
        <v>0</v>
      </c>
      <c r="U1323" s="291">
        <v>0</v>
      </c>
      <c r="V1323" s="282"/>
      <c r="W1323" s="282"/>
      <c r="X1323" s="282"/>
      <c r="Y1323" s="45"/>
      <c r="Z1323" s="45"/>
      <c r="AA1323" s="45"/>
      <c r="AB1323" s="45"/>
      <c r="AC1323" s="45"/>
      <c r="AD1323" s="45"/>
      <c r="AE1323" s="45"/>
      <c r="AF1323" s="45"/>
      <c r="AG1323" s="45"/>
      <c r="AH1323" s="45"/>
      <c r="AI1323" s="90"/>
    </row>
    <row r="1324" spans="1:35" s="46" customFormat="1">
      <c r="A1324" s="198">
        <v>257</v>
      </c>
      <c r="B1324" s="219" t="s">
        <v>396</v>
      </c>
      <c r="C1324" s="220">
        <v>1180083</v>
      </c>
      <c r="D1324" s="220"/>
      <c r="E1324" s="220"/>
      <c r="F1324" s="220"/>
      <c r="G1324" s="220"/>
      <c r="H1324" s="220"/>
      <c r="I1324" s="220"/>
      <c r="J1324" s="220"/>
      <c r="K1324" s="221">
        <v>0</v>
      </c>
      <c r="L1324" s="222">
        <v>0</v>
      </c>
      <c r="M1324" s="221">
        <v>0</v>
      </c>
      <c r="N1324" s="229">
        <v>590</v>
      </c>
      <c r="O1324" s="224">
        <v>1180083</v>
      </c>
      <c r="P1324" s="225">
        <v>0</v>
      </c>
      <c r="Q1324" s="221">
        <v>0</v>
      </c>
      <c r="R1324" s="225">
        <v>0</v>
      </c>
      <c r="S1324" s="221">
        <v>0</v>
      </c>
      <c r="T1324" s="226">
        <v>0</v>
      </c>
      <c r="U1324" s="291">
        <v>0</v>
      </c>
      <c r="V1324" s="282"/>
      <c r="W1324" s="282"/>
      <c r="X1324" s="282"/>
    </row>
    <row r="1325" spans="1:35" s="46" customFormat="1" ht="30">
      <c r="A1325" s="198"/>
      <c r="B1325" s="214" t="s">
        <v>210</v>
      </c>
      <c r="C1325" s="220">
        <v>2336158</v>
      </c>
      <c r="D1325" s="220"/>
      <c r="E1325" s="220"/>
      <c r="F1325" s="220"/>
      <c r="G1325" s="220"/>
      <c r="H1325" s="220"/>
      <c r="I1325" s="220"/>
      <c r="J1325" s="220"/>
      <c r="K1325" s="220">
        <v>0</v>
      </c>
      <c r="L1325" s="222">
        <v>0</v>
      </c>
      <c r="M1325" s="220">
        <v>0</v>
      </c>
      <c r="N1325" s="220">
        <v>1196</v>
      </c>
      <c r="O1325" s="220">
        <v>2336158</v>
      </c>
      <c r="P1325" s="230">
        <v>0</v>
      </c>
      <c r="Q1325" s="220">
        <v>0</v>
      </c>
      <c r="R1325" s="230">
        <v>0</v>
      </c>
      <c r="S1325" s="220">
        <v>0</v>
      </c>
      <c r="T1325" s="222">
        <v>0</v>
      </c>
      <c r="U1325" s="292">
        <v>0</v>
      </c>
      <c r="V1325" s="282"/>
      <c r="W1325" s="282"/>
      <c r="X1325" s="282"/>
    </row>
    <row r="1326" spans="1:35" s="46" customFormat="1" ht="30">
      <c r="A1326" s="198">
        <v>258</v>
      </c>
      <c r="B1326" s="231" t="s">
        <v>407</v>
      </c>
      <c r="C1326" s="220">
        <v>1168079</v>
      </c>
      <c r="D1326" s="220"/>
      <c r="E1326" s="220"/>
      <c r="F1326" s="220"/>
      <c r="G1326" s="220"/>
      <c r="H1326" s="220"/>
      <c r="I1326" s="220"/>
      <c r="J1326" s="220"/>
      <c r="K1326" s="221">
        <v>0</v>
      </c>
      <c r="L1326" s="222">
        <v>0</v>
      </c>
      <c r="M1326" s="221">
        <v>0</v>
      </c>
      <c r="N1326" s="229">
        <v>598</v>
      </c>
      <c r="O1326" s="224">
        <v>1168079</v>
      </c>
      <c r="P1326" s="230">
        <v>0</v>
      </c>
      <c r="Q1326" s="221">
        <v>0</v>
      </c>
      <c r="R1326" s="230">
        <v>0</v>
      </c>
      <c r="S1326" s="221">
        <v>0</v>
      </c>
      <c r="T1326" s="222">
        <v>0</v>
      </c>
      <c r="U1326" s="291">
        <v>0</v>
      </c>
      <c r="V1326" s="282"/>
      <c r="W1326" s="282"/>
      <c r="X1326" s="282"/>
    </row>
    <row r="1327" spans="1:35" s="46" customFormat="1" ht="30">
      <c r="A1327" s="198">
        <v>259</v>
      </c>
      <c r="B1327" s="231" t="s">
        <v>408</v>
      </c>
      <c r="C1327" s="220">
        <v>1168079</v>
      </c>
      <c r="D1327" s="220"/>
      <c r="E1327" s="220"/>
      <c r="F1327" s="220"/>
      <c r="G1327" s="220"/>
      <c r="H1327" s="220"/>
      <c r="I1327" s="220"/>
      <c r="J1327" s="220"/>
      <c r="K1327" s="221">
        <v>0</v>
      </c>
      <c r="L1327" s="222">
        <v>0</v>
      </c>
      <c r="M1327" s="221">
        <v>0</v>
      </c>
      <c r="N1327" s="229">
        <v>598</v>
      </c>
      <c r="O1327" s="224">
        <v>1168079</v>
      </c>
      <c r="P1327" s="230">
        <v>0</v>
      </c>
      <c r="Q1327" s="221">
        <v>0</v>
      </c>
      <c r="R1327" s="230">
        <v>0</v>
      </c>
      <c r="S1327" s="221">
        <v>0</v>
      </c>
      <c r="T1327" s="222">
        <v>0</v>
      </c>
      <c r="U1327" s="291">
        <v>0</v>
      </c>
      <c r="V1327" s="282"/>
      <c r="W1327" s="282"/>
      <c r="X1327" s="282"/>
    </row>
    <row r="1328" spans="1:35" s="18" customFormat="1">
      <c r="A1328" s="198"/>
      <c r="B1328" s="216" t="s">
        <v>44</v>
      </c>
      <c r="C1328" s="211">
        <f>C1329</f>
        <v>906976</v>
      </c>
      <c r="D1328" s="211">
        <f t="shared" ref="D1328:U1328" si="202">D1329</f>
        <v>0</v>
      </c>
      <c r="E1328" s="211">
        <f t="shared" si="202"/>
        <v>0</v>
      </c>
      <c r="F1328" s="211">
        <f t="shared" si="202"/>
        <v>0</v>
      </c>
      <c r="G1328" s="211">
        <f t="shared" si="202"/>
        <v>0</v>
      </c>
      <c r="H1328" s="211">
        <f t="shared" si="202"/>
        <v>0</v>
      </c>
      <c r="I1328" s="211">
        <f t="shared" si="202"/>
        <v>0</v>
      </c>
      <c r="J1328" s="211">
        <f t="shared" si="202"/>
        <v>0</v>
      </c>
      <c r="K1328" s="211">
        <f t="shared" si="202"/>
        <v>0</v>
      </c>
      <c r="L1328" s="211">
        <f t="shared" si="202"/>
        <v>0</v>
      </c>
      <c r="M1328" s="211">
        <f t="shared" si="202"/>
        <v>0</v>
      </c>
      <c r="N1328" s="211">
        <f t="shared" si="202"/>
        <v>280</v>
      </c>
      <c r="O1328" s="211">
        <f t="shared" si="202"/>
        <v>906976</v>
      </c>
      <c r="P1328" s="211">
        <f t="shared" si="202"/>
        <v>0</v>
      </c>
      <c r="Q1328" s="211">
        <f t="shared" si="202"/>
        <v>0</v>
      </c>
      <c r="R1328" s="211">
        <f t="shared" si="202"/>
        <v>0</v>
      </c>
      <c r="S1328" s="211">
        <f t="shared" si="202"/>
        <v>0</v>
      </c>
      <c r="T1328" s="211">
        <f t="shared" si="202"/>
        <v>0</v>
      </c>
      <c r="U1328" s="211">
        <f t="shared" si="202"/>
        <v>0</v>
      </c>
      <c r="V1328" s="282"/>
      <c r="W1328" s="282"/>
      <c r="X1328" s="282"/>
    </row>
    <row r="1329" spans="1:35" ht="30">
      <c r="A1329" s="198"/>
      <c r="B1329" s="214" t="s">
        <v>435</v>
      </c>
      <c r="C1329" s="211">
        <f>C1330</f>
        <v>906976</v>
      </c>
      <c r="D1329" s="211">
        <f t="shared" ref="D1329:U1329" si="203">D1330</f>
        <v>0</v>
      </c>
      <c r="E1329" s="211">
        <f t="shared" si="203"/>
        <v>0</v>
      </c>
      <c r="F1329" s="211">
        <f t="shared" si="203"/>
        <v>0</v>
      </c>
      <c r="G1329" s="211">
        <f t="shared" si="203"/>
        <v>0</v>
      </c>
      <c r="H1329" s="211">
        <f t="shared" si="203"/>
        <v>0</v>
      </c>
      <c r="I1329" s="211">
        <f t="shared" si="203"/>
        <v>0</v>
      </c>
      <c r="J1329" s="211">
        <f t="shared" si="203"/>
        <v>0</v>
      </c>
      <c r="K1329" s="211">
        <f t="shared" si="203"/>
        <v>0</v>
      </c>
      <c r="L1329" s="211">
        <f t="shared" si="203"/>
        <v>0</v>
      </c>
      <c r="M1329" s="211">
        <f t="shared" si="203"/>
        <v>0</v>
      </c>
      <c r="N1329" s="211">
        <f t="shared" si="203"/>
        <v>280</v>
      </c>
      <c r="O1329" s="211">
        <f t="shared" si="203"/>
        <v>906976</v>
      </c>
      <c r="P1329" s="211">
        <f t="shared" si="203"/>
        <v>0</v>
      </c>
      <c r="Q1329" s="211">
        <f t="shared" si="203"/>
        <v>0</v>
      </c>
      <c r="R1329" s="211">
        <f t="shared" si="203"/>
        <v>0</v>
      </c>
      <c r="S1329" s="211">
        <f t="shared" si="203"/>
        <v>0</v>
      </c>
      <c r="T1329" s="211">
        <f t="shared" si="203"/>
        <v>0</v>
      </c>
      <c r="U1329" s="211">
        <f t="shared" si="203"/>
        <v>0</v>
      </c>
      <c r="V1329" s="211">
        <f t="shared" ref="V1329" si="204">V1330</f>
        <v>0</v>
      </c>
      <c r="W1329" s="211"/>
      <c r="X1329" s="211"/>
      <c r="Y1329" s="211"/>
      <c r="Z1329" s="211"/>
      <c r="AA1329" s="211"/>
      <c r="AB1329" s="211"/>
      <c r="AC1329" s="211"/>
      <c r="AD1329" s="211"/>
      <c r="AE1329" s="211"/>
      <c r="AF1329" s="211"/>
      <c r="AG1329" s="211"/>
      <c r="AH1329" s="211"/>
      <c r="AI1329" s="211"/>
    </row>
    <row r="1330" spans="1:35">
      <c r="A1330" s="470">
        <v>260</v>
      </c>
      <c r="B1330" s="480" t="s">
        <v>768</v>
      </c>
      <c r="C1330" s="479">
        <f>'часть 1'!L1362</f>
        <v>906976</v>
      </c>
      <c r="D1330" s="479">
        <v>0</v>
      </c>
      <c r="E1330" s="479">
        <v>0</v>
      </c>
      <c r="F1330" s="479">
        <v>0</v>
      </c>
      <c r="G1330" s="479">
        <v>0</v>
      </c>
      <c r="H1330" s="479">
        <v>0</v>
      </c>
      <c r="I1330" s="479">
        <v>0</v>
      </c>
      <c r="J1330" s="479">
        <v>0</v>
      </c>
      <c r="K1330" s="479">
        <v>0</v>
      </c>
      <c r="L1330" s="515">
        <v>0</v>
      </c>
      <c r="M1330" s="479">
        <v>0</v>
      </c>
      <c r="N1330" s="472">
        <v>280</v>
      </c>
      <c r="O1330" s="479">
        <v>906976</v>
      </c>
      <c r="P1330" s="516">
        <v>0</v>
      </c>
      <c r="Q1330" s="479">
        <v>0</v>
      </c>
      <c r="R1330" s="516">
        <v>0</v>
      </c>
      <c r="S1330" s="479">
        <v>0</v>
      </c>
      <c r="T1330" s="515">
        <v>0</v>
      </c>
      <c r="U1330" s="517">
        <v>0</v>
      </c>
      <c r="V1330" s="282"/>
      <c r="W1330" s="282">
        <f>O1330/N1330</f>
        <v>3239.2</v>
      </c>
      <c r="X1330" s="282"/>
    </row>
    <row r="1331" spans="1:35">
      <c r="A1331" s="470"/>
      <c r="B1331" s="480"/>
      <c r="C1331" s="479"/>
      <c r="D1331" s="479"/>
      <c r="E1331" s="479"/>
      <c r="F1331" s="479"/>
      <c r="G1331" s="479"/>
      <c r="H1331" s="479"/>
      <c r="I1331" s="479"/>
      <c r="J1331" s="479"/>
      <c r="K1331" s="479"/>
      <c r="L1331" s="515"/>
      <c r="M1331" s="479"/>
      <c r="N1331" s="472"/>
      <c r="O1331" s="479"/>
      <c r="P1331" s="516"/>
      <c r="Q1331" s="479"/>
      <c r="R1331" s="516"/>
      <c r="S1331" s="479"/>
      <c r="T1331" s="515"/>
      <c r="U1331" s="517"/>
      <c r="V1331" s="282"/>
      <c r="W1331" s="282"/>
      <c r="X1331" s="282"/>
    </row>
    <row r="1332" spans="1:35" ht="15.6" customHeight="1">
      <c r="A1332" s="198"/>
      <c r="B1332" s="216" t="s">
        <v>45</v>
      </c>
      <c r="C1332" s="211">
        <f t="shared" ref="C1332:V1332" si="205">C1333+C1335+C1337+C1340+C1341+C1343+C1345</f>
        <v>11109566</v>
      </c>
      <c r="D1332" s="211">
        <f t="shared" si="205"/>
        <v>0</v>
      </c>
      <c r="E1332" s="211">
        <f t="shared" si="205"/>
        <v>0</v>
      </c>
      <c r="F1332" s="211">
        <f t="shared" si="205"/>
        <v>0</v>
      </c>
      <c r="G1332" s="211">
        <f t="shared" si="205"/>
        <v>0</v>
      </c>
      <c r="H1332" s="211">
        <f t="shared" si="205"/>
        <v>0</v>
      </c>
      <c r="I1332" s="211">
        <f t="shared" si="205"/>
        <v>0</v>
      </c>
      <c r="J1332" s="211">
        <f t="shared" si="205"/>
        <v>0</v>
      </c>
      <c r="K1332" s="211">
        <f t="shared" si="205"/>
        <v>0</v>
      </c>
      <c r="L1332" s="211">
        <f t="shared" si="205"/>
        <v>0</v>
      </c>
      <c r="M1332" s="211">
        <f t="shared" si="205"/>
        <v>0</v>
      </c>
      <c r="N1332" s="211">
        <f t="shared" si="205"/>
        <v>3487.1000000000004</v>
      </c>
      <c r="O1332" s="211">
        <f t="shared" si="205"/>
        <v>10208116</v>
      </c>
      <c r="P1332" s="211">
        <f t="shared" si="205"/>
        <v>0</v>
      </c>
      <c r="Q1332" s="211">
        <f t="shared" si="205"/>
        <v>0</v>
      </c>
      <c r="R1332" s="211">
        <f t="shared" si="205"/>
        <v>590</v>
      </c>
      <c r="S1332" s="211">
        <f t="shared" si="205"/>
        <v>901450</v>
      </c>
      <c r="T1332" s="211">
        <f t="shared" si="205"/>
        <v>0</v>
      </c>
      <c r="U1332" s="211">
        <f t="shared" si="205"/>
        <v>0</v>
      </c>
      <c r="V1332" s="211" t="e">
        <f t="shared" si="205"/>
        <v>#REF!</v>
      </c>
      <c r="W1332" s="282"/>
      <c r="X1332" s="282"/>
    </row>
    <row r="1333" spans="1:35" ht="30">
      <c r="A1333" s="470"/>
      <c r="B1333" s="480" t="s">
        <v>98</v>
      </c>
      <c r="C1333" s="479">
        <f>C1334</f>
        <v>2377747</v>
      </c>
      <c r="D1333" s="479">
        <f t="shared" ref="D1333:V1333" si="206">D1334</f>
        <v>0</v>
      </c>
      <c r="E1333" s="479">
        <f t="shared" si="206"/>
        <v>0</v>
      </c>
      <c r="F1333" s="479">
        <f t="shared" si="206"/>
        <v>0</v>
      </c>
      <c r="G1333" s="479">
        <f t="shared" si="206"/>
        <v>0</v>
      </c>
      <c r="H1333" s="479">
        <f t="shared" si="206"/>
        <v>0</v>
      </c>
      <c r="I1333" s="479">
        <f t="shared" si="206"/>
        <v>0</v>
      </c>
      <c r="J1333" s="479">
        <f t="shared" si="206"/>
        <v>0</v>
      </c>
      <c r="K1333" s="479">
        <f t="shared" si="206"/>
        <v>0</v>
      </c>
      <c r="L1333" s="479">
        <f t="shared" si="206"/>
        <v>0</v>
      </c>
      <c r="M1333" s="479">
        <f t="shared" si="206"/>
        <v>0</v>
      </c>
      <c r="N1333" s="479">
        <f t="shared" si="206"/>
        <v>949.2</v>
      </c>
      <c r="O1333" s="479">
        <f t="shared" si="206"/>
        <v>2377747</v>
      </c>
      <c r="P1333" s="479">
        <f t="shared" si="206"/>
        <v>0</v>
      </c>
      <c r="Q1333" s="479">
        <f t="shared" si="206"/>
        <v>0</v>
      </c>
      <c r="R1333" s="479">
        <f t="shared" si="206"/>
        <v>0</v>
      </c>
      <c r="S1333" s="479">
        <f t="shared" si="206"/>
        <v>0</v>
      </c>
      <c r="T1333" s="479">
        <f t="shared" si="206"/>
        <v>0</v>
      </c>
      <c r="U1333" s="479">
        <f t="shared" si="206"/>
        <v>0</v>
      </c>
      <c r="V1333" s="479">
        <f t="shared" si="206"/>
        <v>0</v>
      </c>
      <c r="W1333" s="282"/>
      <c r="X1333" s="282"/>
    </row>
    <row r="1334" spans="1:35">
      <c r="A1334" s="470">
        <v>262</v>
      </c>
      <c r="B1334" s="480" t="s">
        <v>798</v>
      </c>
      <c r="C1334" s="479">
        <f>'часть 1'!L1366</f>
        <v>2377747</v>
      </c>
      <c r="D1334" s="479">
        <v>0</v>
      </c>
      <c r="E1334" s="479">
        <v>0</v>
      </c>
      <c r="F1334" s="479">
        <v>0</v>
      </c>
      <c r="G1334" s="479">
        <v>0</v>
      </c>
      <c r="H1334" s="479">
        <v>0</v>
      </c>
      <c r="I1334" s="479">
        <v>0</v>
      </c>
      <c r="J1334" s="479">
        <v>0</v>
      </c>
      <c r="K1334" s="479">
        <v>0</v>
      </c>
      <c r="L1334" s="515">
        <v>0</v>
      </c>
      <c r="M1334" s="479">
        <v>0</v>
      </c>
      <c r="N1334" s="472">
        <v>949.2</v>
      </c>
      <c r="O1334" s="479">
        <v>2377747</v>
      </c>
      <c r="P1334" s="516">
        <v>0</v>
      </c>
      <c r="Q1334" s="479">
        <v>0</v>
      </c>
      <c r="R1334" s="516">
        <v>0</v>
      </c>
      <c r="S1334" s="479">
        <v>0</v>
      </c>
      <c r="T1334" s="515">
        <v>0</v>
      </c>
      <c r="U1334" s="517">
        <v>0</v>
      </c>
      <c r="V1334" s="282"/>
      <c r="W1334" s="282">
        <f>O1334/N1334</f>
        <v>2505.0010535187525</v>
      </c>
      <c r="X1334" s="282"/>
    </row>
    <row r="1335" spans="1:35" ht="30">
      <c r="A1335" s="470"/>
      <c r="B1335" s="480" t="s">
        <v>688</v>
      </c>
      <c r="C1335" s="479">
        <f>C1336</f>
        <v>901450</v>
      </c>
      <c r="D1335" s="479">
        <f t="shared" ref="D1335:E1335" si="207">D1336</f>
        <v>0</v>
      </c>
      <c r="E1335" s="479">
        <f t="shared" si="207"/>
        <v>0</v>
      </c>
      <c r="F1335" s="479">
        <f t="shared" ref="F1335" si="208">F1336</f>
        <v>0</v>
      </c>
      <c r="G1335" s="479">
        <f t="shared" ref="G1335" si="209">G1336</f>
        <v>0</v>
      </c>
      <c r="H1335" s="479">
        <f t="shared" ref="H1335" si="210">H1336</f>
        <v>0</v>
      </c>
      <c r="I1335" s="479">
        <f t="shared" ref="I1335" si="211">I1336</f>
        <v>0</v>
      </c>
      <c r="J1335" s="479">
        <f t="shared" ref="J1335" si="212">J1336</f>
        <v>0</v>
      </c>
      <c r="K1335" s="479">
        <f t="shared" ref="K1335" si="213">K1336</f>
        <v>0</v>
      </c>
      <c r="L1335" s="479">
        <f t="shared" ref="L1335" si="214">L1336</f>
        <v>0</v>
      </c>
      <c r="M1335" s="479">
        <f t="shared" ref="M1335" si="215">M1336</f>
        <v>0</v>
      </c>
      <c r="N1335" s="479">
        <f t="shared" ref="N1335" si="216">N1336</f>
        <v>0</v>
      </c>
      <c r="O1335" s="479">
        <f t="shared" ref="O1335" si="217">O1336</f>
        <v>0</v>
      </c>
      <c r="P1335" s="479">
        <f t="shared" ref="P1335" si="218">P1336</f>
        <v>0</v>
      </c>
      <c r="Q1335" s="479">
        <f t="shared" ref="Q1335" si="219">Q1336</f>
        <v>0</v>
      </c>
      <c r="R1335" s="479">
        <f t="shared" ref="R1335" si="220">R1336</f>
        <v>590</v>
      </c>
      <c r="S1335" s="479">
        <f t="shared" ref="S1335" si="221">S1336</f>
        <v>901450</v>
      </c>
      <c r="T1335" s="479">
        <f t="shared" ref="T1335" si="222">T1336</f>
        <v>0</v>
      </c>
      <c r="U1335" s="479">
        <f t="shared" ref="U1335" si="223">U1336</f>
        <v>0</v>
      </c>
      <c r="V1335" s="282"/>
      <c r="W1335" s="282"/>
      <c r="X1335" s="282"/>
    </row>
    <row r="1336" spans="1:35" ht="30">
      <c r="A1336" s="470"/>
      <c r="B1336" s="480" t="s">
        <v>691</v>
      </c>
      <c r="C1336" s="479">
        <f>'часть 1'!L1368</f>
        <v>901450</v>
      </c>
      <c r="D1336" s="479">
        <v>0</v>
      </c>
      <c r="E1336" s="479">
        <v>0</v>
      </c>
      <c r="F1336" s="479">
        <v>0</v>
      </c>
      <c r="G1336" s="479">
        <v>0</v>
      </c>
      <c r="H1336" s="479">
        <v>0</v>
      </c>
      <c r="I1336" s="479">
        <v>0</v>
      </c>
      <c r="J1336" s="479">
        <v>0</v>
      </c>
      <c r="K1336" s="479">
        <v>0</v>
      </c>
      <c r="L1336" s="515">
        <v>0</v>
      </c>
      <c r="M1336" s="479">
        <v>0</v>
      </c>
      <c r="N1336" s="472">
        <v>0</v>
      </c>
      <c r="O1336" s="479">
        <v>0</v>
      </c>
      <c r="P1336" s="516">
        <v>0</v>
      </c>
      <c r="Q1336" s="479">
        <v>0</v>
      </c>
      <c r="R1336" s="516">
        <v>590</v>
      </c>
      <c r="S1336" s="479">
        <v>901450</v>
      </c>
      <c r="T1336" s="515">
        <v>0</v>
      </c>
      <c r="U1336" s="517">
        <v>0</v>
      </c>
      <c r="V1336" s="282"/>
      <c r="W1336" s="282"/>
      <c r="X1336" s="282">
        <f>S1336/R1336</f>
        <v>1527.8813559322034</v>
      </c>
    </row>
    <row r="1337" spans="1:35" ht="30">
      <c r="A1337" s="470"/>
      <c r="B1337" s="480" t="s">
        <v>99</v>
      </c>
      <c r="C1337" s="479">
        <f>C1338+C1339</f>
        <v>1696092</v>
      </c>
      <c r="D1337" s="479">
        <f t="shared" ref="D1337:V1337" si="224">D1338+D1339</f>
        <v>0</v>
      </c>
      <c r="E1337" s="479">
        <f t="shared" si="224"/>
        <v>0</v>
      </c>
      <c r="F1337" s="479">
        <f t="shared" si="224"/>
        <v>0</v>
      </c>
      <c r="G1337" s="479">
        <f t="shared" si="224"/>
        <v>0</v>
      </c>
      <c r="H1337" s="479">
        <f t="shared" si="224"/>
        <v>0</v>
      </c>
      <c r="I1337" s="479">
        <f t="shared" si="224"/>
        <v>0</v>
      </c>
      <c r="J1337" s="479">
        <f t="shared" si="224"/>
        <v>0</v>
      </c>
      <c r="K1337" s="479">
        <f t="shared" si="224"/>
        <v>0</v>
      </c>
      <c r="L1337" s="479">
        <f t="shared" si="224"/>
        <v>0</v>
      </c>
      <c r="M1337" s="479">
        <f t="shared" si="224"/>
        <v>0</v>
      </c>
      <c r="N1337" s="479">
        <f t="shared" si="224"/>
        <v>522.70000000000005</v>
      </c>
      <c r="O1337" s="479">
        <f t="shared" si="224"/>
        <v>1696092</v>
      </c>
      <c r="P1337" s="479">
        <f t="shared" si="224"/>
        <v>0</v>
      </c>
      <c r="Q1337" s="479">
        <f t="shared" si="224"/>
        <v>0</v>
      </c>
      <c r="R1337" s="479">
        <f t="shared" si="224"/>
        <v>0</v>
      </c>
      <c r="S1337" s="479">
        <f t="shared" si="224"/>
        <v>0</v>
      </c>
      <c r="T1337" s="479">
        <f t="shared" si="224"/>
        <v>0</v>
      </c>
      <c r="U1337" s="479">
        <f t="shared" si="224"/>
        <v>0</v>
      </c>
      <c r="V1337" s="211">
        <f t="shared" si="224"/>
        <v>0</v>
      </c>
      <c r="W1337" s="282"/>
      <c r="X1337" s="282"/>
    </row>
    <row r="1338" spans="1:35" ht="30">
      <c r="A1338" s="470">
        <v>265</v>
      </c>
      <c r="B1338" s="480" t="s">
        <v>803</v>
      </c>
      <c r="C1338" s="479">
        <f>'часть 1'!L1370</f>
        <v>851963</v>
      </c>
      <c r="D1338" s="479">
        <v>0</v>
      </c>
      <c r="E1338" s="479">
        <v>0</v>
      </c>
      <c r="F1338" s="479">
        <v>0</v>
      </c>
      <c r="G1338" s="479">
        <v>0</v>
      </c>
      <c r="H1338" s="479">
        <v>0</v>
      </c>
      <c r="I1338" s="479">
        <v>0</v>
      </c>
      <c r="J1338" s="479">
        <v>0</v>
      </c>
      <c r="K1338" s="479">
        <v>0</v>
      </c>
      <c r="L1338" s="515">
        <v>0</v>
      </c>
      <c r="M1338" s="479">
        <v>0</v>
      </c>
      <c r="N1338" s="558">
        <v>262.60000000000002</v>
      </c>
      <c r="O1338" s="479">
        <v>851963</v>
      </c>
      <c r="P1338" s="516">
        <v>0</v>
      </c>
      <c r="Q1338" s="479">
        <v>0</v>
      </c>
      <c r="R1338" s="516">
        <v>0</v>
      </c>
      <c r="S1338" s="479">
        <v>0</v>
      </c>
      <c r="T1338" s="515">
        <v>0</v>
      </c>
      <c r="U1338" s="517">
        <v>0</v>
      </c>
      <c r="V1338" s="282"/>
      <c r="W1338" s="282">
        <f>O1338/N1338</f>
        <v>3244.3373952779889</v>
      </c>
      <c r="X1338" s="282"/>
    </row>
    <row r="1339" spans="1:35" ht="30">
      <c r="A1339" s="470">
        <v>266</v>
      </c>
      <c r="B1339" s="480" t="s">
        <v>804</v>
      </c>
      <c r="C1339" s="479">
        <f>'часть 1'!L1371</f>
        <v>844129</v>
      </c>
      <c r="D1339" s="479">
        <v>0</v>
      </c>
      <c r="E1339" s="479">
        <v>0</v>
      </c>
      <c r="F1339" s="479">
        <v>0</v>
      </c>
      <c r="G1339" s="479">
        <v>0</v>
      </c>
      <c r="H1339" s="479">
        <v>0</v>
      </c>
      <c r="I1339" s="479">
        <v>0</v>
      </c>
      <c r="J1339" s="479">
        <v>0</v>
      </c>
      <c r="K1339" s="479">
        <v>0</v>
      </c>
      <c r="L1339" s="515">
        <v>0</v>
      </c>
      <c r="M1339" s="479">
        <v>0</v>
      </c>
      <c r="N1339" s="558">
        <v>260.10000000000002</v>
      </c>
      <c r="O1339" s="479">
        <v>844129</v>
      </c>
      <c r="P1339" s="516">
        <v>0</v>
      </c>
      <c r="Q1339" s="479">
        <v>0</v>
      </c>
      <c r="R1339" s="516">
        <v>0</v>
      </c>
      <c r="S1339" s="479">
        <v>0</v>
      </c>
      <c r="T1339" s="515">
        <v>0</v>
      </c>
      <c r="U1339" s="517">
        <v>0</v>
      </c>
      <c r="V1339" s="282"/>
      <c r="W1339" s="282">
        <f>O1339/N1339</f>
        <v>3245.4017685505573</v>
      </c>
      <c r="X1339" s="282"/>
    </row>
    <row r="1340" spans="1:35" ht="30">
      <c r="A1340" s="470"/>
      <c r="B1340" s="480" t="s">
        <v>100</v>
      </c>
      <c r="C1340" s="479">
        <v>0</v>
      </c>
      <c r="D1340" s="479">
        <v>0</v>
      </c>
      <c r="E1340" s="479">
        <v>0</v>
      </c>
      <c r="F1340" s="479">
        <v>0</v>
      </c>
      <c r="G1340" s="479">
        <v>0</v>
      </c>
      <c r="H1340" s="479">
        <v>0</v>
      </c>
      <c r="I1340" s="479">
        <v>0</v>
      </c>
      <c r="J1340" s="479">
        <v>0</v>
      </c>
      <c r="K1340" s="479">
        <v>0</v>
      </c>
      <c r="L1340" s="479">
        <v>0</v>
      </c>
      <c r="M1340" s="479">
        <v>0</v>
      </c>
      <c r="N1340" s="479">
        <v>0</v>
      </c>
      <c r="O1340" s="479">
        <v>0</v>
      </c>
      <c r="P1340" s="479">
        <v>0</v>
      </c>
      <c r="Q1340" s="479">
        <v>0</v>
      </c>
      <c r="R1340" s="479">
        <v>0</v>
      </c>
      <c r="S1340" s="479">
        <v>0</v>
      </c>
      <c r="T1340" s="479">
        <v>0</v>
      </c>
      <c r="U1340" s="479">
        <v>0</v>
      </c>
      <c r="V1340" s="479" t="e">
        <f>#REF!</f>
        <v>#REF!</v>
      </c>
      <c r="W1340" s="282"/>
      <c r="X1340" s="282"/>
    </row>
    <row r="1341" spans="1:35" ht="30">
      <c r="A1341" s="470"/>
      <c r="B1341" s="480" t="s">
        <v>101</v>
      </c>
      <c r="C1341" s="479">
        <f>C1342</f>
        <v>1648047</v>
      </c>
      <c r="D1341" s="479">
        <f t="shared" ref="D1341:U1341" si="225">D1342</f>
        <v>0</v>
      </c>
      <c r="E1341" s="479">
        <f t="shared" si="225"/>
        <v>0</v>
      </c>
      <c r="F1341" s="479">
        <f t="shared" si="225"/>
        <v>0</v>
      </c>
      <c r="G1341" s="479">
        <f t="shared" si="225"/>
        <v>0</v>
      </c>
      <c r="H1341" s="479">
        <f t="shared" si="225"/>
        <v>0</v>
      </c>
      <c r="I1341" s="479">
        <f t="shared" si="225"/>
        <v>0</v>
      </c>
      <c r="J1341" s="479">
        <f t="shared" si="225"/>
        <v>0</v>
      </c>
      <c r="K1341" s="479">
        <f t="shared" si="225"/>
        <v>0</v>
      </c>
      <c r="L1341" s="479">
        <f t="shared" si="225"/>
        <v>0</v>
      </c>
      <c r="M1341" s="479">
        <f t="shared" si="225"/>
        <v>0</v>
      </c>
      <c r="N1341" s="479">
        <f t="shared" si="225"/>
        <v>515.20000000000005</v>
      </c>
      <c r="O1341" s="479">
        <f t="shared" si="225"/>
        <v>1648047</v>
      </c>
      <c r="P1341" s="479">
        <f t="shared" si="225"/>
        <v>0</v>
      </c>
      <c r="Q1341" s="479">
        <f t="shared" si="225"/>
        <v>0</v>
      </c>
      <c r="R1341" s="479">
        <f t="shared" si="225"/>
        <v>0</v>
      </c>
      <c r="S1341" s="479">
        <f t="shared" si="225"/>
        <v>0</v>
      </c>
      <c r="T1341" s="479">
        <f t="shared" si="225"/>
        <v>0</v>
      </c>
      <c r="U1341" s="479">
        <f t="shared" si="225"/>
        <v>0</v>
      </c>
      <c r="V1341" s="282"/>
      <c r="W1341" s="282"/>
      <c r="X1341" s="282"/>
    </row>
    <row r="1342" spans="1:35" ht="30">
      <c r="A1342" s="470">
        <v>268</v>
      </c>
      <c r="B1342" s="480" t="s">
        <v>926</v>
      </c>
      <c r="C1342" s="479">
        <f>'часть 1'!L1374</f>
        <v>1648047</v>
      </c>
      <c r="D1342" s="479">
        <v>0</v>
      </c>
      <c r="E1342" s="479">
        <v>0</v>
      </c>
      <c r="F1342" s="479">
        <v>0</v>
      </c>
      <c r="G1342" s="479">
        <v>0</v>
      </c>
      <c r="H1342" s="479">
        <v>0</v>
      </c>
      <c r="I1342" s="479">
        <v>0</v>
      </c>
      <c r="J1342" s="479">
        <v>0</v>
      </c>
      <c r="K1342" s="479">
        <v>0</v>
      </c>
      <c r="L1342" s="515">
        <v>0</v>
      </c>
      <c r="M1342" s="479">
        <v>0</v>
      </c>
      <c r="N1342" s="472">
        <v>515.20000000000005</v>
      </c>
      <c r="O1342" s="479">
        <v>1648047</v>
      </c>
      <c r="P1342" s="516">
        <v>0</v>
      </c>
      <c r="Q1342" s="479">
        <v>0</v>
      </c>
      <c r="R1342" s="516">
        <v>0</v>
      </c>
      <c r="S1342" s="479">
        <v>0</v>
      </c>
      <c r="T1342" s="515">
        <v>0</v>
      </c>
      <c r="U1342" s="517">
        <v>0</v>
      </c>
      <c r="V1342" s="282"/>
      <c r="W1342" s="282">
        <f>O1342/N1342</f>
        <v>3198.8489906832297</v>
      </c>
      <c r="X1342" s="282"/>
    </row>
    <row r="1343" spans="1:35" ht="30">
      <c r="A1343" s="470"/>
      <c r="B1343" s="480" t="s">
        <v>126</v>
      </c>
      <c r="C1343" s="479">
        <f>C1344</f>
        <v>2577836</v>
      </c>
      <c r="D1343" s="479">
        <f t="shared" ref="D1343:U1343" si="226">D1344</f>
        <v>0</v>
      </c>
      <c r="E1343" s="479">
        <f t="shared" si="226"/>
        <v>0</v>
      </c>
      <c r="F1343" s="479">
        <f t="shared" si="226"/>
        <v>0</v>
      </c>
      <c r="G1343" s="479">
        <f t="shared" si="226"/>
        <v>0</v>
      </c>
      <c r="H1343" s="479">
        <f t="shared" si="226"/>
        <v>0</v>
      </c>
      <c r="I1343" s="479">
        <f t="shared" si="226"/>
        <v>0</v>
      </c>
      <c r="J1343" s="479">
        <f t="shared" si="226"/>
        <v>0</v>
      </c>
      <c r="K1343" s="479">
        <f t="shared" si="226"/>
        <v>0</v>
      </c>
      <c r="L1343" s="479">
        <f t="shared" si="226"/>
        <v>0</v>
      </c>
      <c r="M1343" s="479">
        <f t="shared" si="226"/>
        <v>0</v>
      </c>
      <c r="N1343" s="479">
        <f t="shared" si="226"/>
        <v>811.2</v>
      </c>
      <c r="O1343" s="479">
        <f t="shared" si="226"/>
        <v>2577836</v>
      </c>
      <c r="P1343" s="479">
        <f t="shared" si="226"/>
        <v>0</v>
      </c>
      <c r="Q1343" s="479">
        <f t="shared" si="226"/>
        <v>0</v>
      </c>
      <c r="R1343" s="479">
        <f t="shared" si="226"/>
        <v>0</v>
      </c>
      <c r="S1343" s="479">
        <f t="shared" si="226"/>
        <v>0</v>
      </c>
      <c r="T1343" s="479">
        <f t="shared" si="226"/>
        <v>0</v>
      </c>
      <c r="U1343" s="479">
        <f t="shared" si="226"/>
        <v>0</v>
      </c>
      <c r="V1343" s="282"/>
      <c r="W1343" s="282"/>
      <c r="X1343" s="282"/>
    </row>
    <row r="1344" spans="1:35" ht="30">
      <c r="A1344" s="470">
        <v>270</v>
      </c>
      <c r="B1344" s="480" t="s">
        <v>812</v>
      </c>
      <c r="C1344" s="479">
        <v>2577836</v>
      </c>
      <c r="D1344" s="479">
        <v>0</v>
      </c>
      <c r="E1344" s="479">
        <v>0</v>
      </c>
      <c r="F1344" s="479">
        <v>0</v>
      </c>
      <c r="G1344" s="479">
        <v>0</v>
      </c>
      <c r="H1344" s="479">
        <v>0</v>
      </c>
      <c r="I1344" s="479">
        <v>0</v>
      </c>
      <c r="J1344" s="479">
        <v>0</v>
      </c>
      <c r="K1344" s="479">
        <v>0</v>
      </c>
      <c r="L1344" s="515">
        <v>0</v>
      </c>
      <c r="M1344" s="479">
        <v>0</v>
      </c>
      <c r="N1344" s="479">
        <v>811.2</v>
      </c>
      <c r="O1344" s="479">
        <v>2577836</v>
      </c>
      <c r="P1344" s="516">
        <v>0</v>
      </c>
      <c r="Q1344" s="479">
        <v>0</v>
      </c>
      <c r="R1344" s="516">
        <v>0</v>
      </c>
      <c r="S1344" s="479">
        <v>0</v>
      </c>
      <c r="T1344" s="515">
        <v>0</v>
      </c>
      <c r="U1344" s="517">
        <v>0</v>
      </c>
      <c r="V1344" s="282"/>
      <c r="W1344" s="282">
        <f>O1344/N1344</f>
        <v>3177.8057199211044</v>
      </c>
      <c r="X1344" s="282"/>
    </row>
    <row r="1345" spans="1:26" ht="30.6" customHeight="1">
      <c r="A1345" s="470"/>
      <c r="B1345" s="480" t="s">
        <v>861</v>
      </c>
      <c r="C1345" s="479">
        <f>C1346</f>
        <v>1908394</v>
      </c>
      <c r="D1345" s="479">
        <f t="shared" ref="D1345:V1345" si="227">D1346</f>
        <v>0</v>
      </c>
      <c r="E1345" s="479">
        <f t="shared" si="227"/>
        <v>0</v>
      </c>
      <c r="F1345" s="479">
        <f t="shared" si="227"/>
        <v>0</v>
      </c>
      <c r="G1345" s="479">
        <f t="shared" si="227"/>
        <v>0</v>
      </c>
      <c r="H1345" s="479">
        <f t="shared" si="227"/>
        <v>0</v>
      </c>
      <c r="I1345" s="479">
        <f t="shared" si="227"/>
        <v>0</v>
      </c>
      <c r="J1345" s="479">
        <f t="shared" si="227"/>
        <v>0</v>
      </c>
      <c r="K1345" s="479">
        <f t="shared" si="227"/>
        <v>0</v>
      </c>
      <c r="L1345" s="479">
        <f t="shared" si="227"/>
        <v>0</v>
      </c>
      <c r="M1345" s="479">
        <f t="shared" si="227"/>
        <v>0</v>
      </c>
      <c r="N1345" s="479">
        <f t="shared" si="227"/>
        <v>688.8</v>
      </c>
      <c r="O1345" s="479">
        <f t="shared" si="227"/>
        <v>1908394</v>
      </c>
      <c r="P1345" s="479">
        <f t="shared" si="227"/>
        <v>0</v>
      </c>
      <c r="Q1345" s="479">
        <f t="shared" si="227"/>
        <v>0</v>
      </c>
      <c r="R1345" s="479">
        <f t="shared" si="227"/>
        <v>0</v>
      </c>
      <c r="S1345" s="479">
        <f t="shared" si="227"/>
        <v>0</v>
      </c>
      <c r="T1345" s="479">
        <f t="shared" si="227"/>
        <v>0</v>
      </c>
      <c r="U1345" s="479">
        <f t="shared" si="227"/>
        <v>0</v>
      </c>
      <c r="V1345" s="211">
        <f t="shared" si="227"/>
        <v>0</v>
      </c>
      <c r="W1345" s="282"/>
      <c r="X1345" s="282"/>
    </row>
    <row r="1346" spans="1:26" ht="27" customHeight="1">
      <c r="A1346" s="470"/>
      <c r="B1346" s="480" t="s">
        <v>862</v>
      </c>
      <c r="C1346" s="479">
        <f>'часть 1'!L1378</f>
        <v>1908394</v>
      </c>
      <c r="D1346" s="479">
        <v>0</v>
      </c>
      <c r="E1346" s="479">
        <v>0</v>
      </c>
      <c r="F1346" s="479">
        <v>0</v>
      </c>
      <c r="G1346" s="479">
        <v>0</v>
      </c>
      <c r="H1346" s="479">
        <v>0</v>
      </c>
      <c r="I1346" s="479">
        <v>0</v>
      </c>
      <c r="J1346" s="479">
        <v>0</v>
      </c>
      <c r="K1346" s="479">
        <v>0</v>
      </c>
      <c r="L1346" s="515">
        <v>0</v>
      </c>
      <c r="M1346" s="479">
        <v>0</v>
      </c>
      <c r="N1346" s="479">
        <v>688.8</v>
      </c>
      <c r="O1346" s="479">
        <v>1908394</v>
      </c>
      <c r="P1346" s="516">
        <v>0</v>
      </c>
      <c r="Q1346" s="479">
        <v>0</v>
      </c>
      <c r="R1346" s="516">
        <v>0</v>
      </c>
      <c r="S1346" s="479">
        <v>0</v>
      </c>
      <c r="T1346" s="515">
        <v>0</v>
      </c>
      <c r="U1346" s="517">
        <v>0</v>
      </c>
      <c r="V1346" s="282"/>
      <c r="W1346" s="282">
        <f>O1346/N1346</f>
        <v>2770.6068524970965</v>
      </c>
      <c r="X1346" s="282"/>
    </row>
    <row r="1347" spans="1:26">
      <c r="A1347" s="198"/>
      <c r="B1347" s="216" t="s">
        <v>46</v>
      </c>
      <c r="C1347" s="211">
        <f>C1348</f>
        <v>684446</v>
      </c>
      <c r="D1347" s="211">
        <f t="shared" ref="D1347:U1347" si="228">D1348</f>
        <v>0</v>
      </c>
      <c r="E1347" s="211">
        <f t="shared" si="228"/>
        <v>0</v>
      </c>
      <c r="F1347" s="211">
        <f t="shared" si="228"/>
        <v>0</v>
      </c>
      <c r="G1347" s="211">
        <f t="shared" si="228"/>
        <v>0</v>
      </c>
      <c r="H1347" s="211">
        <f t="shared" si="228"/>
        <v>0</v>
      </c>
      <c r="I1347" s="211">
        <f t="shared" si="228"/>
        <v>0</v>
      </c>
      <c r="J1347" s="211">
        <f t="shared" si="228"/>
        <v>0</v>
      </c>
      <c r="K1347" s="211">
        <f t="shared" si="228"/>
        <v>0</v>
      </c>
      <c r="L1347" s="211">
        <f t="shared" si="228"/>
        <v>0</v>
      </c>
      <c r="M1347" s="211">
        <f t="shared" si="228"/>
        <v>0</v>
      </c>
      <c r="N1347" s="211">
        <f t="shared" si="228"/>
        <v>0</v>
      </c>
      <c r="O1347" s="211">
        <f t="shared" si="228"/>
        <v>0</v>
      </c>
      <c r="P1347" s="211">
        <f t="shared" si="228"/>
        <v>0</v>
      </c>
      <c r="Q1347" s="211">
        <f t="shared" si="228"/>
        <v>0</v>
      </c>
      <c r="R1347" s="211">
        <f t="shared" si="228"/>
        <v>445.3</v>
      </c>
      <c r="S1347" s="211">
        <f t="shared" si="228"/>
        <v>684446</v>
      </c>
      <c r="T1347" s="211">
        <f t="shared" si="228"/>
        <v>0</v>
      </c>
      <c r="U1347" s="211">
        <f t="shared" si="228"/>
        <v>0</v>
      </c>
      <c r="V1347" s="282"/>
      <c r="W1347" s="282"/>
      <c r="X1347" s="282"/>
    </row>
    <row r="1348" spans="1:26" ht="30">
      <c r="A1348" s="194"/>
      <c r="B1348" s="214" t="s">
        <v>102</v>
      </c>
      <c r="C1348" s="211">
        <f>C1349</f>
        <v>684446</v>
      </c>
      <c r="D1348" s="211">
        <f t="shared" ref="D1348:U1348" si="229">D1349</f>
        <v>0</v>
      </c>
      <c r="E1348" s="211">
        <f t="shared" si="229"/>
        <v>0</v>
      </c>
      <c r="F1348" s="211">
        <f t="shared" si="229"/>
        <v>0</v>
      </c>
      <c r="G1348" s="211">
        <f t="shared" si="229"/>
        <v>0</v>
      </c>
      <c r="H1348" s="211">
        <f t="shared" si="229"/>
        <v>0</v>
      </c>
      <c r="I1348" s="211">
        <f t="shared" si="229"/>
        <v>0</v>
      </c>
      <c r="J1348" s="211">
        <f t="shared" si="229"/>
        <v>0</v>
      </c>
      <c r="K1348" s="211">
        <f t="shared" si="229"/>
        <v>0</v>
      </c>
      <c r="L1348" s="211">
        <f t="shared" si="229"/>
        <v>0</v>
      </c>
      <c r="M1348" s="211">
        <f t="shared" si="229"/>
        <v>0</v>
      </c>
      <c r="N1348" s="211">
        <f t="shared" si="229"/>
        <v>0</v>
      </c>
      <c r="O1348" s="211">
        <f t="shared" si="229"/>
        <v>0</v>
      </c>
      <c r="P1348" s="211">
        <f t="shared" si="229"/>
        <v>0</v>
      </c>
      <c r="Q1348" s="211">
        <f t="shared" si="229"/>
        <v>0</v>
      </c>
      <c r="R1348" s="211">
        <f t="shared" si="229"/>
        <v>445.3</v>
      </c>
      <c r="S1348" s="211">
        <f t="shared" si="229"/>
        <v>684446</v>
      </c>
      <c r="T1348" s="211">
        <f t="shared" si="229"/>
        <v>0</v>
      </c>
      <c r="U1348" s="211">
        <f t="shared" si="229"/>
        <v>0</v>
      </c>
      <c r="V1348" s="282"/>
      <c r="W1348" s="282"/>
      <c r="X1348" s="282"/>
    </row>
    <row r="1349" spans="1:26">
      <c r="A1349" s="470">
        <v>271</v>
      </c>
      <c r="B1349" s="480" t="s">
        <v>592</v>
      </c>
      <c r="C1349" s="479">
        <f>'часть 1'!L1381</f>
        <v>684446</v>
      </c>
      <c r="D1349" s="479">
        <v>0</v>
      </c>
      <c r="E1349" s="479">
        <v>0</v>
      </c>
      <c r="F1349" s="479">
        <v>0</v>
      </c>
      <c r="G1349" s="479">
        <v>0</v>
      </c>
      <c r="H1349" s="479">
        <v>0</v>
      </c>
      <c r="I1349" s="479">
        <v>0</v>
      </c>
      <c r="J1349" s="479">
        <v>0</v>
      </c>
      <c r="K1349" s="479">
        <v>0</v>
      </c>
      <c r="L1349" s="515">
        <v>0</v>
      </c>
      <c r="M1349" s="479">
        <v>0</v>
      </c>
      <c r="N1349" s="512">
        <v>0</v>
      </c>
      <c r="O1349" s="479">
        <v>0</v>
      </c>
      <c r="P1349" s="516">
        <v>0</v>
      </c>
      <c r="Q1349" s="479">
        <v>0</v>
      </c>
      <c r="R1349" s="479">
        <v>445.3</v>
      </c>
      <c r="S1349" s="479">
        <v>684446</v>
      </c>
      <c r="T1349" s="515">
        <v>0</v>
      </c>
      <c r="U1349" s="517">
        <v>0</v>
      </c>
      <c r="V1349" s="282"/>
      <c r="W1349" s="282"/>
      <c r="X1349" s="282">
        <f>S1349/R1349</f>
        <v>1537.0446889737254</v>
      </c>
    </row>
    <row r="1350" spans="1:26">
      <c r="A1350" s="470"/>
      <c r="B1350" s="480"/>
      <c r="C1350" s="479"/>
      <c r="D1350" s="479"/>
      <c r="E1350" s="479"/>
      <c r="F1350" s="479"/>
      <c r="G1350" s="479"/>
      <c r="H1350" s="479"/>
      <c r="I1350" s="479"/>
      <c r="J1350" s="479"/>
      <c r="K1350" s="479"/>
      <c r="L1350" s="515"/>
      <c r="M1350" s="479"/>
      <c r="N1350" s="479"/>
      <c r="O1350" s="479"/>
      <c r="P1350" s="516"/>
      <c r="Q1350" s="479"/>
      <c r="R1350" s="516"/>
      <c r="S1350" s="479"/>
      <c r="T1350" s="515"/>
      <c r="U1350" s="517"/>
      <c r="V1350" s="282"/>
      <c r="W1350" s="282"/>
      <c r="X1350" s="282"/>
    </row>
    <row r="1351" spans="1:26" s="18" customFormat="1" ht="24" customHeight="1">
      <c r="A1351" s="198"/>
      <c r="B1351" s="216" t="s">
        <v>47</v>
      </c>
      <c r="C1351" s="211">
        <f>C1352</f>
        <v>2602688</v>
      </c>
      <c r="D1351" s="211">
        <f t="shared" ref="D1351:V1351" si="230">D1352</f>
        <v>0</v>
      </c>
      <c r="E1351" s="211">
        <f t="shared" si="230"/>
        <v>0</v>
      </c>
      <c r="F1351" s="211">
        <f t="shared" si="230"/>
        <v>0</v>
      </c>
      <c r="G1351" s="211">
        <f t="shared" si="230"/>
        <v>0</v>
      </c>
      <c r="H1351" s="211">
        <f t="shared" si="230"/>
        <v>0</v>
      </c>
      <c r="I1351" s="211">
        <f t="shared" si="230"/>
        <v>0</v>
      </c>
      <c r="J1351" s="211">
        <f t="shared" si="230"/>
        <v>0</v>
      </c>
      <c r="K1351" s="211">
        <f t="shared" si="230"/>
        <v>0</v>
      </c>
      <c r="L1351" s="211">
        <f t="shared" si="230"/>
        <v>0</v>
      </c>
      <c r="M1351" s="211">
        <f t="shared" si="230"/>
        <v>0</v>
      </c>
      <c r="N1351" s="211">
        <f t="shared" si="230"/>
        <v>819.2</v>
      </c>
      <c r="O1351" s="211">
        <f t="shared" si="230"/>
        <v>2602688</v>
      </c>
      <c r="P1351" s="211">
        <f t="shared" si="230"/>
        <v>0</v>
      </c>
      <c r="Q1351" s="211">
        <f t="shared" si="230"/>
        <v>0</v>
      </c>
      <c r="R1351" s="211">
        <f t="shared" si="230"/>
        <v>0</v>
      </c>
      <c r="S1351" s="211">
        <f t="shared" si="230"/>
        <v>0</v>
      </c>
      <c r="T1351" s="211">
        <f t="shared" si="230"/>
        <v>0</v>
      </c>
      <c r="U1351" s="211">
        <f t="shared" si="230"/>
        <v>0</v>
      </c>
      <c r="V1351" s="211">
        <f t="shared" si="230"/>
        <v>0</v>
      </c>
      <c r="W1351" s="282"/>
      <c r="X1351" s="282"/>
    </row>
    <row r="1352" spans="1:26" ht="30">
      <c r="A1352" s="470"/>
      <c r="B1352" s="480" t="s">
        <v>103</v>
      </c>
      <c r="C1352" s="479">
        <f>C1353</f>
        <v>2602688</v>
      </c>
      <c r="D1352" s="479">
        <f t="shared" ref="D1352:V1352" si="231">D1353</f>
        <v>0</v>
      </c>
      <c r="E1352" s="479">
        <f t="shared" si="231"/>
        <v>0</v>
      </c>
      <c r="F1352" s="479">
        <f t="shared" si="231"/>
        <v>0</v>
      </c>
      <c r="G1352" s="479">
        <f t="shared" si="231"/>
        <v>0</v>
      </c>
      <c r="H1352" s="479">
        <f t="shared" si="231"/>
        <v>0</v>
      </c>
      <c r="I1352" s="479">
        <f t="shared" si="231"/>
        <v>0</v>
      </c>
      <c r="J1352" s="479">
        <f t="shared" si="231"/>
        <v>0</v>
      </c>
      <c r="K1352" s="479">
        <f t="shared" si="231"/>
        <v>0</v>
      </c>
      <c r="L1352" s="479">
        <f t="shared" si="231"/>
        <v>0</v>
      </c>
      <c r="M1352" s="479">
        <f t="shared" si="231"/>
        <v>0</v>
      </c>
      <c r="N1352" s="479">
        <f t="shared" si="231"/>
        <v>819.2</v>
      </c>
      <c r="O1352" s="479">
        <f t="shared" si="231"/>
        <v>2602688</v>
      </c>
      <c r="P1352" s="479">
        <f t="shared" si="231"/>
        <v>0</v>
      </c>
      <c r="Q1352" s="479">
        <f t="shared" si="231"/>
        <v>0</v>
      </c>
      <c r="R1352" s="479">
        <f t="shared" si="231"/>
        <v>0</v>
      </c>
      <c r="S1352" s="479">
        <f t="shared" si="231"/>
        <v>0</v>
      </c>
      <c r="T1352" s="479">
        <f t="shared" si="231"/>
        <v>0</v>
      </c>
      <c r="U1352" s="479">
        <f t="shared" si="231"/>
        <v>0</v>
      </c>
      <c r="V1352" s="211">
        <f t="shared" si="231"/>
        <v>0</v>
      </c>
      <c r="W1352" s="282"/>
      <c r="X1352" s="282"/>
    </row>
    <row r="1353" spans="1:26" ht="21" customHeight="1">
      <c r="A1353" s="470">
        <v>273</v>
      </c>
      <c r="B1353" s="480" t="s">
        <v>880</v>
      </c>
      <c r="C1353" s="479">
        <f>'часть 1'!L1385</f>
        <v>2602688</v>
      </c>
      <c r="D1353" s="479">
        <v>0</v>
      </c>
      <c r="E1353" s="479">
        <v>0</v>
      </c>
      <c r="F1353" s="479">
        <v>0</v>
      </c>
      <c r="G1353" s="479">
        <v>0</v>
      </c>
      <c r="H1353" s="479">
        <v>0</v>
      </c>
      <c r="I1353" s="479">
        <v>0</v>
      </c>
      <c r="J1353" s="479">
        <v>0</v>
      </c>
      <c r="K1353" s="479">
        <v>0</v>
      </c>
      <c r="L1353" s="515">
        <v>0</v>
      </c>
      <c r="M1353" s="479">
        <v>0</v>
      </c>
      <c r="N1353" s="479">
        <v>819.2</v>
      </c>
      <c r="O1353" s="479">
        <v>2602688</v>
      </c>
      <c r="P1353" s="516">
        <v>0</v>
      </c>
      <c r="Q1353" s="479">
        <v>0</v>
      </c>
      <c r="R1353" s="516">
        <v>0</v>
      </c>
      <c r="S1353" s="479">
        <v>0</v>
      </c>
      <c r="T1353" s="515">
        <v>0</v>
      </c>
      <c r="U1353" s="517">
        <v>0</v>
      </c>
      <c r="V1353" s="282"/>
      <c r="W1353" s="282">
        <f>O1353/N1353</f>
        <v>3177.109375</v>
      </c>
      <c r="X1353" s="282"/>
    </row>
    <row r="1354" spans="1:26" s="91" customFormat="1">
      <c r="A1354" s="198"/>
      <c r="B1354" s="216" t="s">
        <v>48</v>
      </c>
      <c r="C1354" s="211">
        <v>3947863</v>
      </c>
      <c r="D1354" s="211"/>
      <c r="E1354" s="211"/>
      <c r="F1354" s="211"/>
      <c r="G1354" s="211"/>
      <c r="H1354" s="211"/>
      <c r="I1354" s="211"/>
      <c r="J1354" s="211"/>
      <c r="K1354" s="211">
        <v>163315</v>
      </c>
      <c r="L1354" s="212">
        <v>0</v>
      </c>
      <c r="M1354" s="211">
        <v>0</v>
      </c>
      <c r="N1354" s="211">
        <v>1314.93</v>
      </c>
      <c r="O1354" s="211">
        <v>2673179</v>
      </c>
      <c r="P1354" s="213">
        <v>0</v>
      </c>
      <c r="Q1354" s="211">
        <v>0</v>
      </c>
      <c r="R1354" s="211">
        <v>759.4</v>
      </c>
      <c r="S1354" s="211">
        <v>1111369</v>
      </c>
      <c r="T1354" s="212">
        <v>0</v>
      </c>
      <c r="U1354" s="290">
        <v>0</v>
      </c>
      <c r="V1354" s="282"/>
      <c r="W1354" s="282"/>
      <c r="X1354" s="282"/>
    </row>
    <row r="1355" spans="1:26" ht="30">
      <c r="A1355" s="470"/>
      <c r="B1355" s="480" t="s">
        <v>107</v>
      </c>
      <c r="C1355" s="479">
        <f>C1356</f>
        <v>2102577</v>
      </c>
      <c r="D1355" s="479">
        <f t="shared" ref="D1355:U1355" si="232">D1356</f>
        <v>0</v>
      </c>
      <c r="E1355" s="479">
        <f t="shared" si="232"/>
        <v>0</v>
      </c>
      <c r="F1355" s="479">
        <f t="shared" si="232"/>
        <v>0</v>
      </c>
      <c r="G1355" s="479">
        <f t="shared" si="232"/>
        <v>0</v>
      </c>
      <c r="H1355" s="479">
        <f t="shared" si="232"/>
        <v>0</v>
      </c>
      <c r="I1355" s="479">
        <f t="shared" si="232"/>
        <v>0</v>
      </c>
      <c r="J1355" s="479">
        <f t="shared" si="232"/>
        <v>0</v>
      </c>
      <c r="K1355" s="479">
        <f t="shared" si="232"/>
        <v>0</v>
      </c>
      <c r="L1355" s="479">
        <f t="shared" si="232"/>
        <v>0</v>
      </c>
      <c r="M1355" s="479">
        <f t="shared" si="232"/>
        <v>0</v>
      </c>
      <c r="N1355" s="479">
        <f t="shared" si="232"/>
        <v>1382.27</v>
      </c>
      <c r="O1355" s="479">
        <f t="shared" si="232"/>
        <v>2102577</v>
      </c>
      <c r="P1355" s="479">
        <f t="shared" si="232"/>
        <v>0</v>
      </c>
      <c r="Q1355" s="479">
        <f t="shared" si="232"/>
        <v>0</v>
      </c>
      <c r="R1355" s="479">
        <f t="shared" si="232"/>
        <v>0</v>
      </c>
      <c r="S1355" s="479">
        <f t="shared" si="232"/>
        <v>0</v>
      </c>
      <c r="T1355" s="479">
        <f t="shared" si="232"/>
        <v>0</v>
      </c>
      <c r="U1355" s="479">
        <f t="shared" si="232"/>
        <v>0</v>
      </c>
      <c r="V1355" s="282"/>
      <c r="W1355" s="282"/>
      <c r="X1355" s="282"/>
    </row>
    <row r="1356" spans="1:26">
      <c r="A1356" s="470">
        <v>277</v>
      </c>
      <c r="B1356" s="480" t="s">
        <v>774</v>
      </c>
      <c r="C1356" s="479">
        <f>'часть 1'!L1388</f>
        <v>2102577</v>
      </c>
      <c r="D1356" s="479">
        <v>0</v>
      </c>
      <c r="E1356" s="479">
        <v>0</v>
      </c>
      <c r="F1356" s="479">
        <v>0</v>
      </c>
      <c r="G1356" s="479">
        <v>0</v>
      </c>
      <c r="H1356" s="479">
        <v>0</v>
      </c>
      <c r="I1356" s="479">
        <v>0</v>
      </c>
      <c r="J1356" s="479">
        <v>0</v>
      </c>
      <c r="K1356" s="518">
        <v>0</v>
      </c>
      <c r="L1356" s="476">
        <v>0</v>
      </c>
      <c r="M1356" s="518">
        <v>0</v>
      </c>
      <c r="N1356" s="518">
        <v>1382.27</v>
      </c>
      <c r="O1356" s="521">
        <v>2102577</v>
      </c>
      <c r="P1356" s="571">
        <v>0</v>
      </c>
      <c r="Q1356" s="518">
        <v>0</v>
      </c>
      <c r="R1356" s="518">
        <v>0</v>
      </c>
      <c r="S1356" s="518">
        <v>0</v>
      </c>
      <c r="T1356" s="476">
        <v>0</v>
      </c>
      <c r="U1356" s="477">
        <v>0</v>
      </c>
      <c r="V1356" s="282"/>
      <c r="W1356" s="282">
        <f>O1356/N1356</f>
        <v>1521.1044152010822</v>
      </c>
      <c r="X1356" s="282"/>
      <c r="Y1356" s="25"/>
      <c r="Z1356" s="25"/>
    </row>
    <row r="1357" spans="1:26" ht="30">
      <c r="A1357" s="198"/>
      <c r="B1357" s="214" t="s">
        <v>104</v>
      </c>
      <c r="C1357" s="211">
        <v>553839</v>
      </c>
      <c r="D1357" s="211"/>
      <c r="E1357" s="211"/>
      <c r="F1357" s="211"/>
      <c r="G1357" s="211"/>
      <c r="H1357" s="211"/>
      <c r="I1357" s="211"/>
      <c r="J1357" s="211"/>
      <c r="K1357" s="211">
        <v>0</v>
      </c>
      <c r="L1357" s="212">
        <v>0</v>
      </c>
      <c r="M1357" s="211">
        <v>0</v>
      </c>
      <c r="N1357" s="211">
        <v>270.93</v>
      </c>
      <c r="O1357" s="211">
        <v>553839</v>
      </c>
      <c r="P1357" s="213">
        <v>0</v>
      </c>
      <c r="Q1357" s="211">
        <v>0</v>
      </c>
      <c r="R1357" s="213">
        <v>0</v>
      </c>
      <c r="S1357" s="211">
        <v>0</v>
      </c>
      <c r="T1357" s="212">
        <v>0</v>
      </c>
      <c r="U1357" s="290">
        <v>0</v>
      </c>
      <c r="V1357" s="282"/>
      <c r="W1357" s="282"/>
      <c r="X1357" s="282"/>
    </row>
    <row r="1358" spans="1:26" ht="30">
      <c r="A1358" s="198">
        <v>280</v>
      </c>
      <c r="B1358" s="214" t="s">
        <v>452</v>
      </c>
      <c r="C1358" s="211">
        <v>553839</v>
      </c>
      <c r="D1358" s="211"/>
      <c r="E1358" s="211"/>
      <c r="F1358" s="211"/>
      <c r="G1358" s="211"/>
      <c r="H1358" s="211"/>
      <c r="I1358" s="211"/>
      <c r="J1358" s="211"/>
      <c r="K1358" s="211">
        <v>0</v>
      </c>
      <c r="L1358" s="212">
        <v>0</v>
      </c>
      <c r="M1358" s="211">
        <v>0</v>
      </c>
      <c r="N1358" s="199">
        <v>270.93</v>
      </c>
      <c r="O1358" s="211">
        <v>553839</v>
      </c>
      <c r="P1358" s="213">
        <v>0</v>
      </c>
      <c r="Q1358" s="211">
        <v>0</v>
      </c>
      <c r="R1358" s="213">
        <v>0</v>
      </c>
      <c r="S1358" s="211">
        <v>0</v>
      </c>
      <c r="T1358" s="212">
        <v>0</v>
      </c>
      <c r="U1358" s="290">
        <v>0</v>
      </c>
      <c r="V1358" s="282"/>
      <c r="W1358" s="282"/>
      <c r="X1358" s="282"/>
    </row>
    <row r="1359" spans="1:26">
      <c r="A1359" s="198"/>
      <c r="B1359" s="216" t="s">
        <v>49</v>
      </c>
      <c r="C1359" s="211">
        <v>8949722</v>
      </c>
      <c r="D1359" s="211"/>
      <c r="E1359" s="211"/>
      <c r="F1359" s="211"/>
      <c r="G1359" s="211"/>
      <c r="H1359" s="211"/>
      <c r="I1359" s="211"/>
      <c r="J1359" s="211"/>
      <c r="K1359" s="211">
        <v>0</v>
      </c>
      <c r="L1359" s="212">
        <v>0</v>
      </c>
      <c r="M1359" s="211">
        <v>0</v>
      </c>
      <c r="N1359" s="211">
        <v>3313.5</v>
      </c>
      <c r="O1359" s="211">
        <v>6652861</v>
      </c>
      <c r="P1359" s="213">
        <v>0</v>
      </c>
      <c r="Q1359" s="211">
        <v>0</v>
      </c>
      <c r="R1359" s="211">
        <v>1589</v>
      </c>
      <c r="S1359" s="211">
        <v>2296861</v>
      </c>
      <c r="T1359" s="212">
        <v>0</v>
      </c>
      <c r="U1359" s="290">
        <v>0</v>
      </c>
      <c r="V1359" s="282"/>
      <c r="W1359" s="282"/>
      <c r="X1359" s="282"/>
    </row>
    <row r="1360" spans="1:26" ht="30">
      <c r="A1360" s="198"/>
      <c r="B1360" s="214" t="s">
        <v>105</v>
      </c>
      <c r="C1360" s="211">
        <f>C1361</f>
        <v>1551685</v>
      </c>
      <c r="D1360" s="211">
        <f t="shared" ref="D1360:U1360" si="233">D1361</f>
        <v>0</v>
      </c>
      <c r="E1360" s="211">
        <f t="shared" si="233"/>
        <v>0</v>
      </c>
      <c r="F1360" s="211">
        <f t="shared" si="233"/>
        <v>0</v>
      </c>
      <c r="G1360" s="211">
        <f t="shared" si="233"/>
        <v>0</v>
      </c>
      <c r="H1360" s="211">
        <f t="shared" si="233"/>
        <v>0</v>
      </c>
      <c r="I1360" s="211">
        <f t="shared" si="233"/>
        <v>0</v>
      </c>
      <c r="J1360" s="211">
        <f t="shared" si="233"/>
        <v>0</v>
      </c>
      <c r="K1360" s="211">
        <f t="shared" si="233"/>
        <v>0</v>
      </c>
      <c r="L1360" s="211">
        <f t="shared" si="233"/>
        <v>0</v>
      </c>
      <c r="M1360" s="211">
        <f t="shared" si="233"/>
        <v>0</v>
      </c>
      <c r="N1360" s="211">
        <f t="shared" si="233"/>
        <v>485.1</v>
      </c>
      <c r="O1360" s="211">
        <f t="shared" si="233"/>
        <v>1551685</v>
      </c>
      <c r="P1360" s="211">
        <f t="shared" si="233"/>
        <v>0</v>
      </c>
      <c r="Q1360" s="211">
        <f t="shared" si="233"/>
        <v>0</v>
      </c>
      <c r="R1360" s="211">
        <f t="shared" si="233"/>
        <v>0</v>
      </c>
      <c r="S1360" s="211">
        <f t="shared" si="233"/>
        <v>0</v>
      </c>
      <c r="T1360" s="211">
        <f t="shared" si="233"/>
        <v>0</v>
      </c>
      <c r="U1360" s="211">
        <f t="shared" si="233"/>
        <v>0</v>
      </c>
      <c r="V1360" s="282"/>
      <c r="W1360" s="282"/>
      <c r="X1360" s="282"/>
    </row>
    <row r="1361" spans="1:24" s="18" customFormat="1">
      <c r="A1361" s="470">
        <v>281</v>
      </c>
      <c r="B1361" s="524" t="s">
        <v>483</v>
      </c>
      <c r="C1361" s="479">
        <v>1551685</v>
      </c>
      <c r="D1361" s="479">
        <v>0</v>
      </c>
      <c r="E1361" s="479">
        <v>0</v>
      </c>
      <c r="F1361" s="479">
        <v>0</v>
      </c>
      <c r="G1361" s="479">
        <v>0</v>
      </c>
      <c r="H1361" s="479">
        <v>0</v>
      </c>
      <c r="I1361" s="479">
        <v>0</v>
      </c>
      <c r="J1361" s="479">
        <v>0</v>
      </c>
      <c r="K1361" s="479">
        <v>0</v>
      </c>
      <c r="L1361" s="515">
        <v>0</v>
      </c>
      <c r="M1361" s="479">
        <v>0</v>
      </c>
      <c r="N1361" s="479">
        <v>485.1</v>
      </c>
      <c r="O1361" s="479">
        <v>1551685</v>
      </c>
      <c r="P1361" s="516">
        <v>0</v>
      </c>
      <c r="Q1361" s="479">
        <v>0</v>
      </c>
      <c r="R1361" s="516">
        <v>0</v>
      </c>
      <c r="S1361" s="479">
        <v>0</v>
      </c>
      <c r="T1361" s="515">
        <v>0</v>
      </c>
      <c r="U1361" s="517">
        <v>0</v>
      </c>
      <c r="V1361" s="282"/>
      <c r="W1361" s="282">
        <f>O1361/N1361</f>
        <v>3198.6909915481342</v>
      </c>
      <c r="X1361" s="282"/>
    </row>
    <row r="1362" spans="1:24" s="18" customFormat="1">
      <c r="A1362" s="470"/>
      <c r="B1362" s="524"/>
      <c r="C1362" s="479"/>
      <c r="D1362" s="479"/>
      <c r="E1362" s="479"/>
      <c r="F1362" s="479"/>
      <c r="G1362" s="479"/>
      <c r="H1362" s="479"/>
      <c r="I1362" s="479"/>
      <c r="J1362" s="479"/>
      <c r="K1362" s="479"/>
      <c r="L1362" s="515"/>
      <c r="M1362" s="479"/>
      <c r="N1362" s="479"/>
      <c r="O1362" s="479"/>
      <c r="P1362" s="516"/>
      <c r="Q1362" s="479"/>
      <c r="R1362" s="516"/>
      <c r="S1362" s="479"/>
      <c r="T1362" s="515"/>
      <c r="U1362" s="517"/>
      <c r="V1362" s="282"/>
      <c r="W1362" s="282"/>
      <c r="X1362" s="282"/>
    </row>
    <row r="1363" spans="1:24" s="18" customFormat="1" ht="30">
      <c r="A1363" s="198"/>
      <c r="B1363" s="214" t="s">
        <v>188</v>
      </c>
      <c r="C1363" s="211">
        <v>1905804</v>
      </c>
      <c r="D1363" s="211"/>
      <c r="E1363" s="211"/>
      <c r="F1363" s="211"/>
      <c r="G1363" s="211"/>
      <c r="H1363" s="211"/>
      <c r="I1363" s="211"/>
      <c r="J1363" s="211"/>
      <c r="K1363" s="211">
        <v>0</v>
      </c>
      <c r="L1363" s="212">
        <v>0</v>
      </c>
      <c r="M1363" s="211">
        <v>0</v>
      </c>
      <c r="N1363" s="211">
        <v>968.7</v>
      </c>
      <c r="O1363" s="211">
        <v>1905804</v>
      </c>
      <c r="P1363" s="213">
        <v>0</v>
      </c>
      <c r="Q1363" s="211">
        <v>0</v>
      </c>
      <c r="R1363" s="213">
        <v>0</v>
      </c>
      <c r="S1363" s="211">
        <v>0</v>
      </c>
      <c r="T1363" s="212">
        <v>0</v>
      </c>
      <c r="U1363" s="290">
        <v>0</v>
      </c>
      <c r="V1363" s="282"/>
      <c r="W1363" s="282"/>
      <c r="X1363" s="282"/>
    </row>
    <row r="1364" spans="1:24" s="18" customFormat="1">
      <c r="A1364" s="198">
        <v>283</v>
      </c>
      <c r="B1364" s="214" t="s">
        <v>410</v>
      </c>
      <c r="C1364" s="211">
        <v>958459</v>
      </c>
      <c r="D1364" s="211"/>
      <c r="E1364" s="211"/>
      <c r="F1364" s="211"/>
      <c r="G1364" s="211"/>
      <c r="H1364" s="211"/>
      <c r="I1364" s="211"/>
      <c r="J1364" s="211"/>
      <c r="K1364" s="211">
        <v>0</v>
      </c>
      <c r="L1364" s="212">
        <v>0</v>
      </c>
      <c r="M1364" s="211">
        <v>0</v>
      </c>
      <c r="N1364" s="211">
        <v>487.2</v>
      </c>
      <c r="O1364" s="211">
        <v>958459</v>
      </c>
      <c r="P1364" s="213">
        <v>0</v>
      </c>
      <c r="Q1364" s="211">
        <v>0</v>
      </c>
      <c r="R1364" s="213">
        <v>0</v>
      </c>
      <c r="S1364" s="211">
        <v>0</v>
      </c>
      <c r="T1364" s="212">
        <v>0</v>
      </c>
      <c r="U1364" s="290">
        <v>0</v>
      </c>
      <c r="V1364" s="282"/>
      <c r="W1364" s="282"/>
      <c r="X1364" s="282"/>
    </row>
    <row r="1365" spans="1:24" s="18" customFormat="1">
      <c r="A1365" s="198">
        <v>284</v>
      </c>
      <c r="B1365" s="214" t="s">
        <v>411</v>
      </c>
      <c r="C1365" s="211">
        <v>947345</v>
      </c>
      <c r="D1365" s="211"/>
      <c r="E1365" s="211"/>
      <c r="F1365" s="211"/>
      <c r="G1365" s="211"/>
      <c r="H1365" s="211"/>
      <c r="I1365" s="211"/>
      <c r="J1365" s="211"/>
      <c r="K1365" s="211">
        <v>0</v>
      </c>
      <c r="L1365" s="212">
        <v>0</v>
      </c>
      <c r="M1365" s="211">
        <v>0</v>
      </c>
      <c r="N1365" s="211">
        <v>481.5</v>
      </c>
      <c r="O1365" s="211">
        <v>947345</v>
      </c>
      <c r="P1365" s="213">
        <v>0</v>
      </c>
      <c r="Q1365" s="211">
        <v>0</v>
      </c>
      <c r="R1365" s="213">
        <v>0</v>
      </c>
      <c r="S1365" s="211">
        <v>0</v>
      </c>
      <c r="T1365" s="212">
        <v>0</v>
      </c>
      <c r="U1365" s="290">
        <v>0</v>
      </c>
      <c r="V1365" s="282"/>
      <c r="W1365" s="282"/>
      <c r="X1365" s="282"/>
    </row>
    <row r="1366" spans="1:24" s="18" customFormat="1" ht="30">
      <c r="A1366" s="198"/>
      <c r="B1366" s="214" t="s">
        <v>189</v>
      </c>
      <c r="C1366" s="211">
        <v>820660</v>
      </c>
      <c r="D1366" s="211"/>
      <c r="E1366" s="211"/>
      <c r="F1366" s="211"/>
      <c r="G1366" s="211"/>
      <c r="H1366" s="211"/>
      <c r="I1366" s="211"/>
      <c r="J1366" s="211"/>
      <c r="K1366" s="211">
        <v>0</v>
      </c>
      <c r="L1366" s="212">
        <v>0</v>
      </c>
      <c r="M1366" s="211">
        <v>0</v>
      </c>
      <c r="N1366" s="211">
        <v>406.8</v>
      </c>
      <c r="O1366" s="211">
        <v>820660</v>
      </c>
      <c r="P1366" s="213">
        <v>0</v>
      </c>
      <c r="Q1366" s="211">
        <v>0</v>
      </c>
      <c r="R1366" s="213">
        <v>0</v>
      </c>
      <c r="S1366" s="211">
        <v>0</v>
      </c>
      <c r="T1366" s="212">
        <v>0</v>
      </c>
      <c r="U1366" s="290">
        <v>0</v>
      </c>
      <c r="V1366" s="282"/>
      <c r="W1366" s="282"/>
      <c r="X1366" s="282"/>
    </row>
    <row r="1367" spans="1:24" s="18" customFormat="1">
      <c r="A1367" s="198">
        <v>285</v>
      </c>
      <c r="B1367" s="214" t="s">
        <v>412</v>
      </c>
      <c r="C1367" s="211">
        <v>820660</v>
      </c>
      <c r="D1367" s="211"/>
      <c r="E1367" s="211"/>
      <c r="F1367" s="211"/>
      <c r="G1367" s="211"/>
      <c r="H1367" s="211"/>
      <c r="I1367" s="211"/>
      <c r="J1367" s="211"/>
      <c r="K1367" s="211">
        <v>0</v>
      </c>
      <c r="L1367" s="212">
        <v>0</v>
      </c>
      <c r="M1367" s="211">
        <v>0</v>
      </c>
      <c r="N1367" s="211">
        <v>406.8</v>
      </c>
      <c r="O1367" s="211">
        <v>820660</v>
      </c>
      <c r="P1367" s="213">
        <v>0</v>
      </c>
      <c r="Q1367" s="211">
        <v>0</v>
      </c>
      <c r="R1367" s="213">
        <v>0</v>
      </c>
      <c r="S1367" s="211">
        <v>0</v>
      </c>
      <c r="T1367" s="212">
        <v>0</v>
      </c>
      <c r="U1367" s="290">
        <v>0</v>
      </c>
      <c r="V1367" s="282"/>
      <c r="W1367" s="282"/>
      <c r="X1367" s="282"/>
    </row>
    <row r="1368" spans="1:24" s="18" customFormat="1" ht="30">
      <c r="A1368" s="198"/>
      <c r="B1368" s="214" t="s">
        <v>131</v>
      </c>
      <c r="C1368" s="211">
        <f>C1369</f>
        <v>2802982.3</v>
      </c>
      <c r="D1368" s="211">
        <f t="shared" ref="D1368:V1368" si="234">D1369</f>
        <v>0</v>
      </c>
      <c r="E1368" s="211">
        <f t="shared" si="234"/>
        <v>0</v>
      </c>
      <c r="F1368" s="211">
        <f t="shared" si="234"/>
        <v>0</v>
      </c>
      <c r="G1368" s="211">
        <f t="shared" si="234"/>
        <v>0</v>
      </c>
      <c r="H1368" s="211">
        <f t="shared" si="234"/>
        <v>0</v>
      </c>
      <c r="I1368" s="211">
        <f t="shared" si="234"/>
        <v>0</v>
      </c>
      <c r="J1368" s="211">
        <f t="shared" si="234"/>
        <v>0</v>
      </c>
      <c r="K1368" s="211">
        <f t="shared" si="234"/>
        <v>0</v>
      </c>
      <c r="L1368" s="211">
        <f t="shared" si="234"/>
        <v>0</v>
      </c>
      <c r="M1368" s="211">
        <f t="shared" si="234"/>
        <v>0</v>
      </c>
      <c r="N1368" s="211">
        <f t="shared" si="234"/>
        <v>1929.1</v>
      </c>
      <c r="O1368" s="211">
        <f t="shared" si="234"/>
        <v>2802982.3</v>
      </c>
      <c r="P1368" s="211">
        <f t="shared" si="234"/>
        <v>0</v>
      </c>
      <c r="Q1368" s="211">
        <f t="shared" si="234"/>
        <v>0</v>
      </c>
      <c r="R1368" s="211">
        <f t="shared" si="234"/>
        <v>0</v>
      </c>
      <c r="S1368" s="211">
        <f t="shared" si="234"/>
        <v>0</v>
      </c>
      <c r="T1368" s="211">
        <f t="shared" si="234"/>
        <v>0</v>
      </c>
      <c r="U1368" s="211">
        <f t="shared" si="234"/>
        <v>0</v>
      </c>
      <c r="V1368" s="211">
        <f t="shared" si="234"/>
        <v>0</v>
      </c>
      <c r="W1368" s="282"/>
      <c r="X1368" s="282"/>
    </row>
    <row r="1369" spans="1:24" s="18" customFormat="1" ht="19.899999999999999" customHeight="1">
      <c r="A1369" s="198">
        <v>286</v>
      </c>
      <c r="B1369" s="214" t="s">
        <v>662</v>
      </c>
      <c r="C1369" s="211">
        <v>2802982.3</v>
      </c>
      <c r="D1369" s="211">
        <v>0</v>
      </c>
      <c r="E1369" s="211">
        <v>0</v>
      </c>
      <c r="F1369" s="211">
        <v>0</v>
      </c>
      <c r="G1369" s="211">
        <v>0</v>
      </c>
      <c r="H1369" s="211">
        <v>0</v>
      </c>
      <c r="I1369" s="211">
        <v>0</v>
      </c>
      <c r="J1369" s="211">
        <v>0</v>
      </c>
      <c r="K1369" s="211">
        <v>0</v>
      </c>
      <c r="L1369" s="212">
        <v>0</v>
      </c>
      <c r="M1369" s="211">
        <v>0</v>
      </c>
      <c r="N1369" s="233">
        <v>1929.1</v>
      </c>
      <c r="O1369" s="211">
        <v>2802982.3</v>
      </c>
      <c r="P1369" s="213">
        <v>0</v>
      </c>
      <c r="Q1369" s="211">
        <v>0</v>
      </c>
      <c r="R1369" s="213">
        <v>0</v>
      </c>
      <c r="S1369" s="211">
        <v>0</v>
      </c>
      <c r="T1369" s="212">
        <v>0</v>
      </c>
      <c r="U1369" s="290">
        <v>0</v>
      </c>
      <c r="V1369" s="282"/>
      <c r="W1369" s="282">
        <f>O1369/N1369</f>
        <v>1453</v>
      </c>
      <c r="X1369" s="282"/>
    </row>
    <row r="1370" spans="1:24" s="18" customFormat="1">
      <c r="A1370" s="198"/>
      <c r="B1370" s="214"/>
      <c r="C1370" s="211"/>
      <c r="D1370" s="211"/>
      <c r="E1370" s="211"/>
      <c r="F1370" s="211"/>
      <c r="G1370" s="211"/>
      <c r="H1370" s="211"/>
      <c r="I1370" s="211"/>
      <c r="J1370" s="211"/>
      <c r="K1370" s="211"/>
      <c r="L1370" s="212"/>
      <c r="M1370" s="211"/>
      <c r="N1370" s="211"/>
      <c r="O1370" s="211"/>
      <c r="P1370" s="213"/>
      <c r="Q1370" s="211"/>
      <c r="R1370" s="215"/>
      <c r="S1370" s="211"/>
      <c r="T1370" s="212"/>
      <c r="U1370" s="290"/>
      <c r="V1370" s="282"/>
      <c r="W1370" s="282"/>
      <c r="X1370" s="282"/>
    </row>
    <row r="1371" spans="1:24" s="17" customFormat="1" ht="21.6" customHeight="1">
      <c r="A1371" s="198"/>
      <c r="B1371" s="216" t="s">
        <v>50</v>
      </c>
      <c r="C1371" s="211">
        <f>C1372</f>
        <v>13218958</v>
      </c>
      <c r="D1371" s="211">
        <f t="shared" ref="D1371:V1371" si="235">D1372</f>
        <v>0</v>
      </c>
      <c r="E1371" s="211">
        <f t="shared" si="235"/>
        <v>0</v>
      </c>
      <c r="F1371" s="211">
        <f t="shared" si="235"/>
        <v>0</v>
      </c>
      <c r="G1371" s="211">
        <f t="shared" si="235"/>
        <v>0</v>
      </c>
      <c r="H1371" s="211">
        <f t="shared" si="235"/>
        <v>0</v>
      </c>
      <c r="I1371" s="211">
        <f t="shared" si="235"/>
        <v>0</v>
      </c>
      <c r="J1371" s="211">
        <f t="shared" si="235"/>
        <v>0</v>
      </c>
      <c r="K1371" s="211">
        <f t="shared" si="235"/>
        <v>0</v>
      </c>
      <c r="L1371" s="211">
        <f t="shared" si="235"/>
        <v>0</v>
      </c>
      <c r="M1371" s="211">
        <f t="shared" si="235"/>
        <v>0</v>
      </c>
      <c r="N1371" s="211">
        <f t="shared" si="235"/>
        <v>4654.3</v>
      </c>
      <c r="O1371" s="211">
        <f t="shared" si="235"/>
        <v>13218958</v>
      </c>
      <c r="P1371" s="211">
        <f t="shared" si="235"/>
        <v>0</v>
      </c>
      <c r="Q1371" s="211">
        <f t="shared" si="235"/>
        <v>0</v>
      </c>
      <c r="R1371" s="211">
        <f t="shared" si="235"/>
        <v>0</v>
      </c>
      <c r="S1371" s="211">
        <f t="shared" si="235"/>
        <v>0</v>
      </c>
      <c r="T1371" s="211">
        <f t="shared" si="235"/>
        <v>0</v>
      </c>
      <c r="U1371" s="211">
        <f t="shared" si="235"/>
        <v>0</v>
      </c>
      <c r="V1371" s="211">
        <f t="shared" si="235"/>
        <v>0</v>
      </c>
      <c r="W1371" s="282"/>
      <c r="X1371" s="282"/>
    </row>
    <row r="1372" spans="1:24" ht="30">
      <c r="A1372" s="198"/>
      <c r="B1372" s="214" t="s">
        <v>106</v>
      </c>
      <c r="C1372" s="211">
        <f>C1373+C1374+C1375+C1376+C1377+C1378+C1379+C1380+C1381</f>
        <v>13218958</v>
      </c>
      <c r="D1372" s="211">
        <f t="shared" ref="D1372:U1372" si="236">D1373+D1374+D1375+D1376+D1377+D1378+D1379+D1380+D1381</f>
        <v>0</v>
      </c>
      <c r="E1372" s="211">
        <f t="shared" si="236"/>
        <v>0</v>
      </c>
      <c r="F1372" s="211">
        <f t="shared" si="236"/>
        <v>0</v>
      </c>
      <c r="G1372" s="211">
        <f t="shared" si="236"/>
        <v>0</v>
      </c>
      <c r="H1372" s="211">
        <f t="shared" si="236"/>
        <v>0</v>
      </c>
      <c r="I1372" s="211">
        <f t="shared" si="236"/>
        <v>0</v>
      </c>
      <c r="J1372" s="211">
        <f t="shared" si="236"/>
        <v>0</v>
      </c>
      <c r="K1372" s="211">
        <f t="shared" si="236"/>
        <v>0</v>
      </c>
      <c r="L1372" s="211">
        <f t="shared" si="236"/>
        <v>0</v>
      </c>
      <c r="M1372" s="211">
        <f t="shared" si="236"/>
        <v>0</v>
      </c>
      <c r="N1372" s="211">
        <f t="shared" si="236"/>
        <v>4654.3</v>
      </c>
      <c r="O1372" s="211">
        <f t="shared" si="236"/>
        <v>13218958</v>
      </c>
      <c r="P1372" s="211">
        <f t="shared" si="236"/>
        <v>0</v>
      </c>
      <c r="Q1372" s="211">
        <f t="shared" si="236"/>
        <v>0</v>
      </c>
      <c r="R1372" s="211">
        <f t="shared" si="236"/>
        <v>0</v>
      </c>
      <c r="S1372" s="211">
        <f t="shared" si="236"/>
        <v>0</v>
      </c>
      <c r="T1372" s="211">
        <f t="shared" si="236"/>
        <v>0</v>
      </c>
      <c r="U1372" s="211">
        <f t="shared" si="236"/>
        <v>0</v>
      </c>
      <c r="V1372" s="282"/>
      <c r="W1372" s="282"/>
      <c r="X1372" s="282"/>
    </row>
    <row r="1373" spans="1:24" ht="15.75">
      <c r="A1373" s="198">
        <v>288</v>
      </c>
      <c r="B1373" s="165" t="s">
        <v>852</v>
      </c>
      <c r="C1373" s="211">
        <f>'часть 1'!L1405</f>
        <v>1024592</v>
      </c>
      <c r="D1373" s="211">
        <v>0</v>
      </c>
      <c r="E1373" s="211">
        <v>0</v>
      </c>
      <c r="F1373" s="211">
        <v>0</v>
      </c>
      <c r="G1373" s="211">
        <v>0</v>
      </c>
      <c r="H1373" s="211">
        <v>0</v>
      </c>
      <c r="I1373" s="211">
        <v>0</v>
      </c>
      <c r="J1373" s="211">
        <v>0</v>
      </c>
      <c r="K1373" s="211">
        <v>0</v>
      </c>
      <c r="L1373" s="212">
        <v>0</v>
      </c>
      <c r="M1373" s="211">
        <v>0</v>
      </c>
      <c r="N1373" s="234">
        <v>410</v>
      </c>
      <c r="O1373" s="211">
        <v>1024592</v>
      </c>
      <c r="P1373" s="213">
        <v>0</v>
      </c>
      <c r="Q1373" s="211">
        <v>0</v>
      </c>
      <c r="R1373" s="213">
        <v>0</v>
      </c>
      <c r="S1373" s="211">
        <v>0</v>
      </c>
      <c r="T1373" s="212">
        <v>0</v>
      </c>
      <c r="U1373" s="290">
        <v>0</v>
      </c>
      <c r="V1373" s="282"/>
      <c r="W1373" s="282">
        <f>O1373/N1373</f>
        <v>2499.0048780487805</v>
      </c>
      <c r="X1373" s="282"/>
    </row>
    <row r="1374" spans="1:24" ht="15.75">
      <c r="A1374" s="198">
        <v>289</v>
      </c>
      <c r="B1374" s="165" t="s">
        <v>853</v>
      </c>
      <c r="C1374" s="211">
        <f>'часть 1'!L1406</f>
        <v>1366296</v>
      </c>
      <c r="D1374" s="211">
        <v>0</v>
      </c>
      <c r="E1374" s="211">
        <v>0</v>
      </c>
      <c r="F1374" s="211">
        <v>0</v>
      </c>
      <c r="G1374" s="211">
        <v>0</v>
      </c>
      <c r="H1374" s="211">
        <v>0</v>
      </c>
      <c r="I1374" s="211">
        <v>0</v>
      </c>
      <c r="J1374" s="211">
        <v>0</v>
      </c>
      <c r="K1374" s="211">
        <v>0</v>
      </c>
      <c r="L1374" s="212">
        <v>0</v>
      </c>
      <c r="M1374" s="211">
        <v>0</v>
      </c>
      <c r="N1374" s="234">
        <v>546</v>
      </c>
      <c r="O1374" s="211">
        <v>1366296</v>
      </c>
      <c r="P1374" s="213">
        <v>0</v>
      </c>
      <c r="Q1374" s="211">
        <v>0</v>
      </c>
      <c r="R1374" s="213">
        <v>0</v>
      </c>
      <c r="S1374" s="211">
        <v>0</v>
      </c>
      <c r="T1374" s="212">
        <v>0</v>
      </c>
      <c r="U1374" s="290">
        <v>0</v>
      </c>
      <c r="V1374" s="282"/>
      <c r="W1374" s="282">
        <f t="shared" ref="W1374:W1381" si="237">O1374/N1374</f>
        <v>2502.3736263736264</v>
      </c>
      <c r="X1374" s="282"/>
    </row>
    <row r="1375" spans="1:24" ht="15.75">
      <c r="A1375" s="198">
        <v>290</v>
      </c>
      <c r="B1375" s="165" t="s">
        <v>854</v>
      </c>
      <c r="C1375" s="211">
        <f>'часть 1'!L1407</f>
        <v>1544253</v>
      </c>
      <c r="D1375" s="211">
        <v>0</v>
      </c>
      <c r="E1375" s="211">
        <v>0</v>
      </c>
      <c r="F1375" s="211">
        <v>0</v>
      </c>
      <c r="G1375" s="211">
        <v>0</v>
      </c>
      <c r="H1375" s="211">
        <v>0</v>
      </c>
      <c r="I1375" s="211">
        <v>0</v>
      </c>
      <c r="J1375" s="211">
        <v>0</v>
      </c>
      <c r="K1375" s="211">
        <v>0</v>
      </c>
      <c r="L1375" s="212">
        <v>0</v>
      </c>
      <c r="M1375" s="211">
        <v>0</v>
      </c>
      <c r="N1375" s="234">
        <v>483</v>
      </c>
      <c r="O1375" s="211">
        <v>1544253</v>
      </c>
      <c r="P1375" s="213">
        <v>0</v>
      </c>
      <c r="Q1375" s="211">
        <v>0</v>
      </c>
      <c r="R1375" s="213">
        <v>0</v>
      </c>
      <c r="S1375" s="211">
        <v>0</v>
      </c>
      <c r="T1375" s="212">
        <v>0</v>
      </c>
      <c r="U1375" s="290">
        <v>0</v>
      </c>
      <c r="V1375" s="282"/>
      <c r="W1375" s="282">
        <f t="shared" si="237"/>
        <v>3197.2111801242236</v>
      </c>
      <c r="X1375" s="282"/>
    </row>
    <row r="1376" spans="1:24" ht="15.75">
      <c r="A1376" s="198">
        <v>291</v>
      </c>
      <c r="B1376" s="165" t="s">
        <v>855</v>
      </c>
      <c r="C1376" s="211">
        <f>'часть 1'!L1408</f>
        <v>1119066</v>
      </c>
      <c r="D1376" s="211">
        <v>0</v>
      </c>
      <c r="E1376" s="211">
        <v>0</v>
      </c>
      <c r="F1376" s="211">
        <v>0</v>
      </c>
      <c r="G1376" s="211">
        <v>0</v>
      </c>
      <c r="H1376" s="211">
        <v>0</v>
      </c>
      <c r="I1376" s="211">
        <v>0</v>
      </c>
      <c r="J1376" s="211">
        <v>0</v>
      </c>
      <c r="K1376" s="211">
        <v>0</v>
      </c>
      <c r="L1376" s="212">
        <v>0</v>
      </c>
      <c r="M1376" s="211">
        <v>0</v>
      </c>
      <c r="N1376" s="234">
        <v>348</v>
      </c>
      <c r="O1376" s="211">
        <v>1119066</v>
      </c>
      <c r="P1376" s="213">
        <v>0</v>
      </c>
      <c r="Q1376" s="211">
        <v>0</v>
      </c>
      <c r="R1376" s="213">
        <v>0</v>
      </c>
      <c r="S1376" s="211">
        <v>0</v>
      </c>
      <c r="T1376" s="212">
        <v>0</v>
      </c>
      <c r="U1376" s="290">
        <v>0</v>
      </c>
      <c r="V1376" s="282"/>
      <c r="W1376" s="282">
        <f t="shared" si="237"/>
        <v>3215.7068965517242</v>
      </c>
      <c r="X1376" s="282"/>
    </row>
    <row r="1377" spans="1:24" ht="15.75">
      <c r="A1377" s="198">
        <v>292</v>
      </c>
      <c r="B1377" s="165" t="s">
        <v>856</v>
      </c>
      <c r="C1377" s="211">
        <f>'часть 1'!L1409</f>
        <v>2060671</v>
      </c>
      <c r="D1377" s="211">
        <v>0</v>
      </c>
      <c r="E1377" s="211">
        <v>0</v>
      </c>
      <c r="F1377" s="211">
        <v>0</v>
      </c>
      <c r="G1377" s="211">
        <v>0</v>
      </c>
      <c r="H1377" s="211">
        <v>0</v>
      </c>
      <c r="I1377" s="211">
        <v>0</v>
      </c>
      <c r="J1377" s="211">
        <v>0</v>
      </c>
      <c r="K1377" s="211">
        <v>0</v>
      </c>
      <c r="L1377" s="212">
        <v>0</v>
      </c>
      <c r="M1377" s="211">
        <v>0</v>
      </c>
      <c r="N1377" s="234">
        <v>647</v>
      </c>
      <c r="O1377" s="211">
        <v>2060671</v>
      </c>
      <c r="P1377" s="213">
        <v>0</v>
      </c>
      <c r="Q1377" s="211">
        <v>0</v>
      </c>
      <c r="R1377" s="213">
        <v>0</v>
      </c>
      <c r="S1377" s="211">
        <v>0</v>
      </c>
      <c r="T1377" s="212">
        <v>0</v>
      </c>
      <c r="U1377" s="290">
        <v>0</v>
      </c>
      <c r="V1377" s="282"/>
      <c r="W1377" s="282">
        <f t="shared" si="237"/>
        <v>3184.9629057187017</v>
      </c>
      <c r="X1377" s="282"/>
    </row>
    <row r="1378" spans="1:24" ht="15.75">
      <c r="A1378" s="198">
        <v>293</v>
      </c>
      <c r="B1378" s="165" t="s">
        <v>850</v>
      </c>
      <c r="C1378" s="211">
        <f>'часть 1'!L1410</f>
        <v>1226134</v>
      </c>
      <c r="D1378" s="211">
        <v>0</v>
      </c>
      <c r="E1378" s="211">
        <v>0</v>
      </c>
      <c r="F1378" s="211">
        <v>0</v>
      </c>
      <c r="G1378" s="211">
        <v>0</v>
      </c>
      <c r="H1378" s="211">
        <v>0</v>
      </c>
      <c r="I1378" s="211">
        <v>0</v>
      </c>
      <c r="J1378" s="211">
        <v>0</v>
      </c>
      <c r="K1378" s="211">
        <v>0</v>
      </c>
      <c r="L1378" s="212">
        <v>0</v>
      </c>
      <c r="M1378" s="211">
        <v>0</v>
      </c>
      <c r="N1378" s="234">
        <v>382</v>
      </c>
      <c r="O1378" s="211">
        <v>1226134</v>
      </c>
      <c r="P1378" s="213">
        <v>0</v>
      </c>
      <c r="Q1378" s="211">
        <v>0</v>
      </c>
      <c r="R1378" s="213">
        <v>0</v>
      </c>
      <c r="S1378" s="211">
        <v>0</v>
      </c>
      <c r="T1378" s="212">
        <v>0</v>
      </c>
      <c r="U1378" s="290">
        <v>0</v>
      </c>
      <c r="V1378" s="282"/>
      <c r="W1378" s="282">
        <f t="shared" si="237"/>
        <v>3209.7748691099478</v>
      </c>
      <c r="X1378" s="282"/>
    </row>
    <row r="1379" spans="1:24" ht="15.75">
      <c r="A1379" s="198">
        <v>294</v>
      </c>
      <c r="B1379" s="165" t="s">
        <v>978</v>
      </c>
      <c r="C1379" s="211">
        <f>'часть 1'!L1411</f>
        <v>1002285</v>
      </c>
      <c r="D1379" s="211">
        <v>0</v>
      </c>
      <c r="E1379" s="211">
        <v>0</v>
      </c>
      <c r="F1379" s="211">
        <v>0</v>
      </c>
      <c r="G1379" s="211">
        <v>0</v>
      </c>
      <c r="H1379" s="211">
        <v>0</v>
      </c>
      <c r="I1379" s="211">
        <v>0</v>
      </c>
      <c r="J1379" s="211">
        <v>0</v>
      </c>
      <c r="K1379" s="211">
        <v>0</v>
      </c>
      <c r="L1379" s="212">
        <v>0</v>
      </c>
      <c r="M1379" s="211">
        <v>0</v>
      </c>
      <c r="N1379" s="234">
        <v>401</v>
      </c>
      <c r="O1379" s="211">
        <v>1002285</v>
      </c>
      <c r="P1379" s="213">
        <v>0</v>
      </c>
      <c r="Q1379" s="211">
        <v>0</v>
      </c>
      <c r="R1379" s="213">
        <v>0</v>
      </c>
      <c r="S1379" s="211">
        <v>0</v>
      </c>
      <c r="T1379" s="212">
        <v>0</v>
      </c>
      <c r="U1379" s="290">
        <v>0</v>
      </c>
      <c r="V1379" s="282"/>
      <c r="W1379" s="282">
        <f t="shared" si="237"/>
        <v>2499.4638403990025</v>
      </c>
      <c r="X1379" s="282"/>
    </row>
    <row r="1380" spans="1:24" ht="15.75">
      <c r="A1380" s="198">
        <v>295</v>
      </c>
      <c r="B1380" s="165" t="s">
        <v>979</v>
      </c>
      <c r="C1380" s="211">
        <f>'часть 1'!L1412</f>
        <v>1296378</v>
      </c>
      <c r="D1380" s="211">
        <v>0</v>
      </c>
      <c r="E1380" s="211">
        <v>0</v>
      </c>
      <c r="F1380" s="211">
        <v>0</v>
      </c>
      <c r="G1380" s="211">
        <v>0</v>
      </c>
      <c r="H1380" s="211">
        <v>0</v>
      </c>
      <c r="I1380" s="211">
        <v>0</v>
      </c>
      <c r="J1380" s="211">
        <v>0</v>
      </c>
      <c r="K1380" s="211">
        <v>0</v>
      </c>
      <c r="L1380" s="212">
        <v>0</v>
      </c>
      <c r="M1380" s="211">
        <v>0</v>
      </c>
      <c r="N1380" s="234">
        <v>407.3</v>
      </c>
      <c r="O1380" s="211">
        <v>1296378</v>
      </c>
      <c r="P1380" s="213">
        <v>0</v>
      </c>
      <c r="Q1380" s="211">
        <v>0</v>
      </c>
      <c r="R1380" s="213">
        <v>0</v>
      </c>
      <c r="S1380" s="211">
        <v>0</v>
      </c>
      <c r="T1380" s="212">
        <v>0</v>
      </c>
      <c r="U1380" s="290">
        <v>0</v>
      </c>
      <c r="V1380" s="282"/>
      <c r="W1380" s="282">
        <f t="shared" si="237"/>
        <v>3182.8578443407805</v>
      </c>
      <c r="X1380" s="282"/>
    </row>
    <row r="1381" spans="1:24" ht="15.75">
      <c r="A1381" s="198">
        <v>296</v>
      </c>
      <c r="B1381" s="165" t="s">
        <v>857</v>
      </c>
      <c r="C1381" s="211">
        <f>'часть 1'!L1413</f>
        <v>2579283</v>
      </c>
      <c r="D1381" s="211">
        <v>0</v>
      </c>
      <c r="E1381" s="211">
        <v>0</v>
      </c>
      <c r="F1381" s="211">
        <v>0</v>
      </c>
      <c r="G1381" s="211">
        <v>0</v>
      </c>
      <c r="H1381" s="211">
        <v>0</v>
      </c>
      <c r="I1381" s="211">
        <v>0</v>
      </c>
      <c r="J1381" s="211">
        <v>0</v>
      </c>
      <c r="K1381" s="211">
        <v>0</v>
      </c>
      <c r="L1381" s="212">
        <v>0</v>
      </c>
      <c r="M1381" s="211">
        <v>0</v>
      </c>
      <c r="N1381" s="234">
        <v>1030</v>
      </c>
      <c r="O1381" s="211">
        <v>2579283</v>
      </c>
      <c r="P1381" s="213">
        <v>0</v>
      </c>
      <c r="Q1381" s="211">
        <v>0</v>
      </c>
      <c r="R1381" s="213">
        <v>0</v>
      </c>
      <c r="S1381" s="211">
        <v>0</v>
      </c>
      <c r="T1381" s="212">
        <v>0</v>
      </c>
      <c r="U1381" s="290">
        <v>0</v>
      </c>
      <c r="V1381" s="282"/>
      <c r="W1381" s="282">
        <f t="shared" si="237"/>
        <v>2504.1582524271844</v>
      </c>
      <c r="X1381" s="282"/>
    </row>
    <row r="1382" spans="1:24">
      <c r="A1382" s="198"/>
      <c r="B1382" s="216" t="s">
        <v>51</v>
      </c>
      <c r="C1382" s="211">
        <v>13321832</v>
      </c>
      <c r="D1382" s="211"/>
      <c r="E1382" s="211"/>
      <c r="F1382" s="211"/>
      <c r="G1382" s="211"/>
      <c r="H1382" s="211"/>
      <c r="I1382" s="211"/>
      <c r="J1382" s="211"/>
      <c r="K1382" s="211">
        <v>148073</v>
      </c>
      <c r="L1382" s="212">
        <v>0</v>
      </c>
      <c r="M1382" s="211">
        <v>0</v>
      </c>
      <c r="N1382" s="211">
        <v>6258.7000000000007</v>
      </c>
      <c r="O1382" s="211">
        <v>12532204</v>
      </c>
      <c r="P1382" s="213">
        <v>0</v>
      </c>
      <c r="Q1382" s="211">
        <v>0</v>
      </c>
      <c r="R1382" s="211">
        <v>440.1</v>
      </c>
      <c r="S1382" s="211">
        <v>641555</v>
      </c>
      <c r="T1382" s="212">
        <v>0</v>
      </c>
      <c r="U1382" s="290">
        <v>0</v>
      </c>
      <c r="V1382" s="282"/>
      <c r="W1382" s="282"/>
      <c r="X1382" s="282"/>
    </row>
    <row r="1383" spans="1:24" ht="30">
      <c r="A1383" s="198"/>
      <c r="B1383" s="214" t="s">
        <v>108</v>
      </c>
      <c r="C1383" s="211">
        <f>C1384+C1385+C1386+C1387+C1388+C1389+C1390</f>
        <v>10822736</v>
      </c>
      <c r="D1383" s="211">
        <f t="shared" ref="D1383:U1383" si="238">D1384+D1385+D1386+D1387+D1388+D1389+D1390</f>
        <v>0</v>
      </c>
      <c r="E1383" s="211">
        <f t="shared" si="238"/>
        <v>0</v>
      </c>
      <c r="F1383" s="211">
        <f t="shared" si="238"/>
        <v>0</v>
      </c>
      <c r="G1383" s="211">
        <f t="shared" si="238"/>
        <v>0</v>
      </c>
      <c r="H1383" s="211">
        <f t="shared" si="238"/>
        <v>0</v>
      </c>
      <c r="I1383" s="211">
        <f t="shared" si="238"/>
        <v>0</v>
      </c>
      <c r="J1383" s="211">
        <f t="shared" si="238"/>
        <v>0</v>
      </c>
      <c r="K1383" s="211">
        <f t="shared" si="238"/>
        <v>0</v>
      </c>
      <c r="L1383" s="211">
        <f t="shared" si="238"/>
        <v>0</v>
      </c>
      <c r="M1383" s="211">
        <f t="shared" si="238"/>
        <v>0</v>
      </c>
      <c r="N1383" s="211">
        <f t="shared" si="238"/>
        <v>3794.9</v>
      </c>
      <c r="O1383" s="211">
        <f t="shared" si="238"/>
        <v>10822736</v>
      </c>
      <c r="P1383" s="211">
        <f t="shared" si="238"/>
        <v>0</v>
      </c>
      <c r="Q1383" s="211">
        <f t="shared" si="238"/>
        <v>0</v>
      </c>
      <c r="R1383" s="211">
        <f t="shared" si="238"/>
        <v>0</v>
      </c>
      <c r="S1383" s="211">
        <f t="shared" si="238"/>
        <v>0</v>
      </c>
      <c r="T1383" s="211">
        <f t="shared" si="238"/>
        <v>0</v>
      </c>
      <c r="U1383" s="211">
        <f t="shared" si="238"/>
        <v>0</v>
      </c>
      <c r="V1383" s="282"/>
      <c r="W1383" s="282"/>
      <c r="X1383" s="282"/>
    </row>
    <row r="1384" spans="1:24" ht="15.75">
      <c r="A1384" s="198">
        <v>298</v>
      </c>
      <c r="B1384" s="947" t="s">
        <v>1014</v>
      </c>
      <c r="C1384" s="211">
        <f>'часть 1'!L1416</f>
        <v>1488075</v>
      </c>
      <c r="D1384" s="211">
        <v>0</v>
      </c>
      <c r="E1384" s="211">
        <v>0</v>
      </c>
      <c r="F1384" s="211">
        <v>0</v>
      </c>
      <c r="G1384" s="211">
        <v>0</v>
      </c>
      <c r="H1384" s="211">
        <v>0</v>
      </c>
      <c r="I1384" s="211">
        <v>0</v>
      </c>
      <c r="J1384" s="211">
        <v>0</v>
      </c>
      <c r="K1384" s="211">
        <v>0</v>
      </c>
      <c r="L1384" s="212">
        <v>0</v>
      </c>
      <c r="M1384" s="211">
        <v>0</v>
      </c>
      <c r="N1384" s="211">
        <v>471</v>
      </c>
      <c r="O1384" s="211">
        <f>'часть 1'!L1416</f>
        <v>1488075</v>
      </c>
      <c r="P1384" s="213">
        <v>0</v>
      </c>
      <c r="Q1384" s="211">
        <v>0</v>
      </c>
      <c r="R1384" s="213">
        <v>0</v>
      </c>
      <c r="S1384" s="211">
        <v>0</v>
      </c>
      <c r="T1384" s="212">
        <v>0</v>
      </c>
      <c r="U1384" s="290">
        <v>0</v>
      </c>
      <c r="V1384" s="282"/>
      <c r="W1384" s="282">
        <f>O1384/N1384</f>
        <v>3159.3949044585988</v>
      </c>
      <c r="X1384" s="282"/>
    </row>
    <row r="1385" spans="1:24" ht="15.75">
      <c r="A1385" s="198">
        <v>299</v>
      </c>
      <c r="B1385" s="947" t="s">
        <v>486</v>
      </c>
      <c r="C1385" s="211">
        <f>'часть 1'!L1417</f>
        <v>1488068</v>
      </c>
      <c r="D1385" s="211">
        <v>0</v>
      </c>
      <c r="E1385" s="211">
        <v>0</v>
      </c>
      <c r="F1385" s="211">
        <v>0</v>
      </c>
      <c r="G1385" s="211">
        <v>0</v>
      </c>
      <c r="H1385" s="211">
        <v>0</v>
      </c>
      <c r="I1385" s="211">
        <v>0</v>
      </c>
      <c r="J1385" s="211">
        <v>0</v>
      </c>
      <c r="K1385" s="211">
        <v>0</v>
      </c>
      <c r="L1385" s="212">
        <v>0</v>
      </c>
      <c r="M1385" s="211">
        <v>0</v>
      </c>
      <c r="N1385" s="211">
        <v>471</v>
      </c>
      <c r="O1385" s="211">
        <f>'часть 1'!L1417</f>
        <v>1488068</v>
      </c>
      <c r="P1385" s="213">
        <v>0</v>
      </c>
      <c r="Q1385" s="211">
        <v>0</v>
      </c>
      <c r="R1385" s="213">
        <v>0</v>
      </c>
      <c r="S1385" s="211">
        <v>0</v>
      </c>
      <c r="T1385" s="212">
        <v>0</v>
      </c>
      <c r="U1385" s="290">
        <v>0</v>
      </c>
      <c r="V1385" s="282"/>
      <c r="W1385" s="282">
        <f t="shared" ref="W1385:W1390" si="239">O1385/N1385</f>
        <v>3159.3800424628448</v>
      </c>
      <c r="X1385" s="282"/>
    </row>
    <row r="1386" spans="1:24" ht="15.75">
      <c r="A1386" s="198">
        <v>300</v>
      </c>
      <c r="B1386" s="947" t="s">
        <v>1015</v>
      </c>
      <c r="C1386" s="211">
        <f>'часть 1'!L1418</f>
        <v>931593</v>
      </c>
      <c r="D1386" s="211">
        <v>0</v>
      </c>
      <c r="E1386" s="211">
        <v>0</v>
      </c>
      <c r="F1386" s="211">
        <v>0</v>
      </c>
      <c r="G1386" s="211">
        <v>0</v>
      </c>
      <c r="H1386" s="211">
        <v>0</v>
      </c>
      <c r="I1386" s="211">
        <v>0</v>
      </c>
      <c r="J1386" s="211">
        <v>0</v>
      </c>
      <c r="K1386" s="211">
        <v>0</v>
      </c>
      <c r="L1386" s="212">
        <v>0</v>
      </c>
      <c r="M1386" s="211">
        <v>0</v>
      </c>
      <c r="N1386" s="211">
        <v>292</v>
      </c>
      <c r="O1386" s="211">
        <f>'часть 1'!L1418</f>
        <v>931593</v>
      </c>
      <c r="P1386" s="213">
        <v>0</v>
      </c>
      <c r="Q1386" s="211">
        <v>0</v>
      </c>
      <c r="R1386" s="213">
        <v>0</v>
      </c>
      <c r="S1386" s="211">
        <v>0</v>
      </c>
      <c r="T1386" s="212">
        <v>0</v>
      </c>
      <c r="U1386" s="290">
        <v>0</v>
      </c>
      <c r="V1386" s="282"/>
      <c r="W1386" s="282">
        <f t="shared" si="239"/>
        <v>3190.3869863013697</v>
      </c>
      <c r="X1386" s="282"/>
    </row>
    <row r="1387" spans="1:24" ht="15.75">
      <c r="A1387" s="198">
        <v>301</v>
      </c>
      <c r="B1387" s="171" t="s">
        <v>1016</v>
      </c>
      <c r="C1387" s="211">
        <f>'часть 1'!L1419</f>
        <v>741660</v>
      </c>
      <c r="D1387" s="211">
        <v>0</v>
      </c>
      <c r="E1387" s="211">
        <v>0</v>
      </c>
      <c r="F1387" s="211">
        <v>0</v>
      </c>
      <c r="G1387" s="211">
        <v>0</v>
      </c>
      <c r="H1387" s="211">
        <v>0</v>
      </c>
      <c r="I1387" s="211">
        <v>0</v>
      </c>
      <c r="J1387" s="211">
        <v>0</v>
      </c>
      <c r="K1387" s="211">
        <v>0</v>
      </c>
      <c r="L1387" s="212">
        <v>0</v>
      </c>
      <c r="M1387" s="211">
        <v>0</v>
      </c>
      <c r="N1387" s="211">
        <v>233.8</v>
      </c>
      <c r="O1387" s="211">
        <f>'часть 1'!L1419</f>
        <v>741660</v>
      </c>
      <c r="P1387" s="213">
        <v>0</v>
      </c>
      <c r="Q1387" s="211">
        <v>0</v>
      </c>
      <c r="R1387" s="213">
        <v>0</v>
      </c>
      <c r="S1387" s="211">
        <v>0</v>
      </c>
      <c r="T1387" s="212">
        <v>0</v>
      </c>
      <c r="U1387" s="290">
        <v>0</v>
      </c>
      <c r="V1387" s="282"/>
      <c r="W1387" s="282">
        <f t="shared" si="239"/>
        <v>3172.198460222412</v>
      </c>
      <c r="X1387" s="282"/>
    </row>
    <row r="1388" spans="1:24" ht="15.75">
      <c r="A1388" s="198">
        <v>302</v>
      </c>
      <c r="B1388" s="947" t="s">
        <v>1017</v>
      </c>
      <c r="C1388" s="211">
        <f>'часть 1'!L1420</f>
        <v>1854480</v>
      </c>
      <c r="D1388" s="211">
        <v>0</v>
      </c>
      <c r="E1388" s="211">
        <v>0</v>
      </c>
      <c r="F1388" s="211">
        <v>0</v>
      </c>
      <c r="G1388" s="211">
        <v>0</v>
      </c>
      <c r="H1388" s="211">
        <v>0</v>
      </c>
      <c r="I1388" s="211">
        <v>0</v>
      </c>
      <c r="J1388" s="211">
        <v>0</v>
      </c>
      <c r="K1388" s="211">
        <v>0</v>
      </c>
      <c r="L1388" s="212">
        <v>0</v>
      </c>
      <c r="M1388" s="211">
        <v>0</v>
      </c>
      <c r="N1388" s="211">
        <v>584.1</v>
      </c>
      <c r="O1388" s="211">
        <f>'часть 1'!L1420</f>
        <v>1854480</v>
      </c>
      <c r="P1388" s="213">
        <v>0</v>
      </c>
      <c r="Q1388" s="211">
        <v>0</v>
      </c>
      <c r="R1388" s="213">
        <v>0</v>
      </c>
      <c r="S1388" s="211">
        <v>0</v>
      </c>
      <c r="T1388" s="212">
        <v>0</v>
      </c>
      <c r="U1388" s="290">
        <v>0</v>
      </c>
      <c r="V1388" s="282"/>
      <c r="W1388" s="282">
        <f t="shared" si="239"/>
        <v>3174.9357986646123</v>
      </c>
      <c r="X1388" s="282"/>
    </row>
    <row r="1389" spans="1:24" ht="15.75">
      <c r="A1389" s="198">
        <v>303</v>
      </c>
      <c r="B1389" s="567" t="s">
        <v>1018</v>
      </c>
      <c r="C1389" s="211">
        <f>'часть 1'!L1421</f>
        <v>2161845</v>
      </c>
      <c r="D1389" s="211">
        <v>0</v>
      </c>
      <c r="E1389" s="211">
        <v>0</v>
      </c>
      <c r="F1389" s="211">
        <v>0</v>
      </c>
      <c r="G1389" s="211">
        <v>0</v>
      </c>
      <c r="H1389" s="211">
        <v>0</v>
      </c>
      <c r="I1389" s="211">
        <v>0</v>
      </c>
      <c r="J1389" s="211">
        <v>0</v>
      </c>
      <c r="K1389" s="211">
        <v>0</v>
      </c>
      <c r="L1389" s="212">
        <v>0</v>
      </c>
      <c r="M1389" s="211">
        <v>0</v>
      </c>
      <c r="N1389" s="211">
        <v>872.5</v>
      </c>
      <c r="O1389" s="211">
        <f>'часть 1'!L1421</f>
        <v>2161845</v>
      </c>
      <c r="P1389" s="213">
        <v>0</v>
      </c>
      <c r="Q1389" s="211">
        <v>0</v>
      </c>
      <c r="R1389" s="213">
        <v>0</v>
      </c>
      <c r="S1389" s="211">
        <v>0</v>
      </c>
      <c r="T1389" s="212">
        <v>0</v>
      </c>
      <c r="U1389" s="290">
        <v>0</v>
      </c>
      <c r="V1389" s="282"/>
      <c r="W1389" s="282">
        <f t="shared" si="239"/>
        <v>2477.7593123209167</v>
      </c>
      <c r="X1389" s="282"/>
    </row>
    <row r="1390" spans="1:24" ht="15.75">
      <c r="A1390" s="198">
        <v>304</v>
      </c>
      <c r="B1390" s="947" t="s">
        <v>1019</v>
      </c>
      <c r="C1390" s="211">
        <f>'часть 1'!L1422</f>
        <v>2157015</v>
      </c>
      <c r="D1390" s="211">
        <v>0</v>
      </c>
      <c r="E1390" s="211">
        <v>0</v>
      </c>
      <c r="F1390" s="211">
        <v>0</v>
      </c>
      <c r="G1390" s="211">
        <v>0</v>
      </c>
      <c r="H1390" s="211">
        <v>0</v>
      </c>
      <c r="I1390" s="211">
        <v>0</v>
      </c>
      <c r="J1390" s="211">
        <v>0</v>
      </c>
      <c r="K1390" s="211">
        <v>0</v>
      </c>
      <c r="L1390" s="212">
        <v>0</v>
      </c>
      <c r="M1390" s="211">
        <v>0</v>
      </c>
      <c r="N1390" s="211">
        <v>870.5</v>
      </c>
      <c r="O1390" s="211">
        <f>'часть 1'!L1422</f>
        <v>2157015</v>
      </c>
      <c r="P1390" s="213">
        <v>0</v>
      </c>
      <c r="Q1390" s="211">
        <v>0</v>
      </c>
      <c r="R1390" s="213">
        <v>0</v>
      </c>
      <c r="S1390" s="211">
        <v>0</v>
      </c>
      <c r="T1390" s="212">
        <v>0</v>
      </c>
      <c r="U1390" s="290">
        <v>0</v>
      </c>
      <c r="V1390" s="282"/>
      <c r="W1390" s="282">
        <f t="shared" si="239"/>
        <v>2477.9035037334866</v>
      </c>
      <c r="X1390" s="282"/>
    </row>
    <row r="1391" spans="1:24" ht="30">
      <c r="A1391" s="470"/>
      <c r="B1391" s="480" t="s">
        <v>882</v>
      </c>
      <c r="C1391" s="479">
        <f>C1392+C1393</f>
        <v>1917878</v>
      </c>
      <c r="D1391" s="479">
        <f t="shared" ref="D1391:U1391" si="240">D1392+D1393</f>
        <v>292645</v>
      </c>
      <c r="E1391" s="479">
        <f t="shared" si="240"/>
        <v>292645</v>
      </c>
      <c r="F1391" s="479">
        <f t="shared" si="240"/>
        <v>0</v>
      </c>
      <c r="G1391" s="479">
        <f t="shared" si="240"/>
        <v>0</v>
      </c>
      <c r="H1391" s="479">
        <f t="shared" si="240"/>
        <v>0</v>
      </c>
      <c r="I1391" s="479">
        <f t="shared" si="240"/>
        <v>0</v>
      </c>
      <c r="J1391" s="479">
        <f t="shared" si="240"/>
        <v>0</v>
      </c>
      <c r="K1391" s="479">
        <f t="shared" si="240"/>
        <v>0</v>
      </c>
      <c r="L1391" s="479">
        <f t="shared" si="240"/>
        <v>0</v>
      </c>
      <c r="M1391" s="479">
        <f t="shared" si="240"/>
        <v>0</v>
      </c>
      <c r="N1391" s="479">
        <f t="shared" si="240"/>
        <v>508.8</v>
      </c>
      <c r="O1391" s="479">
        <f t="shared" si="240"/>
        <v>1625233</v>
      </c>
      <c r="P1391" s="479">
        <f t="shared" si="240"/>
        <v>0</v>
      </c>
      <c r="Q1391" s="479">
        <f t="shared" si="240"/>
        <v>0</v>
      </c>
      <c r="R1391" s="479">
        <f t="shared" si="240"/>
        <v>0</v>
      </c>
      <c r="S1391" s="479">
        <f t="shared" si="240"/>
        <v>0</v>
      </c>
      <c r="T1391" s="479">
        <f t="shared" si="240"/>
        <v>0</v>
      </c>
      <c r="U1391" s="479">
        <f t="shared" si="240"/>
        <v>0</v>
      </c>
      <c r="V1391" s="282"/>
      <c r="W1391" s="282"/>
      <c r="X1391" s="282"/>
    </row>
    <row r="1392" spans="1:24" ht="30">
      <c r="A1392" s="470"/>
      <c r="B1392" s="480" t="s">
        <v>886</v>
      </c>
      <c r="C1392" s="479">
        <f>'часть 1'!L1424</f>
        <v>1625233</v>
      </c>
      <c r="D1392" s="479">
        <f>E1392+F1392+G1392+H1392+I1392+J1392+K1392</f>
        <v>0</v>
      </c>
      <c r="E1392" s="479">
        <v>0</v>
      </c>
      <c r="F1392" s="479">
        <v>0</v>
      </c>
      <c r="G1392" s="479">
        <v>0</v>
      </c>
      <c r="H1392" s="479">
        <v>0</v>
      </c>
      <c r="I1392" s="479">
        <v>0</v>
      </c>
      <c r="J1392" s="479">
        <v>0</v>
      </c>
      <c r="K1392" s="479">
        <v>0</v>
      </c>
      <c r="L1392" s="515">
        <v>0</v>
      </c>
      <c r="M1392" s="479">
        <v>0</v>
      </c>
      <c r="N1392" s="479">
        <v>508.8</v>
      </c>
      <c r="O1392" s="479">
        <v>1625233</v>
      </c>
      <c r="P1392" s="516">
        <v>0</v>
      </c>
      <c r="Q1392" s="479">
        <v>0</v>
      </c>
      <c r="R1392" s="479">
        <v>0</v>
      </c>
      <c r="S1392" s="479">
        <v>0</v>
      </c>
      <c r="T1392" s="515">
        <v>0</v>
      </c>
      <c r="U1392" s="517">
        <v>0</v>
      </c>
      <c r="V1392" s="282"/>
      <c r="W1392" s="282">
        <f>O1392/N1392</f>
        <v>3194.2472484276727</v>
      </c>
      <c r="X1392" s="282"/>
    </row>
    <row r="1393" spans="1:28" ht="22.9" customHeight="1">
      <c r="A1393" s="470"/>
      <c r="B1393" s="480" t="s">
        <v>884</v>
      </c>
      <c r="C1393" s="479">
        <f>'часть 1'!L1425</f>
        <v>292645</v>
      </c>
      <c r="D1393" s="479">
        <f>E1393+F1393+G1393+H1393+I1393+J1393+K1393</f>
        <v>292645</v>
      </c>
      <c r="E1393" s="479">
        <v>292645</v>
      </c>
      <c r="F1393" s="479">
        <v>0</v>
      </c>
      <c r="G1393" s="479">
        <v>0</v>
      </c>
      <c r="H1393" s="479">
        <v>0</v>
      </c>
      <c r="I1393" s="479">
        <v>0</v>
      </c>
      <c r="J1393" s="479">
        <v>0</v>
      </c>
      <c r="K1393" s="479">
        <v>0</v>
      </c>
      <c r="L1393" s="515">
        <v>0</v>
      </c>
      <c r="M1393" s="479">
        <v>0</v>
      </c>
      <c r="N1393" s="479">
        <v>0</v>
      </c>
      <c r="O1393" s="479">
        <v>0</v>
      </c>
      <c r="P1393" s="516">
        <v>0</v>
      </c>
      <c r="Q1393" s="479">
        <v>0</v>
      </c>
      <c r="R1393" s="479">
        <v>0</v>
      </c>
      <c r="S1393" s="479">
        <v>0</v>
      </c>
      <c r="T1393" s="515">
        <v>0</v>
      </c>
      <c r="U1393" s="517">
        <v>0</v>
      </c>
      <c r="V1393" s="282"/>
      <c r="W1393" s="282"/>
      <c r="X1393" s="282"/>
      <c r="Y1393" s="1">
        <f>E1393/'часть 1'!I1425</f>
        <v>566.59244917715387</v>
      </c>
    </row>
    <row r="1394" spans="1:28" s="17" customFormat="1">
      <c r="A1394" s="198"/>
      <c r="B1394" s="216" t="s">
        <v>52</v>
      </c>
      <c r="C1394" s="211">
        <v>3908951</v>
      </c>
      <c r="D1394" s="211"/>
      <c r="E1394" s="211"/>
      <c r="F1394" s="211"/>
      <c r="G1394" s="211"/>
      <c r="H1394" s="211"/>
      <c r="I1394" s="211"/>
      <c r="J1394" s="211"/>
      <c r="K1394" s="211">
        <v>201010</v>
      </c>
      <c r="L1394" s="212">
        <v>0</v>
      </c>
      <c r="M1394" s="211">
        <v>0</v>
      </c>
      <c r="N1394" s="211">
        <v>1869.42</v>
      </c>
      <c r="O1394" s="211">
        <v>3707941</v>
      </c>
      <c r="P1394" s="213">
        <v>0</v>
      </c>
      <c r="Q1394" s="211">
        <v>0</v>
      </c>
      <c r="R1394" s="213">
        <v>0</v>
      </c>
      <c r="S1394" s="211">
        <v>0</v>
      </c>
      <c r="T1394" s="212">
        <v>0</v>
      </c>
      <c r="U1394" s="290">
        <v>0</v>
      </c>
      <c r="V1394" s="282"/>
      <c r="W1394" s="282"/>
      <c r="X1394" s="282"/>
    </row>
    <row r="1395" spans="1:28" s="18" customFormat="1" ht="30">
      <c r="A1395" s="470"/>
      <c r="B1395" s="480" t="s">
        <v>130</v>
      </c>
      <c r="C1395" s="479">
        <f>C1396</f>
        <v>2385226</v>
      </c>
      <c r="D1395" s="479">
        <f t="shared" ref="D1395:V1395" si="241">D1396</f>
        <v>0</v>
      </c>
      <c r="E1395" s="479">
        <f t="shared" si="241"/>
        <v>0</v>
      </c>
      <c r="F1395" s="479">
        <f t="shared" si="241"/>
        <v>0</v>
      </c>
      <c r="G1395" s="479">
        <f t="shared" si="241"/>
        <v>0</v>
      </c>
      <c r="H1395" s="479">
        <f t="shared" si="241"/>
        <v>0</v>
      </c>
      <c r="I1395" s="479">
        <f t="shared" si="241"/>
        <v>0</v>
      </c>
      <c r="J1395" s="479">
        <f t="shared" si="241"/>
        <v>0</v>
      </c>
      <c r="K1395" s="479">
        <f t="shared" si="241"/>
        <v>0</v>
      </c>
      <c r="L1395" s="479">
        <f t="shared" si="241"/>
        <v>0</v>
      </c>
      <c r="M1395" s="479">
        <f t="shared" si="241"/>
        <v>0</v>
      </c>
      <c r="N1395" s="479">
        <f t="shared" si="241"/>
        <v>751</v>
      </c>
      <c r="O1395" s="479">
        <f t="shared" si="241"/>
        <v>2385226</v>
      </c>
      <c r="P1395" s="479">
        <f t="shared" si="241"/>
        <v>0</v>
      </c>
      <c r="Q1395" s="479">
        <f t="shared" si="241"/>
        <v>0</v>
      </c>
      <c r="R1395" s="479">
        <f t="shared" si="241"/>
        <v>0</v>
      </c>
      <c r="S1395" s="479">
        <f t="shared" si="241"/>
        <v>0</v>
      </c>
      <c r="T1395" s="479">
        <f t="shared" si="241"/>
        <v>0</v>
      </c>
      <c r="U1395" s="479">
        <f t="shared" si="241"/>
        <v>0</v>
      </c>
      <c r="V1395" s="211">
        <f t="shared" si="241"/>
        <v>0</v>
      </c>
      <c r="W1395" s="282"/>
      <c r="X1395" s="282"/>
    </row>
    <row r="1396" spans="1:28" s="17" customFormat="1">
      <c r="A1396" s="470">
        <v>312</v>
      </c>
      <c r="B1396" s="480" t="s">
        <v>674</v>
      </c>
      <c r="C1396" s="479">
        <v>2385226</v>
      </c>
      <c r="D1396" s="479">
        <v>0</v>
      </c>
      <c r="E1396" s="479">
        <v>0</v>
      </c>
      <c r="F1396" s="479">
        <v>0</v>
      </c>
      <c r="G1396" s="479">
        <v>0</v>
      </c>
      <c r="H1396" s="479">
        <v>0</v>
      </c>
      <c r="I1396" s="479">
        <v>0</v>
      </c>
      <c r="J1396" s="479">
        <v>0</v>
      </c>
      <c r="K1396" s="479">
        <v>0</v>
      </c>
      <c r="L1396" s="516">
        <v>0</v>
      </c>
      <c r="M1396" s="479">
        <v>0</v>
      </c>
      <c r="N1396" s="472">
        <v>751</v>
      </c>
      <c r="O1396" s="479">
        <v>2385226</v>
      </c>
      <c r="P1396" s="516">
        <v>0</v>
      </c>
      <c r="Q1396" s="479">
        <v>0</v>
      </c>
      <c r="R1396" s="516">
        <v>0</v>
      </c>
      <c r="S1396" s="479">
        <v>0</v>
      </c>
      <c r="T1396" s="516">
        <v>0</v>
      </c>
      <c r="U1396" s="517">
        <v>0</v>
      </c>
      <c r="V1396" s="282"/>
      <c r="W1396" s="282">
        <f>O1396/N1396</f>
        <v>3176.0665778961384</v>
      </c>
      <c r="X1396" s="282"/>
    </row>
    <row r="1397" spans="1:28" s="17" customFormat="1">
      <c r="A1397" s="470"/>
      <c r="B1397" s="480"/>
      <c r="C1397" s="479"/>
      <c r="D1397" s="479"/>
      <c r="E1397" s="479"/>
      <c r="F1397" s="479"/>
      <c r="G1397" s="479"/>
      <c r="H1397" s="479"/>
      <c r="I1397" s="479"/>
      <c r="J1397" s="479"/>
      <c r="K1397" s="479"/>
      <c r="L1397" s="516"/>
      <c r="M1397" s="479"/>
      <c r="N1397" s="472"/>
      <c r="O1397" s="479"/>
      <c r="P1397" s="516"/>
      <c r="Q1397" s="479"/>
      <c r="R1397" s="516"/>
      <c r="S1397" s="479"/>
      <c r="T1397" s="516"/>
      <c r="U1397" s="517"/>
      <c r="V1397" s="282"/>
      <c r="W1397" s="282"/>
      <c r="X1397" s="282"/>
    </row>
    <row r="1398" spans="1:28" ht="30">
      <c r="A1398" s="198"/>
      <c r="B1398" s="214" t="s">
        <v>109</v>
      </c>
      <c r="C1398" s="211">
        <v>201010</v>
      </c>
      <c r="D1398" s="211"/>
      <c r="E1398" s="211"/>
      <c r="F1398" s="211"/>
      <c r="G1398" s="211"/>
      <c r="H1398" s="211"/>
      <c r="I1398" s="211"/>
      <c r="J1398" s="211"/>
      <c r="K1398" s="211">
        <v>201010</v>
      </c>
      <c r="L1398" s="212">
        <v>0</v>
      </c>
      <c r="M1398" s="211">
        <v>0</v>
      </c>
      <c r="N1398" s="211">
        <v>0</v>
      </c>
      <c r="O1398" s="211">
        <v>0</v>
      </c>
      <c r="P1398" s="213">
        <v>0</v>
      </c>
      <c r="Q1398" s="211">
        <v>0</v>
      </c>
      <c r="R1398" s="213">
        <v>0</v>
      </c>
      <c r="S1398" s="211">
        <v>0</v>
      </c>
      <c r="T1398" s="212">
        <v>0</v>
      </c>
      <c r="U1398" s="290">
        <v>0</v>
      </c>
      <c r="V1398" s="282"/>
      <c r="W1398" s="282"/>
      <c r="X1398" s="282"/>
    </row>
    <row r="1399" spans="1:28">
      <c r="A1399" s="198">
        <v>314</v>
      </c>
      <c r="B1399" s="216" t="s">
        <v>414</v>
      </c>
      <c r="C1399" s="211">
        <v>201010</v>
      </c>
      <c r="D1399" s="211"/>
      <c r="E1399" s="211"/>
      <c r="F1399" s="211"/>
      <c r="G1399" s="211"/>
      <c r="H1399" s="211"/>
      <c r="I1399" s="211"/>
      <c r="J1399" s="211"/>
      <c r="K1399" s="211">
        <v>201010</v>
      </c>
      <c r="L1399" s="212">
        <v>0</v>
      </c>
      <c r="M1399" s="211">
        <v>0</v>
      </c>
      <c r="N1399" s="211">
        <v>0</v>
      </c>
      <c r="O1399" s="211">
        <v>0</v>
      </c>
      <c r="P1399" s="213">
        <v>0</v>
      </c>
      <c r="Q1399" s="211">
        <v>0</v>
      </c>
      <c r="R1399" s="213">
        <v>0</v>
      </c>
      <c r="S1399" s="211">
        <v>0</v>
      </c>
      <c r="T1399" s="212">
        <v>0</v>
      </c>
      <c r="U1399" s="290">
        <v>0</v>
      </c>
      <c r="V1399" s="282"/>
      <c r="W1399" s="282"/>
      <c r="X1399" s="282"/>
    </row>
    <row r="1400" spans="1:28" ht="30">
      <c r="A1400" s="198"/>
      <c r="B1400" s="214" t="s">
        <v>198</v>
      </c>
      <c r="C1400" s="211">
        <v>1091336</v>
      </c>
      <c r="D1400" s="211"/>
      <c r="E1400" s="211"/>
      <c r="F1400" s="211"/>
      <c r="G1400" s="211"/>
      <c r="H1400" s="211"/>
      <c r="I1400" s="211"/>
      <c r="J1400" s="211"/>
      <c r="K1400" s="211">
        <v>0</v>
      </c>
      <c r="L1400" s="212">
        <v>0</v>
      </c>
      <c r="M1400" s="211">
        <v>0</v>
      </c>
      <c r="N1400" s="211">
        <v>554.41999999999996</v>
      </c>
      <c r="O1400" s="211">
        <v>1091336</v>
      </c>
      <c r="P1400" s="213">
        <v>0</v>
      </c>
      <c r="Q1400" s="211">
        <v>0</v>
      </c>
      <c r="R1400" s="213">
        <v>0</v>
      </c>
      <c r="S1400" s="211">
        <v>0</v>
      </c>
      <c r="T1400" s="212">
        <v>0</v>
      </c>
      <c r="U1400" s="290">
        <v>0</v>
      </c>
      <c r="V1400" s="282"/>
      <c r="W1400" s="282"/>
      <c r="X1400" s="282"/>
    </row>
    <row r="1401" spans="1:28" ht="30">
      <c r="A1401" s="198">
        <v>315</v>
      </c>
      <c r="B1401" s="214" t="s">
        <v>444</v>
      </c>
      <c r="C1401" s="211">
        <v>1091336</v>
      </c>
      <c r="D1401" s="211"/>
      <c r="E1401" s="211"/>
      <c r="F1401" s="211"/>
      <c r="G1401" s="211"/>
      <c r="H1401" s="211"/>
      <c r="I1401" s="211"/>
      <c r="J1401" s="211"/>
      <c r="K1401" s="211">
        <v>0</v>
      </c>
      <c r="L1401" s="212">
        <v>0</v>
      </c>
      <c r="M1401" s="211">
        <v>0</v>
      </c>
      <c r="N1401" s="211">
        <v>554.41999999999996</v>
      </c>
      <c r="O1401" s="211">
        <v>1091336</v>
      </c>
      <c r="P1401" s="213">
        <v>0</v>
      </c>
      <c r="Q1401" s="211">
        <v>0</v>
      </c>
      <c r="R1401" s="213">
        <v>0</v>
      </c>
      <c r="S1401" s="211">
        <v>0</v>
      </c>
      <c r="T1401" s="212">
        <v>0</v>
      </c>
      <c r="U1401" s="290">
        <v>0</v>
      </c>
      <c r="V1401" s="282"/>
      <c r="W1401" s="282"/>
      <c r="X1401" s="282"/>
    </row>
    <row r="1402" spans="1:28" s="17" customFormat="1">
      <c r="A1402" s="198"/>
      <c r="B1402" s="216" t="s">
        <v>53</v>
      </c>
      <c r="C1402" s="211">
        <v>51240898.530000001</v>
      </c>
      <c r="D1402" s="211"/>
      <c r="E1402" s="211"/>
      <c r="F1402" s="211"/>
      <c r="G1402" s="211"/>
      <c r="H1402" s="211"/>
      <c r="I1402" s="211"/>
      <c r="J1402" s="211"/>
      <c r="K1402" s="211">
        <v>1666943.13</v>
      </c>
      <c r="L1402" s="212">
        <v>16</v>
      </c>
      <c r="M1402" s="211">
        <f>M1403+M1418+M1420+M1423+M1430+M1431+M1433</f>
        <v>0</v>
      </c>
      <c r="N1402" s="211">
        <f>N1403+N1418+N1420+N1423+N1430+N1431+N1433</f>
        <v>17736.52</v>
      </c>
      <c r="O1402" s="211">
        <f>O1403+O1418+O1420+O1423+O1430+O1431+O1433</f>
        <v>45386855.920000002</v>
      </c>
      <c r="P1402" s="213">
        <v>0</v>
      </c>
      <c r="Q1402" s="211">
        <v>0</v>
      </c>
      <c r="R1402" s="211">
        <v>3776.66</v>
      </c>
      <c r="S1402" s="211">
        <v>2073719.84</v>
      </c>
      <c r="T1402" s="213">
        <v>0</v>
      </c>
      <c r="U1402" s="290">
        <v>0</v>
      </c>
      <c r="V1402" s="282"/>
      <c r="W1402" s="282"/>
      <c r="X1402" s="282"/>
    </row>
    <row r="1403" spans="1:28" ht="30">
      <c r="A1403" s="470"/>
      <c r="B1403" s="480" t="s">
        <v>88</v>
      </c>
      <c r="C1403" s="479">
        <f>C1404+C1405+C1406+C1407+C1408+C1409++C1410+C1411+C1412+C1413+C1414</f>
        <v>29036828</v>
      </c>
      <c r="D1403" s="479">
        <f t="shared" ref="D1403:V1403" si="242">D1404+D1405+D1406+D1407+D1408+D1409++D1410+D1411+D1412+D1413+D1414</f>
        <v>0</v>
      </c>
      <c r="E1403" s="479">
        <f t="shared" si="242"/>
        <v>0</v>
      </c>
      <c r="F1403" s="479">
        <f t="shared" si="242"/>
        <v>0</v>
      </c>
      <c r="G1403" s="479">
        <f t="shared" si="242"/>
        <v>0</v>
      </c>
      <c r="H1403" s="479">
        <f t="shared" si="242"/>
        <v>0</v>
      </c>
      <c r="I1403" s="479">
        <f t="shared" si="242"/>
        <v>0</v>
      </c>
      <c r="J1403" s="479">
        <f t="shared" si="242"/>
        <v>0</v>
      </c>
      <c r="K1403" s="479">
        <f t="shared" si="242"/>
        <v>0</v>
      </c>
      <c r="L1403" s="479">
        <f t="shared" si="242"/>
        <v>0</v>
      </c>
      <c r="M1403" s="479">
        <f t="shared" si="242"/>
        <v>0</v>
      </c>
      <c r="N1403" s="479">
        <f t="shared" si="242"/>
        <v>11589.4</v>
      </c>
      <c r="O1403" s="479">
        <f t="shared" si="242"/>
        <v>29036828</v>
      </c>
      <c r="P1403" s="479">
        <f t="shared" si="242"/>
        <v>0</v>
      </c>
      <c r="Q1403" s="479">
        <f t="shared" si="242"/>
        <v>0</v>
      </c>
      <c r="R1403" s="479">
        <f t="shared" si="242"/>
        <v>0</v>
      </c>
      <c r="S1403" s="479">
        <f t="shared" si="242"/>
        <v>0</v>
      </c>
      <c r="T1403" s="479">
        <f t="shared" si="242"/>
        <v>0</v>
      </c>
      <c r="U1403" s="479">
        <f t="shared" si="242"/>
        <v>0</v>
      </c>
      <c r="V1403" s="211">
        <f t="shared" si="242"/>
        <v>0</v>
      </c>
      <c r="W1403" s="282"/>
      <c r="X1403" s="282"/>
      <c r="Y1403" s="10"/>
      <c r="Z1403" s="10"/>
      <c r="AA1403" s="10"/>
      <c r="AB1403" s="10"/>
    </row>
    <row r="1404" spans="1:28" s="19" customFormat="1" ht="15.75">
      <c r="A1404" s="470">
        <v>316</v>
      </c>
      <c r="B1404" s="844" t="s">
        <v>756</v>
      </c>
      <c r="C1404" s="479">
        <f>'часть 1'!L1436</f>
        <v>3116315</v>
      </c>
      <c r="D1404" s="479">
        <v>0</v>
      </c>
      <c r="E1404" s="479">
        <v>0</v>
      </c>
      <c r="F1404" s="479">
        <v>0</v>
      </c>
      <c r="G1404" s="479">
        <v>0</v>
      </c>
      <c r="H1404" s="479">
        <v>0</v>
      </c>
      <c r="I1404" s="479">
        <v>0</v>
      </c>
      <c r="J1404" s="479">
        <v>0</v>
      </c>
      <c r="K1404" s="479">
        <v>0</v>
      </c>
      <c r="L1404" s="515">
        <v>0</v>
      </c>
      <c r="M1404" s="479">
        <v>0</v>
      </c>
      <c r="N1404" s="479">
        <v>1246.5999999999999</v>
      </c>
      <c r="O1404" s="479">
        <f>C1404</f>
        <v>3116315</v>
      </c>
      <c r="P1404" s="516">
        <v>0</v>
      </c>
      <c r="Q1404" s="479">
        <v>0</v>
      </c>
      <c r="R1404" s="516">
        <v>0</v>
      </c>
      <c r="S1404" s="479">
        <v>0</v>
      </c>
      <c r="T1404" s="515">
        <v>0</v>
      </c>
      <c r="U1404" s="517">
        <v>0</v>
      </c>
      <c r="V1404" s="282"/>
      <c r="W1404" s="282">
        <f>O1404/N1404</f>
        <v>2499.8515963420505</v>
      </c>
      <c r="X1404" s="282"/>
      <c r="Y1404" s="27"/>
      <c r="Z1404" s="27"/>
      <c r="AA1404" s="27"/>
      <c r="AB1404" s="27"/>
    </row>
    <row r="1405" spans="1:28" s="19" customFormat="1" ht="15.75">
      <c r="A1405" s="470">
        <v>317</v>
      </c>
      <c r="B1405" s="844" t="s">
        <v>754</v>
      </c>
      <c r="C1405" s="479">
        <f>'часть 1'!L1437</f>
        <v>2952420</v>
      </c>
      <c r="D1405" s="479">
        <v>0</v>
      </c>
      <c r="E1405" s="479">
        <v>0</v>
      </c>
      <c r="F1405" s="479">
        <v>0</v>
      </c>
      <c r="G1405" s="479">
        <v>0</v>
      </c>
      <c r="H1405" s="479">
        <v>0</v>
      </c>
      <c r="I1405" s="479">
        <v>0</v>
      </c>
      <c r="J1405" s="479">
        <v>0</v>
      </c>
      <c r="K1405" s="479">
        <v>0</v>
      </c>
      <c r="L1405" s="515">
        <v>0</v>
      </c>
      <c r="M1405" s="479">
        <v>0</v>
      </c>
      <c r="N1405" s="479">
        <v>1180.8</v>
      </c>
      <c r="O1405" s="479">
        <f t="shared" ref="O1405:O1414" si="243">C1405</f>
        <v>2952420</v>
      </c>
      <c r="P1405" s="516">
        <v>0</v>
      </c>
      <c r="Q1405" s="479">
        <v>0</v>
      </c>
      <c r="R1405" s="516">
        <v>0</v>
      </c>
      <c r="S1405" s="479">
        <v>0</v>
      </c>
      <c r="T1405" s="515">
        <v>0</v>
      </c>
      <c r="U1405" s="517">
        <v>0</v>
      </c>
      <c r="V1405" s="282"/>
      <c r="W1405" s="282">
        <f t="shared" ref="W1405:W1414" si="244">O1405/N1405</f>
        <v>2500.3556910569105</v>
      </c>
      <c r="X1405" s="282"/>
      <c r="Y1405" s="27"/>
      <c r="Z1405" s="27"/>
      <c r="AA1405" s="27"/>
      <c r="AB1405" s="27"/>
    </row>
    <row r="1406" spans="1:28" s="19" customFormat="1" ht="15.75">
      <c r="A1406" s="470">
        <v>318</v>
      </c>
      <c r="B1406" s="844" t="s">
        <v>755</v>
      </c>
      <c r="C1406" s="479">
        <f>'часть 1'!L1438</f>
        <v>2857647</v>
      </c>
      <c r="D1406" s="521">
        <v>0</v>
      </c>
      <c r="E1406" s="521">
        <v>0</v>
      </c>
      <c r="F1406" s="521">
        <v>0</v>
      </c>
      <c r="G1406" s="521">
        <v>0</v>
      </c>
      <c r="H1406" s="521">
        <v>0</v>
      </c>
      <c r="I1406" s="521">
        <v>0</v>
      </c>
      <c r="J1406" s="521">
        <v>0</v>
      </c>
      <c r="K1406" s="860">
        <v>0</v>
      </c>
      <c r="L1406" s="515">
        <v>0</v>
      </c>
      <c r="M1406" s="479">
        <v>0</v>
      </c>
      <c r="N1406" s="521">
        <v>1142</v>
      </c>
      <c r="O1406" s="479">
        <f t="shared" si="243"/>
        <v>2857647</v>
      </c>
      <c r="P1406" s="516">
        <v>0</v>
      </c>
      <c r="Q1406" s="479">
        <v>0</v>
      </c>
      <c r="R1406" s="516">
        <v>0</v>
      </c>
      <c r="S1406" s="479">
        <v>0</v>
      </c>
      <c r="T1406" s="515">
        <v>0</v>
      </c>
      <c r="U1406" s="517">
        <v>0</v>
      </c>
      <c r="V1406" s="282"/>
      <c r="W1406" s="282">
        <f t="shared" si="244"/>
        <v>2502.3178633975481</v>
      </c>
      <c r="X1406" s="282"/>
      <c r="Y1406" s="27"/>
      <c r="Z1406" s="27"/>
      <c r="AA1406" s="27"/>
      <c r="AB1406" s="27"/>
    </row>
    <row r="1407" spans="1:28" s="19" customFormat="1" ht="15.75">
      <c r="A1407" s="470">
        <v>319</v>
      </c>
      <c r="B1407" s="844" t="s">
        <v>759</v>
      </c>
      <c r="C1407" s="479">
        <f>'часть 1'!L1439</f>
        <v>1532580</v>
      </c>
      <c r="D1407" s="479">
        <v>0</v>
      </c>
      <c r="E1407" s="479">
        <v>0</v>
      </c>
      <c r="F1407" s="479">
        <v>0</v>
      </c>
      <c r="G1407" s="479">
        <v>0</v>
      </c>
      <c r="H1407" s="479">
        <v>0</v>
      </c>
      <c r="I1407" s="479">
        <v>0</v>
      </c>
      <c r="J1407" s="479">
        <v>0</v>
      </c>
      <c r="K1407" s="479">
        <v>0</v>
      </c>
      <c r="L1407" s="515">
        <v>0</v>
      </c>
      <c r="M1407" s="479">
        <v>0</v>
      </c>
      <c r="N1407" s="479">
        <v>600</v>
      </c>
      <c r="O1407" s="479">
        <f t="shared" si="243"/>
        <v>1532580</v>
      </c>
      <c r="P1407" s="516">
        <v>0</v>
      </c>
      <c r="Q1407" s="479">
        <v>0</v>
      </c>
      <c r="R1407" s="479">
        <v>0</v>
      </c>
      <c r="S1407" s="479">
        <v>0</v>
      </c>
      <c r="T1407" s="515">
        <v>0</v>
      </c>
      <c r="U1407" s="517">
        <v>0</v>
      </c>
      <c r="V1407" s="282"/>
      <c r="W1407" s="282">
        <f t="shared" si="244"/>
        <v>2554.3000000000002</v>
      </c>
      <c r="X1407" s="282"/>
      <c r="Y1407" s="27"/>
      <c r="Z1407" s="27"/>
      <c r="AA1407" s="27"/>
      <c r="AB1407" s="27"/>
    </row>
    <row r="1408" spans="1:28" s="19" customFormat="1" ht="15.75">
      <c r="A1408" s="470">
        <v>320</v>
      </c>
      <c r="B1408" s="844" t="s">
        <v>760</v>
      </c>
      <c r="C1408" s="479">
        <f>'часть 1'!L1440</f>
        <v>2654053</v>
      </c>
      <c r="D1408" s="521">
        <v>0</v>
      </c>
      <c r="E1408" s="521">
        <v>0</v>
      </c>
      <c r="F1408" s="521">
        <v>0</v>
      </c>
      <c r="G1408" s="521">
        <v>0</v>
      </c>
      <c r="H1408" s="521">
        <v>0</v>
      </c>
      <c r="I1408" s="521">
        <v>0</v>
      </c>
      <c r="J1408" s="521">
        <v>0</v>
      </c>
      <c r="K1408" s="518">
        <v>0</v>
      </c>
      <c r="L1408" s="476">
        <v>0</v>
      </c>
      <c r="M1408" s="521">
        <v>0</v>
      </c>
      <c r="N1408" s="479">
        <v>1060</v>
      </c>
      <c r="O1408" s="479">
        <f t="shared" si="243"/>
        <v>2654053</v>
      </c>
      <c r="P1408" s="516">
        <v>0</v>
      </c>
      <c r="Q1408" s="479">
        <v>0</v>
      </c>
      <c r="R1408" s="516">
        <v>0</v>
      </c>
      <c r="S1408" s="479">
        <v>0</v>
      </c>
      <c r="T1408" s="515">
        <v>0</v>
      </c>
      <c r="U1408" s="517">
        <v>0</v>
      </c>
      <c r="V1408" s="282"/>
      <c r="W1408" s="282">
        <f t="shared" si="244"/>
        <v>2503.8235849056605</v>
      </c>
      <c r="X1408" s="282"/>
      <c r="Y1408" s="6"/>
      <c r="Z1408" s="6"/>
      <c r="AA1408" s="26"/>
      <c r="AB1408" s="26"/>
    </row>
    <row r="1409" spans="1:28" s="19" customFormat="1" ht="15.75">
      <c r="A1409" s="470">
        <v>321</v>
      </c>
      <c r="B1409" s="844" t="s">
        <v>761</v>
      </c>
      <c r="C1409" s="479">
        <f>'часть 1'!L1441</f>
        <v>2653957</v>
      </c>
      <c r="D1409" s="521">
        <v>0</v>
      </c>
      <c r="E1409" s="521">
        <v>0</v>
      </c>
      <c r="F1409" s="521">
        <v>0</v>
      </c>
      <c r="G1409" s="521">
        <v>0</v>
      </c>
      <c r="H1409" s="521">
        <v>0</v>
      </c>
      <c r="I1409" s="521">
        <v>0</v>
      </c>
      <c r="J1409" s="521">
        <v>0</v>
      </c>
      <c r="K1409" s="518">
        <v>0</v>
      </c>
      <c r="L1409" s="476">
        <v>0</v>
      </c>
      <c r="M1409" s="518">
        <v>0</v>
      </c>
      <c r="N1409" s="479">
        <v>1060</v>
      </c>
      <c r="O1409" s="479">
        <f t="shared" si="243"/>
        <v>2653957</v>
      </c>
      <c r="P1409" s="516">
        <v>0</v>
      </c>
      <c r="Q1409" s="479">
        <v>0</v>
      </c>
      <c r="R1409" s="516">
        <v>0</v>
      </c>
      <c r="S1409" s="479">
        <v>0</v>
      </c>
      <c r="T1409" s="515">
        <v>0</v>
      </c>
      <c r="U1409" s="517">
        <v>0</v>
      </c>
      <c r="V1409" s="282"/>
      <c r="W1409" s="282">
        <f t="shared" si="244"/>
        <v>2503.7330188679243</v>
      </c>
      <c r="X1409" s="282"/>
      <c r="Y1409" s="6"/>
      <c r="Z1409" s="6"/>
      <c r="AA1409" s="26"/>
      <c r="AB1409" s="26"/>
    </row>
    <row r="1410" spans="1:28" s="19" customFormat="1" ht="15.75">
      <c r="A1410" s="470">
        <v>322</v>
      </c>
      <c r="B1410" s="844" t="s">
        <v>762</v>
      </c>
      <c r="C1410" s="479">
        <f>'часть 1'!L1442</f>
        <v>2653904</v>
      </c>
      <c r="D1410" s="521">
        <v>0</v>
      </c>
      <c r="E1410" s="521">
        <v>0</v>
      </c>
      <c r="F1410" s="521">
        <v>0</v>
      </c>
      <c r="G1410" s="521">
        <v>0</v>
      </c>
      <c r="H1410" s="521">
        <v>0</v>
      </c>
      <c r="I1410" s="521">
        <v>0</v>
      </c>
      <c r="J1410" s="521">
        <v>0</v>
      </c>
      <c r="K1410" s="518">
        <v>0</v>
      </c>
      <c r="L1410" s="476">
        <v>0</v>
      </c>
      <c r="M1410" s="521">
        <v>0</v>
      </c>
      <c r="N1410" s="479">
        <v>1060</v>
      </c>
      <c r="O1410" s="479">
        <f t="shared" si="243"/>
        <v>2653904</v>
      </c>
      <c r="P1410" s="516">
        <v>0</v>
      </c>
      <c r="Q1410" s="479">
        <v>0</v>
      </c>
      <c r="R1410" s="516">
        <v>0</v>
      </c>
      <c r="S1410" s="479">
        <v>0</v>
      </c>
      <c r="T1410" s="515">
        <v>0</v>
      </c>
      <c r="U1410" s="517">
        <v>0</v>
      </c>
      <c r="V1410" s="282"/>
      <c r="W1410" s="282">
        <f t="shared" si="244"/>
        <v>2503.6830188679246</v>
      </c>
      <c r="X1410" s="282"/>
      <c r="Y1410" s="6"/>
      <c r="Z1410" s="6"/>
      <c r="AA1410" s="26"/>
      <c r="AB1410" s="26"/>
    </row>
    <row r="1411" spans="1:28" s="19" customFormat="1" ht="15.75">
      <c r="A1411" s="470">
        <v>323</v>
      </c>
      <c r="B1411" s="844" t="s">
        <v>763</v>
      </c>
      <c r="C1411" s="479">
        <f>'часть 1'!L1443</f>
        <v>2653979</v>
      </c>
      <c r="D1411" s="479">
        <v>0</v>
      </c>
      <c r="E1411" s="479">
        <v>0</v>
      </c>
      <c r="F1411" s="479">
        <v>0</v>
      </c>
      <c r="G1411" s="479">
        <v>0</v>
      </c>
      <c r="H1411" s="479">
        <v>0</v>
      </c>
      <c r="I1411" s="479">
        <v>0</v>
      </c>
      <c r="J1411" s="479">
        <v>0</v>
      </c>
      <c r="K1411" s="479">
        <v>0</v>
      </c>
      <c r="L1411" s="515">
        <v>0</v>
      </c>
      <c r="M1411" s="479">
        <v>0</v>
      </c>
      <c r="N1411" s="479">
        <v>1060</v>
      </c>
      <c r="O1411" s="479">
        <f t="shared" si="243"/>
        <v>2653979</v>
      </c>
      <c r="P1411" s="516">
        <v>0</v>
      </c>
      <c r="Q1411" s="479">
        <v>0</v>
      </c>
      <c r="R1411" s="479">
        <v>0</v>
      </c>
      <c r="S1411" s="479">
        <v>0</v>
      </c>
      <c r="T1411" s="515">
        <v>0</v>
      </c>
      <c r="U1411" s="517">
        <v>0</v>
      </c>
      <c r="V1411" s="282"/>
      <c r="W1411" s="282">
        <f t="shared" si="244"/>
        <v>2503.7537735849055</v>
      </c>
      <c r="X1411" s="282"/>
      <c r="Y1411" s="27"/>
      <c r="Z1411" s="27"/>
      <c r="AA1411" s="27"/>
      <c r="AB1411" s="27"/>
    </row>
    <row r="1412" spans="1:28" s="19" customFormat="1" ht="15.75">
      <c r="A1412" s="470">
        <v>324</v>
      </c>
      <c r="B1412" s="844" t="s">
        <v>764</v>
      </c>
      <c r="C1412" s="479">
        <f>'часть 1'!L1444</f>
        <v>2654063</v>
      </c>
      <c r="D1412" s="521">
        <v>0</v>
      </c>
      <c r="E1412" s="521">
        <v>0</v>
      </c>
      <c r="F1412" s="521">
        <v>0</v>
      </c>
      <c r="G1412" s="521">
        <v>0</v>
      </c>
      <c r="H1412" s="521">
        <v>0</v>
      </c>
      <c r="I1412" s="521">
        <v>0</v>
      </c>
      <c r="J1412" s="521">
        <v>0</v>
      </c>
      <c r="K1412" s="518">
        <v>0</v>
      </c>
      <c r="L1412" s="476">
        <v>0</v>
      </c>
      <c r="M1412" s="472">
        <v>0</v>
      </c>
      <c r="N1412" s="479">
        <v>1060</v>
      </c>
      <c r="O1412" s="479">
        <f t="shared" si="243"/>
        <v>2654063</v>
      </c>
      <c r="P1412" s="516">
        <v>0</v>
      </c>
      <c r="Q1412" s="479">
        <v>0</v>
      </c>
      <c r="R1412" s="516">
        <v>0</v>
      </c>
      <c r="S1412" s="479">
        <v>0</v>
      </c>
      <c r="T1412" s="515">
        <v>0</v>
      </c>
      <c r="U1412" s="517">
        <v>0</v>
      </c>
      <c r="V1412" s="282"/>
      <c r="W1412" s="282">
        <f t="shared" si="244"/>
        <v>2503.8330188679247</v>
      </c>
      <c r="X1412" s="282"/>
      <c r="Y1412" s="6"/>
      <c r="Z1412" s="6"/>
      <c r="AA1412" s="26"/>
      <c r="AB1412" s="26"/>
    </row>
    <row r="1413" spans="1:28" s="19" customFormat="1" ht="15.75">
      <c r="A1413" s="470">
        <v>325</v>
      </c>
      <c r="B1413" s="844" t="s">
        <v>765</v>
      </c>
      <c r="C1413" s="479">
        <f>'часть 1'!L1445</f>
        <v>2653996</v>
      </c>
      <c r="D1413" s="521">
        <v>0</v>
      </c>
      <c r="E1413" s="521">
        <v>0</v>
      </c>
      <c r="F1413" s="521">
        <v>0</v>
      </c>
      <c r="G1413" s="521">
        <v>0</v>
      </c>
      <c r="H1413" s="521">
        <v>0</v>
      </c>
      <c r="I1413" s="521">
        <v>0</v>
      </c>
      <c r="J1413" s="521">
        <v>0</v>
      </c>
      <c r="K1413" s="518">
        <v>0</v>
      </c>
      <c r="L1413" s="476">
        <v>0</v>
      </c>
      <c r="M1413" s="521">
        <v>0</v>
      </c>
      <c r="N1413" s="479">
        <v>1060</v>
      </c>
      <c r="O1413" s="479">
        <f t="shared" si="243"/>
        <v>2653996</v>
      </c>
      <c r="P1413" s="516">
        <v>0</v>
      </c>
      <c r="Q1413" s="479">
        <v>0</v>
      </c>
      <c r="R1413" s="516">
        <v>0</v>
      </c>
      <c r="S1413" s="479">
        <v>0</v>
      </c>
      <c r="T1413" s="515">
        <v>0</v>
      </c>
      <c r="U1413" s="517">
        <v>0</v>
      </c>
      <c r="V1413" s="282"/>
      <c r="W1413" s="282">
        <f t="shared" si="244"/>
        <v>2503.7698113207548</v>
      </c>
      <c r="X1413" s="282"/>
      <c r="Y1413" s="6"/>
      <c r="Z1413" s="6"/>
      <c r="AA1413" s="26"/>
      <c r="AB1413" s="26"/>
    </row>
    <row r="1414" spans="1:28" s="19" customFormat="1" ht="15.75">
      <c r="A1414" s="470">
        <v>326</v>
      </c>
      <c r="B1414" s="844" t="s">
        <v>766</v>
      </c>
      <c r="C1414" s="479">
        <f>'часть 1'!L1446</f>
        <v>2653914</v>
      </c>
      <c r="D1414" s="521">
        <v>0</v>
      </c>
      <c r="E1414" s="521">
        <v>0</v>
      </c>
      <c r="F1414" s="521">
        <v>0</v>
      </c>
      <c r="G1414" s="521">
        <v>0</v>
      </c>
      <c r="H1414" s="521">
        <v>0</v>
      </c>
      <c r="I1414" s="521">
        <v>0</v>
      </c>
      <c r="J1414" s="521">
        <v>0</v>
      </c>
      <c r="K1414" s="518">
        <v>0</v>
      </c>
      <c r="L1414" s="476">
        <v>0</v>
      </c>
      <c r="M1414" s="518">
        <v>0</v>
      </c>
      <c r="N1414" s="479">
        <v>1060</v>
      </c>
      <c r="O1414" s="479">
        <f t="shared" si="243"/>
        <v>2653914</v>
      </c>
      <c r="P1414" s="516">
        <v>0</v>
      </c>
      <c r="Q1414" s="479">
        <v>0</v>
      </c>
      <c r="R1414" s="516">
        <v>0</v>
      </c>
      <c r="S1414" s="479">
        <v>0</v>
      </c>
      <c r="T1414" s="515">
        <v>0</v>
      </c>
      <c r="U1414" s="517">
        <v>0</v>
      </c>
      <c r="V1414" s="282"/>
      <c r="W1414" s="282">
        <f t="shared" si="244"/>
        <v>2503.6924528301888</v>
      </c>
      <c r="X1414" s="282"/>
      <c r="Y1414" s="6"/>
      <c r="Z1414" s="6"/>
      <c r="AA1414" s="26"/>
      <c r="AB1414" s="26"/>
    </row>
    <row r="1415" spans="1:28" s="19" customFormat="1">
      <c r="A1415" s="470"/>
      <c r="B1415" s="480"/>
      <c r="C1415" s="521"/>
      <c r="D1415" s="521"/>
      <c r="E1415" s="521"/>
      <c r="F1415" s="521"/>
      <c r="G1415" s="521"/>
      <c r="H1415" s="521"/>
      <c r="I1415" s="521"/>
      <c r="J1415" s="521"/>
      <c r="K1415" s="518"/>
      <c r="L1415" s="476"/>
      <c r="M1415" s="518"/>
      <c r="N1415" s="479"/>
      <c r="O1415" s="479"/>
      <c r="P1415" s="516"/>
      <c r="Q1415" s="479"/>
      <c r="R1415" s="516"/>
      <c r="S1415" s="479"/>
      <c r="T1415" s="515"/>
      <c r="U1415" s="517"/>
      <c r="V1415" s="282"/>
      <c r="W1415" s="282"/>
      <c r="X1415" s="282"/>
      <c r="Y1415" s="6"/>
      <c r="Z1415" s="6"/>
      <c r="AA1415" s="26"/>
      <c r="AB1415" s="26"/>
    </row>
    <row r="1416" spans="1:28" s="19" customFormat="1">
      <c r="A1416" s="470"/>
      <c r="B1416" s="480"/>
      <c r="C1416" s="521"/>
      <c r="D1416" s="521"/>
      <c r="E1416" s="521"/>
      <c r="F1416" s="521"/>
      <c r="G1416" s="521"/>
      <c r="H1416" s="521"/>
      <c r="I1416" s="521"/>
      <c r="J1416" s="521"/>
      <c r="K1416" s="518"/>
      <c r="L1416" s="476"/>
      <c r="M1416" s="521"/>
      <c r="N1416" s="479"/>
      <c r="O1416" s="479"/>
      <c r="P1416" s="516"/>
      <c r="Q1416" s="479"/>
      <c r="R1416" s="516"/>
      <c r="S1416" s="479"/>
      <c r="T1416" s="515"/>
      <c r="U1416" s="517"/>
      <c r="V1416" s="282"/>
      <c r="W1416" s="282"/>
      <c r="X1416" s="282"/>
      <c r="Y1416" s="6"/>
      <c r="Z1416" s="6"/>
      <c r="AA1416" s="26"/>
      <c r="AB1416" s="26"/>
    </row>
    <row r="1417" spans="1:28" s="19" customFormat="1">
      <c r="A1417" s="470"/>
      <c r="B1417" s="659"/>
      <c r="C1417" s="479"/>
      <c r="D1417" s="479"/>
      <c r="E1417" s="479"/>
      <c r="F1417" s="479"/>
      <c r="G1417" s="479"/>
      <c r="H1417" s="479"/>
      <c r="I1417" s="479"/>
      <c r="J1417" s="479"/>
      <c r="K1417" s="479"/>
      <c r="L1417" s="515"/>
      <c r="M1417" s="479"/>
      <c r="N1417" s="479"/>
      <c r="O1417" s="479"/>
      <c r="P1417" s="516"/>
      <c r="Q1417" s="479"/>
      <c r="R1417" s="479"/>
      <c r="S1417" s="479"/>
      <c r="T1417" s="515"/>
      <c r="U1417" s="517"/>
      <c r="V1417" s="282"/>
      <c r="W1417" s="282"/>
      <c r="X1417" s="282"/>
      <c r="Y1417" s="27"/>
      <c r="Z1417" s="27"/>
      <c r="AA1417" s="27"/>
      <c r="AB1417" s="27"/>
    </row>
    <row r="1418" spans="1:28" ht="30">
      <c r="A1418" s="198"/>
      <c r="B1418" s="214" t="s">
        <v>132</v>
      </c>
      <c r="C1418" s="211">
        <f>C1419</f>
        <v>1854126</v>
      </c>
      <c r="D1418" s="211">
        <f t="shared" ref="D1418:U1418" si="245">D1419</f>
        <v>0</v>
      </c>
      <c r="E1418" s="211">
        <f t="shared" si="245"/>
        <v>0</v>
      </c>
      <c r="F1418" s="211">
        <f t="shared" si="245"/>
        <v>0</v>
      </c>
      <c r="G1418" s="211">
        <f t="shared" si="245"/>
        <v>0</v>
      </c>
      <c r="H1418" s="211">
        <f t="shared" si="245"/>
        <v>0</v>
      </c>
      <c r="I1418" s="211">
        <f t="shared" si="245"/>
        <v>0</v>
      </c>
      <c r="J1418" s="211">
        <f t="shared" si="245"/>
        <v>0</v>
      </c>
      <c r="K1418" s="211">
        <f t="shared" si="245"/>
        <v>0</v>
      </c>
      <c r="L1418" s="211">
        <f t="shared" si="245"/>
        <v>0</v>
      </c>
      <c r="M1418" s="211">
        <f t="shared" si="245"/>
        <v>0</v>
      </c>
      <c r="N1418" s="211">
        <f t="shared" si="245"/>
        <v>581</v>
      </c>
      <c r="O1418" s="211">
        <f t="shared" si="245"/>
        <v>1854126</v>
      </c>
      <c r="P1418" s="211">
        <f t="shared" si="245"/>
        <v>0</v>
      </c>
      <c r="Q1418" s="211">
        <f t="shared" si="245"/>
        <v>0</v>
      </c>
      <c r="R1418" s="211">
        <f t="shared" si="245"/>
        <v>0</v>
      </c>
      <c r="S1418" s="211">
        <f t="shared" si="245"/>
        <v>0</v>
      </c>
      <c r="T1418" s="211">
        <f t="shared" si="245"/>
        <v>0</v>
      </c>
      <c r="U1418" s="211">
        <f t="shared" si="245"/>
        <v>0</v>
      </c>
      <c r="V1418" s="282"/>
      <c r="W1418" s="282"/>
      <c r="X1418" s="282"/>
      <c r="Y1418" s="10"/>
      <c r="Z1418" s="10"/>
      <c r="AA1418" s="10"/>
      <c r="AB1418" s="10"/>
    </row>
    <row r="1419" spans="1:28" ht="30">
      <c r="A1419" s="470">
        <v>331</v>
      </c>
      <c r="B1419" s="480" t="s">
        <v>702</v>
      </c>
      <c r="C1419" s="479">
        <f>'часть 1'!L1448</f>
        <v>1854126</v>
      </c>
      <c r="D1419" s="479">
        <v>0</v>
      </c>
      <c r="E1419" s="479">
        <v>0</v>
      </c>
      <c r="F1419" s="479">
        <v>0</v>
      </c>
      <c r="G1419" s="479">
        <v>0</v>
      </c>
      <c r="H1419" s="479">
        <v>0</v>
      </c>
      <c r="I1419" s="479">
        <v>0</v>
      </c>
      <c r="J1419" s="479">
        <v>0</v>
      </c>
      <c r="K1419" s="479">
        <v>0</v>
      </c>
      <c r="L1419" s="515">
        <v>0</v>
      </c>
      <c r="M1419" s="479">
        <v>0</v>
      </c>
      <c r="N1419" s="479">
        <v>581</v>
      </c>
      <c r="O1419" s="479">
        <v>1854126</v>
      </c>
      <c r="P1419" s="516">
        <v>0</v>
      </c>
      <c r="Q1419" s="479">
        <v>0</v>
      </c>
      <c r="R1419" s="516">
        <v>0</v>
      </c>
      <c r="S1419" s="479">
        <v>0</v>
      </c>
      <c r="T1419" s="515">
        <v>0</v>
      </c>
      <c r="U1419" s="517">
        <v>0</v>
      </c>
      <c r="V1419" s="282"/>
      <c r="W1419" s="282">
        <f>O1419/N1419</f>
        <v>3191.2667814113597</v>
      </c>
      <c r="X1419" s="282"/>
      <c r="Y1419" s="10"/>
      <c r="Z1419" s="10"/>
      <c r="AA1419" s="10"/>
      <c r="AB1419" s="10"/>
    </row>
    <row r="1420" spans="1:28" ht="30">
      <c r="A1420" s="198"/>
      <c r="B1420" s="214" t="s">
        <v>110</v>
      </c>
      <c r="C1420" s="211">
        <f>C1421</f>
        <v>2569441</v>
      </c>
      <c r="D1420" s="211">
        <f t="shared" ref="D1420:U1420" si="246">D1421</f>
        <v>0</v>
      </c>
      <c r="E1420" s="211">
        <f t="shared" si="246"/>
        <v>0</v>
      </c>
      <c r="F1420" s="211">
        <f t="shared" si="246"/>
        <v>0</v>
      </c>
      <c r="G1420" s="211">
        <f t="shared" si="246"/>
        <v>0</v>
      </c>
      <c r="H1420" s="211">
        <f t="shared" si="246"/>
        <v>0</v>
      </c>
      <c r="I1420" s="211">
        <f t="shared" si="246"/>
        <v>0</v>
      </c>
      <c r="J1420" s="211">
        <f t="shared" si="246"/>
        <v>0</v>
      </c>
      <c r="K1420" s="211">
        <f t="shared" si="246"/>
        <v>0</v>
      </c>
      <c r="L1420" s="211">
        <f t="shared" si="246"/>
        <v>0</v>
      </c>
      <c r="M1420" s="211">
        <f t="shared" si="246"/>
        <v>0</v>
      </c>
      <c r="N1420" s="211">
        <f t="shared" si="246"/>
        <v>802.72</v>
      </c>
      <c r="O1420" s="211">
        <f t="shared" si="246"/>
        <v>2569441</v>
      </c>
      <c r="P1420" s="211">
        <f t="shared" si="246"/>
        <v>0</v>
      </c>
      <c r="Q1420" s="211">
        <f t="shared" si="246"/>
        <v>0</v>
      </c>
      <c r="R1420" s="211">
        <f t="shared" si="246"/>
        <v>0</v>
      </c>
      <c r="S1420" s="211">
        <f t="shared" si="246"/>
        <v>0</v>
      </c>
      <c r="T1420" s="211">
        <f t="shared" si="246"/>
        <v>0</v>
      </c>
      <c r="U1420" s="211">
        <f t="shared" si="246"/>
        <v>0</v>
      </c>
      <c r="V1420" s="282"/>
      <c r="W1420" s="282"/>
      <c r="X1420" s="282"/>
      <c r="Y1420" s="10"/>
      <c r="Z1420" s="10"/>
      <c r="AA1420" s="10"/>
      <c r="AB1420" s="10"/>
    </row>
    <row r="1421" spans="1:28">
      <c r="A1421" s="470">
        <v>332</v>
      </c>
      <c r="B1421" s="523" t="s">
        <v>477</v>
      </c>
      <c r="C1421" s="479">
        <v>2569441</v>
      </c>
      <c r="D1421" s="479">
        <v>0</v>
      </c>
      <c r="E1421" s="479">
        <v>0</v>
      </c>
      <c r="F1421" s="479">
        <v>0</v>
      </c>
      <c r="G1421" s="479">
        <v>0</v>
      </c>
      <c r="H1421" s="479">
        <v>0</v>
      </c>
      <c r="I1421" s="479">
        <v>0</v>
      </c>
      <c r="J1421" s="479">
        <v>0</v>
      </c>
      <c r="K1421" s="479">
        <v>0</v>
      </c>
      <c r="L1421" s="515">
        <v>0</v>
      </c>
      <c r="M1421" s="479">
        <v>0</v>
      </c>
      <c r="N1421" s="472">
        <v>802.72</v>
      </c>
      <c r="O1421" s="479">
        <v>2569441</v>
      </c>
      <c r="P1421" s="516">
        <v>0</v>
      </c>
      <c r="Q1421" s="479">
        <v>0</v>
      </c>
      <c r="R1421" s="516">
        <v>0</v>
      </c>
      <c r="S1421" s="479">
        <v>0</v>
      </c>
      <c r="T1421" s="515">
        <v>0</v>
      </c>
      <c r="U1421" s="517">
        <v>0</v>
      </c>
      <c r="V1421" s="282"/>
      <c r="W1421" s="282">
        <f>O1421/N1421</f>
        <v>3200.9181283635639</v>
      </c>
      <c r="X1421" s="282"/>
    </row>
    <row r="1422" spans="1:28">
      <c r="A1422" s="470"/>
      <c r="B1422" s="480"/>
      <c r="C1422" s="479"/>
      <c r="D1422" s="479"/>
      <c r="E1422" s="479"/>
      <c r="F1422" s="479"/>
      <c r="G1422" s="479"/>
      <c r="H1422" s="479"/>
      <c r="I1422" s="479"/>
      <c r="J1422" s="479"/>
      <c r="K1422" s="479"/>
      <c r="L1422" s="515"/>
      <c r="M1422" s="479"/>
      <c r="N1422" s="479"/>
      <c r="O1422" s="479"/>
      <c r="P1422" s="516"/>
      <c r="Q1422" s="479"/>
      <c r="R1422" s="516"/>
      <c r="S1422" s="479"/>
      <c r="T1422" s="515"/>
      <c r="U1422" s="517"/>
      <c r="V1422" s="282"/>
      <c r="W1422" s="282"/>
      <c r="X1422" s="282"/>
    </row>
    <row r="1423" spans="1:28" ht="30">
      <c r="A1423" s="470"/>
      <c r="B1423" s="480" t="s">
        <v>128</v>
      </c>
      <c r="C1423" s="479">
        <f>C1424+C1425+C1426</f>
        <v>9681670</v>
      </c>
      <c r="D1423" s="479">
        <f t="shared" ref="D1423:U1423" si="247">D1424+D1425+D1426</f>
        <v>0</v>
      </c>
      <c r="E1423" s="479">
        <f t="shared" si="247"/>
        <v>0</v>
      </c>
      <c r="F1423" s="479">
        <f t="shared" si="247"/>
        <v>0</v>
      </c>
      <c r="G1423" s="479">
        <f t="shared" si="247"/>
        <v>0</v>
      </c>
      <c r="H1423" s="479">
        <f t="shared" si="247"/>
        <v>0</v>
      </c>
      <c r="I1423" s="479">
        <f t="shared" si="247"/>
        <v>0</v>
      </c>
      <c r="J1423" s="479">
        <f t="shared" si="247"/>
        <v>0</v>
      </c>
      <c r="K1423" s="479">
        <f t="shared" si="247"/>
        <v>0</v>
      </c>
      <c r="L1423" s="479">
        <f t="shared" si="247"/>
        <v>0</v>
      </c>
      <c r="M1423" s="479">
        <f t="shared" si="247"/>
        <v>0</v>
      </c>
      <c r="N1423" s="479">
        <f t="shared" si="247"/>
        <v>3875.7</v>
      </c>
      <c r="O1423" s="479">
        <f t="shared" si="247"/>
        <v>9681670</v>
      </c>
      <c r="P1423" s="479">
        <f t="shared" si="247"/>
        <v>0</v>
      </c>
      <c r="Q1423" s="479">
        <f t="shared" si="247"/>
        <v>0</v>
      </c>
      <c r="R1423" s="479">
        <f t="shared" si="247"/>
        <v>0</v>
      </c>
      <c r="S1423" s="479">
        <f t="shared" si="247"/>
        <v>0</v>
      </c>
      <c r="T1423" s="479">
        <f t="shared" si="247"/>
        <v>0</v>
      </c>
      <c r="U1423" s="479">
        <f t="shared" si="247"/>
        <v>0</v>
      </c>
      <c r="V1423" s="282"/>
      <c r="W1423" s="282"/>
      <c r="X1423" s="282"/>
    </row>
    <row r="1424" spans="1:28" s="59" customFormat="1" ht="22.9" customHeight="1">
      <c r="A1424" s="470">
        <v>334</v>
      </c>
      <c r="B1424" s="520" t="s">
        <v>729</v>
      </c>
      <c r="C1424" s="521">
        <f>'часть 1'!L1452</f>
        <v>2026223</v>
      </c>
      <c r="D1424" s="521">
        <v>0</v>
      </c>
      <c r="E1424" s="521">
        <v>0</v>
      </c>
      <c r="F1424" s="521">
        <v>0</v>
      </c>
      <c r="G1424" s="521">
        <v>0</v>
      </c>
      <c r="H1424" s="521">
        <v>0</v>
      </c>
      <c r="I1424" s="521">
        <v>0</v>
      </c>
      <c r="J1424" s="521">
        <v>0</v>
      </c>
      <c r="K1424" s="521">
        <v>0</v>
      </c>
      <c r="L1424" s="522">
        <v>0</v>
      </c>
      <c r="M1424" s="521">
        <v>0</v>
      </c>
      <c r="N1424" s="472">
        <v>807.7</v>
      </c>
      <c r="O1424" s="521">
        <v>2026223</v>
      </c>
      <c r="P1424" s="522">
        <v>0</v>
      </c>
      <c r="Q1424" s="521">
        <v>0</v>
      </c>
      <c r="R1424" s="522">
        <v>0</v>
      </c>
      <c r="S1424" s="521">
        <v>0</v>
      </c>
      <c r="T1424" s="642">
        <v>0</v>
      </c>
      <c r="U1424" s="643">
        <v>0</v>
      </c>
      <c r="V1424" s="282"/>
      <c r="W1424" s="282">
        <f>O1424/N1424</f>
        <v>2508.6331558747056</v>
      </c>
      <c r="X1424" s="282"/>
    </row>
    <row r="1425" spans="1:24" s="59" customFormat="1" ht="31.15" customHeight="1">
      <c r="A1425" s="470">
        <v>335</v>
      </c>
      <c r="B1425" s="520" t="s">
        <v>730</v>
      </c>
      <c r="C1425" s="521">
        <f>'часть 1'!L1453</f>
        <v>4351244</v>
      </c>
      <c r="D1425" s="521">
        <v>0</v>
      </c>
      <c r="E1425" s="521">
        <v>0</v>
      </c>
      <c r="F1425" s="521">
        <v>0</v>
      </c>
      <c r="G1425" s="521">
        <v>0</v>
      </c>
      <c r="H1425" s="521">
        <v>0</v>
      </c>
      <c r="I1425" s="521">
        <v>0</v>
      </c>
      <c r="J1425" s="521">
        <v>0</v>
      </c>
      <c r="K1425" s="521">
        <v>0</v>
      </c>
      <c r="L1425" s="522">
        <v>0</v>
      </c>
      <c r="M1425" s="521">
        <v>0</v>
      </c>
      <c r="N1425" s="472">
        <v>1745</v>
      </c>
      <c r="O1425" s="521">
        <v>4351244</v>
      </c>
      <c r="P1425" s="522">
        <v>0</v>
      </c>
      <c r="Q1425" s="521">
        <v>0</v>
      </c>
      <c r="R1425" s="522">
        <v>0</v>
      </c>
      <c r="S1425" s="521">
        <v>0</v>
      </c>
      <c r="T1425" s="642">
        <v>0</v>
      </c>
      <c r="U1425" s="643">
        <v>0</v>
      </c>
      <c r="V1425" s="282"/>
      <c r="W1425" s="282">
        <f t="shared" ref="W1425:W1426" si="248">O1425/N1425</f>
        <v>2493.5495702005733</v>
      </c>
      <c r="X1425" s="282"/>
    </row>
    <row r="1426" spans="1:24" s="59" customFormat="1" ht="21.6" customHeight="1">
      <c r="A1426" s="470">
        <v>336</v>
      </c>
      <c r="B1426" s="520" t="s">
        <v>731</v>
      </c>
      <c r="C1426" s="521">
        <f>'часть 1'!L1454</f>
        <v>3304203</v>
      </c>
      <c r="D1426" s="521">
        <v>0</v>
      </c>
      <c r="E1426" s="521">
        <v>0</v>
      </c>
      <c r="F1426" s="521">
        <v>0</v>
      </c>
      <c r="G1426" s="521">
        <v>0</v>
      </c>
      <c r="H1426" s="521">
        <v>0</v>
      </c>
      <c r="I1426" s="521">
        <v>0</v>
      </c>
      <c r="J1426" s="521">
        <v>0</v>
      </c>
      <c r="K1426" s="521">
        <v>0</v>
      </c>
      <c r="L1426" s="522">
        <v>0</v>
      </c>
      <c r="M1426" s="521">
        <v>0</v>
      </c>
      <c r="N1426" s="472">
        <v>1323</v>
      </c>
      <c r="O1426" s="521">
        <v>3304203</v>
      </c>
      <c r="P1426" s="522">
        <v>0</v>
      </c>
      <c r="Q1426" s="521">
        <v>0</v>
      </c>
      <c r="R1426" s="522">
        <v>0</v>
      </c>
      <c r="S1426" s="521">
        <v>0</v>
      </c>
      <c r="T1426" s="642">
        <v>0</v>
      </c>
      <c r="U1426" s="643">
        <v>0</v>
      </c>
      <c r="V1426" s="282"/>
      <c r="W1426" s="282">
        <f t="shared" si="248"/>
        <v>2497.5079365079364</v>
      </c>
      <c r="X1426" s="282"/>
    </row>
    <row r="1427" spans="1:24" s="59" customFormat="1">
      <c r="A1427" s="470"/>
      <c r="B1427" s="520"/>
      <c r="C1427" s="521"/>
      <c r="D1427" s="521"/>
      <c r="E1427" s="521"/>
      <c r="F1427" s="521"/>
      <c r="G1427" s="521"/>
      <c r="H1427" s="521"/>
      <c r="I1427" s="521"/>
      <c r="J1427" s="521"/>
      <c r="K1427" s="521"/>
      <c r="L1427" s="522"/>
      <c r="M1427" s="521"/>
      <c r="N1427" s="472"/>
      <c r="O1427" s="521"/>
      <c r="P1427" s="522"/>
      <c r="Q1427" s="521"/>
      <c r="R1427" s="522"/>
      <c r="S1427" s="521"/>
      <c r="T1427" s="642"/>
      <c r="U1427" s="643"/>
      <c r="V1427" s="282"/>
      <c r="W1427" s="282"/>
      <c r="X1427" s="282"/>
    </row>
    <row r="1428" spans="1:24" s="59" customFormat="1">
      <c r="A1428" s="470"/>
      <c r="B1428" s="520"/>
      <c r="C1428" s="521"/>
      <c r="D1428" s="521"/>
      <c r="E1428" s="521"/>
      <c r="F1428" s="521"/>
      <c r="G1428" s="521"/>
      <c r="H1428" s="521"/>
      <c r="I1428" s="521"/>
      <c r="J1428" s="521"/>
      <c r="K1428" s="521"/>
      <c r="L1428" s="522"/>
      <c r="M1428" s="521"/>
      <c r="N1428" s="472"/>
      <c r="O1428" s="521"/>
      <c r="P1428" s="522"/>
      <c r="Q1428" s="521"/>
      <c r="R1428" s="522"/>
      <c r="S1428" s="521"/>
      <c r="T1428" s="642"/>
      <c r="U1428" s="643"/>
      <c r="V1428" s="282"/>
      <c r="W1428" s="282"/>
      <c r="X1428" s="282"/>
    </row>
    <row r="1429" spans="1:24" s="59" customFormat="1">
      <c r="A1429" s="470"/>
      <c r="B1429" s="520"/>
      <c r="C1429" s="521"/>
      <c r="D1429" s="521"/>
      <c r="E1429" s="521"/>
      <c r="F1429" s="521"/>
      <c r="G1429" s="521"/>
      <c r="H1429" s="521"/>
      <c r="I1429" s="521"/>
      <c r="J1429" s="521"/>
      <c r="K1429" s="521"/>
      <c r="L1429" s="522"/>
      <c r="M1429" s="521"/>
      <c r="N1429" s="472"/>
      <c r="O1429" s="521"/>
      <c r="P1429" s="522"/>
      <c r="Q1429" s="521"/>
      <c r="R1429" s="522"/>
      <c r="S1429" s="521"/>
      <c r="T1429" s="642"/>
      <c r="U1429" s="643"/>
      <c r="V1429" s="282"/>
      <c r="W1429" s="282"/>
      <c r="X1429" s="282"/>
    </row>
    <row r="1430" spans="1:24" ht="30">
      <c r="A1430" s="198"/>
      <c r="B1430" s="214" t="s">
        <v>994</v>
      </c>
      <c r="C1430" s="211">
        <f>'часть 1'!L1458</f>
        <v>0</v>
      </c>
      <c r="D1430" s="211">
        <v>0</v>
      </c>
      <c r="E1430" s="211">
        <v>0</v>
      </c>
      <c r="F1430" s="211">
        <v>0</v>
      </c>
      <c r="G1430" s="211">
        <v>0</v>
      </c>
      <c r="H1430" s="211">
        <v>0</v>
      </c>
      <c r="I1430" s="211">
        <v>0</v>
      </c>
      <c r="J1430" s="211">
        <v>0</v>
      </c>
      <c r="K1430" s="211">
        <v>0</v>
      </c>
      <c r="L1430" s="212">
        <v>0</v>
      </c>
      <c r="M1430" s="211">
        <v>0</v>
      </c>
      <c r="N1430" s="211">
        <v>0</v>
      </c>
      <c r="O1430" s="211">
        <v>0</v>
      </c>
      <c r="P1430" s="213">
        <v>0</v>
      </c>
      <c r="Q1430" s="211">
        <v>0</v>
      </c>
      <c r="R1430" s="211">
        <v>0</v>
      </c>
      <c r="S1430" s="211">
        <v>0</v>
      </c>
      <c r="T1430" s="212">
        <v>0</v>
      </c>
      <c r="U1430" s="290">
        <v>0</v>
      </c>
      <c r="V1430" s="282"/>
      <c r="W1430" s="282"/>
      <c r="X1430" s="282"/>
    </row>
    <row r="1431" spans="1:24" ht="30">
      <c r="A1431" s="198"/>
      <c r="B1431" s="214" t="s">
        <v>111</v>
      </c>
      <c r="C1431" s="211">
        <v>657835.92000000004</v>
      </c>
      <c r="D1431" s="211"/>
      <c r="E1431" s="211"/>
      <c r="F1431" s="211"/>
      <c r="G1431" s="211"/>
      <c r="H1431" s="211"/>
      <c r="I1431" s="211"/>
      <c r="J1431" s="211"/>
      <c r="K1431" s="211">
        <v>0</v>
      </c>
      <c r="L1431" s="213">
        <v>0</v>
      </c>
      <c r="M1431" s="211">
        <v>0</v>
      </c>
      <c r="N1431" s="211">
        <f>N1432</f>
        <v>396</v>
      </c>
      <c r="O1431" s="211">
        <v>657835.92000000004</v>
      </c>
      <c r="P1431" s="213">
        <v>0</v>
      </c>
      <c r="Q1431" s="240">
        <v>0</v>
      </c>
      <c r="R1431" s="213">
        <v>0</v>
      </c>
      <c r="S1431" s="240">
        <v>0</v>
      </c>
      <c r="T1431" s="212">
        <v>0</v>
      </c>
      <c r="U1431" s="293">
        <v>0</v>
      </c>
      <c r="V1431" s="282"/>
      <c r="W1431" s="282"/>
      <c r="X1431" s="282"/>
    </row>
    <row r="1432" spans="1:24" ht="30">
      <c r="A1432" s="198">
        <v>341</v>
      </c>
      <c r="B1432" s="214" t="s">
        <v>453</v>
      </c>
      <c r="C1432" s="211">
        <v>657835.92000000004</v>
      </c>
      <c r="D1432" s="211"/>
      <c r="E1432" s="211"/>
      <c r="F1432" s="211"/>
      <c r="G1432" s="211"/>
      <c r="H1432" s="211"/>
      <c r="I1432" s="211"/>
      <c r="J1432" s="211"/>
      <c r="K1432" s="211">
        <v>0</v>
      </c>
      <c r="L1432" s="212">
        <v>0</v>
      </c>
      <c r="M1432" s="211">
        <v>0</v>
      </c>
      <c r="N1432" s="199">
        <v>396</v>
      </c>
      <c r="O1432" s="211">
        <v>657835.92000000004</v>
      </c>
      <c r="P1432" s="213">
        <v>0</v>
      </c>
      <c r="Q1432" s="211">
        <v>0</v>
      </c>
      <c r="R1432" s="213">
        <v>0</v>
      </c>
      <c r="S1432" s="211">
        <v>0</v>
      </c>
      <c r="T1432" s="212">
        <v>0</v>
      </c>
      <c r="U1432" s="290">
        <v>0</v>
      </c>
      <c r="V1432" s="282"/>
      <c r="W1432" s="282"/>
      <c r="X1432" s="282"/>
    </row>
    <row r="1433" spans="1:24" ht="30">
      <c r="A1433" s="470"/>
      <c r="B1433" s="480" t="s">
        <v>129</v>
      </c>
      <c r="C1433" s="479">
        <f>C1434</f>
        <v>1586955</v>
      </c>
      <c r="D1433" s="479">
        <f t="shared" ref="D1433:U1433" si="249">D1434</f>
        <v>0</v>
      </c>
      <c r="E1433" s="479">
        <f t="shared" si="249"/>
        <v>0</v>
      </c>
      <c r="F1433" s="479">
        <f t="shared" si="249"/>
        <v>0</v>
      </c>
      <c r="G1433" s="479">
        <f t="shared" si="249"/>
        <v>0</v>
      </c>
      <c r="H1433" s="479">
        <f t="shared" si="249"/>
        <v>0</v>
      </c>
      <c r="I1433" s="479">
        <f t="shared" si="249"/>
        <v>0</v>
      </c>
      <c r="J1433" s="479">
        <f t="shared" si="249"/>
        <v>0</v>
      </c>
      <c r="K1433" s="479">
        <f t="shared" si="249"/>
        <v>0</v>
      </c>
      <c r="L1433" s="479">
        <f t="shared" si="249"/>
        <v>0</v>
      </c>
      <c r="M1433" s="479">
        <f t="shared" si="249"/>
        <v>0</v>
      </c>
      <c r="N1433" s="479">
        <f t="shared" si="249"/>
        <v>491.7</v>
      </c>
      <c r="O1433" s="479">
        <f t="shared" si="249"/>
        <v>1586955</v>
      </c>
      <c r="P1433" s="479">
        <f t="shared" si="249"/>
        <v>0</v>
      </c>
      <c r="Q1433" s="479">
        <f t="shared" si="249"/>
        <v>0</v>
      </c>
      <c r="R1433" s="479">
        <f t="shared" si="249"/>
        <v>0</v>
      </c>
      <c r="S1433" s="479">
        <f t="shared" si="249"/>
        <v>0</v>
      </c>
      <c r="T1433" s="479">
        <f t="shared" si="249"/>
        <v>0</v>
      </c>
      <c r="U1433" s="479">
        <f t="shared" si="249"/>
        <v>0</v>
      </c>
      <c r="V1433" s="282"/>
      <c r="W1433" s="282"/>
      <c r="X1433" s="282"/>
    </row>
    <row r="1434" spans="1:24" s="60" customFormat="1" ht="30">
      <c r="A1434" s="470">
        <v>342</v>
      </c>
      <c r="B1434" s="511" t="s">
        <v>684</v>
      </c>
      <c r="C1434" s="512">
        <v>1586955</v>
      </c>
      <c r="D1434" s="512">
        <v>0</v>
      </c>
      <c r="E1434" s="512">
        <v>0</v>
      </c>
      <c r="F1434" s="512">
        <v>0</v>
      </c>
      <c r="G1434" s="512">
        <v>0</v>
      </c>
      <c r="H1434" s="512">
        <v>0</v>
      </c>
      <c r="I1434" s="512">
        <v>0</v>
      </c>
      <c r="J1434" s="512">
        <v>0</v>
      </c>
      <c r="K1434" s="479">
        <v>0</v>
      </c>
      <c r="L1434" s="476">
        <v>0</v>
      </c>
      <c r="M1434" s="479">
        <v>0</v>
      </c>
      <c r="N1434" s="472">
        <v>491.7</v>
      </c>
      <c r="O1434" s="512">
        <v>1586955</v>
      </c>
      <c r="P1434" s="571">
        <v>0</v>
      </c>
      <c r="Q1434" s="479">
        <v>0</v>
      </c>
      <c r="R1434" s="571">
        <v>0</v>
      </c>
      <c r="S1434" s="479">
        <v>0</v>
      </c>
      <c r="T1434" s="476">
        <v>0</v>
      </c>
      <c r="U1434" s="517">
        <v>0</v>
      </c>
      <c r="V1434" s="282"/>
      <c r="W1434" s="282">
        <f>O1434/N1434</f>
        <v>3227.4862721171448</v>
      </c>
      <c r="X1434" s="282"/>
    </row>
    <row r="1435" spans="1:24" s="60" customFormat="1">
      <c r="A1435" s="470"/>
      <c r="B1435" s="511"/>
      <c r="C1435" s="512"/>
      <c r="D1435" s="512"/>
      <c r="E1435" s="512"/>
      <c r="F1435" s="512"/>
      <c r="G1435" s="512"/>
      <c r="H1435" s="512"/>
      <c r="I1435" s="512"/>
      <c r="J1435" s="512"/>
      <c r="K1435" s="479"/>
      <c r="L1435" s="476"/>
      <c r="M1435" s="479"/>
      <c r="N1435" s="472"/>
      <c r="O1435" s="512"/>
      <c r="P1435" s="571"/>
      <c r="Q1435" s="479"/>
      <c r="R1435" s="571"/>
      <c r="S1435" s="479"/>
      <c r="T1435" s="476"/>
      <c r="U1435" s="517"/>
      <c r="V1435" s="282"/>
      <c r="W1435" s="282"/>
      <c r="X1435" s="282"/>
    </row>
    <row r="1436" spans="1:24" s="60" customFormat="1">
      <c r="A1436" s="470"/>
      <c r="B1436" s="511"/>
      <c r="C1436" s="512"/>
      <c r="D1436" s="512"/>
      <c r="E1436" s="512"/>
      <c r="F1436" s="512"/>
      <c r="G1436" s="512"/>
      <c r="H1436" s="512"/>
      <c r="I1436" s="512"/>
      <c r="J1436" s="512"/>
      <c r="K1436" s="479"/>
      <c r="L1436" s="476"/>
      <c r="M1436" s="479"/>
      <c r="N1436" s="472"/>
      <c r="O1436" s="512"/>
      <c r="P1436" s="571"/>
      <c r="Q1436" s="479"/>
      <c r="R1436" s="571"/>
      <c r="S1436" s="479"/>
      <c r="T1436" s="476"/>
      <c r="U1436" s="517"/>
      <c r="V1436" s="282"/>
      <c r="W1436" s="282"/>
      <c r="X1436" s="282"/>
    </row>
    <row r="1437" spans="1:24" s="60" customFormat="1">
      <c r="A1437" s="470"/>
      <c r="B1437" s="511"/>
      <c r="C1437" s="512"/>
      <c r="D1437" s="512"/>
      <c r="E1437" s="512"/>
      <c r="F1437" s="512"/>
      <c r="G1437" s="512"/>
      <c r="H1437" s="512"/>
      <c r="I1437" s="512"/>
      <c r="J1437" s="512"/>
      <c r="K1437" s="479"/>
      <c r="L1437" s="476"/>
      <c r="M1437" s="479"/>
      <c r="N1437" s="472"/>
      <c r="O1437" s="512"/>
      <c r="P1437" s="571"/>
      <c r="Q1437" s="479"/>
      <c r="R1437" s="479"/>
      <c r="S1437" s="479"/>
      <c r="T1437" s="476"/>
      <c r="U1437" s="517"/>
      <c r="V1437" s="282"/>
      <c r="W1437" s="282"/>
      <c r="X1437" s="282"/>
    </row>
    <row r="1438" spans="1:24">
      <c r="A1438" s="198"/>
      <c r="B1438" s="216" t="s">
        <v>54</v>
      </c>
      <c r="C1438" s="211">
        <v>2222747</v>
      </c>
      <c r="D1438" s="211"/>
      <c r="E1438" s="211"/>
      <c r="F1438" s="211"/>
      <c r="G1438" s="211"/>
      <c r="H1438" s="211"/>
      <c r="I1438" s="211"/>
      <c r="J1438" s="211"/>
      <c r="K1438" s="211">
        <v>0</v>
      </c>
      <c r="L1438" s="212">
        <v>0</v>
      </c>
      <c r="M1438" s="211">
        <v>0</v>
      </c>
      <c r="N1438" s="211">
        <v>1115</v>
      </c>
      <c r="O1438" s="211">
        <v>2222747</v>
      </c>
      <c r="P1438" s="213">
        <v>0</v>
      </c>
      <c r="Q1438" s="211">
        <v>0</v>
      </c>
      <c r="R1438" s="213">
        <v>0</v>
      </c>
      <c r="S1438" s="211">
        <v>0</v>
      </c>
      <c r="T1438" s="212">
        <v>0</v>
      </c>
      <c r="U1438" s="290">
        <v>0</v>
      </c>
      <c r="V1438" s="282"/>
      <c r="W1438" s="282"/>
      <c r="X1438" s="282"/>
    </row>
    <row r="1439" spans="1:24" ht="30">
      <c r="A1439" s="198"/>
      <c r="B1439" s="214" t="s">
        <v>112</v>
      </c>
      <c r="C1439" s="211">
        <v>2222747</v>
      </c>
      <c r="D1439" s="211"/>
      <c r="E1439" s="211"/>
      <c r="F1439" s="211"/>
      <c r="G1439" s="211"/>
      <c r="H1439" s="211"/>
      <c r="I1439" s="211"/>
      <c r="J1439" s="211"/>
      <c r="K1439" s="211">
        <v>0</v>
      </c>
      <c r="L1439" s="212">
        <v>0</v>
      </c>
      <c r="M1439" s="211">
        <v>0</v>
      </c>
      <c r="N1439" s="211">
        <v>1115</v>
      </c>
      <c r="O1439" s="211">
        <v>2222747</v>
      </c>
      <c r="P1439" s="213">
        <v>0</v>
      </c>
      <c r="Q1439" s="211">
        <v>0</v>
      </c>
      <c r="R1439" s="213">
        <v>0</v>
      </c>
      <c r="S1439" s="211">
        <v>0</v>
      </c>
      <c r="T1439" s="212">
        <v>0</v>
      </c>
      <c r="U1439" s="290">
        <v>0</v>
      </c>
      <c r="V1439" s="282"/>
      <c r="W1439" s="282"/>
      <c r="X1439" s="282"/>
    </row>
    <row r="1440" spans="1:24">
      <c r="A1440" s="198">
        <v>346</v>
      </c>
      <c r="B1440" s="216" t="s">
        <v>422</v>
      </c>
      <c r="C1440" s="211">
        <v>1003542</v>
      </c>
      <c r="D1440" s="211"/>
      <c r="E1440" s="211"/>
      <c r="F1440" s="211"/>
      <c r="G1440" s="211"/>
      <c r="H1440" s="211"/>
      <c r="I1440" s="211"/>
      <c r="J1440" s="211"/>
      <c r="K1440" s="211">
        <v>0</v>
      </c>
      <c r="L1440" s="212">
        <v>0</v>
      </c>
      <c r="M1440" s="211">
        <v>0</v>
      </c>
      <c r="N1440" s="199">
        <v>510</v>
      </c>
      <c r="O1440" s="211">
        <v>1003542</v>
      </c>
      <c r="P1440" s="213">
        <v>0</v>
      </c>
      <c r="Q1440" s="211">
        <v>0</v>
      </c>
      <c r="R1440" s="213">
        <v>0</v>
      </c>
      <c r="S1440" s="211">
        <v>0</v>
      </c>
      <c r="T1440" s="212">
        <v>0</v>
      </c>
      <c r="U1440" s="290">
        <v>0</v>
      </c>
      <c r="V1440" s="282"/>
      <c r="W1440" s="282"/>
      <c r="X1440" s="282"/>
    </row>
    <row r="1441" spans="1:53">
      <c r="A1441" s="198">
        <v>347</v>
      </c>
      <c r="B1441" s="216" t="s">
        <v>421</v>
      </c>
      <c r="C1441" s="211">
        <v>740146</v>
      </c>
      <c r="D1441" s="211"/>
      <c r="E1441" s="211"/>
      <c r="F1441" s="211"/>
      <c r="G1441" s="211"/>
      <c r="H1441" s="211"/>
      <c r="I1441" s="211"/>
      <c r="J1441" s="211"/>
      <c r="K1441" s="211">
        <v>0</v>
      </c>
      <c r="L1441" s="212">
        <v>0</v>
      </c>
      <c r="M1441" s="211">
        <v>0</v>
      </c>
      <c r="N1441" s="199">
        <v>373</v>
      </c>
      <c r="O1441" s="211">
        <v>740146</v>
      </c>
      <c r="P1441" s="213">
        <v>0</v>
      </c>
      <c r="Q1441" s="211">
        <v>0</v>
      </c>
      <c r="R1441" s="213">
        <v>0</v>
      </c>
      <c r="S1441" s="211">
        <v>0</v>
      </c>
      <c r="T1441" s="212">
        <v>0</v>
      </c>
      <c r="U1441" s="290">
        <v>0</v>
      </c>
      <c r="V1441" s="282"/>
      <c r="W1441" s="282"/>
      <c r="X1441" s="282"/>
    </row>
    <row r="1442" spans="1:53">
      <c r="A1442" s="198">
        <v>348</v>
      </c>
      <c r="B1442" s="216" t="s">
        <v>423</v>
      </c>
      <c r="C1442" s="211">
        <v>479059</v>
      </c>
      <c r="D1442" s="211"/>
      <c r="E1442" s="211"/>
      <c r="F1442" s="211"/>
      <c r="G1442" s="211"/>
      <c r="H1442" s="211"/>
      <c r="I1442" s="211"/>
      <c r="J1442" s="211"/>
      <c r="K1442" s="211">
        <v>0</v>
      </c>
      <c r="L1442" s="212">
        <v>0</v>
      </c>
      <c r="M1442" s="211">
        <v>0</v>
      </c>
      <c r="N1442" s="211">
        <v>232</v>
      </c>
      <c r="O1442" s="211">
        <v>479059</v>
      </c>
      <c r="P1442" s="213">
        <v>0</v>
      </c>
      <c r="Q1442" s="211">
        <v>0</v>
      </c>
      <c r="R1442" s="213">
        <v>0</v>
      </c>
      <c r="S1442" s="211">
        <v>0</v>
      </c>
      <c r="T1442" s="212">
        <v>0</v>
      </c>
      <c r="U1442" s="290">
        <v>0</v>
      </c>
      <c r="V1442" s="282"/>
      <c r="W1442" s="282"/>
      <c r="X1442" s="282"/>
    </row>
    <row r="1443" spans="1:53">
      <c r="A1443" s="198"/>
      <c r="B1443" s="216" t="s">
        <v>55</v>
      </c>
      <c r="C1443" s="211">
        <f>C1444</f>
        <v>2451868</v>
      </c>
      <c r="D1443" s="211">
        <f t="shared" ref="D1443:U1444" si="250">D1444</f>
        <v>0</v>
      </c>
      <c r="E1443" s="211">
        <f t="shared" si="250"/>
        <v>0</v>
      </c>
      <c r="F1443" s="211">
        <f t="shared" si="250"/>
        <v>0</v>
      </c>
      <c r="G1443" s="211">
        <f t="shared" si="250"/>
        <v>0</v>
      </c>
      <c r="H1443" s="211">
        <f t="shared" si="250"/>
        <v>0</v>
      </c>
      <c r="I1443" s="211">
        <f t="shared" si="250"/>
        <v>0</v>
      </c>
      <c r="J1443" s="211">
        <f t="shared" si="250"/>
        <v>0</v>
      </c>
      <c r="K1443" s="211">
        <f t="shared" si="250"/>
        <v>0</v>
      </c>
      <c r="L1443" s="211">
        <f t="shared" si="250"/>
        <v>0</v>
      </c>
      <c r="M1443" s="211">
        <f t="shared" si="250"/>
        <v>0</v>
      </c>
      <c r="N1443" s="211">
        <f t="shared" si="250"/>
        <v>771</v>
      </c>
      <c r="O1443" s="211">
        <f t="shared" si="250"/>
        <v>2451868</v>
      </c>
      <c r="P1443" s="211">
        <f t="shared" si="250"/>
        <v>0</v>
      </c>
      <c r="Q1443" s="211">
        <f t="shared" si="250"/>
        <v>0</v>
      </c>
      <c r="R1443" s="211">
        <f t="shared" si="250"/>
        <v>0</v>
      </c>
      <c r="S1443" s="211">
        <f t="shared" si="250"/>
        <v>0</v>
      </c>
      <c r="T1443" s="211">
        <f t="shared" si="250"/>
        <v>0</v>
      </c>
      <c r="U1443" s="211">
        <f t="shared" si="250"/>
        <v>0</v>
      </c>
      <c r="V1443" s="282"/>
      <c r="W1443" s="282"/>
      <c r="X1443" s="282"/>
    </row>
    <row r="1444" spans="1:53" ht="30">
      <c r="A1444" s="198"/>
      <c r="B1444" s="214" t="s">
        <v>122</v>
      </c>
      <c r="C1444" s="211">
        <f>C1445</f>
        <v>2451868</v>
      </c>
      <c r="D1444" s="211">
        <f t="shared" si="250"/>
        <v>0</v>
      </c>
      <c r="E1444" s="211">
        <f t="shared" si="250"/>
        <v>0</v>
      </c>
      <c r="F1444" s="211">
        <f t="shared" si="250"/>
        <v>0</v>
      </c>
      <c r="G1444" s="211">
        <f t="shared" si="250"/>
        <v>0</v>
      </c>
      <c r="H1444" s="211">
        <f t="shared" si="250"/>
        <v>0</v>
      </c>
      <c r="I1444" s="211">
        <f t="shared" si="250"/>
        <v>0</v>
      </c>
      <c r="J1444" s="211">
        <f t="shared" si="250"/>
        <v>0</v>
      </c>
      <c r="K1444" s="211">
        <f t="shared" si="250"/>
        <v>0</v>
      </c>
      <c r="L1444" s="211">
        <f t="shared" si="250"/>
        <v>0</v>
      </c>
      <c r="M1444" s="211">
        <f t="shared" si="250"/>
        <v>0</v>
      </c>
      <c r="N1444" s="211">
        <f t="shared" si="250"/>
        <v>771</v>
      </c>
      <c r="O1444" s="211">
        <f t="shared" si="250"/>
        <v>2451868</v>
      </c>
      <c r="P1444" s="211">
        <f t="shared" si="250"/>
        <v>0</v>
      </c>
      <c r="Q1444" s="211">
        <f t="shared" si="250"/>
        <v>0</v>
      </c>
      <c r="R1444" s="211">
        <f t="shared" si="250"/>
        <v>0</v>
      </c>
      <c r="S1444" s="211">
        <f t="shared" si="250"/>
        <v>0</v>
      </c>
      <c r="T1444" s="211">
        <f t="shared" si="250"/>
        <v>0</v>
      </c>
      <c r="U1444" s="211">
        <f t="shared" si="250"/>
        <v>0</v>
      </c>
      <c r="V1444" s="211">
        <f t="shared" ref="V1444" si="251">V1445</f>
        <v>0</v>
      </c>
      <c r="W1444" s="282"/>
      <c r="X1444" s="282"/>
    </row>
    <row r="1445" spans="1:53" s="28" customFormat="1">
      <c r="A1445" s="470">
        <v>349</v>
      </c>
      <c r="B1445" s="480" t="s">
        <v>390</v>
      </c>
      <c r="C1445" s="558">
        <v>2451868</v>
      </c>
      <c r="D1445" s="558">
        <v>0</v>
      </c>
      <c r="E1445" s="558">
        <v>0</v>
      </c>
      <c r="F1445" s="558">
        <v>0</v>
      </c>
      <c r="G1445" s="558">
        <v>0</v>
      </c>
      <c r="H1445" s="558">
        <v>0</v>
      </c>
      <c r="I1445" s="558">
        <v>0</v>
      </c>
      <c r="J1445" s="558">
        <v>0</v>
      </c>
      <c r="K1445" s="512">
        <v>0</v>
      </c>
      <c r="L1445" s="515">
        <v>0</v>
      </c>
      <c r="M1445" s="479">
        <v>0</v>
      </c>
      <c r="N1445" s="472">
        <v>771</v>
      </c>
      <c r="O1445" s="512">
        <v>2451868</v>
      </c>
      <c r="P1445" s="516">
        <v>0</v>
      </c>
      <c r="Q1445" s="479">
        <v>0</v>
      </c>
      <c r="R1445" s="479">
        <v>0</v>
      </c>
      <c r="S1445" s="479">
        <v>0</v>
      </c>
      <c r="T1445" s="515">
        <v>0</v>
      </c>
      <c r="U1445" s="517">
        <v>0</v>
      </c>
      <c r="V1445" s="282"/>
      <c r="W1445" s="282">
        <f>O1445/N1445</f>
        <v>3180.1141374837871</v>
      </c>
      <c r="X1445" s="282"/>
    </row>
    <row r="1446" spans="1:53">
      <c r="A1446" s="470"/>
      <c r="B1446" s="480"/>
      <c r="C1446" s="512"/>
      <c r="D1446" s="512"/>
      <c r="E1446" s="512"/>
      <c r="F1446" s="512"/>
      <c r="G1446" s="512"/>
      <c r="H1446" s="512"/>
      <c r="I1446" s="512"/>
      <c r="J1446" s="512"/>
      <c r="K1446" s="512"/>
      <c r="L1446" s="515"/>
      <c r="M1446" s="479"/>
      <c r="N1446" s="479"/>
      <c r="O1446" s="479"/>
      <c r="P1446" s="516"/>
      <c r="Q1446" s="479"/>
      <c r="R1446" s="516"/>
      <c r="S1446" s="479"/>
      <c r="T1446" s="515"/>
      <c r="U1446" s="517"/>
      <c r="V1446" s="282"/>
      <c r="W1446" s="282"/>
      <c r="X1446" s="282"/>
    </row>
    <row r="1447" spans="1:53">
      <c r="A1447" s="470"/>
      <c r="B1447" s="480"/>
      <c r="C1447" s="512"/>
      <c r="D1447" s="512"/>
      <c r="E1447" s="512"/>
      <c r="F1447" s="512"/>
      <c r="G1447" s="512"/>
      <c r="H1447" s="512"/>
      <c r="I1447" s="512"/>
      <c r="J1447" s="512"/>
      <c r="K1447" s="512"/>
      <c r="L1447" s="515"/>
      <c r="M1447" s="479"/>
      <c r="N1447" s="472"/>
      <c r="O1447" s="512"/>
      <c r="P1447" s="516"/>
      <c r="Q1447" s="479"/>
      <c r="R1447" s="479"/>
      <c r="S1447" s="479"/>
      <c r="T1447" s="515"/>
      <c r="U1447" s="517"/>
      <c r="V1447" s="282"/>
      <c r="W1447" s="282"/>
      <c r="X1447" s="282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</row>
    <row r="1448" spans="1:53">
      <c r="A1448" s="198"/>
      <c r="B1448" s="216" t="s">
        <v>56</v>
      </c>
      <c r="C1448" s="211">
        <v>13352826.959999999</v>
      </c>
      <c r="D1448" s="211"/>
      <c r="E1448" s="211"/>
      <c r="F1448" s="211"/>
      <c r="G1448" s="211"/>
      <c r="H1448" s="211"/>
      <c r="I1448" s="211"/>
      <c r="J1448" s="211"/>
      <c r="K1448" s="211">
        <v>8292103.96</v>
      </c>
      <c r="L1448" s="212">
        <v>0</v>
      </c>
      <c r="M1448" s="211">
        <v>0</v>
      </c>
      <c r="N1448" s="211">
        <v>2564.5</v>
      </c>
      <c r="O1448" s="211">
        <v>5060723</v>
      </c>
      <c r="P1448" s="213">
        <v>0</v>
      </c>
      <c r="Q1448" s="211">
        <v>0</v>
      </c>
      <c r="R1448" s="213">
        <v>0</v>
      </c>
      <c r="S1448" s="211">
        <v>0</v>
      </c>
      <c r="T1448" s="212">
        <v>0</v>
      </c>
      <c r="U1448" s="290">
        <v>0</v>
      </c>
      <c r="V1448" s="282"/>
      <c r="W1448" s="282"/>
      <c r="X1448" s="282"/>
    </row>
    <row r="1449" spans="1:53" ht="30">
      <c r="A1449" s="470"/>
      <c r="B1449" s="480" t="s">
        <v>424</v>
      </c>
      <c r="C1449" s="479">
        <f>C1450+C1451+C1452+C1453+C1454</f>
        <v>9225003</v>
      </c>
      <c r="D1449" s="479">
        <f t="shared" ref="D1449:V1449" si="252">D1450+D1451+D1452+D1453+D1454</f>
        <v>2325223</v>
      </c>
      <c r="E1449" s="479">
        <f t="shared" si="252"/>
        <v>702811</v>
      </c>
      <c r="F1449" s="479">
        <f t="shared" si="252"/>
        <v>696395</v>
      </c>
      <c r="G1449" s="479">
        <f t="shared" si="252"/>
        <v>578792</v>
      </c>
      <c r="H1449" s="479">
        <f t="shared" si="252"/>
        <v>212717</v>
      </c>
      <c r="I1449" s="479">
        <f t="shared" si="252"/>
        <v>0</v>
      </c>
      <c r="J1449" s="479">
        <f t="shared" si="252"/>
        <v>134508</v>
      </c>
      <c r="K1449" s="479">
        <f t="shared" si="252"/>
        <v>0</v>
      </c>
      <c r="L1449" s="479">
        <f t="shared" si="252"/>
        <v>0</v>
      </c>
      <c r="M1449" s="479">
        <f t="shared" si="252"/>
        <v>0</v>
      </c>
      <c r="N1449" s="479">
        <f t="shared" si="252"/>
        <v>2418.7800000000002</v>
      </c>
      <c r="O1449" s="479">
        <f t="shared" si="252"/>
        <v>6899780</v>
      </c>
      <c r="P1449" s="479">
        <f t="shared" si="252"/>
        <v>0</v>
      </c>
      <c r="Q1449" s="479">
        <f t="shared" si="252"/>
        <v>0</v>
      </c>
      <c r="R1449" s="479">
        <f t="shared" si="252"/>
        <v>0</v>
      </c>
      <c r="S1449" s="479">
        <f t="shared" si="252"/>
        <v>0</v>
      </c>
      <c r="T1449" s="479">
        <f t="shared" si="252"/>
        <v>0</v>
      </c>
      <c r="U1449" s="479">
        <f t="shared" si="252"/>
        <v>0</v>
      </c>
      <c r="V1449" s="211">
        <f t="shared" si="252"/>
        <v>0</v>
      </c>
      <c r="W1449" s="282"/>
      <c r="X1449" s="282"/>
    </row>
    <row r="1450" spans="1:53" ht="28.15" customHeight="1">
      <c r="A1450" s="470">
        <v>352</v>
      </c>
      <c r="B1450" s="755" t="s">
        <v>715</v>
      </c>
      <c r="C1450" s="479">
        <f>'часть 1'!L1478</f>
        <v>3119960</v>
      </c>
      <c r="D1450" s="479">
        <f>E1450+F1450+G1450+H1450+I1450+J1450+K1450</f>
        <v>1646313</v>
      </c>
      <c r="E1450" s="479">
        <v>519900</v>
      </c>
      <c r="F1450" s="479">
        <v>696395</v>
      </c>
      <c r="G1450" s="479">
        <v>430018</v>
      </c>
      <c r="H1450" s="479">
        <v>0</v>
      </c>
      <c r="I1450" s="479">
        <v>0</v>
      </c>
      <c r="J1450" s="479">
        <v>0</v>
      </c>
      <c r="K1450" s="479">
        <v>0</v>
      </c>
      <c r="L1450" s="515">
        <v>0</v>
      </c>
      <c r="M1450" s="479">
        <v>0</v>
      </c>
      <c r="N1450" s="479">
        <v>591</v>
      </c>
      <c r="O1450" s="479">
        <v>1473647</v>
      </c>
      <c r="P1450" s="516">
        <v>0</v>
      </c>
      <c r="Q1450" s="479">
        <v>0</v>
      </c>
      <c r="R1450" s="516">
        <v>0</v>
      </c>
      <c r="S1450" s="479">
        <v>0</v>
      </c>
      <c r="T1450" s="515">
        <v>0</v>
      </c>
      <c r="U1450" s="517">
        <v>0</v>
      </c>
      <c r="V1450" s="282"/>
      <c r="W1450" s="282">
        <f>O1450/N1450</f>
        <v>2493.4805414551606</v>
      </c>
      <c r="X1450" s="282"/>
      <c r="Y1450" s="23">
        <f>E1450/'часть 1'!I1478</f>
        <v>757.20943780949608</v>
      </c>
      <c r="Z1450" s="1">
        <f>G1450/'часть 1'!I1478</f>
        <v>626.30061170987472</v>
      </c>
      <c r="AA1450" s="1">
        <f>F1450/'часть 1'!I1478</f>
        <v>1014.2659481503058</v>
      </c>
    </row>
    <row r="1451" spans="1:53" ht="24" customHeight="1">
      <c r="A1451" s="470">
        <v>353</v>
      </c>
      <c r="B1451" s="756" t="s">
        <v>716</v>
      </c>
      <c r="C1451" s="479">
        <f>'часть 1'!L1479</f>
        <v>2408975</v>
      </c>
      <c r="D1451" s="479">
        <f t="shared" ref="D1451:D1454" si="253">E1451+F1451+G1451+H1451+I1451+J1451+K1451</f>
        <v>0</v>
      </c>
      <c r="E1451" s="479">
        <v>0</v>
      </c>
      <c r="F1451" s="479">
        <v>0</v>
      </c>
      <c r="G1451" s="479">
        <v>0</v>
      </c>
      <c r="H1451" s="479">
        <v>0</v>
      </c>
      <c r="I1451" s="479">
        <v>0</v>
      </c>
      <c r="J1451" s="479">
        <v>0</v>
      </c>
      <c r="K1451" s="479">
        <v>0</v>
      </c>
      <c r="L1451" s="515">
        <v>0</v>
      </c>
      <c r="M1451" s="479">
        <v>0</v>
      </c>
      <c r="N1451" s="479">
        <v>757.82</v>
      </c>
      <c r="O1451" s="479">
        <v>2408975</v>
      </c>
      <c r="P1451" s="516">
        <v>0</v>
      </c>
      <c r="Q1451" s="479">
        <v>0</v>
      </c>
      <c r="R1451" s="516">
        <v>0</v>
      </c>
      <c r="S1451" s="479">
        <v>0</v>
      </c>
      <c r="T1451" s="515">
        <v>0</v>
      </c>
      <c r="U1451" s="517">
        <v>0</v>
      </c>
      <c r="V1451" s="282"/>
      <c r="W1451" s="282">
        <f>O1451/N1451</f>
        <v>3178.8221477395687</v>
      </c>
      <c r="X1451" s="282"/>
    </row>
    <row r="1452" spans="1:53" ht="22.9" customHeight="1">
      <c r="A1452" s="470">
        <v>354</v>
      </c>
      <c r="B1452" s="755" t="s">
        <v>717</v>
      </c>
      <c r="C1452" s="479">
        <f>'часть 1'!L1480</f>
        <v>678910</v>
      </c>
      <c r="D1452" s="479">
        <f t="shared" si="253"/>
        <v>678910</v>
      </c>
      <c r="E1452" s="479">
        <v>182911</v>
      </c>
      <c r="F1452" s="479">
        <v>0</v>
      </c>
      <c r="G1452" s="479">
        <v>148774</v>
      </c>
      <c r="H1452" s="479">
        <v>212717</v>
      </c>
      <c r="I1452" s="479">
        <v>0</v>
      </c>
      <c r="J1452" s="479">
        <v>134508</v>
      </c>
      <c r="K1452" s="479">
        <v>0</v>
      </c>
      <c r="L1452" s="515">
        <v>0</v>
      </c>
      <c r="M1452" s="479">
        <v>0</v>
      </c>
      <c r="N1452" s="479">
        <v>0</v>
      </c>
      <c r="O1452" s="479">
        <v>0</v>
      </c>
      <c r="P1452" s="516">
        <v>0</v>
      </c>
      <c r="Q1452" s="479">
        <v>0</v>
      </c>
      <c r="R1452" s="516">
        <v>0</v>
      </c>
      <c r="S1452" s="479">
        <v>0</v>
      </c>
      <c r="T1452" s="515">
        <v>0</v>
      </c>
      <c r="U1452" s="517">
        <v>0</v>
      </c>
      <c r="V1452" s="282"/>
      <c r="W1452" s="282"/>
      <c r="X1452" s="282"/>
      <c r="Y1452" s="1">
        <f>E1452/'часть 1'!I1480</f>
        <v>709.23226056611099</v>
      </c>
      <c r="Z1452" s="1">
        <f>G1452/'часть 1'!I1480</f>
        <v>576.86700271423035</v>
      </c>
      <c r="AB1452" s="1">
        <f>H1452/'часть 1'!I1480</f>
        <v>824.80418766963942</v>
      </c>
      <c r="AD1452" s="1">
        <f>J1452/'часть 1'!I1480</f>
        <v>521.55098875533156</v>
      </c>
    </row>
    <row r="1453" spans="1:53" ht="19.899999999999999" customHeight="1">
      <c r="A1453" s="470">
        <v>355</v>
      </c>
      <c r="B1453" s="757" t="s">
        <v>718</v>
      </c>
      <c r="C1453" s="479">
        <f>'часть 1'!L1481</f>
        <v>1603279</v>
      </c>
      <c r="D1453" s="479">
        <f t="shared" si="253"/>
        <v>0</v>
      </c>
      <c r="E1453" s="479">
        <v>0</v>
      </c>
      <c r="F1453" s="479">
        <v>0</v>
      </c>
      <c r="G1453" s="479">
        <v>0</v>
      </c>
      <c r="H1453" s="479">
        <v>0</v>
      </c>
      <c r="I1453" s="479">
        <v>0</v>
      </c>
      <c r="J1453" s="479">
        <v>0</v>
      </c>
      <c r="K1453" s="479">
        <v>0</v>
      </c>
      <c r="L1453" s="515">
        <v>0</v>
      </c>
      <c r="M1453" s="479">
        <v>0</v>
      </c>
      <c r="N1453" s="479">
        <v>503.16</v>
      </c>
      <c r="O1453" s="479">
        <v>1603279</v>
      </c>
      <c r="P1453" s="516">
        <v>0</v>
      </c>
      <c r="Q1453" s="479">
        <v>0</v>
      </c>
      <c r="R1453" s="516">
        <v>0</v>
      </c>
      <c r="S1453" s="479">
        <v>0</v>
      </c>
      <c r="T1453" s="515">
        <v>0</v>
      </c>
      <c r="U1453" s="517">
        <v>0</v>
      </c>
      <c r="V1453" s="282"/>
      <c r="W1453" s="282">
        <f>O1453/N1453</f>
        <v>3186.4198266952858</v>
      </c>
      <c r="X1453" s="282"/>
    </row>
    <row r="1454" spans="1:53" ht="17.45" customHeight="1">
      <c r="A1454" s="470">
        <v>356</v>
      </c>
      <c r="B1454" s="755" t="s">
        <v>719</v>
      </c>
      <c r="C1454" s="479">
        <f>'часть 1'!L1482</f>
        <v>1413879</v>
      </c>
      <c r="D1454" s="479">
        <f t="shared" si="253"/>
        <v>0</v>
      </c>
      <c r="E1454" s="479">
        <v>0</v>
      </c>
      <c r="F1454" s="479">
        <v>0</v>
      </c>
      <c r="G1454" s="479">
        <v>0</v>
      </c>
      <c r="H1454" s="479">
        <v>0</v>
      </c>
      <c r="I1454" s="479">
        <v>0</v>
      </c>
      <c r="J1454" s="479">
        <v>0</v>
      </c>
      <c r="K1454" s="479">
        <v>0</v>
      </c>
      <c r="L1454" s="515">
        <v>0</v>
      </c>
      <c r="M1454" s="479">
        <v>0</v>
      </c>
      <c r="N1454" s="479">
        <v>566.79999999999995</v>
      </c>
      <c r="O1454" s="479">
        <v>1413879</v>
      </c>
      <c r="P1454" s="516">
        <v>0</v>
      </c>
      <c r="Q1454" s="479">
        <v>0</v>
      </c>
      <c r="R1454" s="516">
        <v>0</v>
      </c>
      <c r="S1454" s="479">
        <v>0</v>
      </c>
      <c r="T1454" s="515">
        <v>0</v>
      </c>
      <c r="U1454" s="517">
        <v>0</v>
      </c>
      <c r="V1454" s="282"/>
      <c r="W1454" s="282">
        <f>O1454/N1454</f>
        <v>2494.4936485532817</v>
      </c>
      <c r="X1454" s="282"/>
    </row>
    <row r="1455" spans="1:53" ht="30">
      <c r="A1455" s="198"/>
      <c r="B1455" s="214" t="s">
        <v>121</v>
      </c>
      <c r="C1455" s="211">
        <f>C1456</f>
        <v>2068781</v>
      </c>
      <c r="D1455" s="211">
        <f t="shared" ref="D1455:U1455" si="254">D1456</f>
        <v>0</v>
      </c>
      <c r="E1455" s="211">
        <f t="shared" si="254"/>
        <v>0</v>
      </c>
      <c r="F1455" s="211">
        <f t="shared" si="254"/>
        <v>0</v>
      </c>
      <c r="G1455" s="211">
        <f t="shared" si="254"/>
        <v>0</v>
      </c>
      <c r="H1455" s="211">
        <f t="shared" si="254"/>
        <v>0</v>
      </c>
      <c r="I1455" s="211">
        <f t="shared" si="254"/>
        <v>0</v>
      </c>
      <c r="J1455" s="211">
        <f t="shared" si="254"/>
        <v>0</v>
      </c>
      <c r="K1455" s="211">
        <f t="shared" si="254"/>
        <v>0</v>
      </c>
      <c r="L1455" s="211">
        <f t="shared" si="254"/>
        <v>0</v>
      </c>
      <c r="M1455" s="211">
        <f t="shared" si="254"/>
        <v>0</v>
      </c>
      <c r="N1455" s="211">
        <f t="shared" si="254"/>
        <v>0</v>
      </c>
      <c r="O1455" s="211">
        <f t="shared" si="254"/>
        <v>2068781</v>
      </c>
      <c r="P1455" s="211">
        <f t="shared" si="254"/>
        <v>0</v>
      </c>
      <c r="Q1455" s="211">
        <f t="shared" si="254"/>
        <v>0</v>
      </c>
      <c r="R1455" s="211">
        <f t="shared" si="254"/>
        <v>0</v>
      </c>
      <c r="S1455" s="211">
        <f t="shared" si="254"/>
        <v>0</v>
      </c>
      <c r="T1455" s="211">
        <f t="shared" si="254"/>
        <v>0</v>
      </c>
      <c r="U1455" s="211">
        <f t="shared" si="254"/>
        <v>0</v>
      </c>
      <c r="V1455" s="282"/>
      <c r="W1455" s="282"/>
      <c r="X1455" s="282"/>
    </row>
    <row r="1456" spans="1:53" ht="22.9" customHeight="1">
      <c r="A1456" s="198">
        <v>362</v>
      </c>
      <c r="B1456" s="214" t="s">
        <v>993</v>
      </c>
      <c r="C1456" s="211">
        <f>'часть 1'!L1484</f>
        <v>2068781</v>
      </c>
      <c r="D1456" s="211">
        <v>0</v>
      </c>
      <c r="E1456" s="211">
        <v>0</v>
      </c>
      <c r="F1456" s="211">
        <v>0</v>
      </c>
      <c r="G1456" s="211">
        <v>0</v>
      </c>
      <c r="H1456" s="211">
        <v>0</v>
      </c>
      <c r="I1456" s="211">
        <v>0</v>
      </c>
      <c r="J1456" s="211">
        <v>0</v>
      </c>
      <c r="K1456" s="211">
        <v>0</v>
      </c>
      <c r="L1456" s="212">
        <v>0</v>
      </c>
      <c r="M1456" s="211">
        <v>0</v>
      </c>
      <c r="N1456" s="939"/>
      <c r="O1456" s="211">
        <v>2068781</v>
      </c>
      <c r="P1456" s="213">
        <v>0</v>
      </c>
      <c r="Q1456" s="211">
        <v>0</v>
      </c>
      <c r="R1456" s="213">
        <v>0</v>
      </c>
      <c r="S1456" s="211">
        <v>0</v>
      </c>
      <c r="T1456" s="212">
        <v>0</v>
      </c>
      <c r="U1456" s="290">
        <v>0</v>
      </c>
      <c r="V1456" s="282"/>
      <c r="W1456" s="282" t="e">
        <f>O1456/N1456</f>
        <v>#DIV/0!</v>
      </c>
      <c r="X1456" s="282"/>
    </row>
    <row r="1457" spans="1:28" s="18" customFormat="1" ht="30">
      <c r="A1457" s="198"/>
      <c r="B1457" s="214" t="s">
        <v>807</v>
      </c>
      <c r="C1457" s="211">
        <f>C1458</f>
        <v>588419</v>
      </c>
      <c r="D1457" s="211">
        <f t="shared" ref="D1457:U1457" si="255">D1458</f>
        <v>588419</v>
      </c>
      <c r="E1457" s="211">
        <f t="shared" si="255"/>
        <v>0</v>
      </c>
      <c r="F1457" s="211">
        <f t="shared" si="255"/>
        <v>0</v>
      </c>
      <c r="G1457" s="211">
        <f t="shared" si="255"/>
        <v>0</v>
      </c>
      <c r="H1457" s="211">
        <f t="shared" si="255"/>
        <v>588419</v>
      </c>
      <c r="I1457" s="211">
        <f t="shared" si="255"/>
        <v>0</v>
      </c>
      <c r="J1457" s="211">
        <f t="shared" si="255"/>
        <v>0</v>
      </c>
      <c r="K1457" s="211">
        <f t="shared" si="255"/>
        <v>0</v>
      </c>
      <c r="L1457" s="211">
        <f t="shared" si="255"/>
        <v>0</v>
      </c>
      <c r="M1457" s="211">
        <f t="shared" si="255"/>
        <v>0</v>
      </c>
      <c r="N1457" s="211">
        <f t="shared" si="255"/>
        <v>0</v>
      </c>
      <c r="O1457" s="211">
        <f t="shared" si="255"/>
        <v>0</v>
      </c>
      <c r="P1457" s="211">
        <f t="shared" si="255"/>
        <v>0</v>
      </c>
      <c r="Q1457" s="211">
        <f t="shared" si="255"/>
        <v>0</v>
      </c>
      <c r="R1457" s="211">
        <f t="shared" si="255"/>
        <v>0</v>
      </c>
      <c r="S1457" s="211">
        <f t="shared" si="255"/>
        <v>0</v>
      </c>
      <c r="T1457" s="211">
        <f t="shared" si="255"/>
        <v>0</v>
      </c>
      <c r="U1457" s="211">
        <f t="shared" si="255"/>
        <v>0</v>
      </c>
      <c r="V1457" s="282"/>
      <c r="W1457" s="282"/>
      <c r="X1457" s="282"/>
    </row>
    <row r="1458" spans="1:28">
      <c r="A1458" s="198">
        <v>363</v>
      </c>
      <c r="B1458" s="216" t="s">
        <v>809</v>
      </c>
      <c r="C1458" s="211">
        <f>'часть 1'!L1486</f>
        <v>588419</v>
      </c>
      <c r="D1458" s="211">
        <f>E1458+F1458+G1458+H1458+I1458+J1458+K1458</f>
        <v>588419</v>
      </c>
      <c r="E1458" s="211">
        <v>0</v>
      </c>
      <c r="F1458" s="211">
        <v>0</v>
      </c>
      <c r="G1458" s="211">
        <v>0</v>
      </c>
      <c r="H1458" s="211">
        <v>588419</v>
      </c>
      <c r="I1458" s="211">
        <v>0</v>
      </c>
      <c r="J1458" s="211">
        <v>0</v>
      </c>
      <c r="K1458" s="211">
        <v>0</v>
      </c>
      <c r="L1458" s="212">
        <v>0</v>
      </c>
      <c r="M1458" s="211">
        <v>0</v>
      </c>
      <c r="N1458" s="211">
        <v>0</v>
      </c>
      <c r="O1458" s="211">
        <v>0</v>
      </c>
      <c r="P1458" s="213">
        <v>0</v>
      </c>
      <c r="Q1458" s="211">
        <v>0</v>
      </c>
      <c r="R1458" s="213">
        <v>0</v>
      </c>
      <c r="S1458" s="211">
        <v>0</v>
      </c>
      <c r="T1458" s="212">
        <v>0</v>
      </c>
      <c r="U1458" s="290">
        <v>0</v>
      </c>
      <c r="V1458" s="282"/>
      <c r="W1458" s="282"/>
      <c r="X1458" s="282"/>
      <c r="AB1458" s="1">
        <f>H1458/'часть 1'!I1486</f>
        <v>899.4481809844084</v>
      </c>
    </row>
    <row r="1459" spans="1:28" ht="25.15" customHeight="1">
      <c r="A1459" s="198"/>
      <c r="B1459" s="216" t="s">
        <v>57</v>
      </c>
      <c r="C1459" s="211">
        <f>C1460</f>
        <v>1788296</v>
      </c>
      <c r="D1459" s="211">
        <f t="shared" ref="D1459:V1459" si="256">D1460</f>
        <v>0</v>
      </c>
      <c r="E1459" s="211">
        <f t="shared" si="256"/>
        <v>0</v>
      </c>
      <c r="F1459" s="211">
        <f t="shared" si="256"/>
        <v>0</v>
      </c>
      <c r="G1459" s="211">
        <f t="shared" si="256"/>
        <v>0</v>
      </c>
      <c r="H1459" s="211">
        <f t="shared" si="256"/>
        <v>0</v>
      </c>
      <c r="I1459" s="211">
        <f t="shared" si="256"/>
        <v>0</v>
      </c>
      <c r="J1459" s="211">
        <f t="shared" si="256"/>
        <v>0</v>
      </c>
      <c r="K1459" s="211">
        <f t="shared" si="256"/>
        <v>0</v>
      </c>
      <c r="L1459" s="211">
        <f t="shared" si="256"/>
        <v>0</v>
      </c>
      <c r="M1459" s="211">
        <f t="shared" si="256"/>
        <v>0</v>
      </c>
      <c r="N1459" s="211">
        <f t="shared" si="256"/>
        <v>560</v>
      </c>
      <c r="O1459" s="211">
        <f t="shared" si="256"/>
        <v>1788296</v>
      </c>
      <c r="P1459" s="211">
        <f t="shared" si="256"/>
        <v>0</v>
      </c>
      <c r="Q1459" s="211">
        <f t="shared" si="256"/>
        <v>0</v>
      </c>
      <c r="R1459" s="211">
        <f t="shared" si="256"/>
        <v>0</v>
      </c>
      <c r="S1459" s="211">
        <f t="shared" si="256"/>
        <v>0</v>
      </c>
      <c r="T1459" s="211">
        <f t="shared" si="256"/>
        <v>0</v>
      </c>
      <c r="U1459" s="211">
        <f t="shared" si="256"/>
        <v>0</v>
      </c>
      <c r="V1459" s="211">
        <f t="shared" si="256"/>
        <v>0</v>
      </c>
      <c r="W1459" s="282"/>
      <c r="X1459" s="282"/>
    </row>
    <row r="1460" spans="1:28" ht="36" customHeight="1">
      <c r="A1460" s="198"/>
      <c r="B1460" s="214" t="s">
        <v>119</v>
      </c>
      <c r="C1460" s="211">
        <f>C1461</f>
        <v>1788296</v>
      </c>
      <c r="D1460" s="211">
        <f t="shared" ref="D1460:U1460" si="257">D1461</f>
        <v>0</v>
      </c>
      <c r="E1460" s="211">
        <f t="shared" si="257"/>
        <v>0</v>
      </c>
      <c r="F1460" s="211">
        <f t="shared" si="257"/>
        <v>0</v>
      </c>
      <c r="G1460" s="211">
        <f t="shared" si="257"/>
        <v>0</v>
      </c>
      <c r="H1460" s="211">
        <f t="shared" si="257"/>
        <v>0</v>
      </c>
      <c r="I1460" s="211">
        <f t="shared" si="257"/>
        <v>0</v>
      </c>
      <c r="J1460" s="211">
        <f t="shared" si="257"/>
        <v>0</v>
      </c>
      <c r="K1460" s="211">
        <f t="shared" si="257"/>
        <v>0</v>
      </c>
      <c r="L1460" s="211">
        <f t="shared" si="257"/>
        <v>0</v>
      </c>
      <c r="M1460" s="211">
        <f t="shared" si="257"/>
        <v>0</v>
      </c>
      <c r="N1460" s="211">
        <f t="shared" si="257"/>
        <v>560</v>
      </c>
      <c r="O1460" s="211">
        <f t="shared" si="257"/>
        <v>1788296</v>
      </c>
      <c r="P1460" s="211">
        <f t="shared" si="257"/>
        <v>0</v>
      </c>
      <c r="Q1460" s="211">
        <f t="shared" si="257"/>
        <v>0</v>
      </c>
      <c r="R1460" s="211">
        <f t="shared" si="257"/>
        <v>0</v>
      </c>
      <c r="S1460" s="211">
        <f t="shared" si="257"/>
        <v>0</v>
      </c>
      <c r="T1460" s="211">
        <f t="shared" si="257"/>
        <v>0</v>
      </c>
      <c r="U1460" s="211">
        <f t="shared" si="257"/>
        <v>0</v>
      </c>
      <c r="V1460" s="282"/>
      <c r="W1460" s="282"/>
      <c r="X1460" s="282"/>
    </row>
    <row r="1461" spans="1:28" ht="27.6" customHeight="1">
      <c r="A1461" s="198">
        <v>364</v>
      </c>
      <c r="B1461" s="909" t="s">
        <v>984</v>
      </c>
      <c r="C1461" s="211">
        <f>'часть 1'!L1489</f>
        <v>1788296</v>
      </c>
      <c r="D1461" s="211">
        <v>0</v>
      </c>
      <c r="E1461" s="211">
        <v>0</v>
      </c>
      <c r="F1461" s="211">
        <v>0</v>
      </c>
      <c r="G1461" s="211">
        <v>0</v>
      </c>
      <c r="H1461" s="211">
        <v>0</v>
      </c>
      <c r="I1461" s="211">
        <v>0</v>
      </c>
      <c r="J1461" s="211">
        <v>0</v>
      </c>
      <c r="K1461" s="211">
        <v>0</v>
      </c>
      <c r="L1461" s="212">
        <v>0</v>
      </c>
      <c r="M1461" s="211">
        <v>0</v>
      </c>
      <c r="N1461" s="211">
        <v>560</v>
      </c>
      <c r="O1461" s="211">
        <v>1788296</v>
      </c>
      <c r="P1461" s="213">
        <v>0</v>
      </c>
      <c r="Q1461" s="211">
        <v>0</v>
      </c>
      <c r="R1461" s="213">
        <v>0</v>
      </c>
      <c r="S1461" s="211">
        <v>0</v>
      </c>
      <c r="T1461" s="212">
        <v>0</v>
      </c>
      <c r="U1461" s="290">
        <v>0</v>
      </c>
      <c r="V1461" s="282"/>
      <c r="W1461" s="282">
        <f>O1461/N1461</f>
        <v>3193.3857142857141</v>
      </c>
      <c r="X1461" s="282"/>
    </row>
    <row r="1462" spans="1:28">
      <c r="A1462" s="198"/>
      <c r="B1462" s="216" t="s">
        <v>58</v>
      </c>
      <c r="C1462" s="211">
        <v>12228909</v>
      </c>
      <c r="D1462" s="211"/>
      <c r="E1462" s="211"/>
      <c r="F1462" s="211"/>
      <c r="G1462" s="211"/>
      <c r="H1462" s="211"/>
      <c r="I1462" s="211"/>
      <c r="J1462" s="211"/>
      <c r="K1462" s="211">
        <v>215709</v>
      </c>
      <c r="L1462" s="212">
        <v>0</v>
      </c>
      <c r="M1462" s="211">
        <v>0</v>
      </c>
      <c r="N1462" s="211">
        <v>6001.34</v>
      </c>
      <c r="O1462" s="211">
        <v>12013200</v>
      </c>
      <c r="P1462" s="213">
        <v>0</v>
      </c>
      <c r="Q1462" s="211">
        <v>0</v>
      </c>
      <c r="R1462" s="213">
        <v>0</v>
      </c>
      <c r="S1462" s="211">
        <v>0</v>
      </c>
      <c r="T1462" s="212">
        <v>0</v>
      </c>
      <c r="U1462" s="290">
        <v>0</v>
      </c>
      <c r="V1462" s="282"/>
      <c r="W1462" s="282"/>
      <c r="X1462" s="282"/>
    </row>
    <row r="1463" spans="1:28" ht="30">
      <c r="A1463" s="198"/>
      <c r="B1463" s="214" t="s">
        <v>87</v>
      </c>
      <c r="C1463" s="211">
        <v>12228909</v>
      </c>
      <c r="D1463" s="211"/>
      <c r="E1463" s="211"/>
      <c r="F1463" s="211"/>
      <c r="G1463" s="211"/>
      <c r="H1463" s="211"/>
      <c r="I1463" s="211"/>
      <c r="J1463" s="211"/>
      <c r="K1463" s="211">
        <v>215709</v>
      </c>
      <c r="L1463" s="212">
        <v>0</v>
      </c>
      <c r="M1463" s="211">
        <v>0</v>
      </c>
      <c r="N1463" s="211">
        <v>6001.34</v>
      </c>
      <c r="O1463" s="211">
        <v>12013200</v>
      </c>
      <c r="P1463" s="213">
        <v>0</v>
      </c>
      <c r="Q1463" s="211">
        <v>0</v>
      </c>
      <c r="R1463" s="213">
        <v>0</v>
      </c>
      <c r="S1463" s="211">
        <v>0</v>
      </c>
      <c r="T1463" s="212">
        <v>0</v>
      </c>
      <c r="U1463" s="290">
        <v>0</v>
      </c>
      <c r="V1463" s="282"/>
      <c r="W1463" s="282"/>
      <c r="X1463" s="282"/>
    </row>
    <row r="1464" spans="1:28" s="29" customFormat="1">
      <c r="A1464" s="198">
        <v>366</v>
      </c>
      <c r="B1464" s="238" t="s">
        <v>84</v>
      </c>
      <c r="C1464" s="232">
        <v>1668544</v>
      </c>
      <c r="D1464" s="232"/>
      <c r="E1464" s="232"/>
      <c r="F1464" s="232"/>
      <c r="G1464" s="232"/>
      <c r="H1464" s="232"/>
      <c r="I1464" s="232"/>
      <c r="J1464" s="232"/>
      <c r="K1464" s="196">
        <v>0</v>
      </c>
      <c r="L1464" s="204">
        <v>0</v>
      </c>
      <c r="M1464" s="209">
        <v>0</v>
      </c>
      <c r="N1464" s="199">
        <v>840</v>
      </c>
      <c r="O1464" s="237">
        <v>1668544</v>
      </c>
      <c r="P1464" s="200">
        <v>0</v>
      </c>
      <c r="Q1464" s="199">
        <v>0</v>
      </c>
      <c r="R1464" s="200">
        <v>0</v>
      </c>
      <c r="S1464" s="199">
        <v>0</v>
      </c>
      <c r="T1464" s="208">
        <v>0</v>
      </c>
      <c r="U1464" s="294">
        <v>0</v>
      </c>
      <c r="V1464" s="282"/>
      <c r="W1464" s="282"/>
      <c r="X1464" s="282"/>
    </row>
    <row r="1465" spans="1:28" s="29" customFormat="1">
      <c r="A1465" s="198">
        <v>367</v>
      </c>
      <c r="B1465" s="238" t="s">
        <v>425</v>
      </c>
      <c r="C1465" s="211">
        <v>2239107</v>
      </c>
      <c r="D1465" s="211"/>
      <c r="E1465" s="211"/>
      <c r="F1465" s="211"/>
      <c r="G1465" s="211"/>
      <c r="H1465" s="211"/>
      <c r="I1465" s="211"/>
      <c r="J1465" s="211"/>
      <c r="K1465" s="196">
        <v>0</v>
      </c>
      <c r="L1465" s="204">
        <v>0</v>
      </c>
      <c r="M1465" s="209">
        <v>0</v>
      </c>
      <c r="N1465" s="199">
        <v>1101</v>
      </c>
      <c r="O1465" s="237">
        <v>2239107</v>
      </c>
      <c r="P1465" s="200">
        <v>0</v>
      </c>
      <c r="Q1465" s="199">
        <v>0</v>
      </c>
      <c r="R1465" s="200">
        <v>0</v>
      </c>
      <c r="S1465" s="199">
        <v>0</v>
      </c>
      <c r="T1465" s="208">
        <v>0</v>
      </c>
      <c r="U1465" s="294">
        <v>0</v>
      </c>
      <c r="V1465" s="282"/>
      <c r="W1465" s="282"/>
      <c r="X1465" s="282"/>
    </row>
    <row r="1466" spans="1:28" s="29" customFormat="1">
      <c r="A1466" s="198">
        <v>368</v>
      </c>
      <c r="B1466" s="238" t="s">
        <v>433</v>
      </c>
      <c r="C1466" s="232">
        <v>215709</v>
      </c>
      <c r="D1466" s="232"/>
      <c r="E1466" s="232"/>
      <c r="F1466" s="232"/>
      <c r="G1466" s="232"/>
      <c r="H1466" s="232"/>
      <c r="I1466" s="232"/>
      <c r="J1466" s="232"/>
      <c r="K1466" s="196">
        <v>215709</v>
      </c>
      <c r="L1466" s="204">
        <v>0</v>
      </c>
      <c r="M1466" s="209">
        <v>0</v>
      </c>
      <c r="N1466" s="199">
        <v>0</v>
      </c>
      <c r="O1466" s="237">
        <v>0</v>
      </c>
      <c r="P1466" s="200">
        <v>0</v>
      </c>
      <c r="Q1466" s="199">
        <v>0</v>
      </c>
      <c r="R1466" s="200">
        <v>0</v>
      </c>
      <c r="S1466" s="199">
        <v>0</v>
      </c>
      <c r="T1466" s="208">
        <v>0</v>
      </c>
      <c r="U1466" s="294">
        <v>0</v>
      </c>
      <c r="V1466" s="282"/>
      <c r="W1466" s="282"/>
      <c r="X1466" s="282"/>
    </row>
    <row r="1467" spans="1:28" s="29" customFormat="1">
      <c r="A1467" s="198">
        <v>369</v>
      </c>
      <c r="B1467" s="238" t="s">
        <v>79</v>
      </c>
      <c r="C1467" s="211">
        <v>706234</v>
      </c>
      <c r="D1467" s="211"/>
      <c r="E1467" s="211"/>
      <c r="F1467" s="211"/>
      <c r="G1467" s="211"/>
      <c r="H1467" s="211"/>
      <c r="I1467" s="211"/>
      <c r="J1467" s="211"/>
      <c r="K1467" s="196">
        <v>0</v>
      </c>
      <c r="L1467" s="204">
        <v>0</v>
      </c>
      <c r="M1467" s="209">
        <v>0</v>
      </c>
      <c r="N1467" s="199">
        <v>348</v>
      </c>
      <c r="O1467" s="237">
        <v>706234</v>
      </c>
      <c r="P1467" s="200">
        <v>0</v>
      </c>
      <c r="Q1467" s="199">
        <v>0</v>
      </c>
      <c r="R1467" s="200">
        <v>0</v>
      </c>
      <c r="S1467" s="199">
        <v>0</v>
      </c>
      <c r="T1467" s="208">
        <v>0</v>
      </c>
      <c r="U1467" s="294">
        <v>0</v>
      </c>
      <c r="V1467" s="282"/>
      <c r="W1467" s="282"/>
      <c r="X1467" s="282"/>
    </row>
    <row r="1468" spans="1:28" s="29" customFormat="1">
      <c r="A1468" s="198">
        <v>370</v>
      </c>
      <c r="B1468" s="238" t="s">
        <v>78</v>
      </c>
      <c r="C1468" s="211">
        <v>651603</v>
      </c>
      <c r="D1468" s="211"/>
      <c r="E1468" s="211"/>
      <c r="F1468" s="211"/>
      <c r="G1468" s="211"/>
      <c r="H1468" s="211"/>
      <c r="I1468" s="211"/>
      <c r="J1468" s="211"/>
      <c r="K1468" s="196">
        <v>0</v>
      </c>
      <c r="L1468" s="204">
        <v>0</v>
      </c>
      <c r="M1468" s="209">
        <v>0</v>
      </c>
      <c r="N1468" s="199">
        <v>320</v>
      </c>
      <c r="O1468" s="237">
        <v>651603</v>
      </c>
      <c r="P1468" s="200">
        <v>0</v>
      </c>
      <c r="Q1468" s="199">
        <v>0</v>
      </c>
      <c r="R1468" s="200">
        <v>0</v>
      </c>
      <c r="S1468" s="199">
        <v>0</v>
      </c>
      <c r="T1468" s="208">
        <v>0</v>
      </c>
      <c r="U1468" s="294">
        <v>0</v>
      </c>
      <c r="V1468" s="282"/>
      <c r="W1468" s="282"/>
      <c r="X1468" s="282"/>
    </row>
    <row r="1469" spans="1:28" s="29" customFormat="1">
      <c r="A1469" s="198">
        <v>371</v>
      </c>
      <c r="B1469" s="238" t="s">
        <v>426</v>
      </c>
      <c r="C1469" s="232">
        <v>698701</v>
      </c>
      <c r="D1469" s="232"/>
      <c r="E1469" s="232"/>
      <c r="F1469" s="232"/>
      <c r="G1469" s="232"/>
      <c r="H1469" s="232"/>
      <c r="I1469" s="232"/>
      <c r="J1469" s="232"/>
      <c r="K1469" s="196">
        <v>0</v>
      </c>
      <c r="L1469" s="204">
        <v>0</v>
      </c>
      <c r="M1469" s="209">
        <v>0</v>
      </c>
      <c r="N1469" s="199">
        <v>352</v>
      </c>
      <c r="O1469" s="237">
        <v>698701</v>
      </c>
      <c r="P1469" s="200">
        <v>0</v>
      </c>
      <c r="Q1469" s="199">
        <v>0</v>
      </c>
      <c r="R1469" s="200">
        <v>0</v>
      </c>
      <c r="S1469" s="199">
        <v>0</v>
      </c>
      <c r="T1469" s="208">
        <v>0</v>
      </c>
      <c r="U1469" s="294">
        <v>0</v>
      </c>
      <c r="V1469" s="282"/>
      <c r="W1469" s="282"/>
      <c r="X1469" s="282"/>
    </row>
    <row r="1470" spans="1:28" s="29" customFormat="1">
      <c r="A1470" s="198">
        <v>372</v>
      </c>
      <c r="B1470" s="238" t="s">
        <v>80</v>
      </c>
      <c r="C1470" s="232">
        <v>1512903</v>
      </c>
      <c r="D1470" s="232"/>
      <c r="E1470" s="232"/>
      <c r="F1470" s="232"/>
      <c r="G1470" s="232"/>
      <c r="H1470" s="232"/>
      <c r="I1470" s="232"/>
      <c r="J1470" s="232"/>
      <c r="K1470" s="196">
        <v>0</v>
      </c>
      <c r="L1470" s="204">
        <v>0</v>
      </c>
      <c r="M1470" s="209">
        <v>0</v>
      </c>
      <c r="N1470" s="199">
        <v>762</v>
      </c>
      <c r="O1470" s="237">
        <v>1512903</v>
      </c>
      <c r="P1470" s="200">
        <v>0</v>
      </c>
      <c r="Q1470" s="199">
        <v>0</v>
      </c>
      <c r="R1470" s="200">
        <v>0</v>
      </c>
      <c r="S1470" s="199">
        <v>0</v>
      </c>
      <c r="T1470" s="208">
        <v>0</v>
      </c>
      <c r="U1470" s="294">
        <v>0</v>
      </c>
      <c r="V1470" s="282"/>
      <c r="W1470" s="282"/>
      <c r="X1470" s="282"/>
    </row>
    <row r="1471" spans="1:28" s="29" customFormat="1">
      <c r="A1471" s="198">
        <v>373</v>
      </c>
      <c r="B1471" s="238" t="s">
        <v>81</v>
      </c>
      <c r="C1471" s="232">
        <v>2294873</v>
      </c>
      <c r="D1471" s="232"/>
      <c r="E1471" s="232"/>
      <c r="F1471" s="232"/>
      <c r="G1471" s="232"/>
      <c r="H1471" s="232"/>
      <c r="I1471" s="232"/>
      <c r="J1471" s="232"/>
      <c r="K1471" s="196">
        <v>0</v>
      </c>
      <c r="L1471" s="204">
        <v>0</v>
      </c>
      <c r="M1471" s="209">
        <v>0</v>
      </c>
      <c r="N1471" s="199">
        <v>1162</v>
      </c>
      <c r="O1471" s="237">
        <v>2294873</v>
      </c>
      <c r="P1471" s="200">
        <v>0</v>
      </c>
      <c r="Q1471" s="199">
        <v>0</v>
      </c>
      <c r="R1471" s="230">
        <v>0</v>
      </c>
      <c r="S1471" s="237">
        <v>0</v>
      </c>
      <c r="T1471" s="208">
        <v>0</v>
      </c>
      <c r="U1471" s="294">
        <v>0</v>
      </c>
      <c r="V1471" s="282"/>
      <c r="W1471" s="282"/>
      <c r="X1471" s="282"/>
    </row>
    <row r="1472" spans="1:28" s="29" customFormat="1">
      <c r="A1472" s="198">
        <v>374</v>
      </c>
      <c r="B1472" s="238" t="s">
        <v>82</v>
      </c>
      <c r="C1472" s="232">
        <v>879987</v>
      </c>
      <c r="D1472" s="232"/>
      <c r="E1472" s="232"/>
      <c r="F1472" s="232"/>
      <c r="G1472" s="232"/>
      <c r="H1472" s="232"/>
      <c r="I1472" s="232"/>
      <c r="J1472" s="232"/>
      <c r="K1472" s="196">
        <v>0</v>
      </c>
      <c r="L1472" s="204">
        <v>0</v>
      </c>
      <c r="M1472" s="209">
        <v>0</v>
      </c>
      <c r="N1472" s="199">
        <v>436.34</v>
      </c>
      <c r="O1472" s="237">
        <v>879987</v>
      </c>
      <c r="P1472" s="200">
        <v>0</v>
      </c>
      <c r="Q1472" s="199">
        <v>0</v>
      </c>
      <c r="R1472" s="200">
        <v>0</v>
      </c>
      <c r="S1472" s="237">
        <v>0</v>
      </c>
      <c r="T1472" s="208">
        <v>0</v>
      </c>
      <c r="U1472" s="294">
        <v>0</v>
      </c>
      <c r="V1472" s="282"/>
      <c r="W1472" s="282"/>
      <c r="X1472" s="282"/>
    </row>
    <row r="1473" spans="1:26" s="29" customFormat="1">
      <c r="A1473" s="198">
        <v>375</v>
      </c>
      <c r="B1473" s="238" t="s">
        <v>83</v>
      </c>
      <c r="C1473" s="232">
        <v>1361248</v>
      </c>
      <c r="D1473" s="232"/>
      <c r="E1473" s="232"/>
      <c r="F1473" s="232"/>
      <c r="G1473" s="232"/>
      <c r="H1473" s="232"/>
      <c r="I1473" s="232"/>
      <c r="J1473" s="232"/>
      <c r="K1473" s="196">
        <v>0</v>
      </c>
      <c r="L1473" s="204">
        <v>0</v>
      </c>
      <c r="M1473" s="209">
        <v>0</v>
      </c>
      <c r="N1473" s="199">
        <v>680</v>
      </c>
      <c r="O1473" s="237">
        <v>1361248</v>
      </c>
      <c r="P1473" s="200">
        <v>0</v>
      </c>
      <c r="Q1473" s="199">
        <v>0</v>
      </c>
      <c r="R1473" s="230">
        <v>0</v>
      </c>
      <c r="S1473" s="237">
        <v>0</v>
      </c>
      <c r="T1473" s="208">
        <v>0</v>
      </c>
      <c r="U1473" s="294">
        <v>0</v>
      </c>
      <c r="V1473" s="282"/>
      <c r="W1473" s="282"/>
      <c r="X1473" s="282"/>
    </row>
    <row r="1474" spans="1:26" ht="35.450000000000003" customHeight="1">
      <c r="A1474" s="470"/>
      <c r="B1474" s="524" t="s">
        <v>59</v>
      </c>
      <c r="C1474" s="479">
        <f>C1475+C1476</f>
        <v>0</v>
      </c>
      <c r="D1474" s="479">
        <f t="shared" ref="D1474:V1474" si="258">D1475+D1476</f>
        <v>0</v>
      </c>
      <c r="E1474" s="479">
        <f t="shared" si="258"/>
        <v>0</v>
      </c>
      <c r="F1474" s="479">
        <f t="shared" si="258"/>
        <v>0</v>
      </c>
      <c r="G1474" s="479">
        <f t="shared" si="258"/>
        <v>0</v>
      </c>
      <c r="H1474" s="479">
        <f t="shared" si="258"/>
        <v>0</v>
      </c>
      <c r="I1474" s="479">
        <f t="shared" si="258"/>
        <v>0</v>
      </c>
      <c r="J1474" s="479">
        <f t="shared" si="258"/>
        <v>0</v>
      </c>
      <c r="K1474" s="479">
        <f t="shared" si="258"/>
        <v>0</v>
      </c>
      <c r="L1474" s="479">
        <f t="shared" si="258"/>
        <v>0</v>
      </c>
      <c r="M1474" s="479">
        <f t="shared" si="258"/>
        <v>0</v>
      </c>
      <c r="N1474" s="479">
        <f t="shared" si="258"/>
        <v>0</v>
      </c>
      <c r="O1474" s="479">
        <f t="shared" si="258"/>
        <v>0</v>
      </c>
      <c r="P1474" s="479">
        <f t="shared" si="258"/>
        <v>0</v>
      </c>
      <c r="Q1474" s="479">
        <f t="shared" si="258"/>
        <v>0</v>
      </c>
      <c r="R1474" s="479">
        <f t="shared" si="258"/>
        <v>0</v>
      </c>
      <c r="S1474" s="479">
        <f t="shared" si="258"/>
        <v>0</v>
      </c>
      <c r="T1474" s="479">
        <f t="shared" si="258"/>
        <v>0</v>
      </c>
      <c r="U1474" s="479">
        <f t="shared" si="258"/>
        <v>0</v>
      </c>
      <c r="V1474" s="211">
        <f t="shared" si="258"/>
        <v>0</v>
      </c>
      <c r="W1474" s="282"/>
      <c r="X1474" s="282"/>
    </row>
    <row r="1475" spans="1:26" ht="30">
      <c r="A1475" s="470"/>
      <c r="B1475" s="523" t="s">
        <v>86</v>
      </c>
      <c r="C1475" s="558">
        <v>0</v>
      </c>
      <c r="D1475" s="558">
        <v>0</v>
      </c>
      <c r="E1475" s="558">
        <v>0</v>
      </c>
      <c r="F1475" s="558">
        <v>0</v>
      </c>
      <c r="G1475" s="558">
        <v>0</v>
      </c>
      <c r="H1475" s="558">
        <v>0</v>
      </c>
      <c r="I1475" s="558">
        <v>0</v>
      </c>
      <c r="J1475" s="558">
        <v>0</v>
      </c>
      <c r="K1475" s="558">
        <v>0</v>
      </c>
      <c r="L1475" s="930">
        <v>0</v>
      </c>
      <c r="M1475" s="558">
        <v>0</v>
      </c>
      <c r="N1475" s="558">
        <v>0</v>
      </c>
      <c r="O1475" s="558">
        <v>0</v>
      </c>
      <c r="P1475" s="931">
        <v>0</v>
      </c>
      <c r="Q1475" s="558">
        <v>0</v>
      </c>
      <c r="R1475" s="558">
        <v>0</v>
      </c>
      <c r="S1475" s="558">
        <v>0</v>
      </c>
      <c r="T1475" s="930">
        <v>0</v>
      </c>
      <c r="U1475" s="932">
        <v>0</v>
      </c>
      <c r="V1475" s="282"/>
      <c r="W1475" s="282"/>
      <c r="X1475" s="282"/>
      <c r="Y1475" s="30"/>
      <c r="Z1475" s="30"/>
    </row>
    <row r="1476" spans="1:26" ht="30">
      <c r="A1476" s="470"/>
      <c r="B1476" s="523" t="s">
        <v>85</v>
      </c>
      <c r="C1476" s="558">
        <v>0</v>
      </c>
      <c r="D1476" s="558">
        <v>0</v>
      </c>
      <c r="E1476" s="558">
        <v>0</v>
      </c>
      <c r="F1476" s="558">
        <v>0</v>
      </c>
      <c r="G1476" s="558">
        <v>0</v>
      </c>
      <c r="H1476" s="558">
        <v>0</v>
      </c>
      <c r="I1476" s="558">
        <v>0</v>
      </c>
      <c r="J1476" s="558">
        <v>0</v>
      </c>
      <c r="K1476" s="558">
        <v>0</v>
      </c>
      <c r="L1476" s="930">
        <v>0</v>
      </c>
      <c r="M1476" s="558">
        <v>0</v>
      </c>
      <c r="N1476" s="558">
        <v>0</v>
      </c>
      <c r="O1476" s="558">
        <v>0</v>
      </c>
      <c r="P1476" s="931">
        <v>0</v>
      </c>
      <c r="Q1476" s="558">
        <v>0</v>
      </c>
      <c r="R1476" s="931">
        <v>0</v>
      </c>
      <c r="S1476" s="558">
        <v>0</v>
      </c>
      <c r="T1476" s="933">
        <v>0</v>
      </c>
      <c r="U1476" s="932">
        <v>0</v>
      </c>
      <c r="V1476" s="282"/>
      <c r="W1476" s="282"/>
      <c r="X1476" s="282"/>
      <c r="Y1476" s="92"/>
      <c r="Z1476" s="92"/>
    </row>
    <row r="1477" spans="1:26">
      <c r="A1477" s="198"/>
      <c r="B1477" s="216" t="s">
        <v>60</v>
      </c>
      <c r="C1477" s="211">
        <v>9462538</v>
      </c>
      <c r="D1477" s="211"/>
      <c r="E1477" s="211"/>
      <c r="F1477" s="211"/>
      <c r="G1477" s="211"/>
      <c r="H1477" s="211"/>
      <c r="I1477" s="211"/>
      <c r="J1477" s="211"/>
      <c r="K1477" s="211">
        <v>0</v>
      </c>
      <c r="L1477" s="212">
        <v>0</v>
      </c>
      <c r="M1477" s="211">
        <v>0</v>
      </c>
      <c r="N1477" s="211">
        <v>1596</v>
      </c>
      <c r="O1477" s="211">
        <v>3173810</v>
      </c>
      <c r="P1477" s="213">
        <v>0</v>
      </c>
      <c r="Q1477" s="211">
        <v>0</v>
      </c>
      <c r="R1477" s="211">
        <v>4347</v>
      </c>
      <c r="S1477" s="211">
        <v>6288728</v>
      </c>
      <c r="T1477" s="212">
        <v>0</v>
      </c>
      <c r="U1477" s="290">
        <v>0</v>
      </c>
      <c r="V1477" s="282"/>
      <c r="W1477" s="282"/>
      <c r="X1477" s="282"/>
    </row>
    <row r="1478" spans="1:26" ht="30">
      <c r="A1478" s="198"/>
      <c r="B1478" s="214" t="s">
        <v>113</v>
      </c>
      <c r="C1478" s="211">
        <v>9462538</v>
      </c>
      <c r="D1478" s="211"/>
      <c r="E1478" s="211"/>
      <c r="F1478" s="211"/>
      <c r="G1478" s="211"/>
      <c r="H1478" s="211"/>
      <c r="I1478" s="211"/>
      <c r="J1478" s="211"/>
      <c r="K1478" s="211">
        <v>0</v>
      </c>
      <c r="L1478" s="212">
        <v>0</v>
      </c>
      <c r="M1478" s="211">
        <v>0</v>
      </c>
      <c r="N1478" s="211">
        <v>1596</v>
      </c>
      <c r="O1478" s="211">
        <v>3173810</v>
      </c>
      <c r="P1478" s="213">
        <v>0</v>
      </c>
      <c r="Q1478" s="211">
        <v>0</v>
      </c>
      <c r="R1478" s="211">
        <v>4347</v>
      </c>
      <c r="S1478" s="211">
        <v>6288728</v>
      </c>
      <c r="T1478" s="212">
        <v>0</v>
      </c>
      <c r="U1478" s="290">
        <v>0</v>
      </c>
      <c r="V1478" s="282"/>
      <c r="W1478" s="282"/>
      <c r="X1478" s="282"/>
      <c r="Y1478" s="10"/>
      <c r="Z1478" s="10"/>
    </row>
    <row r="1479" spans="1:26" s="32" customFormat="1">
      <c r="A1479" s="198">
        <v>435</v>
      </c>
      <c r="B1479" s="206" t="s">
        <v>76</v>
      </c>
      <c r="C1479" s="232">
        <v>3626543</v>
      </c>
      <c r="D1479" s="232"/>
      <c r="E1479" s="232"/>
      <c r="F1479" s="232"/>
      <c r="G1479" s="232"/>
      <c r="H1479" s="232"/>
      <c r="I1479" s="232"/>
      <c r="J1479" s="232"/>
      <c r="K1479" s="211">
        <v>0</v>
      </c>
      <c r="L1479" s="212">
        <v>0</v>
      </c>
      <c r="M1479" s="211">
        <v>0</v>
      </c>
      <c r="N1479" s="211">
        <v>0</v>
      </c>
      <c r="O1479" s="211">
        <v>0</v>
      </c>
      <c r="P1479" s="213">
        <v>0</v>
      </c>
      <c r="Q1479" s="211">
        <v>0</v>
      </c>
      <c r="R1479" s="232">
        <v>2511</v>
      </c>
      <c r="S1479" s="232">
        <v>3626543</v>
      </c>
      <c r="T1479" s="212">
        <v>0</v>
      </c>
      <c r="U1479" s="290">
        <v>0</v>
      </c>
      <c r="V1479" s="282"/>
      <c r="W1479" s="282"/>
      <c r="X1479" s="282"/>
      <c r="Y1479" s="31"/>
      <c r="Z1479" s="31"/>
    </row>
    <row r="1480" spans="1:26" s="32" customFormat="1">
      <c r="A1480" s="198">
        <v>436</v>
      </c>
      <c r="B1480" s="206" t="s">
        <v>75</v>
      </c>
      <c r="C1480" s="232">
        <v>2160246</v>
      </c>
      <c r="D1480" s="232"/>
      <c r="E1480" s="232"/>
      <c r="F1480" s="232"/>
      <c r="G1480" s="232"/>
      <c r="H1480" s="232"/>
      <c r="I1480" s="232"/>
      <c r="J1480" s="232"/>
      <c r="K1480" s="211">
        <v>0</v>
      </c>
      <c r="L1480" s="212">
        <v>0</v>
      </c>
      <c r="M1480" s="211">
        <v>0</v>
      </c>
      <c r="N1480" s="232">
        <v>1092</v>
      </c>
      <c r="O1480" s="232">
        <v>2160246</v>
      </c>
      <c r="P1480" s="213">
        <v>0</v>
      </c>
      <c r="Q1480" s="211">
        <v>0</v>
      </c>
      <c r="R1480" s="213">
        <v>0</v>
      </c>
      <c r="S1480" s="211">
        <v>0</v>
      </c>
      <c r="T1480" s="212">
        <v>0</v>
      </c>
      <c r="U1480" s="290">
        <v>0</v>
      </c>
      <c r="V1480" s="282"/>
      <c r="W1480" s="282"/>
      <c r="X1480" s="282"/>
      <c r="Y1480" s="31"/>
      <c r="Z1480" s="31"/>
    </row>
    <row r="1481" spans="1:26" s="32" customFormat="1">
      <c r="A1481" s="198">
        <v>437</v>
      </c>
      <c r="B1481" s="206" t="s">
        <v>77</v>
      </c>
      <c r="C1481" s="232">
        <v>1013564</v>
      </c>
      <c r="D1481" s="232"/>
      <c r="E1481" s="232"/>
      <c r="F1481" s="232"/>
      <c r="G1481" s="232"/>
      <c r="H1481" s="232"/>
      <c r="I1481" s="232"/>
      <c r="J1481" s="232"/>
      <c r="K1481" s="211">
        <v>0</v>
      </c>
      <c r="L1481" s="212">
        <v>0</v>
      </c>
      <c r="M1481" s="211">
        <v>0</v>
      </c>
      <c r="N1481" s="232">
        <v>504</v>
      </c>
      <c r="O1481" s="232">
        <v>1013564</v>
      </c>
      <c r="P1481" s="213">
        <v>0</v>
      </c>
      <c r="Q1481" s="211">
        <v>0</v>
      </c>
      <c r="R1481" s="213">
        <v>0</v>
      </c>
      <c r="S1481" s="211">
        <v>0</v>
      </c>
      <c r="T1481" s="212">
        <v>0</v>
      </c>
      <c r="U1481" s="290">
        <v>0</v>
      </c>
      <c r="V1481" s="282"/>
      <c r="W1481" s="282"/>
      <c r="X1481" s="282"/>
      <c r="Y1481" s="31"/>
      <c r="Z1481" s="31"/>
    </row>
    <row r="1482" spans="1:26" s="32" customFormat="1">
      <c r="A1482" s="198">
        <v>438</v>
      </c>
      <c r="B1482" s="206" t="s">
        <v>427</v>
      </c>
      <c r="C1482" s="232">
        <v>2662185</v>
      </c>
      <c r="D1482" s="232"/>
      <c r="E1482" s="232"/>
      <c r="F1482" s="232"/>
      <c r="G1482" s="232"/>
      <c r="H1482" s="232"/>
      <c r="I1482" s="232"/>
      <c r="J1482" s="232"/>
      <c r="K1482" s="211">
        <v>0</v>
      </c>
      <c r="L1482" s="212">
        <v>0</v>
      </c>
      <c r="M1482" s="211">
        <v>0</v>
      </c>
      <c r="N1482" s="211">
        <v>0</v>
      </c>
      <c r="O1482" s="211">
        <v>0</v>
      </c>
      <c r="P1482" s="213">
        <v>0</v>
      </c>
      <c r="Q1482" s="211">
        <v>0</v>
      </c>
      <c r="R1482" s="232">
        <v>1836</v>
      </c>
      <c r="S1482" s="232">
        <v>2662185</v>
      </c>
      <c r="T1482" s="212">
        <v>0</v>
      </c>
      <c r="U1482" s="290">
        <v>0</v>
      </c>
      <c r="V1482" s="282"/>
      <c r="W1482" s="282"/>
      <c r="X1482" s="282"/>
      <c r="Y1482" s="31"/>
      <c r="Z1482" s="31"/>
    </row>
    <row r="1483" spans="1:26" s="32" customFormat="1">
      <c r="A1483" s="198"/>
      <c r="B1483" s="206" t="s">
        <v>208</v>
      </c>
      <c r="C1483" s="232">
        <v>562350</v>
      </c>
      <c r="D1483" s="232"/>
      <c r="E1483" s="232"/>
      <c r="F1483" s="232"/>
      <c r="G1483" s="232"/>
      <c r="H1483" s="232"/>
      <c r="I1483" s="232"/>
      <c r="J1483" s="232"/>
      <c r="K1483" s="232">
        <v>0</v>
      </c>
      <c r="L1483" s="239">
        <v>0</v>
      </c>
      <c r="M1483" s="232">
        <v>0</v>
      </c>
      <c r="N1483" s="232">
        <v>275</v>
      </c>
      <c r="O1483" s="232">
        <v>562350</v>
      </c>
      <c r="P1483" s="230">
        <v>0</v>
      </c>
      <c r="Q1483" s="232">
        <v>0</v>
      </c>
      <c r="R1483" s="230">
        <v>0</v>
      </c>
      <c r="S1483" s="232">
        <v>0</v>
      </c>
      <c r="T1483" s="230">
        <v>0</v>
      </c>
      <c r="U1483" s="295">
        <v>0</v>
      </c>
      <c r="V1483" s="282"/>
      <c r="W1483" s="282"/>
      <c r="X1483" s="282"/>
      <c r="Y1483" s="31"/>
      <c r="Z1483" s="31"/>
    </row>
    <row r="1484" spans="1:26" s="32" customFormat="1" ht="30">
      <c r="A1484" s="198"/>
      <c r="B1484" s="214" t="s">
        <v>209</v>
      </c>
      <c r="C1484" s="232">
        <f>C1485</f>
        <v>512860</v>
      </c>
      <c r="D1484" s="232">
        <f t="shared" ref="D1484:U1484" si="259">D1485</f>
        <v>0</v>
      </c>
      <c r="E1484" s="232">
        <f t="shared" si="259"/>
        <v>0</v>
      </c>
      <c r="F1484" s="232">
        <f t="shared" si="259"/>
        <v>0</v>
      </c>
      <c r="G1484" s="232">
        <f t="shared" si="259"/>
        <v>0</v>
      </c>
      <c r="H1484" s="232">
        <f t="shared" si="259"/>
        <v>0</v>
      </c>
      <c r="I1484" s="232">
        <f t="shared" si="259"/>
        <v>0</v>
      </c>
      <c r="J1484" s="232">
        <f t="shared" si="259"/>
        <v>0</v>
      </c>
      <c r="K1484" s="232">
        <f t="shared" si="259"/>
        <v>0</v>
      </c>
      <c r="L1484" s="232">
        <f t="shared" si="259"/>
        <v>0</v>
      </c>
      <c r="M1484" s="232">
        <f t="shared" si="259"/>
        <v>0</v>
      </c>
      <c r="N1484" s="232">
        <f t="shared" si="259"/>
        <v>0</v>
      </c>
      <c r="O1484" s="232">
        <f t="shared" si="259"/>
        <v>0</v>
      </c>
      <c r="P1484" s="232">
        <f t="shared" si="259"/>
        <v>0</v>
      </c>
      <c r="Q1484" s="232">
        <f t="shared" si="259"/>
        <v>0</v>
      </c>
      <c r="R1484" s="232">
        <f t="shared" si="259"/>
        <v>331.56</v>
      </c>
      <c r="S1484" s="232">
        <f t="shared" si="259"/>
        <v>512860</v>
      </c>
      <c r="T1484" s="232">
        <f t="shared" si="259"/>
        <v>0</v>
      </c>
      <c r="U1484" s="232">
        <f t="shared" si="259"/>
        <v>0</v>
      </c>
      <c r="V1484" s="282"/>
      <c r="W1484" s="282"/>
      <c r="X1484" s="282"/>
      <c r="Y1484" s="31"/>
      <c r="Z1484" s="31"/>
    </row>
    <row r="1485" spans="1:26" s="32" customFormat="1">
      <c r="A1485" s="470">
        <v>439</v>
      </c>
      <c r="B1485" s="520" t="s">
        <v>480</v>
      </c>
      <c r="C1485" s="521">
        <v>512860</v>
      </c>
      <c r="D1485" s="521">
        <v>0</v>
      </c>
      <c r="E1485" s="521">
        <v>0</v>
      </c>
      <c r="F1485" s="521">
        <v>0</v>
      </c>
      <c r="G1485" s="521">
        <v>0</v>
      </c>
      <c r="H1485" s="521">
        <v>0</v>
      </c>
      <c r="I1485" s="521">
        <v>0</v>
      </c>
      <c r="J1485" s="521">
        <v>0</v>
      </c>
      <c r="K1485" s="479">
        <v>0</v>
      </c>
      <c r="L1485" s="515">
        <v>0</v>
      </c>
      <c r="M1485" s="479">
        <v>0</v>
      </c>
      <c r="N1485" s="479">
        <v>0</v>
      </c>
      <c r="O1485" s="479">
        <v>0</v>
      </c>
      <c r="P1485" s="516">
        <v>0</v>
      </c>
      <c r="Q1485" s="479">
        <v>0</v>
      </c>
      <c r="R1485" s="522">
        <v>331.56</v>
      </c>
      <c r="S1485" s="521">
        <v>512860</v>
      </c>
      <c r="T1485" s="515">
        <v>0</v>
      </c>
      <c r="U1485" s="517">
        <v>0</v>
      </c>
      <c r="V1485" s="282"/>
      <c r="W1485" s="282"/>
      <c r="X1485" s="282">
        <f>S1485/R1485</f>
        <v>1546.8090240077211</v>
      </c>
      <c r="Y1485" s="31"/>
      <c r="Z1485" s="31"/>
    </row>
    <row r="1486" spans="1:26">
      <c r="A1486" s="198"/>
      <c r="B1486" s="216" t="s">
        <v>61</v>
      </c>
      <c r="C1486" s="211">
        <v>1267050</v>
      </c>
      <c r="D1486" s="211"/>
      <c r="E1486" s="211"/>
      <c r="F1486" s="211"/>
      <c r="G1486" s="211"/>
      <c r="H1486" s="211"/>
      <c r="I1486" s="211"/>
      <c r="J1486" s="211"/>
      <c r="K1486" s="211">
        <v>0</v>
      </c>
      <c r="L1486" s="212">
        <v>0</v>
      </c>
      <c r="M1486" s="211">
        <v>0</v>
      </c>
      <c r="N1486" s="211">
        <v>643</v>
      </c>
      <c r="O1486" s="211">
        <v>1267050</v>
      </c>
      <c r="P1486" s="213">
        <v>0</v>
      </c>
      <c r="Q1486" s="211">
        <v>0</v>
      </c>
      <c r="R1486" s="213">
        <v>0</v>
      </c>
      <c r="S1486" s="211">
        <v>0</v>
      </c>
      <c r="T1486" s="212">
        <v>0</v>
      </c>
      <c r="U1486" s="290">
        <v>0</v>
      </c>
      <c r="V1486" s="282"/>
      <c r="W1486" s="282"/>
      <c r="X1486" s="282"/>
    </row>
    <row r="1487" spans="1:26" ht="30">
      <c r="A1487" s="198"/>
      <c r="B1487" s="214" t="s">
        <v>118</v>
      </c>
      <c r="C1487" s="211">
        <f t="shared" ref="C1487:V1487" si="260">C1488+C1489+C1490+C1491</f>
        <v>4336309</v>
      </c>
      <c r="D1487" s="211">
        <f t="shared" si="260"/>
        <v>353672</v>
      </c>
      <c r="E1487" s="211">
        <f t="shared" si="260"/>
        <v>353672</v>
      </c>
      <c r="F1487" s="211">
        <f t="shared" si="260"/>
        <v>0</v>
      </c>
      <c r="G1487" s="211">
        <f t="shared" si="260"/>
        <v>0</v>
      </c>
      <c r="H1487" s="211">
        <f t="shared" si="260"/>
        <v>0</v>
      </c>
      <c r="I1487" s="211">
        <f t="shared" si="260"/>
        <v>0</v>
      </c>
      <c r="J1487" s="211">
        <f t="shared" si="260"/>
        <v>0</v>
      </c>
      <c r="K1487" s="211">
        <f t="shared" si="260"/>
        <v>0</v>
      </c>
      <c r="L1487" s="211">
        <f t="shared" si="260"/>
        <v>0</v>
      </c>
      <c r="M1487" s="211">
        <f t="shared" si="260"/>
        <v>0</v>
      </c>
      <c r="N1487" s="211">
        <f t="shared" si="260"/>
        <v>1355.99</v>
      </c>
      <c r="O1487" s="211">
        <f t="shared" si="260"/>
        <v>3982637</v>
      </c>
      <c r="P1487" s="211">
        <f t="shared" si="260"/>
        <v>0</v>
      </c>
      <c r="Q1487" s="211">
        <f t="shared" si="260"/>
        <v>0</v>
      </c>
      <c r="R1487" s="211">
        <f t="shared" si="260"/>
        <v>0</v>
      </c>
      <c r="S1487" s="211">
        <f t="shared" si="260"/>
        <v>0</v>
      </c>
      <c r="T1487" s="211">
        <f t="shared" si="260"/>
        <v>0</v>
      </c>
      <c r="U1487" s="211">
        <f t="shared" si="260"/>
        <v>0</v>
      </c>
      <c r="V1487" s="211">
        <f t="shared" si="260"/>
        <v>0</v>
      </c>
      <c r="W1487" s="282"/>
      <c r="X1487" s="282"/>
    </row>
    <row r="1488" spans="1:26">
      <c r="A1488" s="470"/>
      <c r="B1488" s="480" t="s">
        <v>489</v>
      </c>
      <c r="C1488" s="479">
        <v>1231974</v>
      </c>
      <c r="D1488" s="479">
        <f>E1488+F1488+G1488+H1488+I1488+J1488+K1488</f>
        <v>0</v>
      </c>
      <c r="E1488" s="479">
        <v>0</v>
      </c>
      <c r="F1488" s="479">
        <v>0</v>
      </c>
      <c r="G1488" s="479">
        <v>0</v>
      </c>
      <c r="H1488" s="479">
        <v>0</v>
      </c>
      <c r="I1488" s="479">
        <v>0</v>
      </c>
      <c r="J1488" s="479">
        <v>0</v>
      </c>
      <c r="K1488" s="479">
        <v>0</v>
      </c>
      <c r="L1488" s="479">
        <v>0</v>
      </c>
      <c r="M1488" s="479">
        <v>0</v>
      </c>
      <c r="N1488" s="479">
        <v>384</v>
      </c>
      <c r="O1488" s="479">
        <v>1231974</v>
      </c>
      <c r="P1488" s="479">
        <v>0</v>
      </c>
      <c r="Q1488" s="479">
        <v>0</v>
      </c>
      <c r="R1488" s="479">
        <v>0</v>
      </c>
      <c r="S1488" s="479">
        <v>0</v>
      </c>
      <c r="T1488" s="479">
        <v>0</v>
      </c>
      <c r="U1488" s="479">
        <v>0</v>
      </c>
      <c r="V1488" s="552"/>
      <c r="W1488" s="282">
        <f>O1488/N1488</f>
        <v>3208.265625</v>
      </c>
      <c r="X1488" s="282"/>
    </row>
    <row r="1489" spans="1:31">
      <c r="A1489" s="470"/>
      <c r="B1489" s="480" t="s">
        <v>225</v>
      </c>
      <c r="C1489" s="479">
        <v>1299802</v>
      </c>
      <c r="D1489" s="479">
        <f t="shared" ref="D1489:D1491" si="261">E1489+F1489+G1489+H1489+I1489+J1489+K1489</f>
        <v>0</v>
      </c>
      <c r="E1489" s="479">
        <v>0</v>
      </c>
      <c r="F1489" s="479">
        <v>0</v>
      </c>
      <c r="G1489" s="479">
        <v>0</v>
      </c>
      <c r="H1489" s="479">
        <v>0</v>
      </c>
      <c r="I1489" s="479">
        <v>0</v>
      </c>
      <c r="J1489" s="479">
        <v>0</v>
      </c>
      <c r="K1489" s="479">
        <v>0</v>
      </c>
      <c r="L1489" s="479">
        <v>0</v>
      </c>
      <c r="M1489" s="479">
        <v>0</v>
      </c>
      <c r="N1489" s="479">
        <v>518.87</v>
      </c>
      <c r="O1489" s="479">
        <v>1299802</v>
      </c>
      <c r="P1489" s="479">
        <v>0</v>
      </c>
      <c r="Q1489" s="479">
        <v>0</v>
      </c>
      <c r="R1489" s="479">
        <v>0</v>
      </c>
      <c r="S1489" s="479">
        <v>0</v>
      </c>
      <c r="T1489" s="479">
        <v>0</v>
      </c>
      <c r="U1489" s="479">
        <v>0</v>
      </c>
      <c r="V1489" s="552"/>
      <c r="W1489" s="282">
        <f t="shared" ref="W1489:W1490" si="262">O1489/N1489</f>
        <v>2505.0629252028448</v>
      </c>
      <c r="X1489" s="282"/>
    </row>
    <row r="1490" spans="1:31">
      <c r="A1490" s="470">
        <v>440</v>
      </c>
      <c r="B1490" s="480" t="s">
        <v>490</v>
      </c>
      <c r="C1490" s="479">
        <v>1450861</v>
      </c>
      <c r="D1490" s="479">
        <f t="shared" si="261"/>
        <v>0</v>
      </c>
      <c r="E1490" s="479">
        <v>0</v>
      </c>
      <c r="F1490" s="479">
        <v>0</v>
      </c>
      <c r="G1490" s="479">
        <v>0</v>
      </c>
      <c r="H1490" s="479">
        <v>0</v>
      </c>
      <c r="I1490" s="479">
        <v>0</v>
      </c>
      <c r="J1490" s="479">
        <v>0</v>
      </c>
      <c r="K1490" s="479">
        <v>0</v>
      </c>
      <c r="L1490" s="515">
        <v>0</v>
      </c>
      <c r="M1490" s="479">
        <v>0</v>
      </c>
      <c r="N1490" s="479">
        <v>453.12</v>
      </c>
      <c r="O1490" s="479">
        <v>1450861</v>
      </c>
      <c r="P1490" s="516">
        <v>0</v>
      </c>
      <c r="Q1490" s="479">
        <v>0</v>
      </c>
      <c r="R1490" s="516">
        <v>0</v>
      </c>
      <c r="S1490" s="479">
        <v>0</v>
      </c>
      <c r="T1490" s="515">
        <v>0</v>
      </c>
      <c r="U1490" s="517">
        <v>0</v>
      </c>
      <c r="V1490" s="282"/>
      <c r="W1490" s="282">
        <f t="shared" si="262"/>
        <v>3201.9354696327682</v>
      </c>
      <c r="X1490" s="282"/>
    </row>
    <row r="1491" spans="1:31">
      <c r="A1491" s="470"/>
      <c r="B1491" s="480" t="s">
        <v>491</v>
      </c>
      <c r="C1491" s="479">
        <v>353672</v>
      </c>
      <c r="D1491" s="479">
        <f t="shared" si="261"/>
        <v>353672</v>
      </c>
      <c r="E1491" s="479">
        <v>353672</v>
      </c>
      <c r="F1491" s="479">
        <v>0</v>
      </c>
      <c r="G1491" s="479">
        <v>0</v>
      </c>
      <c r="H1491" s="479">
        <v>0</v>
      </c>
      <c r="I1491" s="479">
        <v>0</v>
      </c>
      <c r="J1491" s="479">
        <v>0</v>
      </c>
      <c r="K1491" s="479">
        <v>0</v>
      </c>
      <c r="L1491" s="515">
        <v>0</v>
      </c>
      <c r="M1491" s="479">
        <v>0</v>
      </c>
      <c r="N1491" s="479">
        <v>0</v>
      </c>
      <c r="O1491" s="479">
        <v>0</v>
      </c>
      <c r="P1491" s="516">
        <v>0</v>
      </c>
      <c r="Q1491" s="479">
        <v>0</v>
      </c>
      <c r="R1491" s="516">
        <v>0</v>
      </c>
      <c r="S1491" s="479">
        <v>0</v>
      </c>
      <c r="T1491" s="515">
        <v>0</v>
      </c>
      <c r="U1491" s="517">
        <v>0</v>
      </c>
      <c r="V1491" s="282"/>
      <c r="W1491" s="282"/>
      <c r="X1491" s="282"/>
      <c r="Y1491" s="1">
        <f>E1491/'часть 1'!I1515</f>
        <v>722.36928104575156</v>
      </c>
    </row>
    <row r="1492" spans="1:31" ht="21.6" customHeight="1">
      <c r="A1492" s="194"/>
      <c r="B1492" s="214" t="s">
        <v>649</v>
      </c>
      <c r="C1492" s="211">
        <f>C1493</f>
        <v>1490380</v>
      </c>
      <c r="D1492" s="211">
        <f t="shared" ref="D1492:V1492" si="263">D1493</f>
        <v>0</v>
      </c>
      <c r="E1492" s="211">
        <f t="shared" si="263"/>
        <v>0</v>
      </c>
      <c r="F1492" s="211">
        <f t="shared" si="263"/>
        <v>0</v>
      </c>
      <c r="G1492" s="211">
        <f t="shared" si="263"/>
        <v>0</v>
      </c>
      <c r="H1492" s="211">
        <f t="shared" si="263"/>
        <v>0</v>
      </c>
      <c r="I1492" s="211">
        <f t="shared" si="263"/>
        <v>0</v>
      </c>
      <c r="J1492" s="211">
        <f t="shared" si="263"/>
        <v>0</v>
      </c>
      <c r="K1492" s="211">
        <f t="shared" si="263"/>
        <v>0</v>
      </c>
      <c r="L1492" s="211">
        <f t="shared" si="263"/>
        <v>0</v>
      </c>
      <c r="M1492" s="211">
        <f t="shared" si="263"/>
        <v>0</v>
      </c>
      <c r="N1492" s="211">
        <f t="shared" si="263"/>
        <v>597.5</v>
      </c>
      <c r="O1492" s="211">
        <f t="shared" si="263"/>
        <v>1490380</v>
      </c>
      <c r="P1492" s="211">
        <f t="shared" si="263"/>
        <v>0</v>
      </c>
      <c r="Q1492" s="211">
        <f t="shared" si="263"/>
        <v>0</v>
      </c>
      <c r="R1492" s="211">
        <f t="shared" si="263"/>
        <v>0</v>
      </c>
      <c r="S1492" s="211">
        <f t="shared" si="263"/>
        <v>0</v>
      </c>
      <c r="T1492" s="211">
        <f t="shared" si="263"/>
        <v>0</v>
      </c>
      <c r="U1492" s="211">
        <f t="shared" si="263"/>
        <v>0</v>
      </c>
      <c r="V1492" s="211">
        <f t="shared" si="263"/>
        <v>0</v>
      </c>
      <c r="W1492" s="282"/>
      <c r="X1492" s="282"/>
    </row>
    <row r="1493" spans="1:31" ht="30">
      <c r="A1493" s="194"/>
      <c r="B1493" s="214" t="s">
        <v>655</v>
      </c>
      <c r="C1493" s="211">
        <f>C1494</f>
        <v>1490380</v>
      </c>
      <c r="D1493" s="211">
        <f t="shared" ref="D1493:V1493" si="264">D1494</f>
        <v>0</v>
      </c>
      <c r="E1493" s="211">
        <f t="shared" si="264"/>
        <v>0</v>
      </c>
      <c r="F1493" s="211">
        <f t="shared" si="264"/>
        <v>0</v>
      </c>
      <c r="G1493" s="211">
        <f t="shared" si="264"/>
        <v>0</v>
      </c>
      <c r="H1493" s="211">
        <f t="shared" si="264"/>
        <v>0</v>
      </c>
      <c r="I1493" s="211">
        <f t="shared" si="264"/>
        <v>0</v>
      </c>
      <c r="J1493" s="211">
        <f t="shared" si="264"/>
        <v>0</v>
      </c>
      <c r="K1493" s="211">
        <f t="shared" si="264"/>
        <v>0</v>
      </c>
      <c r="L1493" s="211">
        <f t="shared" si="264"/>
        <v>0</v>
      </c>
      <c r="M1493" s="211">
        <f t="shared" si="264"/>
        <v>0</v>
      </c>
      <c r="N1493" s="211">
        <f t="shared" si="264"/>
        <v>597.5</v>
      </c>
      <c r="O1493" s="211">
        <f t="shared" si="264"/>
        <v>1490380</v>
      </c>
      <c r="P1493" s="211">
        <f t="shared" si="264"/>
        <v>0</v>
      </c>
      <c r="Q1493" s="211">
        <f t="shared" si="264"/>
        <v>0</v>
      </c>
      <c r="R1493" s="211">
        <f t="shared" si="264"/>
        <v>0</v>
      </c>
      <c r="S1493" s="211">
        <f t="shared" si="264"/>
        <v>0</v>
      </c>
      <c r="T1493" s="211">
        <f t="shared" si="264"/>
        <v>0</v>
      </c>
      <c r="U1493" s="211">
        <f t="shared" si="264"/>
        <v>0</v>
      </c>
      <c r="V1493" s="211">
        <f t="shared" si="264"/>
        <v>0</v>
      </c>
      <c r="W1493" s="282"/>
      <c r="X1493" s="282"/>
    </row>
    <row r="1494" spans="1:31" ht="30">
      <c r="A1494" s="194"/>
      <c r="B1494" s="214" t="s">
        <v>656</v>
      </c>
      <c r="C1494" s="211">
        <v>1490380</v>
      </c>
      <c r="D1494" s="211">
        <v>0</v>
      </c>
      <c r="E1494" s="211">
        <v>0</v>
      </c>
      <c r="F1494" s="211">
        <v>0</v>
      </c>
      <c r="G1494" s="211">
        <v>0</v>
      </c>
      <c r="H1494" s="211">
        <v>0</v>
      </c>
      <c r="I1494" s="211">
        <v>0</v>
      </c>
      <c r="J1494" s="211">
        <v>0</v>
      </c>
      <c r="K1494" s="211">
        <v>0</v>
      </c>
      <c r="L1494" s="212">
        <v>0</v>
      </c>
      <c r="M1494" s="211">
        <v>0</v>
      </c>
      <c r="N1494" s="211">
        <v>597.5</v>
      </c>
      <c r="O1494" s="211">
        <v>1490380</v>
      </c>
      <c r="P1494" s="213">
        <v>0</v>
      </c>
      <c r="Q1494" s="211">
        <v>0</v>
      </c>
      <c r="R1494" s="213">
        <v>0</v>
      </c>
      <c r="S1494" s="211">
        <v>0</v>
      </c>
      <c r="T1494" s="212">
        <v>0</v>
      </c>
      <c r="U1494" s="290">
        <v>0</v>
      </c>
      <c r="V1494" s="282"/>
      <c r="W1494" s="282">
        <f>O1494/N1494</f>
        <v>2494.3598326359834</v>
      </c>
      <c r="X1494" s="282"/>
    </row>
    <row r="1495" spans="1:31">
      <c r="A1495" s="198"/>
      <c r="B1495" s="216" t="s">
        <v>62</v>
      </c>
      <c r="C1495" s="211">
        <v>974618</v>
      </c>
      <c r="D1495" s="211"/>
      <c r="E1495" s="211"/>
      <c r="F1495" s="211"/>
      <c r="G1495" s="211"/>
      <c r="H1495" s="211"/>
      <c r="I1495" s="211"/>
      <c r="J1495" s="211"/>
      <c r="K1495" s="211">
        <v>0</v>
      </c>
      <c r="L1495" s="212">
        <v>0</v>
      </c>
      <c r="M1495" s="211">
        <v>0</v>
      </c>
      <c r="N1495" s="211">
        <v>484</v>
      </c>
      <c r="O1495" s="211">
        <v>974618</v>
      </c>
      <c r="P1495" s="213">
        <v>0</v>
      </c>
      <c r="Q1495" s="211">
        <v>0</v>
      </c>
      <c r="R1495" s="213">
        <v>0</v>
      </c>
      <c r="S1495" s="211">
        <v>0</v>
      </c>
      <c r="T1495" s="212">
        <v>0</v>
      </c>
      <c r="U1495" s="290">
        <v>0</v>
      </c>
      <c r="V1495" s="282"/>
      <c r="W1495" s="282"/>
      <c r="X1495" s="282"/>
    </row>
    <row r="1496" spans="1:31" ht="30">
      <c r="A1496" s="198"/>
      <c r="B1496" s="238" t="s">
        <v>117</v>
      </c>
      <c r="C1496" s="211">
        <f>C1497</f>
        <v>1175875</v>
      </c>
      <c r="D1496" s="211">
        <f t="shared" ref="D1496:V1496" si="265">D1497</f>
        <v>0</v>
      </c>
      <c r="E1496" s="211">
        <f t="shared" si="265"/>
        <v>0</v>
      </c>
      <c r="F1496" s="211">
        <f t="shared" si="265"/>
        <v>0</v>
      </c>
      <c r="G1496" s="211">
        <f t="shared" si="265"/>
        <v>0</v>
      </c>
      <c r="H1496" s="211">
        <f t="shared" si="265"/>
        <v>0</v>
      </c>
      <c r="I1496" s="211">
        <f t="shared" si="265"/>
        <v>0</v>
      </c>
      <c r="J1496" s="211">
        <f t="shared" si="265"/>
        <v>0</v>
      </c>
      <c r="K1496" s="211">
        <f t="shared" si="265"/>
        <v>0</v>
      </c>
      <c r="L1496" s="211">
        <f t="shared" si="265"/>
        <v>0</v>
      </c>
      <c r="M1496" s="211">
        <f t="shared" si="265"/>
        <v>0</v>
      </c>
      <c r="N1496" s="211">
        <f t="shared" si="265"/>
        <v>366</v>
      </c>
      <c r="O1496" s="211">
        <f t="shared" si="265"/>
        <v>1175875</v>
      </c>
      <c r="P1496" s="211">
        <f t="shared" si="265"/>
        <v>0</v>
      </c>
      <c r="Q1496" s="211">
        <f t="shared" si="265"/>
        <v>0</v>
      </c>
      <c r="R1496" s="211">
        <f t="shared" si="265"/>
        <v>0</v>
      </c>
      <c r="S1496" s="211">
        <f t="shared" si="265"/>
        <v>0</v>
      </c>
      <c r="T1496" s="211">
        <f t="shared" si="265"/>
        <v>0</v>
      </c>
      <c r="U1496" s="211">
        <f t="shared" si="265"/>
        <v>0</v>
      </c>
      <c r="V1496" s="211">
        <f t="shared" si="265"/>
        <v>0</v>
      </c>
      <c r="W1496" s="211"/>
      <c r="X1496" s="211"/>
      <c r="Y1496" s="211"/>
      <c r="Z1496" s="211"/>
      <c r="AA1496" s="211"/>
      <c r="AB1496" s="211"/>
      <c r="AC1496" s="211"/>
      <c r="AD1496" s="211"/>
      <c r="AE1496" s="211"/>
    </row>
    <row r="1497" spans="1:31">
      <c r="A1497" s="470">
        <v>441</v>
      </c>
      <c r="B1497" s="480" t="s">
        <v>488</v>
      </c>
      <c r="C1497" s="479">
        <v>1175875</v>
      </c>
      <c r="D1497" s="479">
        <v>0</v>
      </c>
      <c r="E1497" s="479">
        <v>0</v>
      </c>
      <c r="F1497" s="479">
        <v>0</v>
      </c>
      <c r="G1497" s="479">
        <v>0</v>
      </c>
      <c r="H1497" s="479">
        <v>0</v>
      </c>
      <c r="I1497" s="479">
        <v>0</v>
      </c>
      <c r="J1497" s="479">
        <v>0</v>
      </c>
      <c r="K1497" s="479">
        <v>0</v>
      </c>
      <c r="L1497" s="515">
        <v>0</v>
      </c>
      <c r="M1497" s="479">
        <v>0</v>
      </c>
      <c r="N1497" s="479">
        <v>366</v>
      </c>
      <c r="O1497" s="479">
        <v>1175875</v>
      </c>
      <c r="P1497" s="516">
        <v>0</v>
      </c>
      <c r="Q1497" s="479">
        <v>0</v>
      </c>
      <c r="R1497" s="516">
        <v>0</v>
      </c>
      <c r="S1497" s="479">
        <v>0</v>
      </c>
      <c r="T1497" s="515">
        <v>0</v>
      </c>
      <c r="U1497" s="517">
        <v>0</v>
      </c>
      <c r="V1497" s="282"/>
      <c r="W1497" s="282">
        <f>O1497/N1497</f>
        <v>3212.7732240437158</v>
      </c>
      <c r="X1497" s="282"/>
    </row>
    <row r="1498" spans="1:31" ht="18.600000000000001" customHeight="1">
      <c r="A1498" s="470"/>
      <c r="B1498" s="524" t="s">
        <v>63</v>
      </c>
      <c r="C1498" s="479">
        <f>C1499</f>
        <v>1608623</v>
      </c>
      <c r="D1498" s="479">
        <f t="shared" ref="D1498:U1499" si="266">D1499</f>
        <v>0</v>
      </c>
      <c r="E1498" s="479">
        <f t="shared" si="266"/>
        <v>0</v>
      </c>
      <c r="F1498" s="479">
        <f t="shared" si="266"/>
        <v>0</v>
      </c>
      <c r="G1498" s="479">
        <f t="shared" si="266"/>
        <v>0</v>
      </c>
      <c r="H1498" s="479">
        <f t="shared" si="266"/>
        <v>0</v>
      </c>
      <c r="I1498" s="479">
        <f t="shared" si="266"/>
        <v>0</v>
      </c>
      <c r="J1498" s="479">
        <f t="shared" si="266"/>
        <v>0</v>
      </c>
      <c r="K1498" s="479">
        <f t="shared" si="266"/>
        <v>0</v>
      </c>
      <c r="L1498" s="479">
        <f t="shared" si="266"/>
        <v>0</v>
      </c>
      <c r="M1498" s="479">
        <f t="shared" si="266"/>
        <v>0</v>
      </c>
      <c r="N1498" s="479">
        <f t="shared" si="266"/>
        <v>503.8</v>
      </c>
      <c r="O1498" s="479">
        <f t="shared" si="266"/>
        <v>1608623</v>
      </c>
      <c r="P1498" s="479">
        <f t="shared" si="266"/>
        <v>0</v>
      </c>
      <c r="Q1498" s="479">
        <f t="shared" si="266"/>
        <v>0</v>
      </c>
      <c r="R1498" s="479">
        <f t="shared" si="266"/>
        <v>0</v>
      </c>
      <c r="S1498" s="479">
        <f t="shared" si="266"/>
        <v>0</v>
      </c>
      <c r="T1498" s="479">
        <f t="shared" si="266"/>
        <v>0</v>
      </c>
      <c r="U1498" s="479">
        <f t="shared" si="266"/>
        <v>0</v>
      </c>
      <c r="V1498" s="282"/>
      <c r="W1498" s="282"/>
      <c r="X1498" s="282"/>
    </row>
    <row r="1499" spans="1:31" ht="30">
      <c r="A1499" s="470"/>
      <c r="B1499" s="480" t="s">
        <v>116</v>
      </c>
      <c r="C1499" s="479">
        <f>C1500</f>
        <v>1608623</v>
      </c>
      <c r="D1499" s="479">
        <f t="shared" si="266"/>
        <v>0</v>
      </c>
      <c r="E1499" s="479">
        <f t="shared" si="266"/>
        <v>0</v>
      </c>
      <c r="F1499" s="479">
        <f t="shared" si="266"/>
        <v>0</v>
      </c>
      <c r="G1499" s="479">
        <f t="shared" si="266"/>
        <v>0</v>
      </c>
      <c r="H1499" s="479">
        <f t="shared" si="266"/>
        <v>0</v>
      </c>
      <c r="I1499" s="479">
        <f t="shared" si="266"/>
        <v>0</v>
      </c>
      <c r="J1499" s="479">
        <f t="shared" si="266"/>
        <v>0</v>
      </c>
      <c r="K1499" s="479">
        <f t="shared" si="266"/>
        <v>0</v>
      </c>
      <c r="L1499" s="479">
        <f t="shared" si="266"/>
        <v>0</v>
      </c>
      <c r="M1499" s="479">
        <f t="shared" si="266"/>
        <v>0</v>
      </c>
      <c r="N1499" s="479">
        <f t="shared" si="266"/>
        <v>503.8</v>
      </c>
      <c r="O1499" s="479">
        <f t="shared" si="266"/>
        <v>1608623</v>
      </c>
      <c r="P1499" s="479">
        <f t="shared" si="266"/>
        <v>0</v>
      </c>
      <c r="Q1499" s="479">
        <f t="shared" si="266"/>
        <v>0</v>
      </c>
      <c r="R1499" s="479">
        <f t="shared" si="266"/>
        <v>0</v>
      </c>
      <c r="S1499" s="479">
        <f t="shared" si="266"/>
        <v>0</v>
      </c>
      <c r="T1499" s="479">
        <f t="shared" si="266"/>
        <v>0</v>
      </c>
      <c r="U1499" s="479">
        <f t="shared" si="266"/>
        <v>0</v>
      </c>
      <c r="V1499" s="282"/>
      <c r="W1499" s="282"/>
      <c r="X1499" s="282"/>
    </row>
    <row r="1500" spans="1:31">
      <c r="A1500" s="470">
        <v>443</v>
      </c>
      <c r="B1500" s="480" t="s">
        <v>679</v>
      </c>
      <c r="C1500" s="479">
        <f>'часть 1'!L1524</f>
        <v>1608623</v>
      </c>
      <c r="D1500" s="479">
        <v>0</v>
      </c>
      <c r="E1500" s="479">
        <v>0</v>
      </c>
      <c r="F1500" s="479">
        <v>0</v>
      </c>
      <c r="G1500" s="479">
        <v>0</v>
      </c>
      <c r="H1500" s="479">
        <v>0</v>
      </c>
      <c r="I1500" s="479">
        <v>0</v>
      </c>
      <c r="J1500" s="479">
        <v>0</v>
      </c>
      <c r="K1500" s="479">
        <v>0</v>
      </c>
      <c r="L1500" s="515">
        <v>0</v>
      </c>
      <c r="M1500" s="479">
        <v>0</v>
      </c>
      <c r="N1500" s="512">
        <v>503.8</v>
      </c>
      <c r="O1500" s="479">
        <v>1608623</v>
      </c>
      <c r="P1500" s="516">
        <v>0</v>
      </c>
      <c r="Q1500" s="479">
        <v>0</v>
      </c>
      <c r="R1500" s="516">
        <v>0</v>
      </c>
      <c r="S1500" s="479">
        <v>0</v>
      </c>
      <c r="T1500" s="515">
        <v>0</v>
      </c>
      <c r="U1500" s="517">
        <v>0</v>
      </c>
      <c r="V1500" s="282"/>
      <c r="W1500" s="282">
        <f>O1500/N1500</f>
        <v>3192.9793568876539</v>
      </c>
      <c r="X1500" s="282"/>
    </row>
    <row r="1501" spans="1:31" ht="17.45" customHeight="1">
      <c r="A1501" s="470"/>
      <c r="B1501" s="480" t="s">
        <v>663</v>
      </c>
      <c r="C1501" s="479">
        <f>C1502</f>
        <v>1457324</v>
      </c>
      <c r="D1501" s="479">
        <f t="shared" ref="D1501:U1501" si="267">D1502</f>
        <v>0</v>
      </c>
      <c r="E1501" s="479">
        <f t="shared" si="267"/>
        <v>0</v>
      </c>
      <c r="F1501" s="479">
        <f t="shared" si="267"/>
        <v>0</v>
      </c>
      <c r="G1501" s="479">
        <f t="shared" si="267"/>
        <v>0</v>
      </c>
      <c r="H1501" s="479">
        <f t="shared" si="267"/>
        <v>0</v>
      </c>
      <c r="I1501" s="479">
        <f t="shared" si="267"/>
        <v>0</v>
      </c>
      <c r="J1501" s="479">
        <f t="shared" si="267"/>
        <v>0</v>
      </c>
      <c r="K1501" s="479">
        <f t="shared" si="267"/>
        <v>0</v>
      </c>
      <c r="L1501" s="479">
        <f t="shared" si="267"/>
        <v>0</v>
      </c>
      <c r="M1501" s="479">
        <f t="shared" si="267"/>
        <v>0</v>
      </c>
      <c r="N1501" s="479">
        <f t="shared" si="267"/>
        <v>584.37</v>
      </c>
      <c r="O1501" s="479">
        <f t="shared" si="267"/>
        <v>1457324</v>
      </c>
      <c r="P1501" s="479">
        <f t="shared" si="267"/>
        <v>0</v>
      </c>
      <c r="Q1501" s="479">
        <f t="shared" si="267"/>
        <v>0</v>
      </c>
      <c r="R1501" s="479">
        <f t="shared" si="267"/>
        <v>0</v>
      </c>
      <c r="S1501" s="479">
        <f t="shared" si="267"/>
        <v>0</v>
      </c>
      <c r="T1501" s="479">
        <f t="shared" si="267"/>
        <v>0</v>
      </c>
      <c r="U1501" s="479">
        <f t="shared" si="267"/>
        <v>0</v>
      </c>
      <c r="V1501" s="282"/>
      <c r="W1501" s="282"/>
      <c r="X1501" s="282"/>
    </row>
    <row r="1502" spans="1:31" ht="30">
      <c r="A1502" s="470"/>
      <c r="B1502" s="480" t="s">
        <v>666</v>
      </c>
      <c r="C1502" s="479">
        <v>1457324</v>
      </c>
      <c r="D1502" s="479">
        <v>0</v>
      </c>
      <c r="E1502" s="479">
        <v>0</v>
      </c>
      <c r="F1502" s="479">
        <v>0</v>
      </c>
      <c r="G1502" s="479">
        <v>0</v>
      </c>
      <c r="H1502" s="479">
        <v>0</v>
      </c>
      <c r="I1502" s="479">
        <v>0</v>
      </c>
      <c r="J1502" s="479">
        <v>0</v>
      </c>
      <c r="K1502" s="479">
        <v>0</v>
      </c>
      <c r="L1502" s="515">
        <v>0</v>
      </c>
      <c r="M1502" s="479">
        <v>0</v>
      </c>
      <c r="N1502" s="512">
        <v>584.37</v>
      </c>
      <c r="O1502" s="479">
        <v>1457324</v>
      </c>
      <c r="P1502" s="516">
        <v>0</v>
      </c>
      <c r="Q1502" s="479">
        <v>0</v>
      </c>
      <c r="R1502" s="516">
        <v>0</v>
      </c>
      <c r="S1502" s="479">
        <v>0</v>
      </c>
      <c r="T1502" s="515">
        <v>0</v>
      </c>
      <c r="U1502" s="517">
        <v>0</v>
      </c>
      <c r="V1502" s="282"/>
      <c r="W1502" s="282">
        <f>O1502/N1502</f>
        <v>2493.8378082379313</v>
      </c>
      <c r="X1502" s="282"/>
    </row>
    <row r="1503" spans="1:31">
      <c r="A1503" s="198"/>
      <c r="B1503" s="216" t="s">
        <v>64</v>
      </c>
      <c r="C1503" s="211">
        <v>6928539</v>
      </c>
      <c r="D1503" s="211"/>
      <c r="E1503" s="211"/>
      <c r="F1503" s="211"/>
      <c r="G1503" s="211"/>
      <c r="H1503" s="211"/>
      <c r="I1503" s="211"/>
      <c r="J1503" s="211"/>
      <c r="K1503" s="211">
        <v>0</v>
      </c>
      <c r="L1503" s="212">
        <v>0</v>
      </c>
      <c r="M1503" s="211">
        <v>0</v>
      </c>
      <c r="N1503" s="211">
        <v>3103</v>
      </c>
      <c r="O1503" s="211">
        <v>6183896</v>
      </c>
      <c r="P1503" s="213">
        <v>0</v>
      </c>
      <c r="Q1503" s="211">
        <v>0</v>
      </c>
      <c r="R1503" s="211">
        <v>512.4</v>
      </c>
      <c r="S1503" s="211">
        <v>744643</v>
      </c>
      <c r="T1503" s="212">
        <v>0</v>
      </c>
      <c r="U1503" s="290">
        <v>0</v>
      </c>
      <c r="V1503" s="282"/>
      <c r="W1503" s="282"/>
      <c r="X1503" s="282"/>
    </row>
    <row r="1504" spans="1:31" ht="30">
      <c r="A1504" s="470"/>
      <c r="B1504" s="480" t="s">
        <v>115</v>
      </c>
      <c r="C1504" s="479">
        <f>C1505+C1506</f>
        <v>5448472</v>
      </c>
      <c r="D1504" s="479">
        <f t="shared" ref="D1504:U1504" si="268">D1505+D1506</f>
        <v>0</v>
      </c>
      <c r="E1504" s="479">
        <f t="shared" si="268"/>
        <v>0</v>
      </c>
      <c r="F1504" s="479">
        <f t="shared" si="268"/>
        <v>0</v>
      </c>
      <c r="G1504" s="479">
        <f t="shared" si="268"/>
        <v>0</v>
      </c>
      <c r="H1504" s="479">
        <f t="shared" si="268"/>
        <v>0</v>
      </c>
      <c r="I1504" s="479">
        <f t="shared" si="268"/>
        <v>0</v>
      </c>
      <c r="J1504" s="479">
        <f t="shared" si="268"/>
        <v>0</v>
      </c>
      <c r="K1504" s="479">
        <f t="shared" si="268"/>
        <v>0</v>
      </c>
      <c r="L1504" s="479">
        <f t="shared" si="268"/>
        <v>0</v>
      </c>
      <c r="M1504" s="479">
        <f t="shared" si="268"/>
        <v>0</v>
      </c>
      <c r="N1504" s="479">
        <f t="shared" si="268"/>
        <v>2020</v>
      </c>
      <c r="O1504" s="479">
        <f t="shared" si="268"/>
        <v>5448472</v>
      </c>
      <c r="P1504" s="479">
        <f t="shared" si="268"/>
        <v>0</v>
      </c>
      <c r="Q1504" s="479">
        <f t="shared" si="268"/>
        <v>0</v>
      </c>
      <c r="R1504" s="479">
        <f t="shared" si="268"/>
        <v>0</v>
      </c>
      <c r="S1504" s="479">
        <f t="shared" si="268"/>
        <v>0</v>
      </c>
      <c r="T1504" s="479">
        <f t="shared" si="268"/>
        <v>0</v>
      </c>
      <c r="U1504" s="479">
        <f t="shared" si="268"/>
        <v>0</v>
      </c>
      <c r="V1504" s="282"/>
      <c r="W1504" s="282"/>
      <c r="X1504" s="282"/>
      <c r="Y1504" s="25"/>
      <c r="Z1504" s="25"/>
    </row>
    <row r="1505" spans="1:30">
      <c r="A1505" s="470">
        <v>444</v>
      </c>
      <c r="B1505" s="480" t="s">
        <v>618</v>
      </c>
      <c r="C1505" s="479">
        <v>1902273</v>
      </c>
      <c r="D1505" s="479">
        <v>0</v>
      </c>
      <c r="E1505" s="479">
        <v>0</v>
      </c>
      <c r="F1505" s="479">
        <v>0</v>
      </c>
      <c r="G1505" s="479">
        <v>0</v>
      </c>
      <c r="H1505" s="479">
        <v>0</v>
      </c>
      <c r="I1505" s="479">
        <v>0</v>
      </c>
      <c r="J1505" s="479">
        <v>0</v>
      </c>
      <c r="K1505" s="479">
        <v>0</v>
      </c>
      <c r="L1505" s="515">
        <v>0</v>
      </c>
      <c r="M1505" s="479">
        <v>0</v>
      </c>
      <c r="N1505" s="479">
        <v>596</v>
      </c>
      <c r="O1505" s="479">
        <v>1902273</v>
      </c>
      <c r="P1505" s="516">
        <v>0</v>
      </c>
      <c r="Q1505" s="479">
        <v>0</v>
      </c>
      <c r="R1505" s="516">
        <v>0</v>
      </c>
      <c r="S1505" s="479">
        <v>0</v>
      </c>
      <c r="T1505" s="515">
        <v>0</v>
      </c>
      <c r="U1505" s="517">
        <v>0</v>
      </c>
      <c r="V1505" s="282"/>
      <c r="W1505" s="282">
        <f>O1505/N1505</f>
        <v>3191.7332214765102</v>
      </c>
      <c r="X1505" s="282"/>
    </row>
    <row r="1506" spans="1:30">
      <c r="A1506" s="470">
        <v>445</v>
      </c>
      <c r="B1506" s="480" t="s">
        <v>617</v>
      </c>
      <c r="C1506" s="479">
        <v>3546199</v>
      </c>
      <c r="D1506" s="479">
        <v>0</v>
      </c>
      <c r="E1506" s="479">
        <v>0</v>
      </c>
      <c r="F1506" s="479">
        <v>0</v>
      </c>
      <c r="G1506" s="479">
        <v>0</v>
      </c>
      <c r="H1506" s="479">
        <v>0</v>
      </c>
      <c r="I1506" s="479">
        <v>0</v>
      </c>
      <c r="J1506" s="479">
        <v>0</v>
      </c>
      <c r="K1506" s="479">
        <v>0</v>
      </c>
      <c r="L1506" s="515">
        <v>0</v>
      </c>
      <c r="M1506" s="479">
        <v>0</v>
      </c>
      <c r="N1506" s="479">
        <v>1424</v>
      </c>
      <c r="O1506" s="479">
        <v>3546199</v>
      </c>
      <c r="P1506" s="516">
        <v>0</v>
      </c>
      <c r="Q1506" s="479">
        <v>0</v>
      </c>
      <c r="R1506" s="516">
        <v>0</v>
      </c>
      <c r="S1506" s="479">
        <v>0</v>
      </c>
      <c r="T1506" s="515">
        <v>0</v>
      </c>
      <c r="U1506" s="517">
        <v>0</v>
      </c>
      <c r="V1506" s="282"/>
      <c r="W1506" s="282">
        <f>O1506/N1506</f>
        <v>2490.308286516854</v>
      </c>
      <c r="X1506" s="282"/>
    </row>
    <row r="1507" spans="1:30">
      <c r="A1507" s="470"/>
      <c r="B1507" s="480"/>
      <c r="C1507" s="479"/>
      <c r="D1507" s="479"/>
      <c r="E1507" s="479"/>
      <c r="F1507" s="479"/>
      <c r="G1507" s="479"/>
      <c r="H1507" s="479"/>
      <c r="I1507" s="479"/>
      <c r="J1507" s="479"/>
      <c r="K1507" s="479"/>
      <c r="L1507" s="515"/>
      <c r="M1507" s="479"/>
      <c r="N1507" s="479"/>
      <c r="O1507" s="479"/>
      <c r="P1507" s="516"/>
      <c r="Q1507" s="479"/>
      <c r="R1507" s="479"/>
      <c r="S1507" s="479"/>
      <c r="T1507" s="515"/>
      <c r="U1507" s="517"/>
      <c r="V1507" s="282"/>
      <c r="W1507" s="282"/>
      <c r="X1507" s="282"/>
      <c r="Y1507" s="25"/>
      <c r="Z1507" s="25"/>
    </row>
    <row r="1508" spans="1:30">
      <c r="A1508" s="470"/>
      <c r="B1508" s="480"/>
      <c r="C1508" s="479"/>
      <c r="D1508" s="479"/>
      <c r="E1508" s="479"/>
      <c r="F1508" s="479"/>
      <c r="G1508" s="479"/>
      <c r="H1508" s="479"/>
      <c r="I1508" s="479"/>
      <c r="J1508" s="479"/>
      <c r="K1508" s="479"/>
      <c r="L1508" s="515"/>
      <c r="M1508" s="479"/>
      <c r="N1508" s="479"/>
      <c r="O1508" s="479"/>
      <c r="P1508" s="516"/>
      <c r="Q1508" s="479"/>
      <c r="R1508" s="516"/>
      <c r="S1508" s="479"/>
      <c r="T1508" s="515"/>
      <c r="U1508" s="517"/>
      <c r="V1508" s="282"/>
      <c r="W1508" s="282"/>
      <c r="X1508" s="282"/>
    </row>
    <row r="1509" spans="1:30">
      <c r="A1509" s="198"/>
      <c r="B1509" s="216" t="s">
        <v>65</v>
      </c>
      <c r="C1509" s="211">
        <f>C1510+C1512</f>
        <v>3398521</v>
      </c>
      <c r="D1509" s="211">
        <f t="shared" ref="D1509:U1509" si="269">D1510+D1512</f>
        <v>0</v>
      </c>
      <c r="E1509" s="211">
        <f t="shared" si="269"/>
        <v>0</v>
      </c>
      <c r="F1509" s="211">
        <f t="shared" si="269"/>
        <v>0</v>
      </c>
      <c r="G1509" s="211">
        <f t="shared" si="269"/>
        <v>0</v>
      </c>
      <c r="H1509" s="211">
        <f t="shared" si="269"/>
        <v>0</v>
      </c>
      <c r="I1509" s="211">
        <f t="shared" si="269"/>
        <v>0</v>
      </c>
      <c r="J1509" s="211">
        <f t="shared" si="269"/>
        <v>0</v>
      </c>
      <c r="K1509" s="211">
        <f t="shared" si="269"/>
        <v>0</v>
      </c>
      <c r="L1509" s="211">
        <f t="shared" si="269"/>
        <v>0</v>
      </c>
      <c r="M1509" s="211">
        <f t="shared" si="269"/>
        <v>0</v>
      </c>
      <c r="N1509" s="211">
        <f t="shared" si="269"/>
        <v>1360</v>
      </c>
      <c r="O1509" s="211">
        <f t="shared" si="269"/>
        <v>3398521</v>
      </c>
      <c r="P1509" s="211">
        <f t="shared" si="269"/>
        <v>0</v>
      </c>
      <c r="Q1509" s="211">
        <f t="shared" si="269"/>
        <v>0</v>
      </c>
      <c r="R1509" s="211">
        <f t="shared" si="269"/>
        <v>0</v>
      </c>
      <c r="S1509" s="211">
        <f t="shared" si="269"/>
        <v>0</v>
      </c>
      <c r="T1509" s="211">
        <f t="shared" si="269"/>
        <v>0</v>
      </c>
      <c r="U1509" s="211">
        <f t="shared" si="269"/>
        <v>0</v>
      </c>
      <c r="V1509" s="282"/>
      <c r="W1509" s="282"/>
      <c r="X1509" s="282"/>
    </row>
    <row r="1510" spans="1:30" ht="30">
      <c r="A1510" s="198"/>
      <c r="B1510" s="214" t="s">
        <v>637</v>
      </c>
      <c r="C1510" s="211">
        <f>C1511</f>
        <v>1889892</v>
      </c>
      <c r="D1510" s="211">
        <f t="shared" ref="D1510:V1510" si="270">D1511</f>
        <v>0</v>
      </c>
      <c r="E1510" s="211">
        <f t="shared" si="270"/>
        <v>0</v>
      </c>
      <c r="F1510" s="211">
        <f t="shared" si="270"/>
        <v>0</v>
      </c>
      <c r="G1510" s="211">
        <f t="shared" si="270"/>
        <v>0</v>
      </c>
      <c r="H1510" s="211">
        <f t="shared" si="270"/>
        <v>0</v>
      </c>
      <c r="I1510" s="211">
        <f t="shared" si="270"/>
        <v>0</v>
      </c>
      <c r="J1510" s="211">
        <f t="shared" si="270"/>
        <v>0</v>
      </c>
      <c r="K1510" s="211">
        <f t="shared" si="270"/>
        <v>0</v>
      </c>
      <c r="L1510" s="211">
        <f t="shared" si="270"/>
        <v>0</v>
      </c>
      <c r="M1510" s="211">
        <f t="shared" si="270"/>
        <v>0</v>
      </c>
      <c r="N1510" s="211">
        <f t="shared" si="270"/>
        <v>755</v>
      </c>
      <c r="O1510" s="211">
        <f t="shared" si="270"/>
        <v>1889892</v>
      </c>
      <c r="P1510" s="211">
        <f t="shared" si="270"/>
        <v>0</v>
      </c>
      <c r="Q1510" s="211">
        <f t="shared" si="270"/>
        <v>0</v>
      </c>
      <c r="R1510" s="211">
        <f t="shared" si="270"/>
        <v>0</v>
      </c>
      <c r="S1510" s="211">
        <f t="shared" si="270"/>
        <v>0</v>
      </c>
      <c r="T1510" s="211">
        <f t="shared" si="270"/>
        <v>0</v>
      </c>
      <c r="U1510" s="211">
        <f t="shared" si="270"/>
        <v>0</v>
      </c>
      <c r="V1510" s="211">
        <f t="shared" si="270"/>
        <v>0</v>
      </c>
      <c r="W1510" s="282"/>
      <c r="X1510" s="282"/>
    </row>
    <row r="1511" spans="1:30">
      <c r="A1511" s="198">
        <v>448</v>
      </c>
      <c r="B1511" s="214" t="s">
        <v>638</v>
      </c>
      <c r="C1511" s="211">
        <v>1889892</v>
      </c>
      <c r="D1511" s="211">
        <v>0</v>
      </c>
      <c r="E1511" s="211">
        <v>0</v>
      </c>
      <c r="F1511" s="211">
        <v>0</v>
      </c>
      <c r="G1511" s="211">
        <v>0</v>
      </c>
      <c r="H1511" s="211">
        <v>0</v>
      </c>
      <c r="I1511" s="211">
        <v>0</v>
      </c>
      <c r="J1511" s="211">
        <v>0</v>
      </c>
      <c r="K1511" s="211">
        <v>0</v>
      </c>
      <c r="L1511" s="212">
        <v>0</v>
      </c>
      <c r="M1511" s="211">
        <v>0</v>
      </c>
      <c r="N1511" s="211">
        <v>755</v>
      </c>
      <c r="O1511" s="211">
        <v>1889892</v>
      </c>
      <c r="P1511" s="213">
        <v>0</v>
      </c>
      <c r="Q1511" s="211">
        <v>0</v>
      </c>
      <c r="R1511" s="213">
        <v>0</v>
      </c>
      <c r="S1511" s="211">
        <v>0</v>
      </c>
      <c r="T1511" s="212">
        <v>0</v>
      </c>
      <c r="U1511" s="290">
        <v>0</v>
      </c>
      <c r="V1511" s="282"/>
      <c r="W1511" s="282">
        <f>O1511/N1511</f>
        <v>2503.1682119205298</v>
      </c>
      <c r="X1511" s="282"/>
    </row>
    <row r="1512" spans="1:30" ht="30">
      <c r="A1512" s="198"/>
      <c r="B1512" s="214" t="s">
        <v>639</v>
      </c>
      <c r="C1512" s="211">
        <f>C1513</f>
        <v>1508629</v>
      </c>
      <c r="D1512" s="211">
        <f t="shared" ref="D1512:V1512" si="271">D1513</f>
        <v>0</v>
      </c>
      <c r="E1512" s="211">
        <f t="shared" si="271"/>
        <v>0</v>
      </c>
      <c r="F1512" s="211">
        <f t="shared" si="271"/>
        <v>0</v>
      </c>
      <c r="G1512" s="211">
        <f t="shared" si="271"/>
        <v>0</v>
      </c>
      <c r="H1512" s="211">
        <f t="shared" si="271"/>
        <v>0</v>
      </c>
      <c r="I1512" s="211">
        <f t="shared" si="271"/>
        <v>0</v>
      </c>
      <c r="J1512" s="211">
        <f t="shared" si="271"/>
        <v>0</v>
      </c>
      <c r="K1512" s="211">
        <f t="shared" si="271"/>
        <v>0</v>
      </c>
      <c r="L1512" s="211">
        <f t="shared" si="271"/>
        <v>0</v>
      </c>
      <c r="M1512" s="211">
        <f t="shared" si="271"/>
        <v>0</v>
      </c>
      <c r="N1512" s="211">
        <f t="shared" si="271"/>
        <v>605</v>
      </c>
      <c r="O1512" s="211">
        <f t="shared" si="271"/>
        <v>1508629</v>
      </c>
      <c r="P1512" s="211">
        <f t="shared" si="271"/>
        <v>0</v>
      </c>
      <c r="Q1512" s="211">
        <f t="shared" si="271"/>
        <v>0</v>
      </c>
      <c r="R1512" s="211">
        <f t="shared" si="271"/>
        <v>0</v>
      </c>
      <c r="S1512" s="211">
        <f t="shared" si="271"/>
        <v>0</v>
      </c>
      <c r="T1512" s="211">
        <f t="shared" si="271"/>
        <v>0</v>
      </c>
      <c r="U1512" s="211">
        <f t="shared" si="271"/>
        <v>0</v>
      </c>
      <c r="V1512" s="211">
        <f t="shared" si="271"/>
        <v>0</v>
      </c>
      <c r="W1512" s="282"/>
      <c r="X1512" s="282"/>
    </row>
    <row r="1513" spans="1:30">
      <c r="A1513" s="198">
        <v>449</v>
      </c>
      <c r="B1513" s="214" t="s">
        <v>640</v>
      </c>
      <c r="C1513" s="211">
        <v>1508629</v>
      </c>
      <c r="D1513" s="211">
        <v>0</v>
      </c>
      <c r="E1513" s="211">
        <v>0</v>
      </c>
      <c r="F1513" s="211">
        <v>0</v>
      </c>
      <c r="G1513" s="211">
        <v>0</v>
      </c>
      <c r="H1513" s="211">
        <v>0</v>
      </c>
      <c r="I1513" s="211">
        <v>0</v>
      </c>
      <c r="J1513" s="211">
        <v>0</v>
      </c>
      <c r="K1513" s="211">
        <v>0</v>
      </c>
      <c r="L1513" s="212">
        <v>0</v>
      </c>
      <c r="M1513" s="211">
        <v>0</v>
      </c>
      <c r="N1513" s="211">
        <v>605</v>
      </c>
      <c r="O1513" s="211">
        <v>1508629</v>
      </c>
      <c r="P1513" s="213">
        <v>0</v>
      </c>
      <c r="Q1513" s="211">
        <v>0</v>
      </c>
      <c r="R1513" s="213">
        <v>0</v>
      </c>
      <c r="S1513" s="211">
        <v>0</v>
      </c>
      <c r="T1513" s="212">
        <v>0</v>
      </c>
      <c r="U1513" s="290">
        <v>0</v>
      </c>
      <c r="V1513" s="282"/>
      <c r="W1513" s="282">
        <f>O1513/N1513</f>
        <v>2493.601652892562</v>
      </c>
      <c r="X1513" s="282"/>
    </row>
    <row r="1514" spans="1:30">
      <c r="A1514" s="198"/>
      <c r="B1514" s="216" t="s">
        <v>66</v>
      </c>
      <c r="C1514" s="211">
        <f>C1517</f>
        <v>3745458</v>
      </c>
      <c r="D1514" s="211">
        <f t="shared" ref="D1514:U1514" si="272">D1517</f>
        <v>0</v>
      </c>
      <c r="E1514" s="211">
        <f t="shared" si="272"/>
        <v>0</v>
      </c>
      <c r="F1514" s="211">
        <f t="shared" si="272"/>
        <v>0</v>
      </c>
      <c r="G1514" s="211">
        <f t="shared" si="272"/>
        <v>0</v>
      </c>
      <c r="H1514" s="211">
        <f t="shared" si="272"/>
        <v>0</v>
      </c>
      <c r="I1514" s="211">
        <f t="shared" si="272"/>
        <v>0</v>
      </c>
      <c r="J1514" s="211">
        <f t="shared" si="272"/>
        <v>0</v>
      </c>
      <c r="K1514" s="211">
        <f t="shared" si="272"/>
        <v>0</v>
      </c>
      <c r="L1514" s="211">
        <f t="shared" si="272"/>
        <v>0</v>
      </c>
      <c r="M1514" s="211">
        <f t="shared" si="272"/>
        <v>0</v>
      </c>
      <c r="N1514" s="211">
        <f t="shared" si="272"/>
        <v>1175</v>
      </c>
      <c r="O1514" s="211">
        <f t="shared" si="272"/>
        <v>3745458</v>
      </c>
      <c r="P1514" s="211">
        <f t="shared" si="272"/>
        <v>0</v>
      </c>
      <c r="Q1514" s="211">
        <f t="shared" si="272"/>
        <v>0</v>
      </c>
      <c r="R1514" s="211">
        <f t="shared" si="272"/>
        <v>0</v>
      </c>
      <c r="S1514" s="211">
        <f t="shared" si="272"/>
        <v>0</v>
      </c>
      <c r="T1514" s="211">
        <f t="shared" si="272"/>
        <v>0</v>
      </c>
      <c r="U1514" s="211">
        <f t="shared" si="272"/>
        <v>0</v>
      </c>
      <c r="V1514" s="282"/>
      <c r="W1514" s="282"/>
      <c r="X1514" s="282"/>
    </row>
    <row r="1515" spans="1:30" ht="30">
      <c r="A1515" s="470"/>
      <c r="B1515" s="480" t="s">
        <v>641</v>
      </c>
      <c r="C1515" s="479">
        <f>C1516</f>
        <v>357985</v>
      </c>
      <c r="D1515" s="479">
        <f t="shared" ref="D1515:U1515" si="273">D1516</f>
        <v>357985</v>
      </c>
      <c r="E1515" s="479">
        <f t="shared" si="273"/>
        <v>0</v>
      </c>
      <c r="F1515" s="479">
        <f t="shared" si="273"/>
        <v>0</v>
      </c>
      <c r="G1515" s="479">
        <f t="shared" si="273"/>
        <v>0</v>
      </c>
      <c r="H1515" s="479">
        <f t="shared" si="273"/>
        <v>0</v>
      </c>
      <c r="I1515" s="479">
        <f t="shared" si="273"/>
        <v>0</v>
      </c>
      <c r="J1515" s="479">
        <f t="shared" si="273"/>
        <v>357985</v>
      </c>
      <c r="K1515" s="479">
        <f t="shared" si="273"/>
        <v>0</v>
      </c>
      <c r="L1515" s="479">
        <f t="shared" si="273"/>
        <v>0</v>
      </c>
      <c r="M1515" s="479">
        <f t="shared" si="273"/>
        <v>0</v>
      </c>
      <c r="N1515" s="479">
        <f t="shared" si="273"/>
        <v>0</v>
      </c>
      <c r="O1515" s="479">
        <f t="shared" si="273"/>
        <v>0</v>
      </c>
      <c r="P1515" s="479">
        <f t="shared" si="273"/>
        <v>0</v>
      </c>
      <c r="Q1515" s="479">
        <f t="shared" si="273"/>
        <v>0</v>
      </c>
      <c r="R1515" s="479">
        <f t="shared" si="273"/>
        <v>0</v>
      </c>
      <c r="S1515" s="479">
        <f t="shared" si="273"/>
        <v>0</v>
      </c>
      <c r="T1515" s="479">
        <f t="shared" si="273"/>
        <v>0</v>
      </c>
      <c r="U1515" s="479">
        <f t="shared" si="273"/>
        <v>0</v>
      </c>
      <c r="V1515" s="282"/>
      <c r="W1515" s="282"/>
      <c r="X1515" s="282"/>
    </row>
    <row r="1516" spans="1:30">
      <c r="A1516" s="470"/>
      <c r="B1516" s="524" t="s">
        <v>644</v>
      </c>
      <c r="C1516" s="479">
        <f>'часть 1'!L1540</f>
        <v>357985</v>
      </c>
      <c r="D1516" s="479">
        <f>E1516+F1516+G1516+H1516+I1516+J1516+K1516</f>
        <v>357985</v>
      </c>
      <c r="E1516" s="479">
        <v>0</v>
      </c>
      <c r="F1516" s="479">
        <v>0</v>
      </c>
      <c r="G1516" s="479">
        <v>0</v>
      </c>
      <c r="H1516" s="479">
        <v>0</v>
      </c>
      <c r="I1516" s="479">
        <v>0</v>
      </c>
      <c r="J1516" s="479">
        <v>357985</v>
      </c>
      <c r="K1516" s="479">
        <v>0</v>
      </c>
      <c r="L1516" s="479">
        <v>0</v>
      </c>
      <c r="M1516" s="479">
        <v>0</v>
      </c>
      <c r="N1516" s="479">
        <v>0</v>
      </c>
      <c r="O1516" s="479">
        <v>0</v>
      </c>
      <c r="P1516" s="479">
        <v>0</v>
      </c>
      <c r="Q1516" s="479">
        <v>0</v>
      </c>
      <c r="R1516" s="479">
        <v>0</v>
      </c>
      <c r="S1516" s="479">
        <v>0</v>
      </c>
      <c r="T1516" s="479">
        <v>0</v>
      </c>
      <c r="U1516" s="479">
        <v>0</v>
      </c>
      <c r="V1516" s="282"/>
      <c r="W1516" s="282"/>
      <c r="X1516" s="282"/>
      <c r="AD1516" s="1">
        <f>J1516/'часть 1'!I1540</f>
        <v>558.39182654812043</v>
      </c>
    </row>
    <row r="1517" spans="1:30" ht="30">
      <c r="A1517" s="198"/>
      <c r="B1517" s="214" t="s">
        <v>114</v>
      </c>
      <c r="C1517" s="211">
        <f>C1518+C1519</f>
        <v>3745458</v>
      </c>
      <c r="D1517" s="211">
        <f t="shared" ref="D1517:V1517" si="274">D1518+D1519</f>
        <v>0</v>
      </c>
      <c r="E1517" s="211">
        <f t="shared" si="274"/>
        <v>0</v>
      </c>
      <c r="F1517" s="211">
        <f t="shared" si="274"/>
        <v>0</v>
      </c>
      <c r="G1517" s="211">
        <f t="shared" si="274"/>
        <v>0</v>
      </c>
      <c r="H1517" s="211">
        <f t="shared" si="274"/>
        <v>0</v>
      </c>
      <c r="I1517" s="211">
        <f t="shared" si="274"/>
        <v>0</v>
      </c>
      <c r="J1517" s="211">
        <f t="shared" si="274"/>
        <v>0</v>
      </c>
      <c r="K1517" s="211">
        <f t="shared" si="274"/>
        <v>0</v>
      </c>
      <c r="L1517" s="211">
        <f t="shared" si="274"/>
        <v>0</v>
      </c>
      <c r="M1517" s="211">
        <f t="shared" si="274"/>
        <v>0</v>
      </c>
      <c r="N1517" s="211">
        <f t="shared" si="274"/>
        <v>1175</v>
      </c>
      <c r="O1517" s="211">
        <f t="shared" si="274"/>
        <v>3745458</v>
      </c>
      <c r="P1517" s="211">
        <f t="shared" si="274"/>
        <v>0</v>
      </c>
      <c r="Q1517" s="211">
        <f t="shared" si="274"/>
        <v>0</v>
      </c>
      <c r="R1517" s="211">
        <f t="shared" si="274"/>
        <v>0</v>
      </c>
      <c r="S1517" s="211">
        <f t="shared" si="274"/>
        <v>0</v>
      </c>
      <c r="T1517" s="211">
        <f t="shared" si="274"/>
        <v>0</v>
      </c>
      <c r="U1517" s="211">
        <f t="shared" si="274"/>
        <v>0</v>
      </c>
      <c r="V1517" s="211">
        <f t="shared" si="274"/>
        <v>0</v>
      </c>
      <c r="W1517" s="282"/>
      <c r="X1517" s="282"/>
    </row>
    <row r="1518" spans="1:30" ht="15.75">
      <c r="A1518" s="470">
        <v>450</v>
      </c>
      <c r="B1518" s="365" t="s">
        <v>595</v>
      </c>
      <c r="C1518" s="479">
        <v>2305927</v>
      </c>
      <c r="D1518" s="479">
        <v>0</v>
      </c>
      <c r="E1518" s="479">
        <v>0</v>
      </c>
      <c r="F1518" s="479">
        <v>0</v>
      </c>
      <c r="G1518" s="479">
        <v>0</v>
      </c>
      <c r="H1518" s="479">
        <v>0</v>
      </c>
      <c r="I1518" s="479">
        <v>0</v>
      </c>
      <c r="J1518" s="479">
        <v>0</v>
      </c>
      <c r="K1518" s="479">
        <v>0</v>
      </c>
      <c r="L1518" s="515">
        <v>0</v>
      </c>
      <c r="M1518" s="479">
        <v>0</v>
      </c>
      <c r="N1518" s="479">
        <v>725</v>
      </c>
      <c r="O1518" s="479">
        <v>2305927</v>
      </c>
      <c r="P1518" s="516">
        <v>0</v>
      </c>
      <c r="Q1518" s="479">
        <v>0</v>
      </c>
      <c r="R1518" s="516">
        <v>0</v>
      </c>
      <c r="S1518" s="479">
        <v>0</v>
      </c>
      <c r="T1518" s="515">
        <v>0</v>
      </c>
      <c r="U1518" s="517">
        <v>0</v>
      </c>
      <c r="V1518" s="282"/>
      <c r="W1518" s="282">
        <f>O1518/N1518</f>
        <v>3180.5889655172414</v>
      </c>
      <c r="X1518" s="282"/>
    </row>
    <row r="1519" spans="1:30" ht="15.75">
      <c r="A1519" s="470">
        <v>451</v>
      </c>
      <c r="B1519" s="365" t="s">
        <v>596</v>
      </c>
      <c r="C1519" s="479">
        <v>1439531</v>
      </c>
      <c r="D1519" s="479">
        <v>0</v>
      </c>
      <c r="E1519" s="479">
        <v>0</v>
      </c>
      <c r="F1519" s="479">
        <v>0</v>
      </c>
      <c r="G1519" s="479">
        <v>0</v>
      </c>
      <c r="H1519" s="479">
        <v>0</v>
      </c>
      <c r="I1519" s="479">
        <v>0</v>
      </c>
      <c r="J1519" s="479">
        <v>0</v>
      </c>
      <c r="K1519" s="479">
        <v>0</v>
      </c>
      <c r="L1519" s="515">
        <v>0</v>
      </c>
      <c r="M1519" s="479">
        <v>0</v>
      </c>
      <c r="N1519" s="479">
        <v>450</v>
      </c>
      <c r="O1519" s="479">
        <v>1439531</v>
      </c>
      <c r="P1519" s="516">
        <v>0</v>
      </c>
      <c r="Q1519" s="479">
        <v>0</v>
      </c>
      <c r="R1519" s="516">
        <v>0</v>
      </c>
      <c r="S1519" s="479">
        <v>0</v>
      </c>
      <c r="T1519" s="515">
        <v>0</v>
      </c>
      <c r="U1519" s="517">
        <v>0</v>
      </c>
      <c r="V1519" s="282"/>
      <c r="W1519" s="282">
        <f>O1519/N1519</f>
        <v>3198.9577777777777</v>
      </c>
      <c r="X1519" s="282"/>
    </row>
    <row r="1520" spans="1:30" ht="15.75">
      <c r="A1520" s="470"/>
      <c r="B1520" s="365"/>
      <c r="C1520" s="479"/>
      <c r="D1520" s="479"/>
      <c r="E1520" s="479"/>
      <c r="F1520" s="479"/>
      <c r="G1520" s="479"/>
      <c r="H1520" s="479"/>
      <c r="I1520" s="479"/>
      <c r="J1520" s="479"/>
      <c r="K1520" s="479"/>
      <c r="L1520" s="515"/>
      <c r="M1520" s="479"/>
      <c r="N1520" s="479"/>
      <c r="O1520" s="479"/>
      <c r="P1520" s="516"/>
      <c r="Q1520" s="479"/>
      <c r="R1520" s="516"/>
      <c r="S1520" s="479"/>
      <c r="T1520" s="515"/>
      <c r="U1520" s="517"/>
      <c r="V1520" s="282"/>
      <c r="W1520" s="282"/>
      <c r="X1520" s="282"/>
    </row>
    <row r="1521" spans="1:35">
      <c r="A1521" s="198"/>
      <c r="B1521" s="214" t="s">
        <v>207</v>
      </c>
      <c r="C1521" s="211">
        <f>C1522+C1523+C1524+C1525+C1526+C1527+C1528</f>
        <v>21360482</v>
      </c>
      <c r="D1521" s="211">
        <f t="shared" ref="D1521:V1521" si="275">D1522+D1523+D1524+D1525+D1526+D1527+D1528</f>
        <v>0</v>
      </c>
      <c r="E1521" s="211">
        <f t="shared" si="275"/>
        <v>0</v>
      </c>
      <c r="F1521" s="211">
        <f t="shared" si="275"/>
        <v>0</v>
      </c>
      <c r="G1521" s="211">
        <f t="shared" si="275"/>
        <v>0</v>
      </c>
      <c r="H1521" s="211">
        <f t="shared" si="275"/>
        <v>0</v>
      </c>
      <c r="I1521" s="211">
        <f t="shared" si="275"/>
        <v>0</v>
      </c>
      <c r="J1521" s="211">
        <f t="shared" si="275"/>
        <v>0</v>
      </c>
      <c r="K1521" s="211">
        <f t="shared" si="275"/>
        <v>0</v>
      </c>
      <c r="L1521" s="211">
        <f t="shared" si="275"/>
        <v>0</v>
      </c>
      <c r="M1521" s="211">
        <f t="shared" si="275"/>
        <v>0</v>
      </c>
      <c r="N1521" s="211">
        <f t="shared" si="275"/>
        <v>8495.4</v>
      </c>
      <c r="O1521" s="211">
        <f t="shared" si="275"/>
        <v>21360482</v>
      </c>
      <c r="P1521" s="211">
        <f t="shared" si="275"/>
        <v>0</v>
      </c>
      <c r="Q1521" s="211">
        <f t="shared" si="275"/>
        <v>0</v>
      </c>
      <c r="R1521" s="211">
        <f t="shared" si="275"/>
        <v>0</v>
      </c>
      <c r="S1521" s="211">
        <f t="shared" si="275"/>
        <v>0</v>
      </c>
      <c r="T1521" s="211">
        <f t="shared" si="275"/>
        <v>0</v>
      </c>
      <c r="U1521" s="211">
        <f t="shared" si="275"/>
        <v>0</v>
      </c>
      <c r="V1521" s="211">
        <f t="shared" si="275"/>
        <v>0</v>
      </c>
      <c r="W1521" s="211"/>
      <c r="X1521" s="211"/>
      <c r="Y1521" s="211"/>
      <c r="Z1521" s="211"/>
      <c r="AA1521" s="211"/>
      <c r="AB1521" s="211"/>
      <c r="AC1521" s="211"/>
      <c r="AD1521" s="211"/>
      <c r="AE1521" s="211"/>
      <c r="AF1521" s="211"/>
      <c r="AG1521" s="211"/>
      <c r="AH1521" s="211"/>
      <c r="AI1521" s="211"/>
    </row>
    <row r="1522" spans="1:35">
      <c r="A1522" s="470">
        <v>453</v>
      </c>
      <c r="B1522" s="519" t="s">
        <v>506</v>
      </c>
      <c r="C1522" s="479">
        <v>1823609</v>
      </c>
      <c r="D1522" s="479">
        <v>0</v>
      </c>
      <c r="E1522" s="479">
        <v>0</v>
      </c>
      <c r="F1522" s="479">
        <v>0</v>
      </c>
      <c r="G1522" s="479">
        <v>0</v>
      </c>
      <c r="H1522" s="479">
        <v>0</v>
      </c>
      <c r="I1522" s="479">
        <v>0</v>
      </c>
      <c r="J1522" s="479">
        <v>0</v>
      </c>
      <c r="K1522" s="479">
        <v>0</v>
      </c>
      <c r="L1522" s="515">
        <v>0</v>
      </c>
      <c r="M1522" s="479">
        <v>0</v>
      </c>
      <c r="N1522" s="518">
        <v>719</v>
      </c>
      <c r="O1522" s="479">
        <v>1823609</v>
      </c>
      <c r="P1522" s="515">
        <v>0</v>
      </c>
      <c r="Q1522" s="479">
        <v>0</v>
      </c>
      <c r="R1522" s="516">
        <v>0</v>
      </c>
      <c r="S1522" s="479">
        <v>0</v>
      </c>
      <c r="T1522" s="515">
        <v>0</v>
      </c>
      <c r="U1522" s="517">
        <v>0</v>
      </c>
      <c r="V1522" s="282"/>
      <c r="W1522" s="282">
        <f>O1522/N1522</f>
        <v>2536.3129346314327</v>
      </c>
      <c r="X1522" s="282"/>
    </row>
    <row r="1523" spans="1:35">
      <c r="A1523" s="470">
        <v>454</v>
      </c>
      <c r="B1523" s="519" t="s">
        <v>507</v>
      </c>
      <c r="C1523" s="479">
        <v>5329850</v>
      </c>
      <c r="D1523" s="479">
        <v>0</v>
      </c>
      <c r="E1523" s="479">
        <v>0</v>
      </c>
      <c r="F1523" s="479">
        <v>0</v>
      </c>
      <c r="G1523" s="479">
        <v>0</v>
      </c>
      <c r="H1523" s="479">
        <v>0</v>
      </c>
      <c r="I1523" s="479">
        <v>0</v>
      </c>
      <c r="J1523" s="479">
        <v>0</v>
      </c>
      <c r="K1523" s="479">
        <v>0</v>
      </c>
      <c r="L1523" s="515">
        <v>0</v>
      </c>
      <c r="M1523" s="479">
        <v>0</v>
      </c>
      <c r="N1523" s="518">
        <v>2128</v>
      </c>
      <c r="O1523" s="479">
        <v>5329850</v>
      </c>
      <c r="P1523" s="515">
        <v>0</v>
      </c>
      <c r="Q1523" s="479">
        <v>0</v>
      </c>
      <c r="R1523" s="516">
        <v>0</v>
      </c>
      <c r="S1523" s="479">
        <v>0</v>
      </c>
      <c r="T1523" s="515">
        <v>0</v>
      </c>
      <c r="U1523" s="517">
        <v>0</v>
      </c>
      <c r="V1523" s="282"/>
      <c r="W1523" s="282">
        <f t="shared" ref="W1523:W1528" si="276">O1523/N1523</f>
        <v>2504.6287593984962</v>
      </c>
      <c r="X1523" s="282"/>
    </row>
    <row r="1524" spans="1:35">
      <c r="A1524" s="470">
        <v>455</v>
      </c>
      <c r="B1524" s="519" t="s">
        <v>508</v>
      </c>
      <c r="C1524" s="479">
        <v>1176993</v>
      </c>
      <c r="D1524" s="479">
        <v>0</v>
      </c>
      <c r="E1524" s="479">
        <v>0</v>
      </c>
      <c r="F1524" s="479">
        <v>0</v>
      </c>
      <c r="G1524" s="479">
        <v>0</v>
      </c>
      <c r="H1524" s="479">
        <v>0</v>
      </c>
      <c r="I1524" s="479">
        <v>0</v>
      </c>
      <c r="J1524" s="479">
        <v>0</v>
      </c>
      <c r="K1524" s="479">
        <v>0</v>
      </c>
      <c r="L1524" s="515">
        <v>0</v>
      </c>
      <c r="M1524" s="479">
        <v>0</v>
      </c>
      <c r="N1524" s="479">
        <v>459.4</v>
      </c>
      <c r="O1524" s="479">
        <v>1176993</v>
      </c>
      <c r="P1524" s="515">
        <v>0</v>
      </c>
      <c r="Q1524" s="479">
        <v>0</v>
      </c>
      <c r="R1524" s="516">
        <v>0</v>
      </c>
      <c r="S1524" s="479">
        <v>0</v>
      </c>
      <c r="T1524" s="515">
        <v>0</v>
      </c>
      <c r="U1524" s="517">
        <v>0</v>
      </c>
      <c r="V1524" s="282"/>
      <c r="W1524" s="282">
        <f t="shared" si="276"/>
        <v>2562.0222028733133</v>
      </c>
      <c r="X1524" s="282"/>
    </row>
    <row r="1525" spans="1:35">
      <c r="A1525" s="470">
        <v>456</v>
      </c>
      <c r="B1525" s="519" t="s">
        <v>509</v>
      </c>
      <c r="C1525" s="479">
        <v>2684544</v>
      </c>
      <c r="D1525" s="479">
        <v>0</v>
      </c>
      <c r="E1525" s="479">
        <v>0</v>
      </c>
      <c r="F1525" s="479">
        <v>0</v>
      </c>
      <c r="G1525" s="479">
        <v>0</v>
      </c>
      <c r="H1525" s="479">
        <v>0</v>
      </c>
      <c r="I1525" s="479">
        <v>0</v>
      </c>
      <c r="J1525" s="479">
        <v>0</v>
      </c>
      <c r="K1525" s="479">
        <v>0</v>
      </c>
      <c r="L1525" s="515">
        <v>0</v>
      </c>
      <c r="M1525" s="479">
        <v>0</v>
      </c>
      <c r="N1525" s="518">
        <v>1065</v>
      </c>
      <c r="O1525" s="479">
        <v>2684544</v>
      </c>
      <c r="P1525" s="515">
        <v>0</v>
      </c>
      <c r="Q1525" s="479">
        <v>0</v>
      </c>
      <c r="R1525" s="516">
        <v>0</v>
      </c>
      <c r="S1525" s="479">
        <v>0</v>
      </c>
      <c r="T1525" s="515">
        <v>0</v>
      </c>
      <c r="U1525" s="517">
        <v>0</v>
      </c>
      <c r="V1525" s="282"/>
      <c r="W1525" s="282">
        <f t="shared" si="276"/>
        <v>2520.698591549296</v>
      </c>
      <c r="X1525" s="282"/>
    </row>
    <row r="1526" spans="1:35">
      <c r="A1526" s="470">
        <v>457</v>
      </c>
      <c r="B1526" s="519" t="s">
        <v>510</v>
      </c>
      <c r="C1526" s="479">
        <v>6294002</v>
      </c>
      <c r="D1526" s="479">
        <v>0</v>
      </c>
      <c r="E1526" s="479">
        <v>0</v>
      </c>
      <c r="F1526" s="479">
        <v>0</v>
      </c>
      <c r="G1526" s="479">
        <v>0</v>
      </c>
      <c r="H1526" s="479">
        <v>0</v>
      </c>
      <c r="I1526" s="479">
        <v>0</v>
      </c>
      <c r="J1526" s="479">
        <v>0</v>
      </c>
      <c r="K1526" s="479">
        <v>0</v>
      </c>
      <c r="L1526" s="515">
        <v>0</v>
      </c>
      <c r="M1526" s="479">
        <v>0</v>
      </c>
      <c r="N1526" s="518">
        <v>2525</v>
      </c>
      <c r="O1526" s="479">
        <v>6294002</v>
      </c>
      <c r="P1526" s="515">
        <v>0</v>
      </c>
      <c r="Q1526" s="479">
        <v>0</v>
      </c>
      <c r="R1526" s="516">
        <v>0</v>
      </c>
      <c r="S1526" s="479">
        <v>0</v>
      </c>
      <c r="T1526" s="515">
        <v>0</v>
      </c>
      <c r="U1526" s="517">
        <v>0</v>
      </c>
      <c r="V1526" s="282"/>
      <c r="W1526" s="282">
        <f t="shared" si="276"/>
        <v>2492.6740594059406</v>
      </c>
      <c r="X1526" s="282"/>
    </row>
    <row r="1527" spans="1:35">
      <c r="A1527" s="470">
        <v>458</v>
      </c>
      <c r="B1527" s="519" t="s">
        <v>428</v>
      </c>
      <c r="C1527" s="479">
        <v>2199863</v>
      </c>
      <c r="D1527" s="479">
        <v>0</v>
      </c>
      <c r="E1527" s="479">
        <v>0</v>
      </c>
      <c r="F1527" s="479">
        <v>0</v>
      </c>
      <c r="G1527" s="479">
        <v>0</v>
      </c>
      <c r="H1527" s="479">
        <v>0</v>
      </c>
      <c r="I1527" s="479">
        <v>0</v>
      </c>
      <c r="J1527" s="479">
        <v>0</v>
      </c>
      <c r="K1527" s="479">
        <v>0</v>
      </c>
      <c r="L1527" s="515">
        <v>0</v>
      </c>
      <c r="M1527" s="479">
        <v>0</v>
      </c>
      <c r="N1527" s="518">
        <v>870</v>
      </c>
      <c r="O1527" s="479">
        <v>2199863</v>
      </c>
      <c r="P1527" s="515">
        <v>0</v>
      </c>
      <c r="Q1527" s="479">
        <v>0</v>
      </c>
      <c r="R1527" s="516">
        <v>0</v>
      </c>
      <c r="S1527" s="479">
        <v>0</v>
      </c>
      <c r="T1527" s="515">
        <v>0</v>
      </c>
      <c r="U1527" s="517">
        <v>0</v>
      </c>
      <c r="V1527" s="282"/>
      <c r="W1527" s="282">
        <f t="shared" si="276"/>
        <v>2528.5781609195401</v>
      </c>
      <c r="X1527" s="282"/>
    </row>
    <row r="1528" spans="1:35">
      <c r="A1528" s="470">
        <v>459</v>
      </c>
      <c r="B1528" s="519" t="s">
        <v>511</v>
      </c>
      <c r="C1528" s="479">
        <v>1851621</v>
      </c>
      <c r="D1528" s="479">
        <v>0</v>
      </c>
      <c r="E1528" s="479">
        <v>0</v>
      </c>
      <c r="F1528" s="479">
        <v>0</v>
      </c>
      <c r="G1528" s="479">
        <v>0</v>
      </c>
      <c r="H1528" s="479">
        <v>0</v>
      </c>
      <c r="I1528" s="479">
        <v>0</v>
      </c>
      <c r="J1528" s="479">
        <v>0</v>
      </c>
      <c r="K1528" s="479">
        <v>0</v>
      </c>
      <c r="L1528" s="515">
        <v>0</v>
      </c>
      <c r="M1528" s="479">
        <v>0</v>
      </c>
      <c r="N1528" s="518">
        <v>729</v>
      </c>
      <c r="O1528" s="479">
        <v>1851621</v>
      </c>
      <c r="P1528" s="515">
        <v>0</v>
      </c>
      <c r="Q1528" s="479">
        <v>0</v>
      </c>
      <c r="R1528" s="516">
        <v>0</v>
      </c>
      <c r="S1528" s="479">
        <v>0</v>
      </c>
      <c r="T1528" s="515">
        <v>0</v>
      </c>
      <c r="U1528" s="517">
        <v>0</v>
      </c>
      <c r="V1528" s="282"/>
      <c r="W1528" s="282">
        <f t="shared" si="276"/>
        <v>2539.9465020576131</v>
      </c>
      <c r="X1528" s="282"/>
    </row>
    <row r="1529" spans="1:35">
      <c r="A1529" s="470"/>
      <c r="B1529" s="519"/>
      <c r="C1529" s="479"/>
      <c r="D1529" s="479"/>
      <c r="E1529" s="479"/>
      <c r="F1529" s="479"/>
      <c r="G1529" s="479"/>
      <c r="H1529" s="479"/>
      <c r="I1529" s="479"/>
      <c r="J1529" s="479"/>
      <c r="K1529" s="479"/>
      <c r="L1529" s="515"/>
      <c r="M1529" s="479"/>
      <c r="N1529" s="518"/>
      <c r="O1529" s="479"/>
      <c r="P1529" s="515"/>
      <c r="Q1529" s="479"/>
      <c r="R1529" s="516"/>
      <c r="S1529" s="479"/>
      <c r="T1529" s="515"/>
      <c r="U1529" s="517"/>
      <c r="V1529" s="282"/>
      <c r="W1529" s="282"/>
      <c r="X1529" s="282"/>
    </row>
    <row r="1530" spans="1:35">
      <c r="A1530" s="470"/>
      <c r="B1530" s="519"/>
      <c r="C1530" s="479"/>
      <c r="D1530" s="479"/>
      <c r="E1530" s="479"/>
      <c r="F1530" s="479"/>
      <c r="G1530" s="479"/>
      <c r="H1530" s="479"/>
      <c r="I1530" s="479"/>
      <c r="J1530" s="479"/>
      <c r="K1530" s="479"/>
      <c r="L1530" s="515"/>
      <c r="M1530" s="479"/>
      <c r="N1530" s="518"/>
      <c r="O1530" s="479"/>
      <c r="P1530" s="515"/>
      <c r="Q1530" s="479"/>
      <c r="R1530" s="516"/>
      <c r="S1530" s="479"/>
      <c r="T1530" s="515"/>
      <c r="U1530" s="517"/>
      <c r="V1530" s="282"/>
      <c r="W1530" s="282"/>
      <c r="X1530" s="282"/>
    </row>
    <row r="1531" spans="1:35">
      <c r="A1531" s="470"/>
      <c r="B1531" s="519"/>
      <c r="C1531" s="479"/>
      <c r="D1531" s="479"/>
      <c r="E1531" s="479"/>
      <c r="F1531" s="479"/>
      <c r="G1531" s="479"/>
      <c r="H1531" s="479"/>
      <c r="I1531" s="479"/>
      <c r="J1531" s="479"/>
      <c r="K1531" s="479"/>
      <c r="L1531" s="515"/>
      <c r="M1531" s="479"/>
      <c r="N1531" s="518"/>
      <c r="O1531" s="479"/>
      <c r="P1531" s="515"/>
      <c r="Q1531" s="479"/>
      <c r="R1531" s="516"/>
      <c r="S1531" s="479"/>
      <c r="T1531" s="515"/>
      <c r="U1531" s="517"/>
      <c r="V1531" s="282"/>
      <c r="W1531" s="282"/>
      <c r="X1531" s="282"/>
    </row>
    <row r="1532" spans="1:35">
      <c r="A1532" s="470"/>
      <c r="B1532" s="519"/>
      <c r="C1532" s="479"/>
      <c r="D1532" s="479"/>
      <c r="E1532" s="479"/>
      <c r="F1532" s="479"/>
      <c r="G1532" s="479"/>
      <c r="H1532" s="479"/>
      <c r="I1532" s="479"/>
      <c r="J1532" s="479"/>
      <c r="K1532" s="479"/>
      <c r="L1532" s="515"/>
      <c r="M1532" s="479"/>
      <c r="N1532" s="518"/>
      <c r="O1532" s="479"/>
      <c r="P1532" s="515"/>
      <c r="Q1532" s="479"/>
      <c r="R1532" s="516"/>
      <c r="S1532" s="479"/>
      <c r="T1532" s="515"/>
      <c r="U1532" s="517"/>
      <c r="V1532" s="282"/>
      <c r="W1532" s="282"/>
      <c r="X1532" s="282"/>
    </row>
    <row r="1533" spans="1:35">
      <c r="A1533" s="198"/>
      <c r="B1533" s="216" t="s">
        <v>67</v>
      </c>
      <c r="C1533" s="211">
        <v>2507155.0699999998</v>
      </c>
      <c r="D1533" s="211"/>
      <c r="E1533" s="211"/>
      <c r="F1533" s="211"/>
      <c r="G1533" s="211"/>
      <c r="H1533" s="211"/>
      <c r="I1533" s="211"/>
      <c r="J1533" s="211"/>
      <c r="K1533" s="211">
        <v>0</v>
      </c>
      <c r="L1533" s="212">
        <v>0</v>
      </c>
      <c r="M1533" s="211">
        <v>0</v>
      </c>
      <c r="N1533" s="211">
        <v>1630.2</v>
      </c>
      <c r="O1533" s="211">
        <v>2507155.0699999998</v>
      </c>
      <c r="P1533" s="212">
        <v>0</v>
      </c>
      <c r="Q1533" s="211">
        <v>0</v>
      </c>
      <c r="R1533" s="213">
        <v>0</v>
      </c>
      <c r="S1533" s="211">
        <v>0</v>
      </c>
      <c r="T1533" s="212">
        <v>0</v>
      </c>
      <c r="U1533" s="290">
        <v>0</v>
      </c>
      <c r="V1533" s="282"/>
      <c r="W1533" s="282"/>
      <c r="X1533" s="282"/>
    </row>
    <row r="1534" spans="1:35" ht="30">
      <c r="A1534" s="198"/>
      <c r="B1534" s="214" t="s">
        <v>90</v>
      </c>
      <c r="C1534" s="211">
        <v>728197.07</v>
      </c>
      <c r="D1534" s="211"/>
      <c r="E1534" s="211"/>
      <c r="F1534" s="211"/>
      <c r="G1534" s="211"/>
      <c r="H1534" s="211"/>
      <c r="I1534" s="211"/>
      <c r="J1534" s="211"/>
      <c r="K1534" s="211">
        <v>0</v>
      </c>
      <c r="L1534" s="212">
        <v>0</v>
      </c>
      <c r="M1534" s="211">
        <v>0</v>
      </c>
      <c r="N1534" s="211">
        <v>731.2</v>
      </c>
      <c r="O1534" s="211">
        <v>728197.07</v>
      </c>
      <c r="P1534" s="212">
        <v>0</v>
      </c>
      <c r="Q1534" s="211">
        <v>0</v>
      </c>
      <c r="R1534" s="213">
        <v>0</v>
      </c>
      <c r="S1534" s="211">
        <v>0</v>
      </c>
      <c r="T1534" s="212">
        <v>0</v>
      </c>
      <c r="U1534" s="290">
        <v>0</v>
      </c>
      <c r="V1534" s="282"/>
      <c r="W1534" s="282"/>
      <c r="X1534" s="282"/>
    </row>
    <row r="1535" spans="1:35" s="23" customFormat="1">
      <c r="A1535" s="198">
        <v>464</v>
      </c>
      <c r="B1535" s="241" t="s">
        <v>429</v>
      </c>
      <c r="C1535" s="211">
        <v>728197.07</v>
      </c>
      <c r="D1535" s="211"/>
      <c r="E1535" s="211"/>
      <c r="F1535" s="211"/>
      <c r="G1535" s="211"/>
      <c r="H1535" s="211"/>
      <c r="I1535" s="211"/>
      <c r="J1535" s="211"/>
      <c r="K1535" s="211">
        <v>0</v>
      </c>
      <c r="L1535" s="212">
        <v>0</v>
      </c>
      <c r="M1535" s="211">
        <v>0</v>
      </c>
      <c r="N1535" s="211">
        <v>731.2</v>
      </c>
      <c r="O1535" s="211">
        <v>728197.07</v>
      </c>
      <c r="P1535" s="212">
        <v>0</v>
      </c>
      <c r="Q1535" s="211">
        <v>0</v>
      </c>
      <c r="R1535" s="213">
        <v>0</v>
      </c>
      <c r="S1535" s="211">
        <v>0</v>
      </c>
      <c r="T1535" s="212">
        <v>0</v>
      </c>
      <c r="U1535" s="290">
        <v>0</v>
      </c>
      <c r="V1535" s="282"/>
      <c r="W1535" s="282"/>
      <c r="X1535" s="282"/>
    </row>
    <row r="1536" spans="1:35" ht="30">
      <c r="A1536" s="470"/>
      <c r="B1536" s="480" t="s">
        <v>127</v>
      </c>
      <c r="C1536" s="479">
        <f>C1537</f>
        <v>2254298</v>
      </c>
      <c r="D1536" s="479">
        <f t="shared" ref="D1536:V1536" si="277">D1537</f>
        <v>0</v>
      </c>
      <c r="E1536" s="479">
        <f t="shared" si="277"/>
        <v>0</v>
      </c>
      <c r="F1536" s="479">
        <f t="shared" si="277"/>
        <v>0</v>
      </c>
      <c r="G1536" s="479">
        <f t="shared" si="277"/>
        <v>0</v>
      </c>
      <c r="H1536" s="479">
        <f t="shared" si="277"/>
        <v>0</v>
      </c>
      <c r="I1536" s="479">
        <f t="shared" si="277"/>
        <v>0</v>
      </c>
      <c r="J1536" s="479">
        <f t="shared" si="277"/>
        <v>0</v>
      </c>
      <c r="K1536" s="479">
        <f t="shared" si="277"/>
        <v>0</v>
      </c>
      <c r="L1536" s="479">
        <f t="shared" si="277"/>
        <v>0</v>
      </c>
      <c r="M1536" s="479">
        <f t="shared" si="277"/>
        <v>0</v>
      </c>
      <c r="N1536" s="479">
        <f t="shared" si="277"/>
        <v>1190</v>
      </c>
      <c r="O1536" s="479">
        <f t="shared" si="277"/>
        <v>2254298</v>
      </c>
      <c r="P1536" s="479">
        <f t="shared" si="277"/>
        <v>0</v>
      </c>
      <c r="Q1536" s="479">
        <f t="shared" si="277"/>
        <v>0</v>
      </c>
      <c r="R1536" s="479">
        <f t="shared" si="277"/>
        <v>0</v>
      </c>
      <c r="S1536" s="479">
        <f t="shared" si="277"/>
        <v>0</v>
      </c>
      <c r="T1536" s="479">
        <f t="shared" si="277"/>
        <v>0</v>
      </c>
      <c r="U1536" s="479">
        <f t="shared" si="277"/>
        <v>0</v>
      </c>
      <c r="V1536" s="211">
        <f t="shared" si="277"/>
        <v>0</v>
      </c>
      <c r="W1536" s="282"/>
      <c r="X1536" s="282"/>
    </row>
    <row r="1537" spans="1:24" ht="25.15" customHeight="1">
      <c r="A1537" s="470">
        <v>465</v>
      </c>
      <c r="B1537" s="480" t="s">
        <v>430</v>
      </c>
      <c r="C1537" s="479">
        <f>'часть 1'!L1561</f>
        <v>2254298</v>
      </c>
      <c r="D1537" s="479">
        <v>0</v>
      </c>
      <c r="E1537" s="479">
        <v>0</v>
      </c>
      <c r="F1537" s="479">
        <v>0</v>
      </c>
      <c r="G1537" s="479">
        <v>0</v>
      </c>
      <c r="H1537" s="479">
        <v>0</v>
      </c>
      <c r="I1537" s="479">
        <v>0</v>
      </c>
      <c r="J1537" s="479">
        <v>0</v>
      </c>
      <c r="K1537" s="479">
        <v>0</v>
      </c>
      <c r="L1537" s="515">
        <v>0</v>
      </c>
      <c r="M1537" s="479">
        <v>0</v>
      </c>
      <c r="N1537" s="479">
        <v>1190</v>
      </c>
      <c r="O1537" s="479">
        <v>2254298</v>
      </c>
      <c r="P1537" s="515">
        <v>0</v>
      </c>
      <c r="Q1537" s="479">
        <v>0</v>
      </c>
      <c r="R1537" s="516">
        <v>0</v>
      </c>
      <c r="S1537" s="479">
        <v>0</v>
      </c>
      <c r="T1537" s="515">
        <v>0</v>
      </c>
      <c r="U1537" s="517">
        <v>0</v>
      </c>
      <c r="V1537" s="282"/>
      <c r="W1537" s="282">
        <f>O1537/N1537</f>
        <v>1894.3680672268908</v>
      </c>
      <c r="X1537" s="282"/>
    </row>
  </sheetData>
  <autoFilter ref="A6:BA749"/>
  <sortState ref="B8:AD175">
    <sortCondition ref="B8:B175"/>
  </sortState>
  <customSheetViews>
    <customSheetView guid="{971AA6D5-B469-4A54-816C-1252CCB6D265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"/>
      <headerFooter>
        <oddHeader>&amp;C&amp;P</oddHeader>
      </headerFooter>
      <autoFilter ref="A6:BA749"/>
    </customSheetView>
    <customSheetView guid="{DFE5B545-478C-4B86-847C-1FEE882C6F69}" scale="68" showPageBreaks="1" showAutoFilter="1" hiddenColumns="1" state="hidden" view="pageBreakPreview">
      <pane xSplit="2" ySplit="5.7142857142857144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2"/>
      <headerFooter>
        <oddHeader>&amp;C&amp;P</oddHeader>
      </headerFooter>
      <autoFilter ref="A6:BA749"/>
    </customSheetView>
    <customSheetView guid="{4C44C113-DA02-468D-99C5-83FA6693F42F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3"/>
      <headerFooter>
        <oddHeader>&amp;C&amp;P</oddHeader>
      </headerFooter>
      <autoFilter ref="A6:BA749"/>
    </customSheetView>
    <customSheetView guid="{570403C4-1D93-4175-B4D8-BD47D46CE99C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4"/>
      <headerFooter>
        <oddHeader>&amp;C&amp;P</oddHeader>
      </headerFooter>
      <autoFilter ref="A6:BA749"/>
    </customSheetView>
    <customSheetView guid="{B1841E62-04AF-4786-8B2B-B1F42C88E6D1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5"/>
      <headerFooter>
        <oddHeader>&amp;C&amp;P</oddHeader>
      </headerFooter>
      <autoFilter ref="A6:BA560"/>
    </customSheetView>
    <customSheetView guid="{A28C0ADC-4E0C-4A0A-ACB1-DA409183476D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6"/>
      <headerFooter>
        <oddHeader>&amp;C&amp;P</oddHeader>
      </headerFooter>
      <autoFilter ref="A6:BA749"/>
    </customSheetView>
    <customSheetView guid="{144E5A37-1CF2-41F0-BEF8-CB5D4D392E2A}" scale="68" showPageBreaks="1" showAutoFilter="1" hiddenColumns="1" state="hidden" view="pageBreakPreview">
      <pane xSplit="1.7945205479452055" ySplit="5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7"/>
      <headerFooter>
        <oddHeader>&amp;C&amp;P</oddHeader>
      </headerFooter>
      <autoFilter ref="A6:BA749"/>
    </customSheetView>
    <customSheetView guid="{7A75CCE7-0E84-47E6-A162-5AC0354F296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8"/>
      <headerFooter>
        <oddHeader>&amp;C&amp;P</oddHeader>
      </headerFooter>
      <autoFilter ref="A6:BA749"/>
    </customSheetView>
    <customSheetView guid="{A6187BD3-0BA4-497C-8924-4FA3D77530F0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9"/>
      <headerFooter>
        <oddHeader>&amp;C&amp;P</oddHeader>
      </headerFooter>
      <autoFilter ref="A6:BA749"/>
    </customSheetView>
    <customSheetView guid="{DC88C499-913F-4D15-846E-E5B9D5E047D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0"/>
      <headerFooter>
        <oddHeader>&amp;C&amp;P</oddHeader>
      </headerFooter>
      <autoFilter ref="A6:BA749"/>
    </customSheetView>
  </customSheetViews>
  <mergeCells count="11">
    <mergeCell ref="T4:U4"/>
    <mergeCell ref="A1:U1"/>
    <mergeCell ref="A2:A5"/>
    <mergeCell ref="B2:B5"/>
    <mergeCell ref="C2:C4"/>
    <mergeCell ref="L4:M4"/>
    <mergeCell ref="N4:O4"/>
    <mergeCell ref="P4:Q4"/>
    <mergeCell ref="R4:S4"/>
    <mergeCell ref="D3:K3"/>
    <mergeCell ref="D2:U2"/>
  </mergeCells>
  <printOptions horizontalCentered="1"/>
  <pageMargins left="3.937007874015748E-2" right="3.937007874015748E-2" top="0.98425196850393704" bottom="0.39370078740157483" header="0.70866141732283472" footer="0.19685039370078741"/>
  <pageSetup paperSize="9" scale="64" firstPageNumber="20" orientation="landscape" useFirstPageNumber="1" horizontalDpi="4294967294" verticalDpi="4294967294" r:id="rId11"/>
  <headerFooter>
    <oddHeader>&amp;C&amp;P</oddHeader>
  </headerFooter>
  <colBreaks count="2" manualBreakCount="2">
    <brk id="13" max="1541" man="1"/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3"/>
  <sheetViews>
    <sheetView view="pageBreakPreview" zoomScale="72" zoomScaleSheetLayoutView="72" workbookViewId="0">
      <pane xSplit="2" ySplit="4" topLeftCell="C7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8.85546875" defaultRowHeight="15"/>
  <cols>
    <col min="1" max="1" width="5.7109375" style="20" customWidth="1"/>
    <col min="2" max="2" width="28.5703125" style="1" customWidth="1"/>
    <col min="3" max="3" width="12" style="54" customWidth="1"/>
    <col min="4" max="4" width="13.7109375" style="56" customWidth="1"/>
    <col min="5" max="9" width="9.7109375" style="22" customWidth="1"/>
    <col min="10" max="10" width="9.7109375" style="1" customWidth="1"/>
    <col min="11" max="11" width="10.42578125" style="1" customWidth="1"/>
    <col min="12" max="12" width="11.7109375" style="25" customWidth="1"/>
    <col min="13" max="13" width="13.5703125" style="1" customWidth="1"/>
    <col min="14" max="14" width="14.28515625" style="1" customWidth="1"/>
    <col min="15" max="15" width="12.42578125" style="1" customWidth="1"/>
    <col min="16" max="26" width="8.85546875" style="1"/>
    <col min="27" max="27" width="8.85546875" style="1" customWidth="1"/>
    <col min="28" max="16384" width="8.85546875" style="1"/>
  </cols>
  <sheetData>
    <row r="1" spans="1:16" ht="45" customHeight="1">
      <c r="A1" s="1384" t="s">
        <v>124</v>
      </c>
      <c r="B1" s="1384"/>
      <c r="C1" s="1384"/>
      <c r="D1" s="1384"/>
      <c r="E1" s="1384"/>
      <c r="F1" s="1384"/>
      <c r="G1" s="1384"/>
      <c r="H1" s="1384"/>
      <c r="I1" s="1384"/>
      <c r="J1" s="1384"/>
      <c r="K1" s="1384"/>
      <c r="L1" s="1384"/>
      <c r="M1" s="1384"/>
      <c r="N1" s="1384"/>
    </row>
    <row r="2" spans="1:16" ht="62.25" customHeight="1">
      <c r="A2" s="1380" t="s">
        <v>0</v>
      </c>
      <c r="B2" s="1380" t="s">
        <v>25</v>
      </c>
      <c r="C2" s="1385" t="s">
        <v>460</v>
      </c>
      <c r="D2" s="1386" t="s">
        <v>6</v>
      </c>
      <c r="E2" s="1387" t="s">
        <v>26</v>
      </c>
      <c r="F2" s="1387"/>
      <c r="G2" s="1387"/>
      <c r="H2" s="1387"/>
      <c r="I2" s="1387"/>
      <c r="J2" s="1380" t="s">
        <v>7</v>
      </c>
      <c r="K2" s="1380"/>
      <c r="L2" s="1380"/>
      <c r="M2" s="1380"/>
      <c r="N2" s="1380"/>
      <c r="O2" s="56"/>
    </row>
    <row r="3" spans="1:16" ht="48" customHeight="1">
      <c r="A3" s="1380"/>
      <c r="B3" s="1380"/>
      <c r="C3" s="1385"/>
      <c r="D3" s="1386"/>
      <c r="E3" s="188" t="s">
        <v>27</v>
      </c>
      <c r="F3" s="188" t="s">
        <v>28</v>
      </c>
      <c r="G3" s="188" t="s">
        <v>29</v>
      </c>
      <c r="H3" s="188" t="s">
        <v>30</v>
      </c>
      <c r="I3" s="188" t="s">
        <v>440</v>
      </c>
      <c r="J3" s="186" t="s">
        <v>27</v>
      </c>
      <c r="K3" s="186" t="s">
        <v>28</v>
      </c>
      <c r="L3" s="187" t="s">
        <v>29</v>
      </c>
      <c r="M3" s="186" t="s">
        <v>30</v>
      </c>
      <c r="N3" s="186" t="s">
        <v>440</v>
      </c>
    </row>
    <row r="4" spans="1:16">
      <c r="A4" s="1380"/>
      <c r="B4" s="1380"/>
      <c r="C4" s="242" t="s">
        <v>21</v>
      </c>
      <c r="D4" s="243" t="s">
        <v>16</v>
      </c>
      <c r="E4" s="190" t="s">
        <v>23</v>
      </c>
      <c r="F4" s="190" t="s">
        <v>23</v>
      </c>
      <c r="G4" s="190" t="s">
        <v>23</v>
      </c>
      <c r="H4" s="190" t="s">
        <v>23</v>
      </c>
      <c r="I4" s="190" t="s">
        <v>23</v>
      </c>
      <c r="J4" s="189" t="s">
        <v>17</v>
      </c>
      <c r="K4" s="189" t="s">
        <v>17</v>
      </c>
      <c r="L4" s="244" t="s">
        <v>17</v>
      </c>
      <c r="M4" s="189" t="s">
        <v>17</v>
      </c>
      <c r="N4" s="189" t="s">
        <v>17</v>
      </c>
    </row>
    <row r="5" spans="1:16" ht="12.75" customHeight="1">
      <c r="A5" s="245">
        <v>1</v>
      </c>
      <c r="B5" s="245">
        <v>2</v>
      </c>
      <c r="C5" s="246">
        <v>3</v>
      </c>
      <c r="D5" s="247">
        <v>4</v>
      </c>
      <c r="E5" s="246">
        <v>5</v>
      </c>
      <c r="F5" s="246">
        <v>6</v>
      </c>
      <c r="G5" s="246">
        <v>7</v>
      </c>
      <c r="H5" s="246">
        <v>8</v>
      </c>
      <c r="I5" s="246">
        <v>9</v>
      </c>
      <c r="J5" s="245">
        <v>10</v>
      </c>
      <c r="K5" s="245">
        <v>11</v>
      </c>
      <c r="L5" s="246">
        <v>12</v>
      </c>
      <c r="M5" s="245">
        <v>13</v>
      </c>
      <c r="N5" s="245">
        <v>14</v>
      </c>
    </row>
    <row r="6" spans="1:16" ht="28.5" customHeight="1">
      <c r="A6" s="189"/>
      <c r="B6" s="248" t="s">
        <v>42</v>
      </c>
      <c r="C6" s="249">
        <f>C7+C8+C9+C10+C11+C12+C14+C16+C18++C20+C23+C25+C33+C35+C37+C40+C46+C48+C51+C55+C64+C66+C68+C72+C74+C76+C79+C82+C84+C89+C92+C94+C96+C99+C101+C102</f>
        <v>468830.9499999999</v>
      </c>
      <c r="D6" s="250">
        <f>D7+D8+D9+D10+D11+D12+D14+D16+D18++D20+D23+D25+D33+D35+D37+D40+D46+D48+D51+D55+D64+D66+D68+D72+D74+D76+D79+D82+D84+D89+D92+D94+D96+D99+D101+D102</f>
        <v>15600</v>
      </c>
      <c r="E6" s="250">
        <f>E7+E8+E9+E10+E11+E12+E14+E16+E18+E20+E23+E25+E33+E35+E37+E40+E46+E48+E51+E55+E64+E66+E68+E72+E74+E76+E79+E82+E84+E89+E92+E94+E99+E101+E102</f>
        <v>0</v>
      </c>
      <c r="F6" s="250">
        <f>F7+F8+F9+F10+F11+F12+F14+F16+F18+F20+F23+F25+F33+F35+F37+F40+F46+F48+F51+F55+F64+F66+F68+F72+F74+F76+F79+F82+F84+F89+F92+F94+F99+F101+F102</f>
        <v>2</v>
      </c>
      <c r="G6" s="250">
        <f>G7+G8+G9+G10+G11+G12+G14+G16+G18+G20+G23+G25+G33+G35+G37+G40+G46+G48+G51+G55+G64+G66+G68+G72+G74+G76+G79+G82+G84+G89+G92+G94+G96+G99+G101+G102</f>
        <v>7</v>
      </c>
      <c r="H6" s="252" t="e">
        <f>H7+H8+H9+H10+H11+H12+H14+H16+H18+H20+H23+H25+H33+H35+H37+H40+H46+H48+H51+H55+H64+H66+H68+H72+H74+H76+H79+H82+H84+H89+H92+H94+H96+H99+H101+H102</f>
        <v>#REF!</v>
      </c>
      <c r="I6" s="252" t="e">
        <f>I7+I8+I9+I10+I11+I12+I14+I16+I18+I20+I23+I25+I33+I35+I37+I40+I46+I48+I51+I55+I64+I66+I68+I72+I74+I76+I79+I82+I84+I89+I92+I94+I96+I99+I101+I102</f>
        <v>#REF!</v>
      </c>
      <c r="J6" s="251">
        <f>J7+J8+J9+J10+J11+J12+J14+J16+J18+J20+J23+J25+J33+J35+J37+J40+J46+J48+J51+J55+J64+J66+J68+J72+J74+J76+J79+J82+J84+J89+J92+J94+J99+J101+J102</f>
        <v>0</v>
      </c>
      <c r="K6" s="251">
        <f>K7+K8+K9+K10+K11+K12+K14+K16+K18+K20+K23+K25+K33+K35+K37+K40+K46+K48+K51+K55+K64+K66+K68+K72+K74+K76+K79+K82+K84+K89+K92+K94+K99+K101+K102</f>
        <v>3666180</v>
      </c>
      <c r="L6" s="251">
        <f>L7+L8+L9+L10+L11+L12+L14+L16+L18+L20+L23+L25+L33+L35+L37+L40+L46+L48+L51+L55+L64+L66+L68+L72+L74+L76+L79+L82+L84+L89+L92+L94+L99+L101+L102</f>
        <v>7158350.0700000003</v>
      </c>
      <c r="M6" s="251">
        <f>M7+M8+M9+M10+M11+M12+M14+M16+M18+M20+M23+M25+M33+M35+M37+M40+M46+M48+M51+M55+M64+M66+M68+M72+M74+M76+M79+M82+M84+M89+M92+M94+M96+M99+M101+M102</f>
        <v>667981123.17999995</v>
      </c>
      <c r="N6" s="251">
        <f>N7+N8+N9+N10+N11+N12+N14+N16+N18+N20+N23+N25+N33+N35+N37+N40+N46+N48+N51+N55+N64+N66+N68+N72+N74+N76+N79+N82+N84+N89+N92+N94+N96+N99+N101+N102</f>
        <v>689255460.85000002</v>
      </c>
      <c r="O6" s="83"/>
    </row>
    <row r="7" spans="1:16" ht="15.75" customHeight="1">
      <c r="A7" s="449">
        <v>1</v>
      </c>
      <c r="B7" s="450" t="s">
        <v>89</v>
      </c>
      <c r="C7" s="451">
        <f>'часть 1'!H19</f>
        <v>0</v>
      </c>
      <c r="D7" s="452">
        <f>'часть 1'!K19</f>
        <v>0</v>
      </c>
      <c r="E7" s="453">
        <v>0</v>
      </c>
      <c r="F7" s="453">
        <v>0</v>
      </c>
      <c r="G7" s="453">
        <v>0</v>
      </c>
      <c r="H7" s="453">
        <v>168</v>
      </c>
      <c r="I7" s="453">
        <f>H7+G7</f>
        <v>168</v>
      </c>
      <c r="J7" s="454">
        <v>0</v>
      </c>
      <c r="K7" s="454">
        <v>0</v>
      </c>
      <c r="L7" s="454">
        <v>0</v>
      </c>
      <c r="M7" s="454">
        <f>'часть 1'!L19</f>
        <v>336230870.63</v>
      </c>
      <c r="N7" s="454">
        <f t="shared" ref="N7:N12" si="0">M7</f>
        <v>336230870.63</v>
      </c>
      <c r="O7" s="25"/>
      <c r="P7" s="25"/>
    </row>
    <row r="8" spans="1:16" ht="26.25" customHeight="1">
      <c r="A8" s="189">
        <v>2</v>
      </c>
      <c r="B8" s="248" t="s">
        <v>91</v>
      </c>
      <c r="C8" s="249">
        <f>'часть 1'!H188</f>
        <v>25162</v>
      </c>
      <c r="D8" s="250">
        <f>'часть 1'!K188</f>
        <v>816</v>
      </c>
      <c r="E8" s="252">
        <v>0</v>
      </c>
      <c r="F8" s="252">
        <v>0</v>
      </c>
      <c r="G8" s="252">
        <v>0</v>
      </c>
      <c r="H8" s="252">
        <v>16</v>
      </c>
      <c r="I8" s="252">
        <f t="shared" ref="I8:I77" si="1">H8+G8</f>
        <v>16</v>
      </c>
      <c r="J8" s="251">
        <v>0</v>
      </c>
      <c r="K8" s="251">
        <v>0</v>
      </c>
      <c r="L8" s="251">
        <v>0</v>
      </c>
      <c r="M8" s="251">
        <f>'часть 1'!L188</f>
        <v>31255395.629999999</v>
      </c>
      <c r="N8" s="251">
        <f t="shared" si="0"/>
        <v>31255395.629999999</v>
      </c>
      <c r="O8" s="25"/>
      <c r="P8" s="25"/>
    </row>
    <row r="9" spans="1:16" ht="15.75" customHeight="1">
      <c r="A9" s="449">
        <v>3</v>
      </c>
      <c r="B9" s="450" t="s">
        <v>92</v>
      </c>
      <c r="C9" s="451">
        <f>'часть 1'!H205</f>
        <v>432.8</v>
      </c>
      <c r="D9" s="452">
        <f>'часть 1'!K205</f>
        <v>27</v>
      </c>
      <c r="E9" s="453">
        <v>0</v>
      </c>
      <c r="F9" s="453">
        <v>0</v>
      </c>
      <c r="G9" s="453">
        <v>0</v>
      </c>
      <c r="H9" s="453">
        <v>1</v>
      </c>
      <c r="I9" s="453">
        <f t="shared" si="1"/>
        <v>1</v>
      </c>
      <c r="J9" s="454">
        <v>0</v>
      </c>
      <c r="K9" s="454">
        <v>0</v>
      </c>
      <c r="L9" s="454">
        <v>0</v>
      </c>
      <c r="M9" s="454">
        <f>'часть 1'!L205</f>
        <v>366350</v>
      </c>
      <c r="N9" s="454">
        <f t="shared" si="0"/>
        <v>366350</v>
      </c>
      <c r="P9" s="25"/>
    </row>
    <row r="10" spans="1:16" ht="15.75" customHeight="1">
      <c r="A10" s="449">
        <v>4</v>
      </c>
      <c r="B10" s="450" t="s">
        <v>93</v>
      </c>
      <c r="C10" s="451">
        <f>'часть 1'!H207</f>
        <v>19486.900000000001</v>
      </c>
      <c r="D10" s="452">
        <f>'часть 1'!K207</f>
        <v>669</v>
      </c>
      <c r="E10" s="453">
        <v>0</v>
      </c>
      <c r="F10" s="453">
        <v>0</v>
      </c>
      <c r="G10" s="453">
        <v>0</v>
      </c>
      <c r="H10" s="453">
        <v>12</v>
      </c>
      <c r="I10" s="453">
        <f t="shared" si="1"/>
        <v>12</v>
      </c>
      <c r="J10" s="454">
        <v>0</v>
      </c>
      <c r="K10" s="454">
        <v>0</v>
      </c>
      <c r="L10" s="454">
        <v>0</v>
      </c>
      <c r="M10" s="701">
        <f>'часть 1'!L207</f>
        <v>31146002</v>
      </c>
      <c r="N10" s="454">
        <f>M10</f>
        <v>31146002</v>
      </c>
      <c r="P10" s="25"/>
    </row>
    <row r="11" spans="1:16" ht="16.5" customHeight="1">
      <c r="A11" s="449">
        <v>5</v>
      </c>
      <c r="B11" s="456" t="s">
        <v>94</v>
      </c>
      <c r="C11" s="451">
        <f>'часть 1'!H231</f>
        <v>27680.9</v>
      </c>
      <c r="D11" s="452">
        <f>'часть 1'!K231</f>
        <v>984</v>
      </c>
      <c r="E11" s="453">
        <v>0</v>
      </c>
      <c r="F11" s="453">
        <v>0</v>
      </c>
      <c r="G11" s="453">
        <v>0</v>
      </c>
      <c r="H11" s="453">
        <v>9</v>
      </c>
      <c r="I11" s="453">
        <f t="shared" si="1"/>
        <v>9</v>
      </c>
      <c r="J11" s="454">
        <v>0</v>
      </c>
      <c r="K11" s="454">
        <v>0</v>
      </c>
      <c r="L11" s="454">
        <v>0</v>
      </c>
      <c r="M11" s="454">
        <f>'часть 1'!L231</f>
        <v>26467626</v>
      </c>
      <c r="N11" s="454">
        <f t="shared" si="0"/>
        <v>26467626</v>
      </c>
      <c r="O11" s="25"/>
      <c r="P11" s="25"/>
    </row>
    <row r="12" spans="1:16" s="3" customFormat="1">
      <c r="A12" s="449">
        <v>6</v>
      </c>
      <c r="B12" s="826" t="s">
        <v>123</v>
      </c>
      <c r="C12" s="827">
        <f>'часть 1'!H244</f>
        <v>34678.06</v>
      </c>
      <c r="D12" s="829">
        <f>'часть 1'!K244</f>
        <v>1002</v>
      </c>
      <c r="E12" s="880">
        <v>0</v>
      </c>
      <c r="F12" s="880">
        <v>0</v>
      </c>
      <c r="G12" s="880">
        <v>0</v>
      </c>
      <c r="H12" s="830">
        <v>5</v>
      </c>
      <c r="I12" s="453">
        <f t="shared" si="1"/>
        <v>5</v>
      </c>
      <c r="J12" s="828">
        <v>0</v>
      </c>
      <c r="K12" s="828">
        <v>0</v>
      </c>
      <c r="L12" s="828">
        <v>0</v>
      </c>
      <c r="M12" s="828">
        <f>'часть 1'!L244</f>
        <v>11767484</v>
      </c>
      <c r="N12" s="828">
        <f t="shared" si="0"/>
        <v>11767484</v>
      </c>
      <c r="P12" s="25"/>
    </row>
    <row r="13" spans="1:16" s="3" customFormat="1">
      <c r="A13" s="449"/>
      <c r="B13" s="826" t="s">
        <v>864</v>
      </c>
      <c r="C13" s="827">
        <f>'часть 1'!H257</f>
        <v>4284.7</v>
      </c>
      <c r="D13" s="829">
        <f>'часть 1'!K257</f>
        <v>97</v>
      </c>
      <c r="E13" s="880">
        <v>0</v>
      </c>
      <c r="F13" s="880">
        <v>1</v>
      </c>
      <c r="G13" s="880">
        <v>1</v>
      </c>
      <c r="H13" s="830">
        <v>0</v>
      </c>
      <c r="I13" s="453">
        <f>H13+G13+F13+E13</f>
        <v>2</v>
      </c>
      <c r="J13" s="828">
        <v>0</v>
      </c>
      <c r="K13" s="828">
        <v>898332</v>
      </c>
      <c r="L13" s="828">
        <v>1914360</v>
      </c>
      <c r="M13" s="828">
        <v>0</v>
      </c>
      <c r="N13" s="828">
        <f>M13+L13+K13+J13</f>
        <v>2812692</v>
      </c>
      <c r="P13" s="25"/>
    </row>
    <row r="14" spans="1:16" s="3" customFormat="1">
      <c r="A14" s="825"/>
      <c r="B14" s="826" t="s">
        <v>72</v>
      </c>
      <c r="C14" s="827">
        <f>C15</f>
        <v>3033.7</v>
      </c>
      <c r="D14" s="827">
        <f t="shared" ref="D14:N14" si="2">D15</f>
        <v>100</v>
      </c>
      <c r="E14" s="827">
        <f t="shared" si="2"/>
        <v>0</v>
      </c>
      <c r="F14" s="827">
        <f t="shared" si="2"/>
        <v>0</v>
      </c>
      <c r="G14" s="827">
        <f t="shared" si="2"/>
        <v>0</v>
      </c>
      <c r="H14" s="827">
        <f t="shared" si="2"/>
        <v>7</v>
      </c>
      <c r="I14" s="827">
        <f t="shared" si="2"/>
        <v>7</v>
      </c>
      <c r="J14" s="828">
        <f t="shared" si="2"/>
        <v>0</v>
      </c>
      <c r="K14" s="828">
        <f t="shared" si="2"/>
        <v>0</v>
      </c>
      <c r="L14" s="828">
        <f t="shared" si="2"/>
        <v>0</v>
      </c>
      <c r="M14" s="828">
        <f t="shared" si="2"/>
        <v>5868972</v>
      </c>
      <c r="N14" s="828">
        <f t="shared" si="2"/>
        <v>5868972</v>
      </c>
      <c r="P14" s="25"/>
    </row>
    <row r="15" spans="1:16" s="3" customFormat="1" ht="25.5">
      <c r="A15" s="825">
        <v>7</v>
      </c>
      <c r="B15" s="826" t="s">
        <v>95</v>
      </c>
      <c r="C15" s="827">
        <f>'часть 1'!H261</f>
        <v>3033.7</v>
      </c>
      <c r="D15" s="829">
        <f>'часть 1'!K261</f>
        <v>100</v>
      </c>
      <c r="E15" s="453">
        <v>0</v>
      </c>
      <c r="F15" s="453">
        <v>0</v>
      </c>
      <c r="G15" s="453">
        <v>0</v>
      </c>
      <c r="H15" s="830">
        <v>7</v>
      </c>
      <c r="I15" s="453">
        <f t="shared" si="1"/>
        <v>7</v>
      </c>
      <c r="J15" s="828">
        <v>0</v>
      </c>
      <c r="K15" s="828">
        <v>0</v>
      </c>
      <c r="L15" s="828">
        <v>0</v>
      </c>
      <c r="M15" s="828">
        <f>'часть 1'!L260</f>
        <v>5868972</v>
      </c>
      <c r="N15" s="828">
        <f>M15</f>
        <v>5868972</v>
      </c>
      <c r="P15" s="25"/>
    </row>
    <row r="16" spans="1:16">
      <c r="A16" s="254"/>
      <c r="B16" s="248" t="s">
        <v>41</v>
      </c>
      <c r="C16" s="249">
        <f>C17</f>
        <v>21724.199999999997</v>
      </c>
      <c r="D16" s="250">
        <f t="shared" ref="D16:N16" si="3">D17</f>
        <v>832</v>
      </c>
      <c r="E16" s="252">
        <f t="shared" si="3"/>
        <v>0</v>
      </c>
      <c r="F16" s="252">
        <f t="shared" si="3"/>
        <v>0</v>
      </c>
      <c r="G16" s="252">
        <f t="shared" si="3"/>
        <v>0</v>
      </c>
      <c r="H16" s="252">
        <f>H17</f>
        <v>10</v>
      </c>
      <c r="I16" s="252">
        <f t="shared" si="1"/>
        <v>10</v>
      </c>
      <c r="J16" s="251">
        <f t="shared" si="3"/>
        <v>0</v>
      </c>
      <c r="K16" s="251">
        <f t="shared" si="3"/>
        <v>0</v>
      </c>
      <c r="L16" s="251">
        <f t="shared" si="3"/>
        <v>0</v>
      </c>
      <c r="M16" s="251">
        <f>'часть 1'!L269</f>
        <v>22562280</v>
      </c>
      <c r="N16" s="251">
        <f t="shared" si="3"/>
        <v>22562280</v>
      </c>
      <c r="P16" s="25"/>
    </row>
    <row r="17" spans="1:16" ht="25.5">
      <c r="A17" s="455">
        <v>8</v>
      </c>
      <c r="B17" s="450" t="s">
        <v>96</v>
      </c>
      <c r="C17" s="451">
        <f>'часть 1'!H269</f>
        <v>21724.199999999997</v>
      </c>
      <c r="D17" s="452">
        <f>'часть 1'!K270</f>
        <v>832</v>
      </c>
      <c r="E17" s="453">
        <v>0</v>
      </c>
      <c r="F17" s="453">
        <v>0</v>
      </c>
      <c r="G17" s="453">
        <v>0</v>
      </c>
      <c r="H17" s="453">
        <v>10</v>
      </c>
      <c r="I17" s="453">
        <f t="shared" si="1"/>
        <v>10</v>
      </c>
      <c r="J17" s="454">
        <v>0</v>
      </c>
      <c r="K17" s="454">
        <v>0</v>
      </c>
      <c r="L17" s="454">
        <v>0</v>
      </c>
      <c r="M17" s="454">
        <f>'часть 1'!L269</f>
        <v>22562280</v>
      </c>
      <c r="N17" s="454">
        <f>M17</f>
        <v>22562280</v>
      </c>
      <c r="P17" s="25"/>
    </row>
    <row r="18" spans="1:16">
      <c r="A18" s="254"/>
      <c r="B18" s="248" t="s">
        <v>68</v>
      </c>
      <c r="C18" s="249">
        <f>C19</f>
        <v>362.9</v>
      </c>
      <c r="D18" s="249">
        <f t="shared" ref="D18:N18" si="4">D19</f>
        <v>15</v>
      </c>
      <c r="E18" s="249">
        <f t="shared" si="4"/>
        <v>0</v>
      </c>
      <c r="F18" s="249">
        <f t="shared" si="4"/>
        <v>0</v>
      </c>
      <c r="G18" s="249">
        <f t="shared" si="4"/>
        <v>0</v>
      </c>
      <c r="H18" s="249">
        <f t="shared" si="4"/>
        <v>1</v>
      </c>
      <c r="I18" s="249">
        <f t="shared" si="4"/>
        <v>1</v>
      </c>
      <c r="J18" s="249">
        <f t="shared" si="4"/>
        <v>0</v>
      </c>
      <c r="K18" s="249">
        <f t="shared" si="4"/>
        <v>0</v>
      </c>
      <c r="L18" s="249">
        <f t="shared" si="4"/>
        <v>0</v>
      </c>
      <c r="M18" s="249">
        <f t="shared" si="4"/>
        <v>241114</v>
      </c>
      <c r="N18" s="249">
        <f t="shared" si="4"/>
        <v>241114</v>
      </c>
      <c r="P18" s="25"/>
    </row>
    <row r="19" spans="1:16" ht="25.5">
      <c r="A19" s="455">
        <v>9</v>
      </c>
      <c r="B19" s="450" t="s">
        <v>97</v>
      </c>
      <c r="C19" s="451">
        <f>'часть 1'!H282</f>
        <v>362.9</v>
      </c>
      <c r="D19" s="452">
        <f>'часть 1'!K282</f>
        <v>15</v>
      </c>
      <c r="E19" s="453">
        <v>0</v>
      </c>
      <c r="F19" s="453">
        <v>0</v>
      </c>
      <c r="G19" s="453">
        <v>0</v>
      </c>
      <c r="H19" s="453">
        <v>1</v>
      </c>
      <c r="I19" s="453">
        <f t="shared" si="1"/>
        <v>1</v>
      </c>
      <c r="J19" s="454">
        <v>0</v>
      </c>
      <c r="K19" s="454">
        <v>0</v>
      </c>
      <c r="L19" s="454">
        <v>0</v>
      </c>
      <c r="M19" s="454">
        <f>'часть 1'!L282</f>
        <v>241114</v>
      </c>
      <c r="N19" s="454">
        <f>M19</f>
        <v>241114</v>
      </c>
      <c r="P19" s="25"/>
    </row>
    <row r="20" spans="1:16" s="19" customFormat="1">
      <c r="A20" s="255"/>
      <c r="B20" s="255" t="s">
        <v>43</v>
      </c>
      <c r="C20" s="249">
        <f>C21+C22</f>
        <v>23164.559999999998</v>
      </c>
      <c r="D20" s="256">
        <f>D21+D22</f>
        <v>853</v>
      </c>
      <c r="E20" s="252">
        <f>E21+E22</f>
        <v>0</v>
      </c>
      <c r="F20" s="252">
        <f t="shared" ref="F20:H20" si="5">F21+F22</f>
        <v>0</v>
      </c>
      <c r="G20" s="252">
        <f t="shared" si="5"/>
        <v>0</v>
      </c>
      <c r="H20" s="252" t="e">
        <f t="shared" si="5"/>
        <v>#REF!</v>
      </c>
      <c r="I20" s="252" t="e">
        <f t="shared" si="1"/>
        <v>#REF!</v>
      </c>
      <c r="J20" s="251">
        <f>J21+J22</f>
        <v>0</v>
      </c>
      <c r="K20" s="251">
        <f t="shared" ref="K20:N20" si="6">K21+K22</f>
        <v>0</v>
      </c>
      <c r="L20" s="251">
        <f t="shared" si="6"/>
        <v>0</v>
      </c>
      <c r="M20" s="251">
        <f t="shared" si="6"/>
        <v>23032470</v>
      </c>
      <c r="N20" s="251">
        <f t="shared" si="6"/>
        <v>23032470</v>
      </c>
      <c r="O20" s="84"/>
      <c r="P20" s="25"/>
    </row>
    <row r="21" spans="1:16" s="19" customFormat="1" ht="25.5">
      <c r="A21" s="254">
        <v>10</v>
      </c>
      <c r="B21" s="253" t="s">
        <v>125</v>
      </c>
      <c r="C21" s="249">
        <f>'часть 1'!H285</f>
        <v>20106.559999999998</v>
      </c>
      <c r="D21" s="250">
        <f>'часть 1'!K285</f>
        <v>735</v>
      </c>
      <c r="E21" s="252">
        <v>0</v>
      </c>
      <c r="F21" s="252">
        <v>0</v>
      </c>
      <c r="G21" s="252">
        <v>0</v>
      </c>
      <c r="H21" s="252" t="e">
        <f>'часть 2'!#REF!</f>
        <v>#REF!</v>
      </c>
      <c r="I21" s="252" t="e">
        <f t="shared" si="1"/>
        <v>#REF!</v>
      </c>
      <c r="J21" s="251">
        <v>0</v>
      </c>
      <c r="K21" s="251">
        <v>0</v>
      </c>
      <c r="L21" s="251">
        <v>0</v>
      </c>
      <c r="M21" s="251">
        <f>'часть 1'!L285</f>
        <v>20696312</v>
      </c>
      <c r="N21" s="251">
        <f>M21</f>
        <v>20696312</v>
      </c>
      <c r="P21" s="25"/>
    </row>
    <row r="22" spans="1:16" s="19" customFormat="1" ht="25.5">
      <c r="A22" s="254">
        <v>11</v>
      </c>
      <c r="B22" s="253" t="s">
        <v>210</v>
      </c>
      <c r="C22" s="249">
        <f>'часть 1'!H300</f>
        <v>3058</v>
      </c>
      <c r="D22" s="250">
        <f>'часть 1'!K300</f>
        <v>118</v>
      </c>
      <c r="E22" s="252">
        <v>0</v>
      </c>
      <c r="F22" s="252">
        <v>0</v>
      </c>
      <c r="G22" s="252">
        <v>0</v>
      </c>
      <c r="H22" s="252">
        <v>2</v>
      </c>
      <c r="I22" s="252">
        <f t="shared" si="1"/>
        <v>2</v>
      </c>
      <c r="J22" s="251">
        <v>0</v>
      </c>
      <c r="K22" s="251">
        <v>0</v>
      </c>
      <c r="L22" s="251">
        <v>0</v>
      </c>
      <c r="M22" s="251">
        <f>'часть 1'!L300</f>
        <v>2336158</v>
      </c>
      <c r="N22" s="251">
        <f>M22</f>
        <v>2336158</v>
      </c>
      <c r="P22" s="25"/>
    </row>
    <row r="23" spans="1:16">
      <c r="A23" s="254"/>
      <c r="B23" s="255" t="s">
        <v>44</v>
      </c>
      <c r="C23" s="249">
        <f>C24</f>
        <v>1753.9</v>
      </c>
      <c r="D23" s="250">
        <f t="shared" ref="D23:N23" si="7">D24</f>
        <v>60</v>
      </c>
      <c r="E23" s="252">
        <f t="shared" si="7"/>
        <v>0</v>
      </c>
      <c r="F23" s="252">
        <f t="shared" si="7"/>
        <v>0</v>
      </c>
      <c r="G23" s="252">
        <f t="shared" si="7"/>
        <v>0</v>
      </c>
      <c r="H23" s="252">
        <f t="shared" si="7"/>
        <v>2</v>
      </c>
      <c r="I23" s="252">
        <f t="shared" si="1"/>
        <v>2</v>
      </c>
      <c r="J23" s="251">
        <f t="shared" si="7"/>
        <v>0</v>
      </c>
      <c r="K23" s="251">
        <f t="shared" si="7"/>
        <v>0</v>
      </c>
      <c r="L23" s="251">
        <f t="shared" si="7"/>
        <v>0</v>
      </c>
      <c r="M23" s="251">
        <f>'часть 1'!L303</f>
        <v>2561132</v>
      </c>
      <c r="N23" s="251">
        <f t="shared" si="7"/>
        <v>2561132</v>
      </c>
      <c r="P23" s="25"/>
    </row>
    <row r="24" spans="1:16" s="18" customFormat="1" ht="25.5">
      <c r="A24" s="455">
        <f>A22+1</f>
        <v>12</v>
      </c>
      <c r="B24" s="456" t="s">
        <v>435</v>
      </c>
      <c r="C24" s="451">
        <f>'часть 1'!H304</f>
        <v>1753.9</v>
      </c>
      <c r="D24" s="452">
        <f>'часть 1'!K304</f>
        <v>60</v>
      </c>
      <c r="E24" s="453">
        <v>0</v>
      </c>
      <c r="F24" s="453">
        <v>0</v>
      </c>
      <c r="G24" s="453">
        <v>0</v>
      </c>
      <c r="H24" s="453">
        <v>2</v>
      </c>
      <c r="I24" s="453">
        <f t="shared" si="1"/>
        <v>2</v>
      </c>
      <c r="J24" s="454">
        <v>0</v>
      </c>
      <c r="K24" s="454">
        <v>0</v>
      </c>
      <c r="L24" s="454">
        <v>0</v>
      </c>
      <c r="M24" s="454">
        <f>'часть 1'!L303</f>
        <v>2561132</v>
      </c>
      <c r="N24" s="454">
        <f>M24</f>
        <v>2561132</v>
      </c>
      <c r="P24" s="25"/>
    </row>
    <row r="25" spans="1:16" ht="21" customHeight="1">
      <c r="A25" s="254"/>
      <c r="B25" s="255" t="s">
        <v>45</v>
      </c>
      <c r="C25" s="249">
        <f>C26+C27+C28+C29+C30+C31+C32</f>
        <v>12862.18</v>
      </c>
      <c r="D25" s="249">
        <f t="shared" ref="D25:N25" si="8">D26+D27+D28+D29+D30+D31+D32</f>
        <v>459</v>
      </c>
      <c r="E25" s="249">
        <f t="shared" si="8"/>
        <v>0</v>
      </c>
      <c r="F25" s="249">
        <f t="shared" si="8"/>
        <v>0</v>
      </c>
      <c r="G25" s="249">
        <f t="shared" si="8"/>
        <v>0</v>
      </c>
      <c r="H25" s="249">
        <f t="shared" si="8"/>
        <v>5</v>
      </c>
      <c r="I25" s="249">
        <f t="shared" si="8"/>
        <v>5</v>
      </c>
      <c r="J25" s="251">
        <f t="shared" si="8"/>
        <v>0</v>
      </c>
      <c r="K25" s="251">
        <f t="shared" si="8"/>
        <v>0</v>
      </c>
      <c r="L25" s="251">
        <f t="shared" si="8"/>
        <v>0</v>
      </c>
      <c r="M25" s="251">
        <f t="shared" si="8"/>
        <v>9578601</v>
      </c>
      <c r="N25" s="251">
        <f t="shared" si="8"/>
        <v>9578601</v>
      </c>
      <c r="O25" s="25"/>
      <c r="P25" s="25"/>
    </row>
    <row r="26" spans="1:16" ht="25.5">
      <c r="A26" s="455">
        <f>A24+1</f>
        <v>13</v>
      </c>
      <c r="B26" s="593" t="s">
        <v>98</v>
      </c>
      <c r="C26" s="451">
        <f>'часть 1'!H308</f>
        <v>3536</v>
      </c>
      <c r="D26" s="452">
        <f>'часть 1'!K308</f>
        <v>153</v>
      </c>
      <c r="E26" s="453">
        <v>0</v>
      </c>
      <c r="F26" s="453">
        <v>0</v>
      </c>
      <c r="G26" s="453">
        <v>0</v>
      </c>
      <c r="H26" s="453">
        <v>1</v>
      </c>
      <c r="I26" s="453">
        <f t="shared" si="1"/>
        <v>1</v>
      </c>
      <c r="J26" s="454">
        <v>0</v>
      </c>
      <c r="K26" s="454">
        <v>0</v>
      </c>
      <c r="L26" s="454">
        <v>0</v>
      </c>
      <c r="M26" s="454">
        <f>'часть 1'!L308</f>
        <v>2256851</v>
      </c>
      <c r="N26" s="454">
        <f>M26</f>
        <v>2256851</v>
      </c>
      <c r="P26" s="25"/>
    </row>
    <row r="27" spans="1:16" ht="25.5">
      <c r="A27" s="455"/>
      <c r="B27" s="593" t="s">
        <v>688</v>
      </c>
      <c r="C27" s="451">
        <f>'часть 1'!H311</f>
        <v>1426.08</v>
      </c>
      <c r="D27" s="452">
        <f>'часть 1'!K311</f>
        <v>47</v>
      </c>
      <c r="E27" s="453">
        <v>0</v>
      </c>
      <c r="F27" s="453">
        <v>0</v>
      </c>
      <c r="G27" s="453">
        <v>0</v>
      </c>
      <c r="H27" s="453">
        <v>1</v>
      </c>
      <c r="I27" s="453">
        <v>1</v>
      </c>
      <c r="J27" s="454">
        <v>0</v>
      </c>
      <c r="K27" s="454">
        <v>0</v>
      </c>
      <c r="L27" s="454">
        <v>0</v>
      </c>
      <c r="M27" s="454">
        <v>1826091</v>
      </c>
      <c r="N27" s="454">
        <f>M27+L27+K27+J27</f>
        <v>1826091</v>
      </c>
      <c r="P27" s="25"/>
    </row>
    <row r="28" spans="1:16" ht="25.5">
      <c r="A28" s="455">
        <f>A26+1</f>
        <v>14</v>
      </c>
      <c r="B28" s="456" t="s">
        <v>99</v>
      </c>
      <c r="C28" s="439">
        <f>'часть 1'!H312</f>
        <v>961.2</v>
      </c>
      <c r="D28" s="442">
        <f>'часть 1'!K312</f>
        <v>37</v>
      </c>
      <c r="E28" s="453">
        <v>0</v>
      </c>
      <c r="F28" s="453">
        <v>0</v>
      </c>
      <c r="G28" s="453">
        <v>0</v>
      </c>
      <c r="H28" s="440">
        <v>1</v>
      </c>
      <c r="I28" s="453">
        <f t="shared" si="1"/>
        <v>1</v>
      </c>
      <c r="J28" s="454">
        <v>0</v>
      </c>
      <c r="K28" s="454">
        <v>0</v>
      </c>
      <c r="L28" s="454">
        <v>0</v>
      </c>
      <c r="M28" s="454">
        <f>'часть 1'!L312</f>
        <v>1602324</v>
      </c>
      <c r="N28" s="454">
        <f>M28</f>
        <v>1602324</v>
      </c>
      <c r="P28" s="25"/>
    </row>
    <row r="29" spans="1:16" ht="25.5">
      <c r="A29" s="598">
        <f>A28+1</f>
        <v>15</v>
      </c>
      <c r="B29" s="599" t="s">
        <v>100</v>
      </c>
      <c r="C29" s="600">
        <f>'часть 1'!H314</f>
        <v>3346.3</v>
      </c>
      <c r="D29" s="601">
        <f>'часть 1'!K314</f>
        <v>128</v>
      </c>
      <c r="E29" s="602">
        <v>0</v>
      </c>
      <c r="F29" s="602">
        <v>0</v>
      </c>
      <c r="G29" s="602">
        <v>0</v>
      </c>
      <c r="H29" s="602">
        <v>1</v>
      </c>
      <c r="I29" s="602">
        <f t="shared" si="1"/>
        <v>1</v>
      </c>
      <c r="J29" s="603">
        <v>0</v>
      </c>
      <c r="K29" s="603">
        <v>0</v>
      </c>
      <c r="L29" s="603">
        <v>0</v>
      </c>
      <c r="M29" s="603">
        <f>'часть 1'!L314</f>
        <v>1986648</v>
      </c>
      <c r="N29" s="603">
        <f>M29</f>
        <v>1986648</v>
      </c>
      <c r="P29" s="25"/>
    </row>
    <row r="30" spans="1:16" ht="25.5">
      <c r="A30" s="455">
        <f>A29+1</f>
        <v>16</v>
      </c>
      <c r="B30" s="456" t="s">
        <v>101</v>
      </c>
      <c r="C30" s="451">
        <f>'часть 1'!H316</f>
        <v>0</v>
      </c>
      <c r="D30" s="452">
        <f>'часть 1'!K316</f>
        <v>0</v>
      </c>
      <c r="E30" s="453">
        <v>0</v>
      </c>
      <c r="F30" s="453">
        <v>0</v>
      </c>
      <c r="G30" s="453">
        <v>0</v>
      </c>
      <c r="H30" s="453">
        <v>0</v>
      </c>
      <c r="I30" s="453">
        <f t="shared" si="1"/>
        <v>0</v>
      </c>
      <c r="J30" s="454">
        <v>0</v>
      </c>
      <c r="K30" s="454">
        <v>0</v>
      </c>
      <c r="L30" s="454">
        <v>0</v>
      </c>
      <c r="M30" s="454">
        <f>'часть 1'!L316</f>
        <v>0</v>
      </c>
      <c r="N30" s="454">
        <f>M30</f>
        <v>0</v>
      </c>
      <c r="P30" s="25"/>
    </row>
    <row r="31" spans="1:16" ht="28.5" customHeight="1">
      <c r="A31" s="459">
        <f>A30+1</f>
        <v>17</v>
      </c>
      <c r="B31" s="456" t="s">
        <v>863</v>
      </c>
      <c r="C31" s="451">
        <f>'часть 1'!H317</f>
        <v>0</v>
      </c>
      <c r="D31" s="452">
        <f>'часть 1'!K317</f>
        <v>0</v>
      </c>
      <c r="E31" s="453">
        <v>0</v>
      </c>
      <c r="F31" s="453">
        <v>0</v>
      </c>
      <c r="G31" s="453">
        <v>0</v>
      </c>
      <c r="H31" s="453">
        <v>0</v>
      </c>
      <c r="I31" s="453">
        <f t="shared" si="1"/>
        <v>0</v>
      </c>
      <c r="J31" s="454">
        <v>0</v>
      </c>
      <c r="K31" s="454">
        <v>0</v>
      </c>
      <c r="L31" s="454">
        <v>0</v>
      </c>
      <c r="M31" s="454">
        <f>'часть 1'!L317</f>
        <v>0</v>
      </c>
      <c r="N31" s="454">
        <f>M31</f>
        <v>0</v>
      </c>
      <c r="P31" s="25"/>
    </row>
    <row r="32" spans="1:16" ht="28.5" customHeight="1">
      <c r="A32" s="459"/>
      <c r="B32" s="456" t="s">
        <v>861</v>
      </c>
      <c r="C32" s="451">
        <f>'часть 1'!H319</f>
        <v>3592.6</v>
      </c>
      <c r="D32" s="452">
        <f>'часть 1'!K319</f>
        <v>94</v>
      </c>
      <c r="E32" s="453">
        <v>0</v>
      </c>
      <c r="F32" s="453">
        <v>0</v>
      </c>
      <c r="G32" s="453">
        <v>0</v>
      </c>
      <c r="H32" s="453">
        <v>1</v>
      </c>
      <c r="I32" s="453">
        <v>1</v>
      </c>
      <c r="J32" s="454">
        <v>0</v>
      </c>
      <c r="K32" s="454">
        <v>0</v>
      </c>
      <c r="L32" s="454">
        <v>0</v>
      </c>
      <c r="M32" s="454">
        <f>'часть 1'!L319</f>
        <v>1906687</v>
      </c>
      <c r="N32" s="454">
        <f>M32+L32+K32+J32</f>
        <v>1906687</v>
      </c>
      <c r="P32" s="25"/>
    </row>
    <row r="33" spans="1:16">
      <c r="A33" s="254"/>
      <c r="B33" s="255" t="s">
        <v>46</v>
      </c>
      <c r="C33" s="249">
        <f>'часть 1'!H320</f>
        <v>525.4</v>
      </c>
      <c r="D33" s="250">
        <f>'часть 1'!K320</f>
        <v>21</v>
      </c>
      <c r="E33" s="252">
        <f t="shared" ref="E33:N33" si="9">E34</f>
        <v>0</v>
      </c>
      <c r="F33" s="252">
        <f t="shared" si="9"/>
        <v>0</v>
      </c>
      <c r="G33" s="252">
        <f t="shared" si="9"/>
        <v>0</v>
      </c>
      <c r="H33" s="252">
        <f t="shared" si="9"/>
        <v>1</v>
      </c>
      <c r="I33" s="252">
        <f t="shared" si="1"/>
        <v>1</v>
      </c>
      <c r="J33" s="251">
        <f t="shared" si="9"/>
        <v>0</v>
      </c>
      <c r="K33" s="251">
        <f t="shared" si="9"/>
        <v>0</v>
      </c>
      <c r="L33" s="251">
        <f t="shared" si="9"/>
        <v>0</v>
      </c>
      <c r="M33" s="251">
        <f t="shared" si="9"/>
        <v>1415265</v>
      </c>
      <c r="N33" s="251">
        <f t="shared" si="9"/>
        <v>1415265</v>
      </c>
      <c r="O33" s="25"/>
      <c r="P33" s="25"/>
    </row>
    <row r="34" spans="1:16" ht="25.5">
      <c r="A34" s="455">
        <f>A31+1</f>
        <v>18</v>
      </c>
      <c r="B34" s="456" t="s">
        <v>587</v>
      </c>
      <c r="C34" s="451">
        <f>'часть 1'!H321</f>
        <v>525.4</v>
      </c>
      <c r="D34" s="452">
        <f>'часть 1'!K320</f>
        <v>21</v>
      </c>
      <c r="E34" s="453">
        <v>0</v>
      </c>
      <c r="F34" s="453">
        <v>0</v>
      </c>
      <c r="G34" s="453">
        <v>0</v>
      </c>
      <c r="H34" s="453">
        <v>1</v>
      </c>
      <c r="I34" s="453">
        <f t="shared" si="1"/>
        <v>1</v>
      </c>
      <c r="J34" s="454">
        <v>0</v>
      </c>
      <c r="K34" s="454">
        <v>0</v>
      </c>
      <c r="L34" s="454">
        <v>0</v>
      </c>
      <c r="M34" s="454">
        <f>'часть 1'!L321</f>
        <v>1415265</v>
      </c>
      <c r="N34" s="454">
        <f>M34</f>
        <v>1415265</v>
      </c>
      <c r="P34" s="25"/>
    </row>
    <row r="35" spans="1:16">
      <c r="A35" s="254"/>
      <c r="B35" s="255" t="s">
        <v>47</v>
      </c>
      <c r="C35" s="249">
        <f>'часть 1'!H324</f>
        <v>3715.2</v>
      </c>
      <c r="D35" s="250">
        <f>'часть 1'!K324</f>
        <v>106</v>
      </c>
      <c r="E35" s="252">
        <f t="shared" ref="E35:N35" si="10">E36</f>
        <v>0</v>
      </c>
      <c r="F35" s="252">
        <f t="shared" si="10"/>
        <v>0</v>
      </c>
      <c r="G35" s="252">
        <f t="shared" si="10"/>
        <v>0</v>
      </c>
      <c r="H35" s="252">
        <f>H36</f>
        <v>5</v>
      </c>
      <c r="I35" s="252">
        <f t="shared" si="1"/>
        <v>5</v>
      </c>
      <c r="J35" s="251">
        <f t="shared" si="10"/>
        <v>0</v>
      </c>
      <c r="K35" s="251">
        <f t="shared" si="10"/>
        <v>0</v>
      </c>
      <c r="L35" s="251">
        <f t="shared" si="10"/>
        <v>0</v>
      </c>
      <c r="M35" s="251">
        <f t="shared" si="10"/>
        <v>6592116</v>
      </c>
      <c r="N35" s="251">
        <f t="shared" si="10"/>
        <v>6592116</v>
      </c>
      <c r="O35" s="25"/>
      <c r="P35" s="25"/>
    </row>
    <row r="36" spans="1:16" ht="25.5">
      <c r="A36" s="459">
        <f>A34+1</f>
        <v>19</v>
      </c>
      <c r="B36" s="456" t="s">
        <v>103</v>
      </c>
      <c r="C36" s="451">
        <f>'часть 1'!H325</f>
        <v>3715.2</v>
      </c>
      <c r="D36" s="452">
        <f>'часть 1'!K325</f>
        <v>106</v>
      </c>
      <c r="E36" s="453">
        <v>0</v>
      </c>
      <c r="F36" s="453">
        <v>0</v>
      </c>
      <c r="G36" s="453">
        <v>0</v>
      </c>
      <c r="H36" s="453">
        <v>5</v>
      </c>
      <c r="I36" s="453">
        <f t="shared" si="1"/>
        <v>5</v>
      </c>
      <c r="J36" s="454">
        <v>0</v>
      </c>
      <c r="K36" s="454">
        <v>0</v>
      </c>
      <c r="L36" s="454">
        <v>0</v>
      </c>
      <c r="M36" s="454">
        <f>'часть 1'!L325</f>
        <v>6592116</v>
      </c>
      <c r="N36" s="454">
        <f>M36</f>
        <v>6592116</v>
      </c>
      <c r="P36" s="25"/>
    </row>
    <row r="37" spans="1:16" s="9" customFormat="1">
      <c r="A37" s="254"/>
      <c r="B37" s="255" t="s">
        <v>48</v>
      </c>
      <c r="C37" s="249">
        <f>'часть 1'!H331</f>
        <v>1348.8000000000002</v>
      </c>
      <c r="D37" s="250">
        <f>'часть 1'!K331</f>
        <v>52</v>
      </c>
      <c r="E37" s="252">
        <f t="shared" ref="E37:N37" si="11">E38+E39</f>
        <v>0</v>
      </c>
      <c r="F37" s="252">
        <f t="shared" si="11"/>
        <v>0</v>
      </c>
      <c r="G37" s="252">
        <f t="shared" si="11"/>
        <v>0</v>
      </c>
      <c r="H37" s="252" t="e">
        <f>H38+H39</f>
        <v>#REF!</v>
      </c>
      <c r="I37" s="252" t="e">
        <f t="shared" si="1"/>
        <v>#REF!</v>
      </c>
      <c r="J37" s="251">
        <f t="shared" si="11"/>
        <v>0</v>
      </c>
      <c r="K37" s="251">
        <f t="shared" si="11"/>
        <v>0</v>
      </c>
      <c r="L37" s="251">
        <f t="shared" si="11"/>
        <v>0</v>
      </c>
      <c r="M37" s="251">
        <f t="shared" si="11"/>
        <v>3699748</v>
      </c>
      <c r="N37" s="251">
        <f t="shared" si="11"/>
        <v>3699748</v>
      </c>
      <c r="O37" s="39"/>
      <c r="P37" s="25"/>
    </row>
    <row r="38" spans="1:16" ht="25.5">
      <c r="A38" s="459">
        <f>A36+1</f>
        <v>20</v>
      </c>
      <c r="B38" s="456" t="s">
        <v>107</v>
      </c>
      <c r="C38" s="451">
        <f>'часть 1'!H332</f>
        <v>1083.3000000000002</v>
      </c>
      <c r="D38" s="452">
        <f>'часть 1'!K332</f>
        <v>50</v>
      </c>
      <c r="E38" s="453">
        <v>0</v>
      </c>
      <c r="F38" s="453">
        <v>0</v>
      </c>
      <c r="G38" s="453">
        <v>0</v>
      </c>
      <c r="H38" s="453">
        <v>2</v>
      </c>
      <c r="I38" s="453">
        <f t="shared" si="1"/>
        <v>2</v>
      </c>
      <c r="J38" s="454">
        <v>0</v>
      </c>
      <c r="K38" s="454">
        <v>0</v>
      </c>
      <c r="L38" s="454">
        <v>0</v>
      </c>
      <c r="M38" s="454">
        <f>'часть 1'!L332</f>
        <v>3145909</v>
      </c>
      <c r="N38" s="454">
        <f t="shared" ref="N38:N41" si="12">M38</f>
        <v>3145909</v>
      </c>
      <c r="P38" s="25"/>
    </row>
    <row r="39" spans="1:16" ht="27" customHeight="1">
      <c r="A39" s="236">
        <f>A38+1</f>
        <v>21</v>
      </c>
      <c r="B39" s="253" t="s">
        <v>104</v>
      </c>
      <c r="C39" s="249">
        <f>'часть 1'!H336</f>
        <v>265.5</v>
      </c>
      <c r="D39" s="250">
        <f>'часть 1'!K336</f>
        <v>2</v>
      </c>
      <c r="E39" s="252">
        <v>0</v>
      </c>
      <c r="F39" s="252">
        <v>0</v>
      </c>
      <c r="G39" s="252">
        <v>0</v>
      </c>
      <c r="H39" s="252" t="e">
        <f>'часть 2'!#REF!</f>
        <v>#REF!</v>
      </c>
      <c r="I39" s="252" t="e">
        <f t="shared" si="1"/>
        <v>#REF!</v>
      </c>
      <c r="J39" s="251">
        <v>0</v>
      </c>
      <c r="K39" s="251">
        <v>0</v>
      </c>
      <c r="L39" s="251">
        <v>0</v>
      </c>
      <c r="M39" s="251">
        <f>'часть 1'!L336</f>
        <v>553839</v>
      </c>
      <c r="N39" s="251">
        <f t="shared" si="12"/>
        <v>553839</v>
      </c>
      <c r="P39" s="25"/>
    </row>
    <row r="40" spans="1:16">
      <c r="A40" s="236"/>
      <c r="B40" s="255" t="s">
        <v>49</v>
      </c>
      <c r="C40" s="249">
        <f>'часть 1'!H338</f>
        <v>8221.4</v>
      </c>
      <c r="D40" s="250">
        <f>'часть 1'!K338</f>
        <v>388</v>
      </c>
      <c r="E40" s="252">
        <f t="shared" ref="E40:K40" si="13">E41</f>
        <v>0</v>
      </c>
      <c r="F40" s="252">
        <f t="shared" si="13"/>
        <v>0</v>
      </c>
      <c r="G40" s="252">
        <f>G41+G43+G44+G45</f>
        <v>1</v>
      </c>
      <c r="H40" s="252">
        <f>H41+H43+H44+H45</f>
        <v>2</v>
      </c>
      <c r="I40" s="252">
        <f t="shared" si="1"/>
        <v>3</v>
      </c>
      <c r="J40" s="251">
        <f t="shared" si="13"/>
        <v>0</v>
      </c>
      <c r="K40" s="251">
        <f t="shared" si="13"/>
        <v>0</v>
      </c>
      <c r="L40" s="251">
        <f>L43</f>
        <v>1905804</v>
      </c>
      <c r="M40" s="251">
        <f>SUM(M41:M45)</f>
        <v>6108282</v>
      </c>
      <c r="N40" s="251">
        <f>SUM(N41:N45)</f>
        <v>18463893.600000001</v>
      </c>
      <c r="O40" s="25"/>
      <c r="P40" s="25"/>
    </row>
    <row r="41" spans="1:16" ht="25.5">
      <c r="A41" s="459">
        <f>A39+1</f>
        <v>22</v>
      </c>
      <c r="B41" s="456" t="s">
        <v>588</v>
      </c>
      <c r="C41" s="451">
        <f>'часть 1'!H339</f>
        <v>1542.7</v>
      </c>
      <c r="D41" s="452">
        <f>'часть 1'!K339</f>
        <v>78</v>
      </c>
      <c r="E41" s="453">
        <v>0</v>
      </c>
      <c r="F41" s="453">
        <v>0</v>
      </c>
      <c r="G41" s="453">
        <v>0</v>
      </c>
      <c r="H41" s="453">
        <v>1</v>
      </c>
      <c r="I41" s="453">
        <f t="shared" si="1"/>
        <v>1</v>
      </c>
      <c r="J41" s="454">
        <v>0</v>
      </c>
      <c r="K41" s="454">
        <v>0</v>
      </c>
      <c r="L41" s="454">
        <v>0</v>
      </c>
      <c r="M41" s="454">
        <f>'часть 1'!L339</f>
        <v>5287622</v>
      </c>
      <c r="N41" s="454">
        <f t="shared" si="12"/>
        <v>5287622</v>
      </c>
      <c r="P41" s="25"/>
    </row>
    <row r="42" spans="1:16" ht="25.5">
      <c r="A42" s="236"/>
      <c r="B42" s="253" t="s">
        <v>985</v>
      </c>
      <c r="C42" s="249">
        <f>'часть 1'!H341</f>
        <v>1774</v>
      </c>
      <c r="D42" s="250">
        <f>'часть 1'!K341</f>
        <v>99</v>
      </c>
      <c r="E42" s="252">
        <v>0</v>
      </c>
      <c r="F42" s="252">
        <v>0</v>
      </c>
      <c r="G42" s="252">
        <v>2</v>
      </c>
      <c r="H42" s="252">
        <v>0</v>
      </c>
      <c r="I42" s="252">
        <v>2</v>
      </c>
      <c r="J42" s="251">
        <v>0</v>
      </c>
      <c r="K42" s="251">
        <v>0</v>
      </c>
      <c r="L42" s="251">
        <f>'часть 1'!L341</f>
        <v>7561422.5999999996</v>
      </c>
      <c r="M42" s="251">
        <v>0</v>
      </c>
      <c r="N42" s="251">
        <f>M42+L42+K42+J42</f>
        <v>7561422.5999999996</v>
      </c>
      <c r="P42" s="25"/>
    </row>
    <row r="43" spans="1:16" ht="25.5">
      <c r="A43" s="236">
        <f>A41+1</f>
        <v>23</v>
      </c>
      <c r="B43" s="253" t="s">
        <v>188</v>
      </c>
      <c r="C43" s="249">
        <f>'часть 1'!H344</f>
        <v>1595.1</v>
      </c>
      <c r="D43" s="250">
        <f>'часть 1'!K344</f>
        <v>87</v>
      </c>
      <c r="E43" s="252">
        <v>0</v>
      </c>
      <c r="F43" s="252">
        <v>0</v>
      </c>
      <c r="G43" s="252">
        <v>0</v>
      </c>
      <c r="H43" s="252">
        <v>0</v>
      </c>
      <c r="I43" s="252">
        <f t="shared" si="1"/>
        <v>0</v>
      </c>
      <c r="J43" s="251">
        <v>0</v>
      </c>
      <c r="K43" s="251">
        <v>0</v>
      </c>
      <c r="L43" s="251">
        <f>'часть 1'!L344</f>
        <v>1905804</v>
      </c>
      <c r="M43" s="251">
        <v>0</v>
      </c>
      <c r="N43" s="251">
        <f>L43</f>
        <v>1905804</v>
      </c>
      <c r="P43" s="25"/>
    </row>
    <row r="44" spans="1:16" ht="25.5">
      <c r="A44" s="236">
        <f>A43+1</f>
        <v>24</v>
      </c>
      <c r="B44" s="253" t="s">
        <v>189</v>
      </c>
      <c r="C44" s="249">
        <f>'часть 1'!H347</f>
        <v>506.9</v>
      </c>
      <c r="D44" s="250">
        <f>'часть 1'!K347</f>
        <v>7</v>
      </c>
      <c r="E44" s="252">
        <v>0</v>
      </c>
      <c r="F44" s="252">
        <v>0</v>
      </c>
      <c r="G44" s="252">
        <v>0</v>
      </c>
      <c r="H44" s="252">
        <v>1</v>
      </c>
      <c r="I44" s="252">
        <f t="shared" si="1"/>
        <v>1</v>
      </c>
      <c r="J44" s="251">
        <v>0</v>
      </c>
      <c r="K44" s="251">
        <v>0</v>
      </c>
      <c r="L44" s="251">
        <v>0</v>
      </c>
      <c r="M44" s="251">
        <f>'часть 1'!L347</f>
        <v>820660</v>
      </c>
      <c r="N44" s="251">
        <f>M44</f>
        <v>820660</v>
      </c>
      <c r="P44" s="25"/>
    </row>
    <row r="45" spans="1:16" ht="25.5">
      <c r="A45" s="236">
        <f>A44+1</f>
        <v>25</v>
      </c>
      <c r="B45" s="253" t="s">
        <v>589</v>
      </c>
      <c r="C45" s="249">
        <f>'часть 1'!H349</f>
        <v>4576.7</v>
      </c>
      <c r="D45" s="250">
        <f>'часть 1'!K349</f>
        <v>216</v>
      </c>
      <c r="E45" s="252">
        <v>0</v>
      </c>
      <c r="F45" s="252">
        <v>0</v>
      </c>
      <c r="G45" s="252">
        <v>1</v>
      </c>
      <c r="H45" s="252">
        <v>0</v>
      </c>
      <c r="I45" s="252">
        <f t="shared" si="1"/>
        <v>1</v>
      </c>
      <c r="J45" s="251">
        <v>0</v>
      </c>
      <c r="K45" s="251">
        <v>0</v>
      </c>
      <c r="L45" s="251">
        <v>2888385</v>
      </c>
      <c r="M45" s="251">
        <v>0</v>
      </c>
      <c r="N45" s="251">
        <v>2888385</v>
      </c>
      <c r="P45" s="25"/>
    </row>
    <row r="46" spans="1:16">
      <c r="A46" s="236"/>
      <c r="B46" s="255" t="s">
        <v>50</v>
      </c>
      <c r="C46" s="249">
        <f>C47</f>
        <v>6412.52</v>
      </c>
      <c r="D46" s="250">
        <f t="shared" ref="D46:N46" si="14">D47</f>
        <v>202</v>
      </c>
      <c r="E46" s="252">
        <f t="shared" si="14"/>
        <v>0</v>
      </c>
      <c r="F46" s="252">
        <f t="shared" si="14"/>
        <v>0</v>
      </c>
      <c r="G46" s="252">
        <f t="shared" si="14"/>
        <v>0</v>
      </c>
      <c r="H46" s="252">
        <f t="shared" si="14"/>
        <v>9</v>
      </c>
      <c r="I46" s="252">
        <f t="shared" si="1"/>
        <v>9</v>
      </c>
      <c r="J46" s="251">
        <f t="shared" si="14"/>
        <v>0</v>
      </c>
      <c r="K46" s="251">
        <f t="shared" si="14"/>
        <v>0</v>
      </c>
      <c r="L46" s="251">
        <f t="shared" si="14"/>
        <v>0</v>
      </c>
      <c r="M46" s="251">
        <f t="shared" si="14"/>
        <v>14213854</v>
      </c>
      <c r="N46" s="251">
        <f t="shared" si="14"/>
        <v>14213854</v>
      </c>
      <c r="O46" s="25"/>
      <c r="P46" s="25"/>
    </row>
    <row r="47" spans="1:16" ht="25.5">
      <c r="A47" s="236">
        <f>A45+1</f>
        <v>26</v>
      </c>
      <c r="B47" s="253" t="s">
        <v>106</v>
      </c>
      <c r="C47" s="249">
        <f>'часть 1'!H353</f>
        <v>6412.52</v>
      </c>
      <c r="D47" s="250">
        <f>'часть 1'!K353</f>
        <v>202</v>
      </c>
      <c r="E47" s="252">
        <v>0</v>
      </c>
      <c r="F47" s="252">
        <v>0</v>
      </c>
      <c r="G47" s="252">
        <v>0</v>
      </c>
      <c r="H47" s="252">
        <v>9</v>
      </c>
      <c r="I47" s="252">
        <f t="shared" si="1"/>
        <v>9</v>
      </c>
      <c r="J47" s="251">
        <v>0</v>
      </c>
      <c r="K47" s="251">
        <v>0</v>
      </c>
      <c r="L47" s="251">
        <v>0</v>
      </c>
      <c r="M47" s="251">
        <f>'часть 1'!L352</f>
        <v>14213854</v>
      </c>
      <c r="N47" s="251">
        <f>M47</f>
        <v>14213854</v>
      </c>
      <c r="P47" s="25"/>
    </row>
    <row r="48" spans="1:16">
      <c r="A48" s="236"/>
      <c r="B48" s="255" t="s">
        <v>51</v>
      </c>
      <c r="C48" s="249">
        <f>C49</f>
        <v>7394.6</v>
      </c>
      <c r="D48" s="250">
        <f t="shared" ref="D48:N48" si="15">D49</f>
        <v>302</v>
      </c>
      <c r="E48" s="252">
        <f t="shared" si="15"/>
        <v>0</v>
      </c>
      <c r="F48" s="252">
        <f t="shared" si="15"/>
        <v>0</v>
      </c>
      <c r="G48" s="252">
        <f t="shared" si="15"/>
        <v>0</v>
      </c>
      <c r="H48" s="252">
        <f t="shared" si="15"/>
        <v>8</v>
      </c>
      <c r="I48" s="252">
        <f t="shared" si="1"/>
        <v>8</v>
      </c>
      <c r="J48" s="251">
        <f t="shared" si="15"/>
        <v>0</v>
      </c>
      <c r="K48" s="251">
        <f t="shared" si="15"/>
        <v>0</v>
      </c>
      <c r="L48" s="251">
        <f t="shared" si="15"/>
        <v>0</v>
      </c>
      <c r="M48" s="251">
        <f t="shared" si="15"/>
        <v>11379869</v>
      </c>
      <c r="N48" s="251">
        <f t="shared" si="15"/>
        <v>11379869</v>
      </c>
      <c r="O48" s="25"/>
      <c r="P48" s="25"/>
    </row>
    <row r="49" spans="1:16" ht="25.5">
      <c r="A49" s="236">
        <f>A47+1</f>
        <v>27</v>
      </c>
      <c r="B49" s="253" t="s">
        <v>108</v>
      </c>
      <c r="C49" s="249">
        <f>'часть 1'!H363</f>
        <v>7394.6</v>
      </c>
      <c r="D49" s="250">
        <f>'часть 1'!K363</f>
        <v>302</v>
      </c>
      <c r="E49" s="252">
        <v>0</v>
      </c>
      <c r="F49" s="252">
        <v>0</v>
      </c>
      <c r="G49" s="252">
        <v>0</v>
      </c>
      <c r="H49" s="252">
        <v>8</v>
      </c>
      <c r="I49" s="252">
        <f t="shared" si="1"/>
        <v>8</v>
      </c>
      <c r="J49" s="251">
        <v>0</v>
      </c>
      <c r="K49" s="251">
        <v>0</v>
      </c>
      <c r="L49" s="251">
        <v>0</v>
      </c>
      <c r="M49" s="251">
        <f>'часть 1'!L364</f>
        <v>11379869</v>
      </c>
      <c r="N49" s="251">
        <f>M49</f>
        <v>11379869</v>
      </c>
      <c r="P49" s="25"/>
    </row>
    <row r="50" spans="1:16" ht="25.5">
      <c r="A50" s="459"/>
      <c r="B50" s="456" t="s">
        <v>882</v>
      </c>
      <c r="C50" s="451">
        <f>'часть 1'!H373</f>
        <v>1087.7</v>
      </c>
      <c r="D50" s="452">
        <f>'часть 1'!K373</f>
        <v>55</v>
      </c>
      <c r="E50" s="453">
        <v>0</v>
      </c>
      <c r="F50" s="453">
        <v>0</v>
      </c>
      <c r="G50" s="453">
        <v>2</v>
      </c>
      <c r="H50" s="453">
        <v>0</v>
      </c>
      <c r="I50" s="453">
        <v>2</v>
      </c>
      <c r="J50" s="454">
        <v>0</v>
      </c>
      <c r="K50" s="454">
        <v>0</v>
      </c>
      <c r="L50" s="454">
        <v>2903743</v>
      </c>
      <c r="M50" s="454">
        <v>0</v>
      </c>
      <c r="N50" s="454">
        <f>M50+L50+K50+J50</f>
        <v>2903743</v>
      </c>
      <c r="P50" s="25"/>
    </row>
    <row r="51" spans="1:16">
      <c r="A51" s="236"/>
      <c r="B51" s="255" t="s">
        <v>52</v>
      </c>
      <c r="C51" s="249">
        <f>C53+C52+C54</f>
        <v>2360.4</v>
      </c>
      <c r="D51" s="250">
        <f>D53+D52+D54</f>
        <v>81</v>
      </c>
      <c r="E51" s="252">
        <f>E53+E52</f>
        <v>0</v>
      </c>
      <c r="F51" s="252">
        <f t="shared" ref="F51:G51" si="16">F53+F52</f>
        <v>0</v>
      </c>
      <c r="G51" s="252">
        <f t="shared" si="16"/>
        <v>1</v>
      </c>
      <c r="H51" s="252">
        <f>H53+H52+H54</f>
        <v>2</v>
      </c>
      <c r="I51" s="252">
        <f t="shared" si="1"/>
        <v>3</v>
      </c>
      <c r="J51" s="251">
        <f t="shared" ref="J51:L51" si="17">J53</f>
        <v>0</v>
      </c>
      <c r="K51" s="251">
        <f t="shared" si="17"/>
        <v>0</v>
      </c>
      <c r="L51" s="251">
        <f t="shared" si="17"/>
        <v>0</v>
      </c>
      <c r="M51" s="251">
        <f>M53+M52+M54</f>
        <v>1292346</v>
      </c>
      <c r="N51" s="251">
        <f>M51</f>
        <v>1292346</v>
      </c>
      <c r="O51" s="25"/>
      <c r="P51" s="25"/>
    </row>
    <row r="52" spans="1:16" ht="25.5">
      <c r="A52" s="459">
        <f>A49+1</f>
        <v>28</v>
      </c>
      <c r="B52" s="456" t="s">
        <v>130</v>
      </c>
      <c r="C52" s="451">
        <f>'часть 1'!H377</f>
        <v>704.6</v>
      </c>
      <c r="D52" s="452">
        <f>'часть 1'!K377</f>
        <v>16</v>
      </c>
      <c r="E52" s="453">
        <v>0</v>
      </c>
      <c r="F52" s="453">
        <v>0</v>
      </c>
      <c r="G52" s="453">
        <v>1</v>
      </c>
      <c r="H52" s="453">
        <v>0</v>
      </c>
      <c r="I52" s="453">
        <f t="shared" si="1"/>
        <v>1</v>
      </c>
      <c r="J52" s="454">
        <v>0</v>
      </c>
      <c r="K52" s="454">
        <v>0</v>
      </c>
      <c r="L52" s="454">
        <v>1828731</v>
      </c>
      <c r="M52" s="454">
        <v>0</v>
      </c>
      <c r="N52" s="454">
        <v>1828731</v>
      </c>
      <c r="O52" s="25"/>
      <c r="P52" s="25"/>
    </row>
    <row r="53" spans="1:16" ht="25.5">
      <c r="A53" s="236">
        <f>A52+1</f>
        <v>29</v>
      </c>
      <c r="B53" s="253" t="s">
        <v>109</v>
      </c>
      <c r="C53" s="249">
        <f>'часть 1'!H380</f>
        <v>799.3</v>
      </c>
      <c r="D53" s="250">
        <f>'часть 1'!K380</f>
        <v>32</v>
      </c>
      <c r="E53" s="252">
        <v>0</v>
      </c>
      <c r="F53" s="252">
        <v>0</v>
      </c>
      <c r="G53" s="252">
        <v>0</v>
      </c>
      <c r="H53" s="252">
        <v>1</v>
      </c>
      <c r="I53" s="252">
        <f t="shared" si="1"/>
        <v>1</v>
      </c>
      <c r="J53" s="251">
        <v>0</v>
      </c>
      <c r="K53" s="251">
        <v>0</v>
      </c>
      <c r="L53" s="251">
        <v>0</v>
      </c>
      <c r="M53" s="251">
        <v>201010</v>
      </c>
      <c r="N53" s="251">
        <f>M53</f>
        <v>201010</v>
      </c>
      <c r="P53" s="25"/>
    </row>
    <row r="54" spans="1:16" ht="25.5">
      <c r="A54" s="236">
        <f>A53+1</f>
        <v>30</v>
      </c>
      <c r="B54" s="253" t="s">
        <v>198</v>
      </c>
      <c r="C54" s="249">
        <f>'часть 1'!H382</f>
        <v>856.5</v>
      </c>
      <c r="D54" s="250">
        <f>'часть 1'!K382</f>
        <v>33</v>
      </c>
      <c r="E54" s="252">
        <v>0</v>
      </c>
      <c r="F54" s="252">
        <v>0</v>
      </c>
      <c r="G54" s="252">
        <v>0</v>
      </c>
      <c r="H54" s="252">
        <v>1</v>
      </c>
      <c r="I54" s="252">
        <f t="shared" si="1"/>
        <v>1</v>
      </c>
      <c r="J54" s="251">
        <v>0</v>
      </c>
      <c r="K54" s="251">
        <v>0</v>
      </c>
      <c r="L54" s="251">
        <v>0</v>
      </c>
      <c r="M54" s="251">
        <f>'часть 1'!L382</f>
        <v>1091336</v>
      </c>
      <c r="N54" s="251">
        <f>M54</f>
        <v>1091336</v>
      </c>
      <c r="P54" s="25"/>
    </row>
    <row r="55" spans="1:16">
      <c r="A55" s="236"/>
      <c r="B55" s="255" t="s">
        <v>53</v>
      </c>
      <c r="C55" s="249">
        <f>'часть 1'!H384+'часть 1'!H524</f>
        <v>125982.9</v>
      </c>
      <c r="D55" s="250">
        <f>'часть 1'!K384+'часть 1'!K524</f>
        <v>3722</v>
      </c>
      <c r="E55" s="252">
        <f t="shared" ref="E55:L55" si="18">E58+E61+E62+E56</f>
        <v>0</v>
      </c>
      <c r="F55" s="252">
        <f t="shared" si="18"/>
        <v>0</v>
      </c>
      <c r="G55" s="252">
        <f t="shared" si="18"/>
        <v>0</v>
      </c>
      <c r="H55" s="252">
        <f>H58+H61+H59+H62+H56+H57+H63</f>
        <v>22</v>
      </c>
      <c r="I55" s="252">
        <f t="shared" si="1"/>
        <v>22</v>
      </c>
      <c r="J55" s="251">
        <f t="shared" si="18"/>
        <v>0</v>
      </c>
      <c r="K55" s="251">
        <f t="shared" si="18"/>
        <v>0</v>
      </c>
      <c r="L55" s="251">
        <f t="shared" si="18"/>
        <v>0</v>
      </c>
      <c r="M55" s="251">
        <f>M58+M61+M59+M62+M56+M57+M63</f>
        <v>54292021.920000002</v>
      </c>
      <c r="N55" s="251">
        <f t="shared" ref="N55:N63" si="19">M55</f>
        <v>54292021.920000002</v>
      </c>
      <c r="O55" s="25"/>
      <c r="P55" s="25"/>
    </row>
    <row r="56" spans="1:16" ht="26.25" customHeight="1">
      <c r="A56" s="459">
        <f>A54+1</f>
        <v>31</v>
      </c>
      <c r="B56" s="456" t="s">
        <v>88</v>
      </c>
      <c r="C56" s="451">
        <f>'часть 1'!H385</f>
        <v>77350</v>
      </c>
      <c r="D56" s="452">
        <f>'часть 1'!K385</f>
        <v>2037</v>
      </c>
      <c r="E56" s="453">
        <v>0</v>
      </c>
      <c r="F56" s="453">
        <v>0</v>
      </c>
      <c r="G56" s="453">
        <v>0</v>
      </c>
      <c r="H56" s="453">
        <v>10</v>
      </c>
      <c r="I56" s="453">
        <f t="shared" si="1"/>
        <v>10</v>
      </c>
      <c r="J56" s="454">
        <v>0</v>
      </c>
      <c r="K56" s="454">
        <v>0</v>
      </c>
      <c r="L56" s="454">
        <v>0</v>
      </c>
      <c r="M56" s="454">
        <f>'часть 2'!C375</f>
        <v>31676745</v>
      </c>
      <c r="N56" s="454">
        <f t="shared" si="19"/>
        <v>31676745</v>
      </c>
      <c r="P56" s="25"/>
    </row>
    <row r="57" spans="1:16" ht="26.25" customHeight="1">
      <c r="A57" s="459">
        <f t="shared" ref="A57:A63" si="20">A56+1</f>
        <v>32</v>
      </c>
      <c r="B57" s="456" t="s">
        <v>132</v>
      </c>
      <c r="C57" s="451">
        <f>'часть 1'!H397</f>
        <v>2337.4</v>
      </c>
      <c r="D57" s="452">
        <f>'часть 1'!K397</f>
        <v>91</v>
      </c>
      <c r="E57" s="453">
        <v>0</v>
      </c>
      <c r="F57" s="453">
        <v>0</v>
      </c>
      <c r="G57" s="453">
        <v>0</v>
      </c>
      <c r="H57" s="453">
        <v>3</v>
      </c>
      <c r="I57" s="453">
        <f t="shared" si="1"/>
        <v>3</v>
      </c>
      <c r="J57" s="454">
        <v>0</v>
      </c>
      <c r="K57" s="454">
        <v>0</v>
      </c>
      <c r="L57" s="454">
        <v>0</v>
      </c>
      <c r="M57" s="454">
        <f>'часть 1'!L397</f>
        <v>5439639</v>
      </c>
      <c r="N57" s="454">
        <f>M57</f>
        <v>5439639</v>
      </c>
      <c r="P57" s="25"/>
    </row>
    <row r="58" spans="1:16" ht="26.25" customHeight="1">
      <c r="A58" s="459">
        <f t="shared" si="20"/>
        <v>33</v>
      </c>
      <c r="B58" s="456" t="s">
        <v>110</v>
      </c>
      <c r="C58" s="451">
        <f>'часть 1'!H403</f>
        <v>1494</v>
      </c>
      <c r="D58" s="452">
        <f>'часть 1'!K403</f>
        <v>59</v>
      </c>
      <c r="E58" s="453">
        <v>0</v>
      </c>
      <c r="F58" s="453">
        <v>0</v>
      </c>
      <c r="G58" s="453">
        <v>0</v>
      </c>
      <c r="H58" s="453">
        <v>1</v>
      </c>
      <c r="I58" s="453">
        <f t="shared" si="1"/>
        <v>1</v>
      </c>
      <c r="J58" s="454">
        <v>0</v>
      </c>
      <c r="K58" s="454">
        <v>0</v>
      </c>
      <c r="L58" s="454">
        <v>0</v>
      </c>
      <c r="M58" s="454">
        <f>'часть 1'!L403</f>
        <v>2476043</v>
      </c>
      <c r="N58" s="454">
        <f t="shared" si="19"/>
        <v>2476043</v>
      </c>
      <c r="P58" s="25"/>
    </row>
    <row r="59" spans="1:16" ht="26.25" customHeight="1">
      <c r="A59" s="459">
        <f t="shared" si="20"/>
        <v>34</v>
      </c>
      <c r="B59" s="456" t="s">
        <v>128</v>
      </c>
      <c r="C59" s="451">
        <f>'часть 1'!H405</f>
        <v>13933</v>
      </c>
      <c r="D59" s="452">
        <f>'часть 1'!K405</f>
        <v>553</v>
      </c>
      <c r="E59" s="453">
        <v>0</v>
      </c>
      <c r="F59" s="453">
        <v>0</v>
      </c>
      <c r="G59" s="453">
        <v>0</v>
      </c>
      <c r="H59" s="453">
        <v>4</v>
      </c>
      <c r="I59" s="453">
        <f t="shared" si="1"/>
        <v>4</v>
      </c>
      <c r="J59" s="454">
        <v>0</v>
      </c>
      <c r="K59" s="454">
        <v>0</v>
      </c>
      <c r="L59" s="454">
        <v>0</v>
      </c>
      <c r="M59" s="454">
        <f>'часть 1'!L405</f>
        <v>11027716</v>
      </c>
      <c r="N59" s="454">
        <f t="shared" si="19"/>
        <v>11027716</v>
      </c>
      <c r="P59" s="25"/>
    </row>
    <row r="60" spans="1:16" ht="26.25" customHeight="1">
      <c r="A60" s="459"/>
      <c r="B60" s="456" t="s">
        <v>668</v>
      </c>
      <c r="C60" s="451">
        <f>'часть 1'!H412</f>
        <v>5520.2</v>
      </c>
      <c r="D60" s="452">
        <f>'часть 1'!K412</f>
        <v>173</v>
      </c>
      <c r="E60" s="453">
        <v>0</v>
      </c>
      <c r="F60" s="453">
        <v>0</v>
      </c>
      <c r="G60" s="453">
        <v>0</v>
      </c>
      <c r="H60" s="453">
        <v>2</v>
      </c>
      <c r="I60" s="453">
        <v>2</v>
      </c>
      <c r="J60" s="454">
        <v>0</v>
      </c>
      <c r="K60" s="454">
        <v>0</v>
      </c>
      <c r="L60" s="454">
        <v>0</v>
      </c>
      <c r="M60" s="454">
        <v>4521219</v>
      </c>
      <c r="N60" s="454">
        <v>4521219</v>
      </c>
      <c r="P60" s="25"/>
    </row>
    <row r="61" spans="1:16" ht="25.5">
      <c r="A61" s="236">
        <f>A59+1</f>
        <v>35</v>
      </c>
      <c r="B61" s="253" t="s">
        <v>994</v>
      </c>
      <c r="C61" s="249">
        <f>'часть 1'!H415</f>
        <v>625.9</v>
      </c>
      <c r="D61" s="250">
        <f>'часть 1'!K415</f>
        <v>32</v>
      </c>
      <c r="E61" s="252">
        <v>0</v>
      </c>
      <c r="F61" s="252">
        <v>0</v>
      </c>
      <c r="G61" s="252">
        <v>0</v>
      </c>
      <c r="H61" s="252">
        <v>1</v>
      </c>
      <c r="I61" s="252">
        <f t="shared" si="1"/>
        <v>1</v>
      </c>
      <c r="J61" s="251">
        <v>0</v>
      </c>
      <c r="K61" s="251">
        <v>0</v>
      </c>
      <c r="L61" s="251">
        <v>0</v>
      </c>
      <c r="M61" s="251">
        <f>'часть 1'!L415</f>
        <v>1540610</v>
      </c>
      <c r="N61" s="251">
        <f t="shared" si="19"/>
        <v>1540610</v>
      </c>
      <c r="P61" s="25"/>
    </row>
    <row r="62" spans="1:16" ht="27.75" customHeight="1">
      <c r="A62" s="236">
        <f t="shared" si="20"/>
        <v>36</v>
      </c>
      <c r="B62" s="253" t="s">
        <v>111</v>
      </c>
      <c r="C62" s="249">
        <f>'часть 1'!H417</f>
        <v>533.5</v>
      </c>
      <c r="D62" s="250">
        <f>'часть 1'!K417</f>
        <v>54</v>
      </c>
      <c r="E62" s="252">
        <v>0</v>
      </c>
      <c r="F62" s="252">
        <v>0</v>
      </c>
      <c r="G62" s="252">
        <v>0</v>
      </c>
      <c r="H62" s="252">
        <v>1</v>
      </c>
      <c r="I62" s="252">
        <f t="shared" si="1"/>
        <v>1</v>
      </c>
      <c r="J62" s="251">
        <v>0</v>
      </c>
      <c r="K62" s="251">
        <v>0</v>
      </c>
      <c r="L62" s="251">
        <v>0</v>
      </c>
      <c r="M62" s="251">
        <f>'часть 1'!L417</f>
        <v>657835.92000000004</v>
      </c>
      <c r="N62" s="251">
        <f t="shared" si="19"/>
        <v>657835.92000000004</v>
      </c>
      <c r="P62" s="25"/>
    </row>
    <row r="63" spans="1:16" ht="27.75" customHeight="1">
      <c r="A63" s="459">
        <f t="shared" si="20"/>
        <v>37</v>
      </c>
      <c r="B63" s="456" t="s">
        <v>129</v>
      </c>
      <c r="C63" s="451">
        <f>'часть 1'!H419</f>
        <v>1150.0999999999999</v>
      </c>
      <c r="D63" s="452">
        <f>'часть 1'!K419</f>
        <v>58</v>
      </c>
      <c r="E63" s="453">
        <v>0</v>
      </c>
      <c r="F63" s="453">
        <v>0</v>
      </c>
      <c r="G63" s="453">
        <v>0</v>
      </c>
      <c r="H63" s="453">
        <v>2</v>
      </c>
      <c r="I63" s="453">
        <f t="shared" si="1"/>
        <v>2</v>
      </c>
      <c r="J63" s="454">
        <v>0</v>
      </c>
      <c r="K63" s="454">
        <v>0</v>
      </c>
      <c r="L63" s="454">
        <v>0</v>
      </c>
      <c r="M63" s="454">
        <f>'часть 1'!L419</f>
        <v>1473433</v>
      </c>
      <c r="N63" s="454">
        <f t="shared" si="19"/>
        <v>1473433</v>
      </c>
      <c r="P63" s="25"/>
    </row>
    <row r="64" spans="1:16">
      <c r="A64" s="236"/>
      <c r="B64" s="255" t="s">
        <v>54</v>
      </c>
      <c r="C64" s="249">
        <f>C65</f>
        <v>1983</v>
      </c>
      <c r="D64" s="250">
        <f t="shared" ref="D64:N64" si="21">D65</f>
        <v>80</v>
      </c>
      <c r="E64" s="252">
        <f t="shared" si="21"/>
        <v>0</v>
      </c>
      <c r="F64" s="252">
        <f t="shared" si="21"/>
        <v>0</v>
      </c>
      <c r="G64" s="252">
        <f t="shared" si="21"/>
        <v>0</v>
      </c>
      <c r="H64" s="252" t="e">
        <f t="shared" si="21"/>
        <v>#REF!</v>
      </c>
      <c r="I64" s="252" t="e">
        <f t="shared" si="1"/>
        <v>#REF!</v>
      </c>
      <c r="J64" s="251">
        <f t="shared" si="21"/>
        <v>0</v>
      </c>
      <c r="K64" s="251">
        <f t="shared" si="21"/>
        <v>0</v>
      </c>
      <c r="L64" s="251">
        <f t="shared" si="21"/>
        <v>0</v>
      </c>
      <c r="M64" s="251">
        <f t="shared" si="21"/>
        <v>2222747</v>
      </c>
      <c r="N64" s="251">
        <f t="shared" si="21"/>
        <v>2222747</v>
      </c>
      <c r="O64" s="25"/>
      <c r="P64" s="25"/>
    </row>
    <row r="65" spans="1:16" ht="25.5">
      <c r="A65" s="236">
        <f>A63+1</f>
        <v>38</v>
      </c>
      <c r="B65" s="253" t="s">
        <v>112</v>
      </c>
      <c r="C65" s="249">
        <f>'часть 1'!H425</f>
        <v>1983</v>
      </c>
      <c r="D65" s="250">
        <f>'часть 1'!K425</f>
        <v>80</v>
      </c>
      <c r="E65" s="252">
        <v>0</v>
      </c>
      <c r="F65" s="252">
        <v>0</v>
      </c>
      <c r="G65" s="252">
        <v>0</v>
      </c>
      <c r="H65" s="252" t="e">
        <f>'часть 2'!#REF!</f>
        <v>#REF!</v>
      </c>
      <c r="I65" s="252" t="e">
        <f t="shared" si="1"/>
        <v>#REF!</v>
      </c>
      <c r="J65" s="251">
        <v>0</v>
      </c>
      <c r="K65" s="251">
        <v>0</v>
      </c>
      <c r="L65" s="251">
        <v>0</v>
      </c>
      <c r="M65" s="251">
        <f>'часть 1'!L425</f>
        <v>2222747</v>
      </c>
      <c r="N65" s="251">
        <f>M65</f>
        <v>2222747</v>
      </c>
      <c r="P65" s="25"/>
    </row>
    <row r="66" spans="1:16">
      <c r="A66" s="236"/>
      <c r="B66" s="255" t="s">
        <v>55</v>
      </c>
      <c r="C66" s="249">
        <f>C67</f>
        <v>912.1</v>
      </c>
      <c r="D66" s="249">
        <f t="shared" ref="D66:N66" si="22">D67</f>
        <v>39</v>
      </c>
      <c r="E66" s="249">
        <f t="shared" si="22"/>
        <v>0</v>
      </c>
      <c r="F66" s="249">
        <f t="shared" si="22"/>
        <v>0</v>
      </c>
      <c r="G66" s="249">
        <f t="shared" si="22"/>
        <v>2</v>
      </c>
      <c r="H66" s="250">
        <f t="shared" si="22"/>
        <v>0</v>
      </c>
      <c r="I66" s="250">
        <f t="shared" si="22"/>
        <v>2</v>
      </c>
      <c r="J66" s="251">
        <f t="shared" si="22"/>
        <v>0</v>
      </c>
      <c r="K66" s="251">
        <f t="shared" si="22"/>
        <v>0</v>
      </c>
      <c r="L66" s="251">
        <f t="shared" si="22"/>
        <v>2809430</v>
      </c>
      <c r="M66" s="251">
        <f t="shared" si="22"/>
        <v>0</v>
      </c>
      <c r="N66" s="251">
        <f t="shared" si="22"/>
        <v>2809430</v>
      </c>
      <c r="O66" s="25"/>
      <c r="P66" s="25"/>
    </row>
    <row r="67" spans="1:16" ht="25.5">
      <c r="A67" s="459">
        <v>38</v>
      </c>
      <c r="B67" s="456" t="s">
        <v>590</v>
      </c>
      <c r="C67" s="451">
        <f>'часть 1'!H430</f>
        <v>912.1</v>
      </c>
      <c r="D67" s="452">
        <f>'часть 1'!K430</f>
        <v>39</v>
      </c>
      <c r="E67" s="453">
        <v>0</v>
      </c>
      <c r="F67" s="453">
        <v>0</v>
      </c>
      <c r="G67" s="453">
        <v>2</v>
      </c>
      <c r="H67" s="453">
        <v>0</v>
      </c>
      <c r="I67" s="453">
        <f t="shared" si="1"/>
        <v>2</v>
      </c>
      <c r="J67" s="454">
        <v>0</v>
      </c>
      <c r="K67" s="454">
        <v>0</v>
      </c>
      <c r="L67" s="454">
        <v>2809430</v>
      </c>
      <c r="M67" s="454">
        <v>0</v>
      </c>
      <c r="N67" s="454">
        <f>M67+L67+K67+J67</f>
        <v>2809430</v>
      </c>
      <c r="P67" s="25"/>
    </row>
    <row r="68" spans="1:16">
      <c r="A68" s="236"/>
      <c r="B68" s="255" t="s">
        <v>56</v>
      </c>
      <c r="C68" s="249">
        <f>'часть 1'!H434</f>
        <v>10396</v>
      </c>
      <c r="D68" s="250">
        <f>'часть 1'!K434</f>
        <v>320</v>
      </c>
      <c r="E68" s="252">
        <f t="shared" ref="E68:N68" si="23">E69+E70+E71</f>
        <v>0</v>
      </c>
      <c r="F68" s="252">
        <f t="shared" si="23"/>
        <v>0</v>
      </c>
      <c r="G68" s="252">
        <f t="shared" si="23"/>
        <v>1</v>
      </c>
      <c r="H68" s="252">
        <f t="shared" si="23"/>
        <v>6</v>
      </c>
      <c r="I68" s="252">
        <f t="shared" si="1"/>
        <v>7</v>
      </c>
      <c r="J68" s="251">
        <f t="shared" si="23"/>
        <v>0</v>
      </c>
      <c r="K68" s="251">
        <f t="shared" si="23"/>
        <v>0</v>
      </c>
      <c r="L68" s="251">
        <f t="shared" si="23"/>
        <v>1510788</v>
      </c>
      <c r="M68" s="251">
        <f>M69+M70+M71</f>
        <v>9278483</v>
      </c>
      <c r="N68" s="251">
        <f t="shared" si="23"/>
        <v>10789271</v>
      </c>
      <c r="O68" s="25"/>
      <c r="P68" s="25"/>
    </row>
    <row r="69" spans="1:16" ht="25.5">
      <c r="A69" s="459">
        <v>39</v>
      </c>
      <c r="B69" s="456" t="s">
        <v>424</v>
      </c>
      <c r="C69" s="451">
        <f>'часть 1'!H435</f>
        <v>4140.7</v>
      </c>
      <c r="D69" s="452">
        <f>'часть 1'!K435</f>
        <v>125</v>
      </c>
      <c r="E69" s="453">
        <v>0</v>
      </c>
      <c r="F69" s="453">
        <v>0</v>
      </c>
      <c r="G69" s="453">
        <v>0</v>
      </c>
      <c r="H69" s="453">
        <v>5</v>
      </c>
      <c r="I69" s="453">
        <f t="shared" si="1"/>
        <v>5</v>
      </c>
      <c r="J69" s="454">
        <v>0</v>
      </c>
      <c r="K69" s="454">
        <v>0</v>
      </c>
      <c r="L69" s="454">
        <v>0</v>
      </c>
      <c r="M69" s="454">
        <f>'часть 1'!L435</f>
        <v>6762929</v>
      </c>
      <c r="N69" s="454">
        <f>M69</f>
        <v>6762929</v>
      </c>
      <c r="P69" s="25"/>
    </row>
    <row r="70" spans="1:16" ht="25.5">
      <c r="A70" s="236">
        <v>40</v>
      </c>
      <c r="B70" s="253" t="s">
        <v>121</v>
      </c>
      <c r="C70" s="249">
        <f>'часть 1'!H441</f>
        <v>4874.1000000000004</v>
      </c>
      <c r="D70" s="250">
        <f>'часть 1'!K441</f>
        <v>127</v>
      </c>
      <c r="E70" s="252">
        <v>0</v>
      </c>
      <c r="F70" s="252">
        <v>0</v>
      </c>
      <c r="G70" s="252">
        <v>0</v>
      </c>
      <c r="H70" s="252">
        <v>1</v>
      </c>
      <c r="I70" s="252">
        <f t="shared" si="1"/>
        <v>1</v>
      </c>
      <c r="J70" s="251">
        <v>0</v>
      </c>
      <c r="K70" s="251">
        <v>0</v>
      </c>
      <c r="L70" s="251">
        <v>0</v>
      </c>
      <c r="M70" s="251">
        <f>'часть 1'!L441</f>
        <v>2515554</v>
      </c>
      <c r="N70" s="251">
        <f>M70</f>
        <v>2515554</v>
      </c>
      <c r="O70" s="25"/>
      <c r="P70" s="25"/>
    </row>
    <row r="71" spans="1:16" ht="25.5">
      <c r="A71" s="236">
        <v>41</v>
      </c>
      <c r="B71" s="253" t="s">
        <v>807</v>
      </c>
      <c r="C71" s="249">
        <f>'часть 1'!H443</f>
        <v>1381.2</v>
      </c>
      <c r="D71" s="250">
        <f>'часть 1'!K443</f>
        <v>68</v>
      </c>
      <c r="E71" s="252">
        <v>0</v>
      </c>
      <c r="F71" s="252">
        <v>0</v>
      </c>
      <c r="G71" s="252">
        <v>1</v>
      </c>
      <c r="H71" s="252">
        <v>0</v>
      </c>
      <c r="I71" s="252">
        <f t="shared" si="1"/>
        <v>1</v>
      </c>
      <c r="J71" s="251">
        <v>0</v>
      </c>
      <c r="K71" s="251">
        <v>0</v>
      </c>
      <c r="L71" s="251">
        <v>1510788</v>
      </c>
      <c r="M71" s="251">
        <v>0</v>
      </c>
      <c r="N71" s="251">
        <f>L71</f>
        <v>1510788</v>
      </c>
      <c r="O71" s="25"/>
      <c r="P71" s="25"/>
    </row>
    <row r="72" spans="1:16">
      <c r="A72" s="236"/>
      <c r="B72" s="255" t="s">
        <v>57</v>
      </c>
      <c r="C72" s="249">
        <f>C73</f>
        <v>8010.4</v>
      </c>
      <c r="D72" s="250">
        <f t="shared" ref="D72:L72" si="24">D73</f>
        <v>199</v>
      </c>
      <c r="E72" s="252">
        <f t="shared" si="24"/>
        <v>0</v>
      </c>
      <c r="F72" s="252">
        <f t="shared" si="24"/>
        <v>0</v>
      </c>
      <c r="G72" s="252">
        <f t="shared" si="24"/>
        <v>0</v>
      </c>
      <c r="H72" s="252">
        <f t="shared" si="24"/>
        <v>2</v>
      </c>
      <c r="I72" s="252">
        <f t="shared" si="1"/>
        <v>2</v>
      </c>
      <c r="J72" s="251">
        <f t="shared" si="24"/>
        <v>0</v>
      </c>
      <c r="K72" s="251">
        <f t="shared" si="24"/>
        <v>0</v>
      </c>
      <c r="L72" s="251">
        <f t="shared" si="24"/>
        <v>0</v>
      </c>
      <c r="M72" s="251">
        <f>M73</f>
        <v>2579247</v>
      </c>
      <c r="N72" s="251">
        <f>N73</f>
        <v>2579247</v>
      </c>
      <c r="P72" s="25"/>
    </row>
    <row r="73" spans="1:16" ht="25.5">
      <c r="A73" s="236">
        <v>42</v>
      </c>
      <c r="B73" s="253" t="s">
        <v>119</v>
      </c>
      <c r="C73" s="249">
        <f>'часть 1'!H446</f>
        <v>8010.4</v>
      </c>
      <c r="D73" s="250">
        <f>'часть 1'!K446</f>
        <v>199</v>
      </c>
      <c r="E73" s="252">
        <v>0</v>
      </c>
      <c r="F73" s="252">
        <v>0</v>
      </c>
      <c r="G73" s="252">
        <v>0</v>
      </c>
      <c r="H73" s="252">
        <v>2</v>
      </c>
      <c r="I73" s="252">
        <f t="shared" si="1"/>
        <v>2</v>
      </c>
      <c r="J73" s="251">
        <v>0</v>
      </c>
      <c r="K73" s="251">
        <v>0</v>
      </c>
      <c r="L73" s="251">
        <v>0</v>
      </c>
      <c r="M73" s="251">
        <f>'часть 1'!L445</f>
        <v>2579247</v>
      </c>
      <c r="N73" s="251">
        <f>M73</f>
        <v>2579247</v>
      </c>
      <c r="P73" s="25"/>
    </row>
    <row r="74" spans="1:16">
      <c r="A74" s="236"/>
      <c r="B74" s="255" t="s">
        <v>58</v>
      </c>
      <c r="C74" s="249">
        <f>C75</f>
        <v>17371.800000000003</v>
      </c>
      <c r="D74" s="250">
        <f>'часть 1'!K449+'часть 1'!K533</f>
        <v>538</v>
      </c>
      <c r="E74" s="252">
        <f t="shared" ref="E74:N74" si="25">E75</f>
        <v>0</v>
      </c>
      <c r="F74" s="252">
        <f t="shared" si="25"/>
        <v>0</v>
      </c>
      <c r="G74" s="252">
        <f t="shared" si="25"/>
        <v>0</v>
      </c>
      <c r="H74" s="252" t="e">
        <f t="shared" si="25"/>
        <v>#REF!</v>
      </c>
      <c r="I74" s="252" t="e">
        <f t="shared" si="1"/>
        <v>#REF!</v>
      </c>
      <c r="J74" s="251">
        <f t="shared" si="25"/>
        <v>0</v>
      </c>
      <c r="K74" s="251">
        <f t="shared" si="25"/>
        <v>0</v>
      </c>
      <c r="L74" s="251">
        <f t="shared" si="25"/>
        <v>0</v>
      </c>
      <c r="M74" s="251">
        <f t="shared" si="25"/>
        <v>12228909</v>
      </c>
      <c r="N74" s="251">
        <f t="shared" si="25"/>
        <v>12228909</v>
      </c>
      <c r="P74" s="25"/>
    </row>
    <row r="75" spans="1:16" ht="27.75" customHeight="1">
      <c r="A75" s="236">
        <v>43</v>
      </c>
      <c r="B75" s="253" t="s">
        <v>87</v>
      </c>
      <c r="C75" s="249">
        <f>'часть 1'!H449+'часть 1'!H534</f>
        <v>17371.800000000003</v>
      </c>
      <c r="D75" s="250">
        <f>'часть 1'!K534+'часть 1'!K450</f>
        <v>538</v>
      </c>
      <c r="E75" s="252">
        <v>0</v>
      </c>
      <c r="F75" s="252">
        <v>0</v>
      </c>
      <c r="G75" s="252">
        <v>0</v>
      </c>
      <c r="H75" s="252" t="e">
        <f>'часть 2'!#REF!</f>
        <v>#REF!</v>
      </c>
      <c r="I75" s="252" t="e">
        <f t="shared" si="1"/>
        <v>#REF!</v>
      </c>
      <c r="J75" s="251">
        <v>0</v>
      </c>
      <c r="K75" s="251">
        <v>0</v>
      </c>
      <c r="L75" s="251">
        <v>0</v>
      </c>
      <c r="M75" s="251">
        <f>'часть 2'!C444</f>
        <v>12228909</v>
      </c>
      <c r="N75" s="251">
        <f>M75</f>
        <v>12228909</v>
      </c>
      <c r="P75" s="25"/>
    </row>
    <row r="76" spans="1:16" ht="24.6" customHeight="1">
      <c r="A76" s="459"/>
      <c r="B76" s="545" t="s">
        <v>59</v>
      </c>
      <c r="C76" s="451">
        <f>C77+C78</f>
        <v>26864.3</v>
      </c>
      <c r="D76" s="451">
        <f t="shared" ref="D76:N76" si="26">D77+D78</f>
        <v>879</v>
      </c>
      <c r="E76" s="451">
        <f t="shared" si="26"/>
        <v>0</v>
      </c>
      <c r="F76" s="451">
        <f t="shared" si="26"/>
        <v>0</v>
      </c>
      <c r="G76" s="451">
        <f t="shared" si="26"/>
        <v>0</v>
      </c>
      <c r="H76" s="451">
        <f t="shared" si="26"/>
        <v>42</v>
      </c>
      <c r="I76" s="451">
        <f t="shared" si="26"/>
        <v>42</v>
      </c>
      <c r="J76" s="454">
        <f t="shared" si="26"/>
        <v>0</v>
      </c>
      <c r="K76" s="454">
        <f t="shared" si="26"/>
        <v>0</v>
      </c>
      <c r="L76" s="454">
        <f t="shared" si="26"/>
        <v>0</v>
      </c>
      <c r="M76" s="454">
        <f t="shared" si="26"/>
        <v>4724118</v>
      </c>
      <c r="N76" s="454">
        <f t="shared" si="26"/>
        <v>4724118</v>
      </c>
      <c r="P76" s="25"/>
    </row>
    <row r="77" spans="1:16" ht="25.5">
      <c r="A77" s="459">
        <v>44</v>
      </c>
      <c r="B77" s="456" t="s">
        <v>86</v>
      </c>
      <c r="C77" s="451">
        <f>'часть 1'!H537</f>
        <v>4504.3</v>
      </c>
      <c r="D77" s="452">
        <f>'часть 1'!K537</f>
        <v>203</v>
      </c>
      <c r="E77" s="453">
        <v>0</v>
      </c>
      <c r="F77" s="453">
        <v>0</v>
      </c>
      <c r="G77" s="453">
        <v>0</v>
      </c>
      <c r="H77" s="453">
        <v>7</v>
      </c>
      <c r="I77" s="453">
        <f t="shared" si="1"/>
        <v>7</v>
      </c>
      <c r="J77" s="454">
        <v>0</v>
      </c>
      <c r="K77" s="454">
        <v>0</v>
      </c>
      <c r="L77" s="454">
        <v>0</v>
      </c>
      <c r="M77" s="454">
        <f>'часть 1'!L537</f>
        <v>1839043</v>
      </c>
      <c r="N77" s="454">
        <f>M77</f>
        <v>1839043</v>
      </c>
      <c r="P77" s="25"/>
    </row>
    <row r="78" spans="1:16" ht="25.5">
      <c r="A78" s="459">
        <v>45</v>
      </c>
      <c r="B78" s="456" t="s">
        <v>85</v>
      </c>
      <c r="C78" s="451">
        <f>'часть 1'!H545</f>
        <v>22360</v>
      </c>
      <c r="D78" s="452">
        <f>'часть 1'!K545</f>
        <v>676</v>
      </c>
      <c r="E78" s="453">
        <v>0</v>
      </c>
      <c r="F78" s="453">
        <v>0</v>
      </c>
      <c r="G78" s="453">
        <v>0</v>
      </c>
      <c r="H78" s="453">
        <v>35</v>
      </c>
      <c r="I78" s="453">
        <f t="shared" ref="I78:I104" si="27">H78+G78</f>
        <v>35</v>
      </c>
      <c r="J78" s="454">
        <v>0</v>
      </c>
      <c r="K78" s="454">
        <v>0</v>
      </c>
      <c r="L78" s="454">
        <v>0</v>
      </c>
      <c r="M78" s="454">
        <f>'часть 1'!L545</f>
        <v>2885075</v>
      </c>
      <c r="N78" s="454">
        <f>M78</f>
        <v>2885075</v>
      </c>
      <c r="P78" s="25"/>
    </row>
    <row r="79" spans="1:16">
      <c r="A79" s="236"/>
      <c r="B79" s="255" t="s">
        <v>60</v>
      </c>
      <c r="C79" s="249">
        <f>'часть 1'!H460</f>
        <v>8449.7999999999993</v>
      </c>
      <c r="D79" s="250">
        <f>'часть 1'!K460</f>
        <v>357</v>
      </c>
      <c r="E79" s="252">
        <f t="shared" ref="E79:N79" si="28">E81</f>
        <v>0</v>
      </c>
      <c r="F79" s="252">
        <f t="shared" si="28"/>
        <v>2</v>
      </c>
      <c r="G79" s="252">
        <f t="shared" si="28"/>
        <v>0</v>
      </c>
      <c r="H79" s="252">
        <f t="shared" si="28"/>
        <v>0</v>
      </c>
      <c r="I79" s="252">
        <f>H79+G79+F79+E79</f>
        <v>2</v>
      </c>
      <c r="J79" s="251">
        <f t="shared" si="28"/>
        <v>0</v>
      </c>
      <c r="K79" s="251">
        <f t="shared" si="28"/>
        <v>3666180</v>
      </c>
      <c r="L79" s="251">
        <f t="shared" si="28"/>
        <v>0</v>
      </c>
      <c r="M79" s="251">
        <f t="shared" si="28"/>
        <v>0</v>
      </c>
      <c r="N79" s="251">
        <f t="shared" si="28"/>
        <v>3666180</v>
      </c>
      <c r="P79" s="25"/>
    </row>
    <row r="80" spans="1:16">
      <c r="A80" s="459"/>
      <c r="B80" s="545" t="s">
        <v>208</v>
      </c>
      <c r="C80" s="451">
        <f>'часть 1'!H466</f>
        <v>318.7</v>
      </c>
      <c r="D80" s="452">
        <f>'часть 1'!K466</f>
        <v>14</v>
      </c>
      <c r="E80" s="453">
        <v>0</v>
      </c>
      <c r="F80" s="453">
        <v>0</v>
      </c>
      <c r="G80" s="453">
        <v>0</v>
      </c>
      <c r="H80" s="453">
        <v>1</v>
      </c>
      <c r="I80" s="453">
        <f t="shared" ref="I80:I84" si="29">H80+G80+F80+E80</f>
        <v>1</v>
      </c>
      <c r="J80" s="454">
        <v>0</v>
      </c>
      <c r="K80" s="454">
        <v>0</v>
      </c>
      <c r="L80" s="454">
        <v>0</v>
      </c>
      <c r="M80" s="454">
        <v>1167102</v>
      </c>
      <c r="N80" s="454">
        <f>M80+L80+K80+J80</f>
        <v>1167102</v>
      </c>
      <c r="P80" s="25"/>
    </row>
    <row r="81" spans="1:16">
      <c r="A81" s="459">
        <v>46</v>
      </c>
      <c r="B81" s="456" t="s">
        <v>61</v>
      </c>
      <c r="C81" s="451">
        <f>'часть 1'!H469</f>
        <v>4625.8</v>
      </c>
      <c r="D81" s="452">
        <f>'часть 1'!K469</f>
        <v>154</v>
      </c>
      <c r="E81" s="453">
        <v>0</v>
      </c>
      <c r="F81" s="453">
        <v>2</v>
      </c>
      <c r="G81" s="453">
        <v>0</v>
      </c>
      <c r="H81" s="453">
        <v>0</v>
      </c>
      <c r="I81" s="453">
        <f t="shared" si="29"/>
        <v>2</v>
      </c>
      <c r="J81" s="454">
        <v>0</v>
      </c>
      <c r="K81" s="454">
        <v>3666180</v>
      </c>
      <c r="L81" s="454">
        <v>0</v>
      </c>
      <c r="M81" s="454">
        <v>0</v>
      </c>
      <c r="N81" s="454">
        <f>M81+L81+K81+J81</f>
        <v>3666180</v>
      </c>
      <c r="P81" s="25"/>
    </row>
    <row r="82" spans="1:16">
      <c r="A82" s="236"/>
      <c r="B82" s="255" t="s">
        <v>649</v>
      </c>
      <c r="C82" s="249">
        <v>478</v>
      </c>
      <c r="D82" s="250">
        <v>15</v>
      </c>
      <c r="E82" s="252">
        <v>0</v>
      </c>
      <c r="F82" s="252">
        <v>0</v>
      </c>
      <c r="G82" s="252">
        <v>1</v>
      </c>
      <c r="H82" s="252">
        <v>0</v>
      </c>
      <c r="I82" s="252">
        <v>1</v>
      </c>
      <c r="J82" s="251">
        <v>0</v>
      </c>
      <c r="K82" s="251">
        <v>0</v>
      </c>
      <c r="L82" s="251">
        <v>204131</v>
      </c>
      <c r="M82" s="251">
        <v>0</v>
      </c>
      <c r="N82" s="251">
        <v>204131</v>
      </c>
      <c r="P82" s="25"/>
    </row>
    <row r="83" spans="1:16">
      <c r="A83" s="459">
        <v>47</v>
      </c>
      <c r="B83" s="456" t="s">
        <v>62</v>
      </c>
      <c r="C83" s="451">
        <f>'часть 1'!H476</f>
        <v>508.92</v>
      </c>
      <c r="D83" s="452">
        <f>'часть 1'!K476</f>
        <v>16</v>
      </c>
      <c r="E83" s="453">
        <v>0</v>
      </c>
      <c r="F83" s="453">
        <v>0</v>
      </c>
      <c r="G83" s="453">
        <v>1</v>
      </c>
      <c r="H83" s="453">
        <v>0</v>
      </c>
      <c r="I83" s="453">
        <f t="shared" si="29"/>
        <v>1</v>
      </c>
      <c r="J83" s="454">
        <v>0</v>
      </c>
      <c r="K83" s="454">
        <v>0</v>
      </c>
      <c r="L83" s="454">
        <v>1214790</v>
      </c>
      <c r="M83" s="454">
        <v>0</v>
      </c>
      <c r="N83" s="454">
        <f>J83+K83+L83+M83</f>
        <v>1214790</v>
      </c>
      <c r="P83" s="25"/>
    </row>
    <row r="84" spans="1:16">
      <c r="A84" s="236"/>
      <c r="B84" s="255" t="s">
        <v>211</v>
      </c>
      <c r="C84" s="249">
        <f>'часть 1'!H491</f>
        <v>1095.3</v>
      </c>
      <c r="D84" s="250">
        <f>'часть 1'!K491</f>
        <v>27</v>
      </c>
      <c r="E84" s="252">
        <f>E88</f>
        <v>0</v>
      </c>
      <c r="F84" s="252">
        <f>F88</f>
        <v>0</v>
      </c>
      <c r="G84" s="252">
        <f>G88</f>
        <v>0</v>
      </c>
      <c r="H84" s="250">
        <v>2</v>
      </c>
      <c r="I84" s="252">
        <f t="shared" si="29"/>
        <v>2</v>
      </c>
      <c r="J84" s="251">
        <f>J88</f>
        <v>0</v>
      </c>
      <c r="K84" s="251">
        <f>K88</f>
        <v>0</v>
      </c>
      <c r="L84" s="251">
        <f>L88</f>
        <v>0</v>
      </c>
      <c r="M84" s="251">
        <f>'часть 1'!L491</f>
        <v>2988909</v>
      </c>
      <c r="N84" s="251">
        <f>M84+L84+K84+J84</f>
        <v>2988909</v>
      </c>
      <c r="P84" s="25"/>
    </row>
    <row r="85" spans="1:16">
      <c r="A85" s="459"/>
      <c r="B85" s="545" t="s">
        <v>63</v>
      </c>
      <c r="C85" s="451">
        <f>'часть 1'!H479</f>
        <v>4999.2</v>
      </c>
      <c r="D85" s="452">
        <f>'часть 1'!K479</f>
        <v>190</v>
      </c>
      <c r="E85" s="453">
        <v>0</v>
      </c>
      <c r="F85" s="453">
        <v>0</v>
      </c>
      <c r="G85" s="453">
        <v>0</v>
      </c>
      <c r="H85" s="452">
        <v>2</v>
      </c>
      <c r="I85" s="453">
        <v>2</v>
      </c>
      <c r="J85" s="454">
        <v>0</v>
      </c>
      <c r="K85" s="454">
        <v>0</v>
      </c>
      <c r="L85" s="454">
        <v>0</v>
      </c>
      <c r="M85" s="454">
        <v>3037109</v>
      </c>
      <c r="N85" s="454">
        <f>M85+L85+K85+J85</f>
        <v>3037109</v>
      </c>
      <c r="P85" s="25"/>
    </row>
    <row r="86" spans="1:16">
      <c r="A86" s="459"/>
      <c r="B86" s="545" t="s">
        <v>663</v>
      </c>
      <c r="C86" s="451">
        <f>C87</f>
        <v>555</v>
      </c>
      <c r="D86" s="451">
        <f t="shared" ref="D86:N86" si="30">D87</f>
        <v>16</v>
      </c>
      <c r="E86" s="451">
        <f t="shared" si="30"/>
        <v>0</v>
      </c>
      <c r="F86" s="451">
        <f t="shared" si="30"/>
        <v>0</v>
      </c>
      <c r="G86" s="451">
        <f t="shared" si="30"/>
        <v>1</v>
      </c>
      <c r="H86" s="451">
        <f t="shared" si="30"/>
        <v>0</v>
      </c>
      <c r="I86" s="451">
        <f t="shared" si="30"/>
        <v>1</v>
      </c>
      <c r="J86" s="451">
        <f t="shared" si="30"/>
        <v>0</v>
      </c>
      <c r="K86" s="451">
        <f t="shared" si="30"/>
        <v>0</v>
      </c>
      <c r="L86" s="451">
        <f t="shared" si="30"/>
        <v>1402598</v>
      </c>
      <c r="M86" s="451">
        <f t="shared" si="30"/>
        <v>0</v>
      </c>
      <c r="N86" s="451">
        <f t="shared" si="30"/>
        <v>1402598</v>
      </c>
      <c r="P86" s="25"/>
    </row>
    <row r="87" spans="1:16" ht="25.5">
      <c r="A87" s="459"/>
      <c r="B87" s="456" t="s">
        <v>667</v>
      </c>
      <c r="C87" s="451">
        <f>'часть 1'!H484</f>
        <v>555</v>
      </c>
      <c r="D87" s="452">
        <f>'часть 1'!K484</f>
        <v>16</v>
      </c>
      <c r="E87" s="453">
        <v>0</v>
      </c>
      <c r="F87" s="453">
        <v>0</v>
      </c>
      <c r="G87" s="453">
        <v>1</v>
      </c>
      <c r="H87" s="452">
        <v>0</v>
      </c>
      <c r="I87" s="453">
        <v>1</v>
      </c>
      <c r="J87" s="454">
        <v>0</v>
      </c>
      <c r="K87" s="454">
        <v>0</v>
      </c>
      <c r="L87" s="454">
        <v>1402598</v>
      </c>
      <c r="M87" s="454">
        <v>0</v>
      </c>
      <c r="N87" s="454">
        <v>1402598</v>
      </c>
      <c r="P87" s="25"/>
    </row>
    <row r="88" spans="1:16" ht="20.45" customHeight="1">
      <c r="A88" s="236"/>
      <c r="B88" s="253" t="s">
        <v>64</v>
      </c>
      <c r="C88" s="249">
        <f>C89</f>
        <v>1306.5</v>
      </c>
      <c r="D88" s="249">
        <f t="shared" ref="D88:N88" si="31">D89</f>
        <v>49</v>
      </c>
      <c r="E88" s="249">
        <f t="shared" si="31"/>
        <v>0</v>
      </c>
      <c r="F88" s="249">
        <f t="shared" si="31"/>
        <v>0</v>
      </c>
      <c r="G88" s="249">
        <f t="shared" si="31"/>
        <v>0</v>
      </c>
      <c r="H88" s="249">
        <f t="shared" si="31"/>
        <v>4</v>
      </c>
      <c r="I88" s="249">
        <f t="shared" si="31"/>
        <v>4</v>
      </c>
      <c r="J88" s="251">
        <f t="shared" si="31"/>
        <v>0</v>
      </c>
      <c r="K88" s="251">
        <f t="shared" si="31"/>
        <v>0</v>
      </c>
      <c r="L88" s="251">
        <f t="shared" si="31"/>
        <v>0</v>
      </c>
      <c r="M88" s="251">
        <f t="shared" si="31"/>
        <v>5743338</v>
      </c>
      <c r="N88" s="251">
        <f t="shared" si="31"/>
        <v>5743338</v>
      </c>
      <c r="P88" s="25"/>
    </row>
    <row r="89" spans="1:16" ht="27" customHeight="1">
      <c r="A89" s="459">
        <v>49</v>
      </c>
      <c r="B89" s="456" t="s">
        <v>115</v>
      </c>
      <c r="C89" s="451">
        <f>'часть 1'!H486</f>
        <v>1306.5</v>
      </c>
      <c r="D89" s="452">
        <f>'часть 1'!K486</f>
        <v>49</v>
      </c>
      <c r="E89" s="453">
        <v>0</v>
      </c>
      <c r="F89" s="453">
        <v>0</v>
      </c>
      <c r="G89" s="453">
        <v>0</v>
      </c>
      <c r="H89" s="453">
        <v>4</v>
      </c>
      <c r="I89" s="453">
        <f t="shared" ref="I89:I92" si="32">H89+G89</f>
        <v>4</v>
      </c>
      <c r="J89" s="454">
        <v>0</v>
      </c>
      <c r="K89" s="454">
        <v>0</v>
      </c>
      <c r="L89" s="454">
        <v>0</v>
      </c>
      <c r="M89" s="454">
        <f>'часть 2'!C527</f>
        <v>5743338</v>
      </c>
      <c r="N89" s="454">
        <f>M89</f>
        <v>5743338</v>
      </c>
      <c r="P89" s="25"/>
    </row>
    <row r="90" spans="1:16">
      <c r="A90" s="236"/>
      <c r="B90" s="255" t="s">
        <v>66</v>
      </c>
      <c r="C90" s="249">
        <f>C92+C91</f>
        <v>2315.6</v>
      </c>
      <c r="D90" s="249">
        <f t="shared" ref="D90:N90" si="33">D92+D91</f>
        <v>65</v>
      </c>
      <c r="E90" s="249">
        <f t="shared" si="33"/>
        <v>0</v>
      </c>
      <c r="F90" s="249">
        <f t="shared" si="33"/>
        <v>0</v>
      </c>
      <c r="G90" s="249">
        <f t="shared" si="33"/>
        <v>0</v>
      </c>
      <c r="H90" s="249">
        <f t="shared" si="33"/>
        <v>4</v>
      </c>
      <c r="I90" s="249">
        <f t="shared" si="33"/>
        <v>4</v>
      </c>
      <c r="J90" s="251">
        <f t="shared" si="33"/>
        <v>0</v>
      </c>
      <c r="K90" s="251">
        <f t="shared" si="33"/>
        <v>0</v>
      </c>
      <c r="L90" s="251">
        <f t="shared" si="33"/>
        <v>0</v>
      </c>
      <c r="M90" s="251">
        <f t="shared" si="33"/>
        <v>4692143</v>
      </c>
      <c r="N90" s="251">
        <f t="shared" si="33"/>
        <v>4692143</v>
      </c>
      <c r="P90" s="25"/>
    </row>
    <row r="91" spans="1:16" ht="25.5">
      <c r="A91" s="459"/>
      <c r="B91" s="456" t="s">
        <v>641</v>
      </c>
      <c r="C91" s="451">
        <f>'часть 1'!H497</f>
        <v>675.9</v>
      </c>
      <c r="D91" s="451">
        <f>'часть 1'!K497</f>
        <v>21</v>
      </c>
      <c r="E91" s="451">
        <v>0</v>
      </c>
      <c r="F91" s="451">
        <v>0</v>
      </c>
      <c r="G91" s="451">
        <v>0</v>
      </c>
      <c r="H91" s="451">
        <v>1</v>
      </c>
      <c r="I91" s="451">
        <f>H91+G91+F91+E91</f>
        <v>1</v>
      </c>
      <c r="J91" s="454">
        <v>0</v>
      </c>
      <c r="K91" s="454">
        <v>0</v>
      </c>
      <c r="L91" s="454">
        <v>0</v>
      </c>
      <c r="M91" s="454">
        <v>346938</v>
      </c>
      <c r="N91" s="454">
        <v>346938</v>
      </c>
      <c r="P91" s="25"/>
    </row>
    <row r="92" spans="1:16" ht="25.5">
      <c r="A92" s="459"/>
      <c r="B92" s="456" t="s">
        <v>114</v>
      </c>
      <c r="C92" s="451">
        <v>1639.7</v>
      </c>
      <c r="D92" s="452">
        <v>44</v>
      </c>
      <c r="E92" s="453">
        <v>0</v>
      </c>
      <c r="F92" s="453">
        <v>0</v>
      </c>
      <c r="G92" s="453">
        <v>0</v>
      </c>
      <c r="H92" s="453">
        <v>3</v>
      </c>
      <c r="I92" s="453">
        <f t="shared" si="32"/>
        <v>3</v>
      </c>
      <c r="J92" s="454">
        <v>0</v>
      </c>
      <c r="K92" s="454">
        <v>0</v>
      </c>
      <c r="L92" s="454">
        <v>0</v>
      </c>
      <c r="M92" s="454">
        <v>4345205</v>
      </c>
      <c r="N92" s="454">
        <f t="shared" ref="N92" si="34">M92</f>
        <v>4345205</v>
      </c>
      <c r="P92" s="25"/>
    </row>
    <row r="93" spans="1:16">
      <c r="A93" s="459"/>
      <c r="B93" s="456"/>
      <c r="C93" s="451"/>
      <c r="D93" s="452"/>
      <c r="E93" s="452"/>
      <c r="F93" s="452"/>
      <c r="G93" s="452"/>
      <c r="H93" s="452"/>
      <c r="I93" s="453"/>
      <c r="J93" s="454"/>
      <c r="K93" s="454"/>
      <c r="L93" s="454"/>
      <c r="M93" s="454"/>
      <c r="N93" s="454"/>
      <c r="P93" s="25"/>
    </row>
    <row r="94" spans="1:16">
      <c r="A94" s="394"/>
      <c r="B94" s="258"/>
      <c r="C94" s="249"/>
      <c r="D94" s="250"/>
      <c r="E94" s="252"/>
      <c r="F94" s="252"/>
      <c r="G94" s="252"/>
      <c r="H94" s="252"/>
      <c r="I94" s="252"/>
      <c r="J94" s="251"/>
      <c r="K94" s="251"/>
      <c r="L94" s="251"/>
      <c r="M94" s="251"/>
      <c r="N94" s="251"/>
      <c r="P94" s="25"/>
    </row>
    <row r="95" spans="1:16" ht="27" customHeight="1">
      <c r="A95" s="236"/>
      <c r="B95" s="257"/>
      <c r="C95" s="249"/>
      <c r="D95" s="250"/>
      <c r="E95" s="252"/>
      <c r="F95" s="252"/>
      <c r="G95" s="252"/>
      <c r="H95" s="252"/>
      <c r="I95" s="252"/>
      <c r="J95" s="251"/>
      <c r="K95" s="251"/>
      <c r="L95" s="251"/>
      <c r="M95" s="251"/>
      <c r="N95" s="251"/>
      <c r="P95" s="25"/>
    </row>
    <row r="96" spans="1:16">
      <c r="A96" s="236"/>
      <c r="B96" s="253"/>
      <c r="C96" s="249"/>
      <c r="D96" s="250"/>
      <c r="E96" s="252"/>
      <c r="F96" s="252"/>
      <c r="G96" s="252"/>
      <c r="H96" s="252"/>
      <c r="I96" s="252"/>
      <c r="J96" s="251"/>
      <c r="K96" s="251"/>
      <c r="L96" s="251"/>
      <c r="M96" s="251"/>
      <c r="N96" s="251"/>
      <c r="P96" s="25"/>
    </row>
    <row r="97" spans="1:16" ht="29.25" customHeight="1">
      <c r="A97" s="236">
        <f>A95+1</f>
        <v>1</v>
      </c>
      <c r="B97" s="253" t="s">
        <v>212</v>
      </c>
      <c r="C97" s="249">
        <f>'часть 1'!H492</f>
        <v>494.8</v>
      </c>
      <c r="D97" s="250">
        <f>'часть 1'!K492</f>
        <v>12</v>
      </c>
      <c r="E97" s="252">
        <v>0</v>
      </c>
      <c r="F97" s="252">
        <v>0</v>
      </c>
      <c r="G97" s="252">
        <v>0</v>
      </c>
      <c r="H97" s="252">
        <v>1</v>
      </c>
      <c r="I97" s="252">
        <f t="shared" si="27"/>
        <v>1</v>
      </c>
      <c r="J97" s="251">
        <v>0</v>
      </c>
      <c r="K97" s="251">
        <v>0</v>
      </c>
      <c r="L97" s="251">
        <v>0</v>
      </c>
      <c r="M97" s="251">
        <f>'часть 2'!C533</f>
        <v>1537679</v>
      </c>
      <c r="N97" s="251">
        <f>M97</f>
        <v>1537679</v>
      </c>
      <c r="P97" s="25"/>
    </row>
    <row r="98" spans="1:16" ht="27" customHeight="1">
      <c r="A98" s="236">
        <v>54</v>
      </c>
      <c r="B98" s="253" t="s">
        <v>213</v>
      </c>
      <c r="C98" s="249">
        <f>'часть 1'!H494</f>
        <v>600.5</v>
      </c>
      <c r="D98" s="250">
        <f>'часть 1'!K494</f>
        <v>15</v>
      </c>
      <c r="E98" s="252">
        <v>0</v>
      </c>
      <c r="F98" s="252">
        <v>0</v>
      </c>
      <c r="G98" s="252">
        <v>0</v>
      </c>
      <c r="H98" s="252">
        <v>1</v>
      </c>
      <c r="I98" s="252">
        <f t="shared" si="27"/>
        <v>1</v>
      </c>
      <c r="J98" s="251">
        <v>0</v>
      </c>
      <c r="K98" s="251">
        <v>0</v>
      </c>
      <c r="L98" s="251">
        <v>0</v>
      </c>
      <c r="M98" s="251">
        <f>'часть 2'!C535</f>
        <v>1451230</v>
      </c>
      <c r="N98" s="251">
        <f>M98</f>
        <v>1451230</v>
      </c>
      <c r="P98" s="25"/>
    </row>
    <row r="99" spans="1:16">
      <c r="A99" s="236"/>
      <c r="B99" s="255"/>
      <c r="C99" s="249"/>
      <c r="D99" s="250"/>
      <c r="E99" s="252"/>
      <c r="F99" s="252"/>
      <c r="G99" s="252"/>
      <c r="H99" s="252"/>
      <c r="I99" s="252"/>
      <c r="J99" s="251"/>
      <c r="K99" s="251"/>
      <c r="L99" s="251"/>
      <c r="M99" s="251"/>
      <c r="N99" s="251"/>
      <c r="P99" s="25"/>
    </row>
    <row r="100" spans="1:16">
      <c r="A100" s="459"/>
      <c r="B100" s="456"/>
      <c r="C100" s="451"/>
      <c r="D100" s="452"/>
      <c r="E100" s="453"/>
      <c r="F100" s="453"/>
      <c r="G100" s="453"/>
      <c r="H100" s="453"/>
      <c r="I100" s="453"/>
      <c r="J100" s="454"/>
      <c r="K100" s="454"/>
      <c r="L100" s="454"/>
      <c r="M100" s="454"/>
      <c r="N100" s="454"/>
      <c r="P100" s="25"/>
    </row>
    <row r="101" spans="1:16">
      <c r="A101" s="459">
        <v>56</v>
      </c>
      <c r="B101" s="456" t="s">
        <v>207</v>
      </c>
      <c r="C101" s="451">
        <f>'часть 1'!H503</f>
        <v>59226.13</v>
      </c>
      <c r="D101" s="452">
        <f>'часть 1'!K503</f>
        <v>2200</v>
      </c>
      <c r="E101" s="452">
        <v>0</v>
      </c>
      <c r="F101" s="452">
        <v>0</v>
      </c>
      <c r="G101" s="452">
        <v>0</v>
      </c>
      <c r="H101" s="452">
        <v>7</v>
      </c>
      <c r="I101" s="453">
        <f t="shared" si="27"/>
        <v>7</v>
      </c>
      <c r="J101" s="454">
        <v>0</v>
      </c>
      <c r="K101" s="454">
        <v>0</v>
      </c>
      <c r="L101" s="454">
        <v>0</v>
      </c>
      <c r="M101" s="454">
        <f>'часть 1'!L503</f>
        <v>21667282</v>
      </c>
      <c r="N101" s="454">
        <f>M101</f>
        <v>21667282</v>
      </c>
      <c r="P101" s="25"/>
    </row>
    <row r="102" spans="1:16">
      <c r="A102" s="254"/>
      <c r="B102" s="258" t="s">
        <v>67</v>
      </c>
      <c r="C102" s="249">
        <f>'часть 1'!H515</f>
        <v>4794.6000000000004</v>
      </c>
      <c r="D102" s="250">
        <f>'часть 1'!K515</f>
        <v>162</v>
      </c>
      <c r="E102" s="252">
        <v>0</v>
      </c>
      <c r="F102" s="252">
        <v>0</v>
      </c>
      <c r="G102" s="252">
        <f>G103</f>
        <v>1</v>
      </c>
      <c r="H102" s="252">
        <f>H103+H104</f>
        <v>1</v>
      </c>
      <c r="I102" s="252">
        <f t="shared" si="27"/>
        <v>2</v>
      </c>
      <c r="J102" s="251">
        <v>0</v>
      </c>
      <c r="K102" s="251">
        <v>0</v>
      </c>
      <c r="L102" s="251">
        <f>L103</f>
        <v>728197.07</v>
      </c>
      <c r="M102" s="251">
        <f>M103+M104</f>
        <v>2131086</v>
      </c>
      <c r="N102" s="251">
        <f>N103+N104</f>
        <v>2859283.07</v>
      </c>
      <c r="P102" s="25"/>
    </row>
    <row r="103" spans="1:16" ht="27" customHeight="1">
      <c r="A103" s="236">
        <v>57</v>
      </c>
      <c r="B103" s="257" t="s">
        <v>90</v>
      </c>
      <c r="C103" s="249">
        <f>'часть 1'!H516</f>
        <v>1507.8</v>
      </c>
      <c r="D103" s="250">
        <f>'часть 1'!K516</f>
        <v>62</v>
      </c>
      <c r="E103" s="252">
        <v>0</v>
      </c>
      <c r="F103" s="252">
        <v>0</v>
      </c>
      <c r="G103" s="252">
        <v>1</v>
      </c>
      <c r="H103" s="252">
        <v>0</v>
      </c>
      <c r="I103" s="252">
        <f t="shared" si="27"/>
        <v>1</v>
      </c>
      <c r="J103" s="251">
        <v>0</v>
      </c>
      <c r="K103" s="251">
        <v>0</v>
      </c>
      <c r="L103" s="251">
        <f>'часть 1'!L516</f>
        <v>728197.07</v>
      </c>
      <c r="M103" s="251">
        <v>0</v>
      </c>
      <c r="N103" s="251">
        <f>L103</f>
        <v>728197.07</v>
      </c>
      <c r="P103" s="25"/>
    </row>
    <row r="104" spans="1:16" ht="25.5">
      <c r="A104" s="459">
        <v>58</v>
      </c>
      <c r="B104" s="456" t="s">
        <v>127</v>
      </c>
      <c r="C104" s="451">
        <f>'часть 1'!H518</f>
        <v>3286.8</v>
      </c>
      <c r="D104" s="452">
        <f>'часть 1'!K518</f>
        <v>100</v>
      </c>
      <c r="E104" s="453">
        <v>0</v>
      </c>
      <c r="F104" s="453">
        <v>0</v>
      </c>
      <c r="G104" s="453">
        <v>0</v>
      </c>
      <c r="H104" s="453">
        <v>1</v>
      </c>
      <c r="I104" s="453">
        <f t="shared" si="27"/>
        <v>1</v>
      </c>
      <c r="J104" s="454">
        <v>0</v>
      </c>
      <c r="K104" s="454">
        <v>0</v>
      </c>
      <c r="L104" s="454">
        <v>0</v>
      </c>
      <c r="M104" s="454">
        <f>'часть 1'!L518</f>
        <v>2131086</v>
      </c>
      <c r="N104" s="454">
        <f>M104</f>
        <v>2131086</v>
      </c>
      <c r="P104" s="25"/>
    </row>
    <row r="105" spans="1:16" ht="15.75" customHeight="1">
      <c r="A105" s="527">
        <v>1</v>
      </c>
      <c r="B105" s="528" t="s">
        <v>89</v>
      </c>
      <c r="C105" s="529">
        <f>'часть 1'!H106</f>
        <v>0</v>
      </c>
      <c r="D105" s="530">
        <f>'часть 1'!K106</f>
        <v>0</v>
      </c>
      <c r="E105" s="531">
        <v>0</v>
      </c>
      <c r="F105" s="531">
        <v>0</v>
      </c>
      <c r="G105" s="531">
        <v>0</v>
      </c>
      <c r="H105" s="531">
        <v>168</v>
      </c>
      <c r="I105" s="531">
        <f>H105+G105</f>
        <v>168</v>
      </c>
      <c r="J105" s="532">
        <v>0</v>
      </c>
      <c r="K105" s="532">
        <v>0</v>
      </c>
      <c r="L105" s="532">
        <v>0</v>
      </c>
      <c r="M105" s="532">
        <f>'часть 1'!L106</f>
        <v>1116228</v>
      </c>
      <c r="N105" s="532">
        <f t="shared" ref="N105:N107" si="35">M105</f>
        <v>1116228</v>
      </c>
      <c r="O105" s="25"/>
      <c r="P105" s="25"/>
    </row>
    <row r="106" spans="1:16" ht="26.25" customHeight="1">
      <c r="A106" s="189">
        <v>2</v>
      </c>
      <c r="B106" s="248" t="s">
        <v>91</v>
      </c>
      <c r="C106" s="249">
        <f>'часть 1'!H753</f>
        <v>11522.799999999997</v>
      </c>
      <c r="D106" s="250">
        <f>'часть 1'!K753</f>
        <v>365</v>
      </c>
      <c r="E106" s="252">
        <v>0</v>
      </c>
      <c r="F106" s="252">
        <v>0</v>
      </c>
      <c r="G106" s="252">
        <v>0</v>
      </c>
      <c r="H106" s="252">
        <v>13</v>
      </c>
      <c r="I106" s="252">
        <f t="shared" ref="I106:I171" si="36">H106+G106</f>
        <v>13</v>
      </c>
      <c r="J106" s="251">
        <v>0</v>
      </c>
      <c r="K106" s="251">
        <v>0</v>
      </c>
      <c r="L106" s="251">
        <v>0</v>
      </c>
      <c r="M106" s="251">
        <f>'часть 1'!L753</f>
        <v>21022265</v>
      </c>
      <c r="N106" s="251">
        <f t="shared" si="35"/>
        <v>21022265</v>
      </c>
      <c r="O106" s="25"/>
      <c r="P106" s="25"/>
    </row>
    <row r="107" spans="1:16" ht="15.75" customHeight="1">
      <c r="A107" s="527">
        <v>3</v>
      </c>
      <c r="B107" s="528" t="s">
        <v>92</v>
      </c>
      <c r="C107" s="529">
        <v>929.5</v>
      </c>
      <c r="D107" s="530">
        <v>43</v>
      </c>
      <c r="E107" s="531">
        <v>0</v>
      </c>
      <c r="F107" s="531">
        <v>0</v>
      </c>
      <c r="G107" s="531">
        <v>0</v>
      </c>
      <c r="H107" s="531">
        <v>2</v>
      </c>
      <c r="I107" s="531">
        <f t="shared" si="36"/>
        <v>2</v>
      </c>
      <c r="J107" s="532">
        <v>0</v>
      </c>
      <c r="K107" s="532">
        <v>0</v>
      </c>
      <c r="L107" s="532">
        <v>0</v>
      </c>
      <c r="M107" s="532">
        <v>1681461</v>
      </c>
      <c r="N107" s="532">
        <f t="shared" si="35"/>
        <v>1681461</v>
      </c>
      <c r="P107" s="25"/>
    </row>
    <row r="108" spans="1:16" ht="15.75" customHeight="1">
      <c r="A108" s="527">
        <v>4</v>
      </c>
      <c r="B108" s="528" t="s">
        <v>93</v>
      </c>
      <c r="C108" s="529">
        <f>'часть 1'!H770</f>
        <v>4540.7999999999993</v>
      </c>
      <c r="D108" s="530">
        <f>'часть 1'!K770</f>
        <v>151</v>
      </c>
      <c r="E108" s="531">
        <v>0</v>
      </c>
      <c r="F108" s="531">
        <v>0</v>
      </c>
      <c r="G108" s="531">
        <v>0</v>
      </c>
      <c r="H108" s="531">
        <v>2</v>
      </c>
      <c r="I108" s="531">
        <f t="shared" si="36"/>
        <v>2</v>
      </c>
      <c r="J108" s="532">
        <v>0</v>
      </c>
      <c r="K108" s="532">
        <v>0</v>
      </c>
      <c r="L108" s="532">
        <v>0</v>
      </c>
      <c r="M108" s="702">
        <f>'часть 1'!L770</f>
        <v>4013524</v>
      </c>
      <c r="N108" s="532">
        <f>M108</f>
        <v>4013524</v>
      </c>
      <c r="P108" s="25"/>
    </row>
    <row r="109" spans="1:16" ht="16.5" customHeight="1">
      <c r="A109" s="527">
        <v>5</v>
      </c>
      <c r="B109" s="534" t="s">
        <v>94</v>
      </c>
      <c r="C109" s="529">
        <f>'часть 1'!H796</f>
        <v>13237.699999999999</v>
      </c>
      <c r="D109" s="530">
        <f>'часть 1'!K796</f>
        <v>482</v>
      </c>
      <c r="E109" s="531">
        <v>0</v>
      </c>
      <c r="F109" s="531">
        <v>0</v>
      </c>
      <c r="G109" s="531">
        <v>0</v>
      </c>
      <c r="H109" s="531">
        <v>9</v>
      </c>
      <c r="I109" s="531">
        <f t="shared" si="36"/>
        <v>9</v>
      </c>
      <c r="J109" s="532">
        <v>0</v>
      </c>
      <c r="K109" s="532">
        <v>0</v>
      </c>
      <c r="L109" s="532">
        <v>0</v>
      </c>
      <c r="M109" s="532">
        <f>'часть 1'!L796</f>
        <v>17682419</v>
      </c>
      <c r="N109" s="532">
        <f t="shared" ref="N109:N110" si="37">M109</f>
        <v>17682419</v>
      </c>
      <c r="O109" s="25"/>
      <c r="P109" s="25"/>
    </row>
    <row r="110" spans="1:16" s="3" customFormat="1">
      <c r="A110" s="527">
        <v>6</v>
      </c>
      <c r="B110" s="832" t="s">
        <v>123</v>
      </c>
      <c r="C110" s="833">
        <f>'часть 1'!H809</f>
        <v>26975.9</v>
      </c>
      <c r="D110" s="834">
        <f>'часть 1'!K809</f>
        <v>1039</v>
      </c>
      <c r="E110" s="881">
        <v>0</v>
      </c>
      <c r="F110" s="881">
        <v>0</v>
      </c>
      <c r="G110" s="881">
        <v>0</v>
      </c>
      <c r="H110" s="836">
        <v>5</v>
      </c>
      <c r="I110" s="531">
        <f t="shared" si="36"/>
        <v>5</v>
      </c>
      <c r="J110" s="835">
        <v>0</v>
      </c>
      <c r="K110" s="835">
        <v>0</v>
      </c>
      <c r="L110" s="835">
        <v>0</v>
      </c>
      <c r="M110" s="835">
        <f>'часть 1'!L809</f>
        <v>12904489</v>
      </c>
      <c r="N110" s="835">
        <f t="shared" si="37"/>
        <v>12904489</v>
      </c>
      <c r="P110" s="25"/>
    </row>
    <row r="111" spans="1:16" s="3" customFormat="1">
      <c r="A111" s="527"/>
      <c r="B111" s="832" t="s">
        <v>864</v>
      </c>
      <c r="C111" s="833">
        <f>'часть 1'!H822</f>
        <v>5260.1</v>
      </c>
      <c r="D111" s="834">
        <f>'часть 1'!K822</f>
        <v>160</v>
      </c>
      <c r="E111" s="881">
        <v>0</v>
      </c>
      <c r="F111" s="881">
        <v>1</v>
      </c>
      <c r="G111" s="881">
        <v>1</v>
      </c>
      <c r="H111" s="836">
        <v>0</v>
      </c>
      <c r="I111" s="531">
        <f>H111+G111+F111+E111</f>
        <v>2</v>
      </c>
      <c r="J111" s="835">
        <v>0</v>
      </c>
      <c r="K111" s="835">
        <v>1146524</v>
      </c>
      <c r="L111" s="835">
        <v>2505179</v>
      </c>
      <c r="M111" s="835">
        <v>0</v>
      </c>
      <c r="N111" s="835">
        <f>M111+L111+K111+J111</f>
        <v>3651703</v>
      </c>
      <c r="P111" s="25"/>
    </row>
    <row r="112" spans="1:16" s="3" customFormat="1">
      <c r="A112" s="831"/>
      <c r="B112" s="832" t="s">
        <v>72</v>
      </c>
      <c r="C112" s="833">
        <f>C113</f>
        <v>3267.2000000000003</v>
      </c>
      <c r="D112" s="834">
        <f t="shared" ref="D112:N112" si="38">D113</f>
        <v>71</v>
      </c>
      <c r="E112" s="834">
        <f t="shared" si="38"/>
        <v>0</v>
      </c>
      <c r="F112" s="834">
        <f t="shared" si="38"/>
        <v>0</v>
      </c>
      <c r="G112" s="834">
        <f t="shared" si="38"/>
        <v>0</v>
      </c>
      <c r="H112" s="834">
        <f t="shared" si="38"/>
        <v>2</v>
      </c>
      <c r="I112" s="834">
        <f t="shared" si="38"/>
        <v>2</v>
      </c>
      <c r="J112" s="835">
        <f t="shared" si="38"/>
        <v>0</v>
      </c>
      <c r="K112" s="835">
        <f t="shared" si="38"/>
        <v>0</v>
      </c>
      <c r="L112" s="835">
        <f t="shared" si="38"/>
        <v>0</v>
      </c>
      <c r="M112" s="835">
        <f t="shared" si="38"/>
        <v>4218095</v>
      </c>
      <c r="N112" s="835">
        <f t="shared" si="38"/>
        <v>4218095</v>
      </c>
      <c r="P112" s="25"/>
    </row>
    <row r="113" spans="1:16" s="3" customFormat="1" ht="25.5">
      <c r="A113" s="831">
        <v>7</v>
      </c>
      <c r="B113" s="832" t="s">
        <v>95</v>
      </c>
      <c r="C113" s="833">
        <f>'часть 1'!H826</f>
        <v>3267.2000000000003</v>
      </c>
      <c r="D113" s="834">
        <f>'часть 1'!K826</f>
        <v>71</v>
      </c>
      <c r="E113" s="531">
        <v>0</v>
      </c>
      <c r="F113" s="531">
        <v>0</v>
      </c>
      <c r="G113" s="531">
        <v>0</v>
      </c>
      <c r="H113" s="836">
        <v>2</v>
      </c>
      <c r="I113" s="531">
        <f t="shared" si="36"/>
        <v>2</v>
      </c>
      <c r="J113" s="835">
        <v>0</v>
      </c>
      <c r="K113" s="835">
        <v>0</v>
      </c>
      <c r="L113" s="835">
        <v>0</v>
      </c>
      <c r="M113" s="835">
        <f>'часть 1'!L826</f>
        <v>4218095</v>
      </c>
      <c r="N113" s="835">
        <f>M113</f>
        <v>4218095</v>
      </c>
      <c r="P113" s="25"/>
    </row>
    <row r="114" spans="1:16">
      <c r="A114" s="394"/>
      <c r="B114" s="248" t="s">
        <v>41</v>
      </c>
      <c r="C114" s="249">
        <f>C115</f>
        <v>4403.5</v>
      </c>
      <c r="D114" s="249">
        <f t="shared" ref="D114:N114" si="39">D115</f>
        <v>191</v>
      </c>
      <c r="E114" s="249">
        <f t="shared" si="39"/>
        <v>0</v>
      </c>
      <c r="F114" s="249">
        <f t="shared" si="39"/>
        <v>0</v>
      </c>
      <c r="G114" s="249">
        <f t="shared" si="39"/>
        <v>0</v>
      </c>
      <c r="H114" s="249">
        <f t="shared" si="39"/>
        <v>5</v>
      </c>
      <c r="I114" s="249">
        <f t="shared" si="39"/>
        <v>5</v>
      </c>
      <c r="J114" s="249">
        <f t="shared" si="39"/>
        <v>0</v>
      </c>
      <c r="K114" s="249">
        <f t="shared" si="39"/>
        <v>0</v>
      </c>
      <c r="L114" s="249">
        <f t="shared" si="39"/>
        <v>0</v>
      </c>
      <c r="M114" s="249">
        <f t="shared" si="39"/>
        <v>9289441</v>
      </c>
      <c r="N114" s="249">
        <f t="shared" si="39"/>
        <v>9289441</v>
      </c>
      <c r="P114" s="25"/>
    </row>
    <row r="115" spans="1:16" ht="25.5">
      <c r="A115" s="535">
        <v>8</v>
      </c>
      <c r="B115" s="528" t="s">
        <v>96</v>
      </c>
      <c r="C115" s="529">
        <f>'часть 1'!H835</f>
        <v>4403.5</v>
      </c>
      <c r="D115" s="530">
        <f>'часть 1'!K835</f>
        <v>191</v>
      </c>
      <c r="E115" s="531">
        <v>0</v>
      </c>
      <c r="F115" s="531">
        <v>0</v>
      </c>
      <c r="G115" s="531">
        <v>0</v>
      </c>
      <c r="H115" s="531">
        <v>5</v>
      </c>
      <c r="I115" s="531">
        <f t="shared" si="36"/>
        <v>5</v>
      </c>
      <c r="J115" s="532">
        <v>0</v>
      </c>
      <c r="K115" s="532">
        <v>0</v>
      </c>
      <c r="L115" s="532">
        <v>0</v>
      </c>
      <c r="M115" s="532">
        <f>'часть 1'!L835</f>
        <v>9289441</v>
      </c>
      <c r="N115" s="532">
        <f>M115</f>
        <v>9289441</v>
      </c>
      <c r="P115" s="25"/>
    </row>
    <row r="116" spans="1:16">
      <c r="A116" s="394"/>
      <c r="B116" s="248" t="s">
        <v>68</v>
      </c>
      <c r="C116" s="249">
        <f>C117</f>
        <v>285.2</v>
      </c>
      <c r="D116" s="250">
        <f t="shared" ref="D116:N116" si="40">D117</f>
        <v>13</v>
      </c>
      <c r="E116" s="252">
        <f t="shared" si="40"/>
        <v>0</v>
      </c>
      <c r="F116" s="252">
        <f t="shared" si="40"/>
        <v>0</v>
      </c>
      <c r="G116" s="252">
        <f t="shared" si="40"/>
        <v>0</v>
      </c>
      <c r="H116" s="252" t="e">
        <f>'часть 2'!#REF!</f>
        <v>#REF!</v>
      </c>
      <c r="I116" s="252" t="e">
        <f t="shared" si="36"/>
        <v>#REF!</v>
      </c>
      <c r="J116" s="251">
        <f t="shared" si="40"/>
        <v>0</v>
      </c>
      <c r="K116" s="251">
        <f t="shared" si="40"/>
        <v>0</v>
      </c>
      <c r="L116" s="251">
        <f t="shared" si="40"/>
        <v>0</v>
      </c>
      <c r="M116" s="251">
        <f>'часть 1'!L368</f>
        <v>1551693</v>
      </c>
      <c r="N116" s="251">
        <f t="shared" si="40"/>
        <v>443001</v>
      </c>
      <c r="P116" s="25"/>
    </row>
    <row r="117" spans="1:16" ht="25.5">
      <c r="A117" s="535">
        <v>9</v>
      </c>
      <c r="B117" s="528" t="s">
        <v>97</v>
      </c>
      <c r="C117" s="529">
        <f>'часть 1'!H843</f>
        <v>285.2</v>
      </c>
      <c r="D117" s="530">
        <f>'часть 1'!K843</f>
        <v>13</v>
      </c>
      <c r="E117" s="531">
        <v>0</v>
      </c>
      <c r="F117" s="531">
        <v>0</v>
      </c>
      <c r="G117" s="531">
        <v>0</v>
      </c>
      <c r="H117" s="531">
        <v>1</v>
      </c>
      <c r="I117" s="531">
        <f t="shared" si="36"/>
        <v>1</v>
      </c>
      <c r="J117" s="532">
        <v>0</v>
      </c>
      <c r="K117" s="532">
        <v>0</v>
      </c>
      <c r="L117" s="532">
        <v>0</v>
      </c>
      <c r="M117" s="532">
        <f>'часть 1'!L842</f>
        <v>443001</v>
      </c>
      <c r="N117" s="532">
        <f>M117</f>
        <v>443001</v>
      </c>
      <c r="P117" s="25"/>
    </row>
    <row r="118" spans="1:16" s="19" customFormat="1">
      <c r="A118" s="255"/>
      <c r="B118" s="255" t="s">
        <v>43</v>
      </c>
      <c r="C118" s="249">
        <f>C119+C120</f>
        <v>105310.90000000001</v>
      </c>
      <c r="D118" s="256">
        <f>D119+D120</f>
        <v>3133</v>
      </c>
      <c r="E118" s="252">
        <f>E119+E120</f>
        <v>0</v>
      </c>
      <c r="F118" s="252">
        <f t="shared" ref="F118:H118" si="41">F119+F120</f>
        <v>0</v>
      </c>
      <c r="G118" s="252">
        <f t="shared" si="41"/>
        <v>0</v>
      </c>
      <c r="H118" s="252" t="e">
        <f t="shared" si="41"/>
        <v>#REF!</v>
      </c>
      <c r="I118" s="252" t="e">
        <f t="shared" si="36"/>
        <v>#REF!</v>
      </c>
      <c r="J118" s="251">
        <f>J119+J120</f>
        <v>0</v>
      </c>
      <c r="K118" s="251">
        <f t="shared" ref="K118:N118" si="42">K119+K120</f>
        <v>0</v>
      </c>
      <c r="L118" s="251">
        <f t="shared" si="42"/>
        <v>0</v>
      </c>
      <c r="M118" s="251">
        <f t="shared" si="42"/>
        <v>58030999.920000002</v>
      </c>
      <c r="N118" s="251">
        <f t="shared" si="42"/>
        <v>58030999.920000002</v>
      </c>
      <c r="O118" s="84"/>
      <c r="P118" s="25"/>
    </row>
    <row r="119" spans="1:16" s="19" customFormat="1" ht="25.5">
      <c r="A119" s="394">
        <v>10</v>
      </c>
      <c r="B119" s="253" t="s">
        <v>125</v>
      </c>
      <c r="C119" s="249">
        <f>'часть 1'!H372</f>
        <v>3129.1</v>
      </c>
      <c r="D119" s="250">
        <f>'часть 1'!K372</f>
        <v>113</v>
      </c>
      <c r="E119" s="252">
        <v>0</v>
      </c>
      <c r="F119" s="252">
        <v>0</v>
      </c>
      <c r="G119" s="252">
        <v>0</v>
      </c>
      <c r="H119" s="252" t="e">
        <f>'часть 2'!#REF!</f>
        <v>#REF!</v>
      </c>
      <c r="I119" s="252" t="e">
        <f t="shared" si="36"/>
        <v>#REF!</v>
      </c>
      <c r="J119" s="251">
        <v>0</v>
      </c>
      <c r="K119" s="251">
        <v>0</v>
      </c>
      <c r="L119" s="251">
        <v>0</v>
      </c>
      <c r="M119" s="251">
        <f>'часть 1'!L372</f>
        <v>2178044</v>
      </c>
      <c r="N119" s="251">
        <f>M119</f>
        <v>2178044</v>
      </c>
      <c r="P119" s="25"/>
    </row>
    <row r="120" spans="1:16" s="19" customFormat="1" ht="25.5">
      <c r="A120" s="394">
        <v>11</v>
      </c>
      <c r="B120" s="253" t="s">
        <v>210</v>
      </c>
      <c r="C120" s="249">
        <f>'часть 1'!H384</f>
        <v>102181.8</v>
      </c>
      <c r="D120" s="250">
        <f>'часть 1'!K384</f>
        <v>3020</v>
      </c>
      <c r="E120" s="252">
        <v>0</v>
      </c>
      <c r="F120" s="252">
        <v>0</v>
      </c>
      <c r="G120" s="252">
        <v>0</v>
      </c>
      <c r="H120" s="252">
        <v>2</v>
      </c>
      <c r="I120" s="252">
        <f t="shared" si="36"/>
        <v>2</v>
      </c>
      <c r="J120" s="251">
        <v>0</v>
      </c>
      <c r="K120" s="251">
        <v>0</v>
      </c>
      <c r="L120" s="251">
        <v>0</v>
      </c>
      <c r="M120" s="251">
        <f>'часть 1'!L384</f>
        <v>55852955.920000002</v>
      </c>
      <c r="N120" s="251">
        <f>M120</f>
        <v>55852955.920000002</v>
      </c>
      <c r="P120" s="25"/>
    </row>
    <row r="121" spans="1:16">
      <c r="A121" s="394"/>
      <c r="B121" s="255" t="s">
        <v>44</v>
      </c>
      <c r="C121" s="249">
        <f>C122</f>
        <v>520.9</v>
      </c>
      <c r="D121" s="250">
        <f t="shared" ref="D121:N121" si="43">D122</f>
        <v>25</v>
      </c>
      <c r="E121" s="252">
        <f t="shared" si="43"/>
        <v>0</v>
      </c>
      <c r="F121" s="252">
        <f t="shared" si="43"/>
        <v>0</v>
      </c>
      <c r="G121" s="252">
        <f t="shared" si="43"/>
        <v>0</v>
      </c>
      <c r="H121" s="252">
        <f t="shared" si="43"/>
        <v>1</v>
      </c>
      <c r="I121" s="252">
        <f t="shared" si="36"/>
        <v>1</v>
      </c>
      <c r="J121" s="251">
        <f t="shared" si="43"/>
        <v>0</v>
      </c>
      <c r="K121" s="251">
        <f t="shared" si="43"/>
        <v>0</v>
      </c>
      <c r="L121" s="251">
        <f t="shared" si="43"/>
        <v>0</v>
      </c>
      <c r="M121" s="251">
        <f>'часть 1'!L387</f>
        <v>3894862</v>
      </c>
      <c r="N121" s="251">
        <f t="shared" si="43"/>
        <v>922687</v>
      </c>
      <c r="P121" s="25"/>
    </row>
    <row r="122" spans="1:16" s="18" customFormat="1" ht="25.5">
      <c r="A122" s="535">
        <f>A120+1</f>
        <v>12</v>
      </c>
      <c r="B122" s="534" t="s">
        <v>435</v>
      </c>
      <c r="C122" s="529">
        <f>'часть 1'!H864</f>
        <v>520.9</v>
      </c>
      <c r="D122" s="530">
        <f>'часть 1'!K864</f>
        <v>25</v>
      </c>
      <c r="E122" s="531">
        <v>0</v>
      </c>
      <c r="F122" s="531">
        <v>0</v>
      </c>
      <c r="G122" s="531">
        <v>0</v>
      </c>
      <c r="H122" s="531">
        <v>1</v>
      </c>
      <c r="I122" s="531">
        <f t="shared" si="36"/>
        <v>1</v>
      </c>
      <c r="J122" s="532">
        <v>0</v>
      </c>
      <c r="K122" s="532">
        <v>0</v>
      </c>
      <c r="L122" s="532">
        <v>0</v>
      </c>
      <c r="M122" s="532">
        <f>'часть 1'!L865</f>
        <v>922687</v>
      </c>
      <c r="N122" s="532">
        <f>M122</f>
        <v>922687</v>
      </c>
      <c r="P122" s="25"/>
    </row>
    <row r="123" spans="1:16">
      <c r="A123" s="394"/>
      <c r="B123" s="255" t="s">
        <v>45</v>
      </c>
      <c r="C123" s="249">
        <f>C124+C125+C126+C127+C128+C129</f>
        <v>7577.5</v>
      </c>
      <c r="D123" s="249">
        <f t="shared" ref="D123:N123" si="44">D124+D125+D126+D127+D128+D129</f>
        <v>291</v>
      </c>
      <c r="E123" s="249">
        <f t="shared" si="44"/>
        <v>0</v>
      </c>
      <c r="F123" s="249">
        <f t="shared" si="44"/>
        <v>0</v>
      </c>
      <c r="G123" s="249">
        <f t="shared" si="44"/>
        <v>1</v>
      </c>
      <c r="H123" s="249">
        <f t="shared" si="44"/>
        <v>6</v>
      </c>
      <c r="I123" s="249">
        <f t="shared" si="44"/>
        <v>7</v>
      </c>
      <c r="J123" s="249">
        <f t="shared" si="44"/>
        <v>0</v>
      </c>
      <c r="K123" s="249">
        <f t="shared" si="44"/>
        <v>0</v>
      </c>
      <c r="L123" s="249">
        <f t="shared" si="44"/>
        <v>1646792</v>
      </c>
      <c r="M123" s="249">
        <f t="shared" si="44"/>
        <v>6930539</v>
      </c>
      <c r="N123" s="249">
        <f t="shared" si="44"/>
        <v>8577331</v>
      </c>
      <c r="O123" s="25"/>
      <c r="P123" s="25"/>
    </row>
    <row r="124" spans="1:16" ht="25.5">
      <c r="A124" s="535">
        <f>A122+1</f>
        <v>13</v>
      </c>
      <c r="B124" s="594" t="s">
        <v>98</v>
      </c>
      <c r="C124" s="529">
        <f>'часть 1'!H868</f>
        <v>1910.1999999999998</v>
      </c>
      <c r="D124" s="530">
        <f>'часть 1'!K868</f>
        <v>85</v>
      </c>
      <c r="E124" s="531">
        <v>0</v>
      </c>
      <c r="F124" s="531">
        <v>0</v>
      </c>
      <c r="G124" s="531">
        <v>0</v>
      </c>
      <c r="H124" s="531">
        <v>3</v>
      </c>
      <c r="I124" s="531">
        <f t="shared" si="36"/>
        <v>3</v>
      </c>
      <c r="J124" s="532">
        <v>0</v>
      </c>
      <c r="K124" s="532">
        <v>0</v>
      </c>
      <c r="L124" s="532">
        <v>0</v>
      </c>
      <c r="M124" s="532">
        <f>'часть 1'!L868</f>
        <v>3345596</v>
      </c>
      <c r="N124" s="532">
        <f>M124</f>
        <v>3345596</v>
      </c>
      <c r="P124" s="25"/>
    </row>
    <row r="125" spans="1:16" ht="25.5">
      <c r="A125" s="535"/>
      <c r="B125" s="594" t="s">
        <v>688</v>
      </c>
      <c r="C125" s="529">
        <f>'часть 1'!H873</f>
        <v>484.1</v>
      </c>
      <c r="D125" s="530">
        <f>'часть 1'!K873</f>
        <v>31</v>
      </c>
      <c r="E125" s="531">
        <v>0</v>
      </c>
      <c r="F125" s="531">
        <v>0</v>
      </c>
      <c r="G125" s="531">
        <v>0</v>
      </c>
      <c r="H125" s="531">
        <v>1</v>
      </c>
      <c r="I125" s="531">
        <v>1</v>
      </c>
      <c r="J125" s="532">
        <v>0</v>
      </c>
      <c r="K125" s="532">
        <v>0</v>
      </c>
      <c r="L125" s="532">
        <v>0</v>
      </c>
      <c r="M125" s="532">
        <v>908962</v>
      </c>
      <c r="N125" s="532">
        <f>M125+L125+K125+J125</f>
        <v>908962</v>
      </c>
      <c r="P125" s="25"/>
    </row>
    <row r="126" spans="1:16" ht="25.5">
      <c r="A126" s="535"/>
      <c r="B126" s="534" t="s">
        <v>99</v>
      </c>
      <c r="C126" s="498">
        <f>'часть 1'!H874</f>
        <v>386.6</v>
      </c>
      <c r="D126" s="503">
        <f>'часть 1'!K874</f>
        <v>19</v>
      </c>
      <c r="E126" s="531">
        <v>0</v>
      </c>
      <c r="F126" s="531">
        <v>0</v>
      </c>
      <c r="G126" s="531">
        <v>0</v>
      </c>
      <c r="H126" s="502">
        <v>1</v>
      </c>
      <c r="I126" s="531">
        <f t="shared" si="36"/>
        <v>1</v>
      </c>
      <c r="J126" s="532">
        <v>0</v>
      </c>
      <c r="K126" s="532">
        <v>0</v>
      </c>
      <c r="L126" s="532">
        <v>0</v>
      </c>
      <c r="M126" s="532">
        <f>'часть 1'!L874</f>
        <v>655569</v>
      </c>
      <c r="N126" s="532">
        <f>M126</f>
        <v>655569</v>
      </c>
      <c r="P126" s="25"/>
    </row>
    <row r="127" spans="1:16" ht="25.5">
      <c r="A127" s="535">
        <f>A126+1</f>
        <v>1</v>
      </c>
      <c r="B127" s="534" t="s">
        <v>100</v>
      </c>
      <c r="C127" s="529">
        <f>'часть 1'!H877</f>
        <v>3324.5</v>
      </c>
      <c r="D127" s="530">
        <f>'часть 1'!K877</f>
        <v>127</v>
      </c>
      <c r="E127" s="531">
        <v>0</v>
      </c>
      <c r="F127" s="531">
        <v>0</v>
      </c>
      <c r="G127" s="531">
        <v>0</v>
      </c>
      <c r="H127" s="531">
        <v>1</v>
      </c>
      <c r="I127" s="531">
        <f t="shared" si="36"/>
        <v>1</v>
      </c>
      <c r="J127" s="532">
        <v>0</v>
      </c>
      <c r="K127" s="532">
        <v>0</v>
      </c>
      <c r="L127" s="532">
        <v>0</v>
      </c>
      <c r="M127" s="532">
        <f>'часть 1'!L877</f>
        <v>2020412</v>
      </c>
      <c r="N127" s="532">
        <f>M127</f>
        <v>2020412</v>
      </c>
      <c r="P127" s="25"/>
    </row>
    <row r="128" spans="1:16" ht="25.5">
      <c r="A128" s="535">
        <f>A127+1</f>
        <v>2</v>
      </c>
      <c r="B128" s="534" t="s">
        <v>101</v>
      </c>
      <c r="C128" s="529">
        <f>'часть 1'!H878</f>
        <v>1472.1</v>
      </c>
      <c r="D128" s="530">
        <f>'часть 1'!K878</f>
        <v>29</v>
      </c>
      <c r="E128" s="531">
        <v>0</v>
      </c>
      <c r="F128" s="531">
        <v>0</v>
      </c>
      <c r="G128" s="531">
        <v>1</v>
      </c>
      <c r="H128" s="531">
        <v>0</v>
      </c>
      <c r="I128" s="531">
        <f t="shared" si="36"/>
        <v>1</v>
      </c>
      <c r="J128" s="532">
        <v>0</v>
      </c>
      <c r="K128" s="532">
        <v>0</v>
      </c>
      <c r="L128" s="532">
        <f>'часть 1'!L878</f>
        <v>1646792</v>
      </c>
      <c r="M128" s="532">
        <v>0</v>
      </c>
      <c r="N128" s="532">
        <f>M128+L128+K128+J128</f>
        <v>1646792</v>
      </c>
      <c r="P128" s="25"/>
    </row>
    <row r="129" spans="1:16" ht="28.5" customHeight="1">
      <c r="A129" s="536">
        <f>A128+1</f>
        <v>3</v>
      </c>
      <c r="B129" s="534" t="s">
        <v>586</v>
      </c>
      <c r="C129" s="529">
        <v>0</v>
      </c>
      <c r="D129" s="530">
        <v>0</v>
      </c>
      <c r="E129" s="531">
        <v>0</v>
      </c>
      <c r="F129" s="531">
        <v>0</v>
      </c>
      <c r="G129" s="531">
        <v>0</v>
      </c>
      <c r="H129" s="531">
        <v>0</v>
      </c>
      <c r="I129" s="531">
        <f t="shared" si="36"/>
        <v>0</v>
      </c>
      <c r="J129" s="532">
        <v>0</v>
      </c>
      <c r="K129" s="532">
        <v>0</v>
      </c>
      <c r="L129" s="532">
        <v>0</v>
      </c>
      <c r="M129" s="532">
        <v>0</v>
      </c>
      <c r="N129" s="532">
        <f>M129</f>
        <v>0</v>
      </c>
      <c r="P129" s="25"/>
    </row>
    <row r="130" spans="1:16">
      <c r="A130" s="394"/>
      <c r="B130" s="255" t="s">
        <v>46</v>
      </c>
      <c r="C130" s="249">
        <f>C131</f>
        <v>459.1</v>
      </c>
      <c r="D130" s="249">
        <f t="shared" ref="D130:N130" si="45">D131</f>
        <v>18</v>
      </c>
      <c r="E130" s="249">
        <f t="shared" si="45"/>
        <v>0</v>
      </c>
      <c r="F130" s="249">
        <f t="shared" si="45"/>
        <v>0</v>
      </c>
      <c r="G130" s="249">
        <f t="shared" si="45"/>
        <v>0</v>
      </c>
      <c r="H130" s="249">
        <f t="shared" si="45"/>
        <v>1</v>
      </c>
      <c r="I130" s="249">
        <f t="shared" si="45"/>
        <v>1</v>
      </c>
      <c r="J130" s="251">
        <f t="shared" si="45"/>
        <v>0</v>
      </c>
      <c r="K130" s="251">
        <f t="shared" si="45"/>
        <v>0</v>
      </c>
      <c r="L130" s="251">
        <f t="shared" si="45"/>
        <v>0</v>
      </c>
      <c r="M130" s="251">
        <f t="shared" si="45"/>
        <v>674133</v>
      </c>
      <c r="N130" s="251">
        <f t="shared" si="45"/>
        <v>674133</v>
      </c>
      <c r="O130" s="25"/>
      <c r="P130" s="25"/>
    </row>
    <row r="131" spans="1:16" ht="25.5">
      <c r="A131" s="535">
        <f>A129+1</f>
        <v>4</v>
      </c>
      <c r="B131" s="534" t="s">
        <v>587</v>
      </c>
      <c r="C131" s="529">
        <v>459.1</v>
      </c>
      <c r="D131" s="530">
        <v>18</v>
      </c>
      <c r="E131" s="531">
        <v>0</v>
      </c>
      <c r="F131" s="531">
        <v>0</v>
      </c>
      <c r="G131" s="531">
        <v>0</v>
      </c>
      <c r="H131" s="531">
        <v>1</v>
      </c>
      <c r="I131" s="531">
        <f t="shared" si="36"/>
        <v>1</v>
      </c>
      <c r="J131" s="532">
        <v>0</v>
      </c>
      <c r="K131" s="532">
        <v>0</v>
      </c>
      <c r="L131" s="532">
        <v>0</v>
      </c>
      <c r="M131" s="532">
        <v>674133</v>
      </c>
      <c r="N131" s="532">
        <f>M131</f>
        <v>674133</v>
      </c>
      <c r="P131" s="25"/>
    </row>
    <row r="132" spans="1:16">
      <c r="A132" s="394"/>
      <c r="B132" s="255" t="s">
        <v>47</v>
      </c>
      <c r="C132" s="249">
        <f>C133</f>
        <v>597</v>
      </c>
      <c r="D132" s="249">
        <f t="shared" ref="D132:N132" si="46">D133</f>
        <v>22</v>
      </c>
      <c r="E132" s="249">
        <f t="shared" si="46"/>
        <v>0</v>
      </c>
      <c r="F132" s="249">
        <f t="shared" si="46"/>
        <v>0</v>
      </c>
      <c r="G132" s="249">
        <f t="shared" si="46"/>
        <v>0</v>
      </c>
      <c r="H132" s="249">
        <f t="shared" si="46"/>
        <v>1</v>
      </c>
      <c r="I132" s="249">
        <f t="shared" si="46"/>
        <v>1</v>
      </c>
      <c r="J132" s="251">
        <f t="shared" si="46"/>
        <v>0</v>
      </c>
      <c r="K132" s="251">
        <f t="shared" si="46"/>
        <v>0</v>
      </c>
      <c r="L132" s="251">
        <f t="shared" si="46"/>
        <v>0</v>
      </c>
      <c r="M132" s="251">
        <f t="shared" si="46"/>
        <v>1786109</v>
      </c>
      <c r="N132" s="251">
        <f t="shared" si="46"/>
        <v>1786109</v>
      </c>
      <c r="O132" s="25"/>
      <c r="P132" s="25"/>
    </row>
    <row r="133" spans="1:16" ht="25.5">
      <c r="A133" s="536">
        <f>A131+1</f>
        <v>5</v>
      </c>
      <c r="B133" s="534" t="s">
        <v>103</v>
      </c>
      <c r="C133" s="529">
        <f>'часть 1'!H887</f>
        <v>597</v>
      </c>
      <c r="D133" s="530">
        <f>'часть 1'!K887</f>
        <v>22</v>
      </c>
      <c r="E133" s="531">
        <v>0</v>
      </c>
      <c r="F133" s="531">
        <v>0</v>
      </c>
      <c r="G133" s="531">
        <v>0</v>
      </c>
      <c r="H133" s="531">
        <v>1</v>
      </c>
      <c r="I133" s="531">
        <f t="shared" si="36"/>
        <v>1</v>
      </c>
      <c r="J133" s="532">
        <v>0</v>
      </c>
      <c r="K133" s="532">
        <v>0</v>
      </c>
      <c r="L133" s="532">
        <v>0</v>
      </c>
      <c r="M133" s="532">
        <f>'часть 1'!L887</f>
        <v>1786109</v>
      </c>
      <c r="N133" s="532">
        <f>M133</f>
        <v>1786109</v>
      </c>
      <c r="P133" s="25"/>
    </row>
    <row r="134" spans="1:16" s="9" customFormat="1">
      <c r="A134" s="394"/>
      <c r="B134" s="255" t="s">
        <v>48</v>
      </c>
      <c r="C134" s="249">
        <f>'часть 1'!H424</f>
        <v>1983</v>
      </c>
      <c r="D134" s="250">
        <f>'часть 1'!K424</f>
        <v>80</v>
      </c>
      <c r="E134" s="252">
        <f t="shared" ref="E134:G134" si="47">E135+E136</f>
        <v>0</v>
      </c>
      <c r="F134" s="252">
        <f t="shared" si="47"/>
        <v>0</v>
      </c>
      <c r="G134" s="252">
        <f t="shared" si="47"/>
        <v>0</v>
      </c>
      <c r="H134" s="252" t="e">
        <f>H135+H136</f>
        <v>#REF!</v>
      </c>
      <c r="I134" s="252" t="e">
        <f t="shared" si="36"/>
        <v>#REF!</v>
      </c>
      <c r="J134" s="251">
        <f t="shared" ref="J134:N134" si="48">J135+J136</f>
        <v>0</v>
      </c>
      <c r="K134" s="251">
        <f t="shared" si="48"/>
        <v>0</v>
      </c>
      <c r="L134" s="251">
        <f t="shared" si="48"/>
        <v>0</v>
      </c>
      <c r="M134" s="251">
        <f t="shared" si="48"/>
        <v>5112634</v>
      </c>
      <c r="N134" s="251">
        <f t="shared" si="48"/>
        <v>5112634</v>
      </c>
      <c r="O134" s="39"/>
      <c r="P134" s="25"/>
    </row>
    <row r="135" spans="1:16" ht="25.5">
      <c r="A135" s="536">
        <f>A133+1</f>
        <v>6</v>
      </c>
      <c r="B135" s="534" t="s">
        <v>107</v>
      </c>
      <c r="C135" s="529">
        <f>'часть 1'!H890</f>
        <v>1330.3000000000002</v>
      </c>
      <c r="D135" s="530">
        <f>'часть 1'!K890</f>
        <v>72</v>
      </c>
      <c r="E135" s="531">
        <v>0</v>
      </c>
      <c r="F135" s="531">
        <v>0</v>
      </c>
      <c r="G135" s="531">
        <v>0</v>
      </c>
      <c r="H135" s="531">
        <v>2</v>
      </c>
      <c r="I135" s="531">
        <f t="shared" si="36"/>
        <v>2</v>
      </c>
      <c r="J135" s="532">
        <v>0</v>
      </c>
      <c r="K135" s="532">
        <v>0</v>
      </c>
      <c r="L135" s="532">
        <v>0</v>
      </c>
      <c r="M135" s="532">
        <f>'часть 1'!L890</f>
        <v>2303204</v>
      </c>
      <c r="N135" s="532">
        <f t="shared" ref="N135:N136" si="49">M135</f>
        <v>2303204</v>
      </c>
      <c r="P135" s="25"/>
    </row>
    <row r="136" spans="1:16" ht="27" customHeight="1">
      <c r="A136" s="236">
        <f>A135+1</f>
        <v>7</v>
      </c>
      <c r="B136" s="253" t="s">
        <v>104</v>
      </c>
      <c r="C136" s="249">
        <f>'часть 1'!H429</f>
        <v>912.1</v>
      </c>
      <c r="D136" s="250">
        <f>'часть 1'!K429</f>
        <v>39</v>
      </c>
      <c r="E136" s="252">
        <v>0</v>
      </c>
      <c r="F136" s="252">
        <v>0</v>
      </c>
      <c r="G136" s="252">
        <v>0</v>
      </c>
      <c r="H136" s="252" t="e">
        <f>'часть 2'!#REF!</f>
        <v>#REF!</v>
      </c>
      <c r="I136" s="252" t="e">
        <f t="shared" si="36"/>
        <v>#REF!</v>
      </c>
      <c r="J136" s="251">
        <v>0</v>
      </c>
      <c r="K136" s="251">
        <v>0</v>
      </c>
      <c r="L136" s="251">
        <v>0</v>
      </c>
      <c r="M136" s="251">
        <f>'часть 1'!L429</f>
        <v>2809430</v>
      </c>
      <c r="N136" s="251">
        <f t="shared" si="49"/>
        <v>2809430</v>
      </c>
      <c r="P136" s="25"/>
    </row>
    <row r="137" spans="1:16">
      <c r="A137" s="236"/>
      <c r="B137" s="255" t="s">
        <v>49</v>
      </c>
      <c r="C137" s="249">
        <f>'часть 1'!H431</f>
        <v>542.5</v>
      </c>
      <c r="D137" s="250">
        <f>'часть 1'!K431</f>
        <v>16</v>
      </c>
      <c r="E137" s="252">
        <f t="shared" ref="E137:K137" si="50">E138</f>
        <v>0</v>
      </c>
      <c r="F137" s="252">
        <f t="shared" si="50"/>
        <v>0</v>
      </c>
      <c r="G137" s="252">
        <f>G138+G139+G140+G141</f>
        <v>1</v>
      </c>
      <c r="H137" s="252">
        <f>H138+H139+H140+H141</f>
        <v>2</v>
      </c>
      <c r="I137" s="252">
        <f t="shared" si="36"/>
        <v>3</v>
      </c>
      <c r="J137" s="251">
        <f t="shared" si="50"/>
        <v>0</v>
      </c>
      <c r="K137" s="251">
        <f t="shared" si="50"/>
        <v>0</v>
      </c>
      <c r="L137" s="251">
        <f>L139</f>
        <v>6762929</v>
      </c>
      <c r="M137" s="251">
        <f>SUM(M138:M141)</f>
        <v>3562516</v>
      </c>
      <c r="N137" s="251">
        <f>SUM(N138:N141)</f>
        <v>12131344.800000001</v>
      </c>
      <c r="O137" s="25"/>
      <c r="P137" s="25"/>
    </row>
    <row r="138" spans="1:16" ht="25.5">
      <c r="A138" s="536">
        <f>A136+1</f>
        <v>8</v>
      </c>
      <c r="B138" s="534" t="s">
        <v>588</v>
      </c>
      <c r="C138" s="529">
        <f>'часть 1'!H898</f>
        <v>722</v>
      </c>
      <c r="D138" s="530">
        <f>'часть 1'!K898</f>
        <v>39</v>
      </c>
      <c r="E138" s="531">
        <v>0</v>
      </c>
      <c r="F138" s="531">
        <v>0</v>
      </c>
      <c r="G138" s="531">
        <v>0</v>
      </c>
      <c r="H138" s="531">
        <v>1</v>
      </c>
      <c r="I138" s="531">
        <f t="shared" si="36"/>
        <v>1</v>
      </c>
      <c r="J138" s="532">
        <v>0</v>
      </c>
      <c r="K138" s="532">
        <v>0</v>
      </c>
      <c r="L138" s="532">
        <v>0</v>
      </c>
      <c r="M138" s="532">
        <v>1753559</v>
      </c>
      <c r="N138" s="532">
        <f t="shared" ref="N138" si="51">M138</f>
        <v>1753559</v>
      </c>
      <c r="P138" s="25"/>
    </row>
    <row r="139" spans="1:16" ht="25.5">
      <c r="A139" s="236">
        <f>A138+1</f>
        <v>9</v>
      </c>
      <c r="B139" s="253" t="s">
        <v>188</v>
      </c>
      <c r="C139" s="249">
        <f>'часть 1'!H435</f>
        <v>4140.7</v>
      </c>
      <c r="D139" s="250">
        <f>'часть 1'!K435</f>
        <v>125</v>
      </c>
      <c r="E139" s="252">
        <v>0</v>
      </c>
      <c r="F139" s="252">
        <v>0</v>
      </c>
      <c r="G139" s="252">
        <v>0</v>
      </c>
      <c r="H139" s="252">
        <v>0</v>
      </c>
      <c r="I139" s="252">
        <f t="shared" si="36"/>
        <v>0</v>
      </c>
      <c r="J139" s="251">
        <v>0</v>
      </c>
      <c r="K139" s="251">
        <v>0</v>
      </c>
      <c r="L139" s="251">
        <f>'часть 1'!L435</f>
        <v>6762929</v>
      </c>
      <c r="M139" s="251">
        <v>0</v>
      </c>
      <c r="N139" s="251">
        <f>L139</f>
        <v>6762929</v>
      </c>
      <c r="P139" s="25"/>
    </row>
    <row r="140" spans="1:16" ht="25.5">
      <c r="A140" s="236">
        <f>A139+1</f>
        <v>10</v>
      </c>
      <c r="B140" s="253" t="s">
        <v>189</v>
      </c>
      <c r="C140" s="249">
        <f>'часть 1'!H438</f>
        <v>522.5</v>
      </c>
      <c r="D140" s="250">
        <f>'часть 1'!K438</f>
        <v>21</v>
      </c>
      <c r="E140" s="252">
        <v>0</v>
      </c>
      <c r="F140" s="252">
        <v>0</v>
      </c>
      <c r="G140" s="252">
        <v>0</v>
      </c>
      <c r="H140" s="252">
        <v>1</v>
      </c>
      <c r="I140" s="252">
        <f t="shared" si="36"/>
        <v>1</v>
      </c>
      <c r="J140" s="251">
        <v>0</v>
      </c>
      <c r="K140" s="251">
        <v>0</v>
      </c>
      <c r="L140" s="251">
        <v>0</v>
      </c>
      <c r="M140" s="251">
        <f>'часть 1'!L438</f>
        <v>1808957</v>
      </c>
      <c r="N140" s="251">
        <f>M140</f>
        <v>1808957</v>
      </c>
      <c r="P140" s="25"/>
    </row>
    <row r="141" spans="1:16" ht="25.5">
      <c r="A141" s="236">
        <f>A140+1</f>
        <v>11</v>
      </c>
      <c r="B141" s="253" t="s">
        <v>589</v>
      </c>
      <c r="C141" s="249">
        <f>'часть 1'!H906</f>
        <v>748.5</v>
      </c>
      <c r="D141" s="250">
        <f>'часть 1'!K906</f>
        <v>38</v>
      </c>
      <c r="E141" s="252">
        <v>0</v>
      </c>
      <c r="F141" s="252">
        <v>0</v>
      </c>
      <c r="G141" s="252">
        <v>1</v>
      </c>
      <c r="H141" s="252">
        <v>0</v>
      </c>
      <c r="I141" s="252">
        <f t="shared" si="36"/>
        <v>1</v>
      </c>
      <c r="J141" s="251">
        <v>0</v>
      </c>
      <c r="K141" s="251">
        <v>0</v>
      </c>
      <c r="L141" s="251">
        <v>1805899.8</v>
      </c>
      <c r="M141" s="251">
        <v>0</v>
      </c>
      <c r="N141" s="251">
        <v>1805899.8</v>
      </c>
      <c r="P141" s="25"/>
    </row>
    <row r="142" spans="1:16">
      <c r="A142" s="236"/>
      <c r="B142" s="255" t="s">
        <v>50</v>
      </c>
      <c r="C142" s="249">
        <f>C143</f>
        <v>10972.3</v>
      </c>
      <c r="D142" s="250">
        <f t="shared" ref="D142:N142" si="52">D143</f>
        <v>402</v>
      </c>
      <c r="E142" s="252">
        <f t="shared" si="52"/>
        <v>0</v>
      </c>
      <c r="F142" s="252">
        <f t="shared" si="52"/>
        <v>0</v>
      </c>
      <c r="G142" s="252">
        <f t="shared" si="52"/>
        <v>0</v>
      </c>
      <c r="H142" s="252">
        <f t="shared" si="52"/>
        <v>6</v>
      </c>
      <c r="I142" s="252">
        <f t="shared" si="36"/>
        <v>6</v>
      </c>
      <c r="J142" s="251">
        <f t="shared" si="52"/>
        <v>0</v>
      </c>
      <c r="K142" s="251">
        <f t="shared" si="52"/>
        <v>0</v>
      </c>
      <c r="L142" s="251">
        <f t="shared" si="52"/>
        <v>0</v>
      </c>
      <c r="M142" s="251">
        <f t="shared" si="52"/>
        <v>13535827</v>
      </c>
      <c r="N142" s="251">
        <f t="shared" si="52"/>
        <v>13535827</v>
      </c>
      <c r="O142" s="25"/>
      <c r="P142" s="25"/>
    </row>
    <row r="143" spans="1:16" ht="25.5">
      <c r="A143" s="236">
        <f>A141+1</f>
        <v>12</v>
      </c>
      <c r="B143" s="253" t="s">
        <v>106</v>
      </c>
      <c r="C143" s="249">
        <f>'часть 1'!H909</f>
        <v>10972.3</v>
      </c>
      <c r="D143" s="250">
        <f>'часть 1'!K909</f>
        <v>402</v>
      </c>
      <c r="E143" s="252">
        <v>0</v>
      </c>
      <c r="F143" s="252">
        <v>0</v>
      </c>
      <c r="G143" s="252">
        <v>0</v>
      </c>
      <c r="H143" s="252">
        <v>6</v>
      </c>
      <c r="I143" s="252">
        <f t="shared" si="36"/>
        <v>6</v>
      </c>
      <c r="J143" s="251">
        <v>0</v>
      </c>
      <c r="K143" s="251">
        <v>0</v>
      </c>
      <c r="L143" s="251">
        <v>0</v>
      </c>
      <c r="M143" s="251">
        <f>'часть 1'!L909</f>
        <v>13535827</v>
      </c>
      <c r="N143" s="251">
        <f>M143</f>
        <v>13535827</v>
      </c>
      <c r="P143" s="25"/>
    </row>
    <row r="144" spans="1:16">
      <c r="A144" s="236"/>
      <c r="B144" s="255" t="s">
        <v>51</v>
      </c>
      <c r="C144" s="249">
        <f>C145</f>
        <v>8644.4000000000015</v>
      </c>
      <c r="D144" s="250">
        <f t="shared" ref="D144:N144" si="53">D145</f>
        <v>283</v>
      </c>
      <c r="E144" s="252">
        <f t="shared" si="53"/>
        <v>0</v>
      </c>
      <c r="F144" s="252">
        <f t="shared" si="53"/>
        <v>0</v>
      </c>
      <c r="G144" s="252">
        <f t="shared" si="53"/>
        <v>0</v>
      </c>
      <c r="H144" s="252">
        <f t="shared" si="53"/>
        <v>8</v>
      </c>
      <c r="I144" s="252">
        <f t="shared" si="36"/>
        <v>8</v>
      </c>
      <c r="J144" s="251">
        <f t="shared" si="53"/>
        <v>0</v>
      </c>
      <c r="K144" s="251">
        <f t="shared" si="53"/>
        <v>0</v>
      </c>
      <c r="L144" s="251">
        <f t="shared" si="53"/>
        <v>0</v>
      </c>
      <c r="M144" s="251">
        <f t="shared" si="53"/>
        <v>11085155</v>
      </c>
      <c r="N144" s="251">
        <f t="shared" si="53"/>
        <v>11085155</v>
      </c>
      <c r="O144" s="25"/>
      <c r="P144" s="25"/>
    </row>
    <row r="145" spans="1:16" ht="25.5">
      <c r="A145" s="236">
        <f>A143+1</f>
        <v>13</v>
      </c>
      <c r="B145" s="253" t="s">
        <v>108</v>
      </c>
      <c r="C145" s="249">
        <f>'часть 1'!H917</f>
        <v>8644.4000000000015</v>
      </c>
      <c r="D145" s="250">
        <f>'часть 1'!K917</f>
        <v>283</v>
      </c>
      <c r="E145" s="252">
        <v>0</v>
      </c>
      <c r="F145" s="252">
        <v>0</v>
      </c>
      <c r="G145" s="252">
        <v>0</v>
      </c>
      <c r="H145" s="252">
        <v>8</v>
      </c>
      <c r="I145" s="252">
        <f t="shared" si="36"/>
        <v>8</v>
      </c>
      <c r="J145" s="251">
        <v>0</v>
      </c>
      <c r="K145" s="251">
        <v>0</v>
      </c>
      <c r="L145" s="251">
        <v>0</v>
      </c>
      <c r="M145" s="251">
        <f>'часть 1'!L917</f>
        <v>11085155</v>
      </c>
      <c r="N145" s="251">
        <f>M145</f>
        <v>11085155</v>
      </c>
      <c r="P145" s="25"/>
    </row>
    <row r="146" spans="1:16" ht="25.5">
      <c r="A146" s="536"/>
      <c r="B146" s="534" t="s">
        <v>882</v>
      </c>
      <c r="C146" s="529">
        <f>'часть 1'!H926</f>
        <v>1005.2</v>
      </c>
      <c r="D146" s="530">
        <f>'часть 1'!K926</f>
        <v>37</v>
      </c>
      <c r="E146" s="531">
        <v>0</v>
      </c>
      <c r="F146" s="531">
        <v>0</v>
      </c>
      <c r="G146" s="531">
        <v>1</v>
      </c>
      <c r="H146" s="531">
        <v>1</v>
      </c>
      <c r="I146" s="531">
        <v>2</v>
      </c>
      <c r="J146" s="532">
        <v>0</v>
      </c>
      <c r="K146" s="532">
        <v>0</v>
      </c>
      <c r="L146" s="532">
        <v>781716</v>
      </c>
      <c r="M146" s="532">
        <v>247569</v>
      </c>
      <c r="N146" s="532">
        <f>M146+L146+K146+J146</f>
        <v>1029285</v>
      </c>
      <c r="P146" s="25"/>
    </row>
    <row r="147" spans="1:16">
      <c r="A147" s="236"/>
      <c r="B147" s="255" t="s">
        <v>52</v>
      </c>
      <c r="C147" s="249">
        <f>C149+C148+C150</f>
        <v>6236.2000000000007</v>
      </c>
      <c r="D147" s="250">
        <f>D149+D148+D150</f>
        <v>209</v>
      </c>
      <c r="E147" s="252">
        <f>E149+E148</f>
        <v>0</v>
      </c>
      <c r="F147" s="252">
        <f t="shared" ref="F147:G147" si="54">F149+F148</f>
        <v>0</v>
      </c>
      <c r="G147" s="252">
        <f t="shared" si="54"/>
        <v>1</v>
      </c>
      <c r="H147" s="252">
        <f>H149+H148+H150</f>
        <v>2</v>
      </c>
      <c r="I147" s="252">
        <f t="shared" si="36"/>
        <v>3</v>
      </c>
      <c r="J147" s="251">
        <f t="shared" ref="J147:L147" si="55">J149</f>
        <v>0</v>
      </c>
      <c r="K147" s="251">
        <f t="shared" si="55"/>
        <v>0</v>
      </c>
      <c r="L147" s="251">
        <f t="shared" si="55"/>
        <v>0</v>
      </c>
      <c r="M147" s="251">
        <f>M149+M148+M150</f>
        <v>1313974</v>
      </c>
      <c r="N147" s="251">
        <f>M147</f>
        <v>1313974</v>
      </c>
      <c r="O147" s="25"/>
      <c r="P147" s="25"/>
    </row>
    <row r="148" spans="1:16" ht="25.5">
      <c r="A148" s="536">
        <f>A145+1</f>
        <v>14</v>
      </c>
      <c r="B148" s="534" t="s">
        <v>130</v>
      </c>
      <c r="C148" s="529">
        <v>704.6</v>
      </c>
      <c r="D148" s="530">
        <v>24</v>
      </c>
      <c r="E148" s="531">
        <v>0</v>
      </c>
      <c r="F148" s="531">
        <v>0</v>
      </c>
      <c r="G148" s="531">
        <v>1</v>
      </c>
      <c r="H148" s="531">
        <v>0</v>
      </c>
      <c r="I148" s="531">
        <v>1</v>
      </c>
      <c r="J148" s="532">
        <v>0</v>
      </c>
      <c r="K148" s="532">
        <v>0</v>
      </c>
      <c r="L148" s="532">
        <v>1851309</v>
      </c>
      <c r="M148" s="532">
        <v>0</v>
      </c>
      <c r="N148" s="532">
        <v>1851309</v>
      </c>
      <c r="O148" s="25"/>
      <c r="P148" s="25"/>
    </row>
    <row r="149" spans="1:16" ht="25.5">
      <c r="A149" s="236">
        <f>A148+1</f>
        <v>15</v>
      </c>
      <c r="B149" s="253" t="s">
        <v>109</v>
      </c>
      <c r="C149" s="249">
        <f>'часть 1'!H470</f>
        <v>4625.8</v>
      </c>
      <c r="D149" s="250">
        <f>'часть 1'!K470</f>
        <v>154</v>
      </c>
      <c r="E149" s="252">
        <v>0</v>
      </c>
      <c r="F149" s="252">
        <v>0</v>
      </c>
      <c r="G149" s="252">
        <v>0</v>
      </c>
      <c r="H149" s="252">
        <v>1</v>
      </c>
      <c r="I149" s="252">
        <f t="shared" si="36"/>
        <v>1</v>
      </c>
      <c r="J149" s="251">
        <v>0</v>
      </c>
      <c r="K149" s="251">
        <v>0</v>
      </c>
      <c r="L149" s="251">
        <v>0</v>
      </c>
      <c r="M149" s="251">
        <v>201010</v>
      </c>
      <c r="N149" s="251">
        <f>M149</f>
        <v>201010</v>
      </c>
      <c r="P149" s="25"/>
    </row>
    <row r="150" spans="1:16" ht="25.5">
      <c r="A150" s="236">
        <f>A149+1</f>
        <v>16</v>
      </c>
      <c r="B150" s="253" t="s">
        <v>198</v>
      </c>
      <c r="C150" s="249">
        <f>'часть 1'!H472</f>
        <v>905.8</v>
      </c>
      <c r="D150" s="250">
        <f>'часть 1'!K472</f>
        <v>31</v>
      </c>
      <c r="E150" s="252">
        <v>0</v>
      </c>
      <c r="F150" s="252">
        <v>0</v>
      </c>
      <c r="G150" s="252">
        <v>0</v>
      </c>
      <c r="H150" s="252">
        <v>1</v>
      </c>
      <c r="I150" s="252">
        <f t="shared" si="36"/>
        <v>1</v>
      </c>
      <c r="J150" s="251">
        <v>0</v>
      </c>
      <c r="K150" s="251">
        <v>0</v>
      </c>
      <c r="L150" s="251">
        <v>0</v>
      </c>
      <c r="M150" s="251">
        <f>'часть 1'!L472</f>
        <v>1112964</v>
      </c>
      <c r="N150" s="251">
        <f>M150</f>
        <v>1112964</v>
      </c>
      <c r="P150" s="25"/>
    </row>
    <row r="151" spans="1:16">
      <c r="A151" s="236"/>
      <c r="B151" s="255" t="s">
        <v>53</v>
      </c>
      <c r="C151" s="249">
        <f>'часть 1'!H477+'часть 1'!H594</f>
        <v>508.92</v>
      </c>
      <c r="D151" s="250">
        <f>'часть 1'!K477+'часть 1'!K594</f>
        <v>16</v>
      </c>
      <c r="E151" s="252">
        <f>E154+E157+E158+E152</f>
        <v>0</v>
      </c>
      <c r="F151" s="252">
        <f>F154+F157+F158+F152</f>
        <v>0</v>
      </c>
      <c r="G151" s="252">
        <f>G154+G157+G158+G152</f>
        <v>0</v>
      </c>
      <c r="H151" s="252">
        <f>H154+H157+H155+H158+H152+H153+H159</f>
        <v>16</v>
      </c>
      <c r="I151" s="252">
        <f t="shared" si="36"/>
        <v>16</v>
      </c>
      <c r="J151" s="251">
        <f>J154+J157+J158+J152</f>
        <v>0</v>
      </c>
      <c r="K151" s="251">
        <f>K154+K157+K158+K152</f>
        <v>0</v>
      </c>
      <c r="L151" s="251">
        <f>L154+L157+L158+L152</f>
        <v>0</v>
      </c>
      <c r="M151" s="251">
        <f>M154+M157+M155+M158+M152+M153+M159</f>
        <v>48749036</v>
      </c>
      <c r="N151" s="251">
        <f t="shared" ref="N151:N152" si="56">M151</f>
        <v>48749036</v>
      </c>
      <c r="O151" s="25"/>
      <c r="P151" s="25"/>
    </row>
    <row r="152" spans="1:16" ht="26.25" customHeight="1">
      <c r="A152" s="536">
        <f>A150+1</f>
        <v>17</v>
      </c>
      <c r="B152" s="534" t="s">
        <v>88</v>
      </c>
      <c r="C152" s="529">
        <f>'часть 1'!H938</f>
        <v>44029.100000000006</v>
      </c>
      <c r="D152" s="530">
        <f>'часть 1'!K938</f>
        <v>1255</v>
      </c>
      <c r="E152" s="531">
        <v>0</v>
      </c>
      <c r="F152" s="531">
        <v>0</v>
      </c>
      <c r="G152" s="531">
        <v>0</v>
      </c>
      <c r="H152" s="531">
        <v>6</v>
      </c>
      <c r="I152" s="531">
        <f t="shared" si="36"/>
        <v>6</v>
      </c>
      <c r="J152" s="532">
        <v>0</v>
      </c>
      <c r="K152" s="532">
        <v>0</v>
      </c>
      <c r="L152" s="532">
        <v>0</v>
      </c>
      <c r="M152" s="532">
        <f>'часть 1'!L938</f>
        <v>29383642</v>
      </c>
      <c r="N152" s="532">
        <f t="shared" si="56"/>
        <v>29383642</v>
      </c>
      <c r="P152" s="25"/>
    </row>
    <row r="153" spans="1:16" ht="26.25" customHeight="1">
      <c r="A153" s="536">
        <f t="shared" ref="A153:A159" si="57">A152+1</f>
        <v>18</v>
      </c>
      <c r="B153" s="534" t="s">
        <v>132</v>
      </c>
      <c r="C153" s="529">
        <f>'часть 1'!H945</f>
        <v>781</v>
      </c>
      <c r="D153" s="530">
        <f>'часть 1'!K945</f>
        <v>22</v>
      </c>
      <c r="E153" s="531">
        <v>0</v>
      </c>
      <c r="F153" s="531">
        <v>0</v>
      </c>
      <c r="G153" s="531">
        <v>0</v>
      </c>
      <c r="H153" s="531">
        <v>1</v>
      </c>
      <c r="I153" s="531">
        <f t="shared" si="36"/>
        <v>1</v>
      </c>
      <c r="J153" s="532">
        <v>0</v>
      </c>
      <c r="K153" s="532">
        <v>0</v>
      </c>
      <c r="L153" s="532">
        <v>0</v>
      </c>
      <c r="M153" s="532">
        <f>'часть 1'!L945</f>
        <v>1107622</v>
      </c>
      <c r="N153" s="532">
        <f>M153</f>
        <v>1107622</v>
      </c>
      <c r="P153" s="25"/>
    </row>
    <row r="154" spans="1:16" ht="26.25" customHeight="1">
      <c r="A154" s="536">
        <f t="shared" si="57"/>
        <v>19</v>
      </c>
      <c r="B154" s="534" t="s">
        <v>110</v>
      </c>
      <c r="C154" s="529">
        <f>'часть 1'!H948</f>
        <v>894.6</v>
      </c>
      <c r="D154" s="530">
        <f>'часть 1'!K948</f>
        <v>57</v>
      </c>
      <c r="E154" s="531">
        <v>0</v>
      </c>
      <c r="F154" s="531">
        <v>0</v>
      </c>
      <c r="G154" s="531">
        <v>0</v>
      </c>
      <c r="H154" s="531">
        <v>1</v>
      </c>
      <c r="I154" s="531">
        <f t="shared" si="36"/>
        <v>1</v>
      </c>
      <c r="J154" s="532">
        <v>0</v>
      </c>
      <c r="K154" s="532">
        <v>0</v>
      </c>
      <c r="L154" s="532">
        <v>0</v>
      </c>
      <c r="M154" s="532">
        <v>2348226</v>
      </c>
      <c r="N154" s="532">
        <f t="shared" ref="N154:N159" si="58">M154</f>
        <v>2348226</v>
      </c>
      <c r="P154" s="25"/>
    </row>
    <row r="155" spans="1:16" ht="26.25" customHeight="1">
      <c r="A155" s="536">
        <f t="shared" si="57"/>
        <v>20</v>
      </c>
      <c r="B155" s="534" t="s">
        <v>128</v>
      </c>
      <c r="C155" s="529">
        <f>'часть 1'!H949</f>
        <v>11540.800000000001</v>
      </c>
      <c r="D155" s="530">
        <f>'часть 1'!K949</f>
        <v>394</v>
      </c>
      <c r="E155" s="531">
        <v>0</v>
      </c>
      <c r="F155" s="531">
        <v>0</v>
      </c>
      <c r="G155" s="531">
        <v>0</v>
      </c>
      <c r="H155" s="531">
        <v>4</v>
      </c>
      <c r="I155" s="531">
        <f t="shared" si="36"/>
        <v>4</v>
      </c>
      <c r="J155" s="532">
        <v>0</v>
      </c>
      <c r="K155" s="532">
        <v>0</v>
      </c>
      <c r="L155" s="532">
        <v>0</v>
      </c>
      <c r="M155" s="532">
        <f>'часть 1'!L949</f>
        <v>9209860</v>
      </c>
      <c r="N155" s="532">
        <f t="shared" si="58"/>
        <v>9209860</v>
      </c>
      <c r="P155" s="25"/>
    </row>
    <row r="156" spans="1:16" ht="26.25" customHeight="1">
      <c r="A156" s="536"/>
      <c r="B156" s="534" t="s">
        <v>668</v>
      </c>
      <c r="C156" s="529">
        <v>687.8</v>
      </c>
      <c r="D156" s="530">
        <v>23</v>
      </c>
      <c r="E156" s="531">
        <v>0</v>
      </c>
      <c r="F156" s="531">
        <v>0</v>
      </c>
      <c r="G156" s="531">
        <v>0</v>
      </c>
      <c r="H156" s="531">
        <v>1</v>
      </c>
      <c r="I156" s="531">
        <f t="shared" si="36"/>
        <v>1</v>
      </c>
      <c r="J156" s="532">
        <v>0</v>
      </c>
      <c r="K156" s="532">
        <v>0</v>
      </c>
      <c r="L156" s="532">
        <v>0</v>
      </c>
      <c r="M156" s="532">
        <v>1720569</v>
      </c>
      <c r="N156" s="532">
        <v>1720569</v>
      </c>
      <c r="P156" s="25"/>
    </row>
    <row r="157" spans="1:16" ht="25.5">
      <c r="A157" s="236">
        <f>A155+1</f>
        <v>21</v>
      </c>
      <c r="B157" s="253" t="s">
        <v>994</v>
      </c>
      <c r="C157" s="249">
        <f>'часть 1'!H958</f>
        <v>932.40000000000009</v>
      </c>
      <c r="D157" s="250">
        <f>'часть 1'!K958</f>
        <v>55</v>
      </c>
      <c r="E157" s="252">
        <v>0</v>
      </c>
      <c r="F157" s="252">
        <v>0</v>
      </c>
      <c r="G157" s="252">
        <v>0</v>
      </c>
      <c r="H157" s="252">
        <v>2</v>
      </c>
      <c r="I157" s="252">
        <f t="shared" si="36"/>
        <v>2</v>
      </c>
      <c r="J157" s="251">
        <v>0</v>
      </c>
      <c r="K157" s="251">
        <v>0</v>
      </c>
      <c r="L157" s="251">
        <v>0</v>
      </c>
      <c r="M157" s="251">
        <f>'часть 1'!L958</f>
        <v>580386</v>
      </c>
      <c r="N157" s="251">
        <f t="shared" si="58"/>
        <v>580386</v>
      </c>
      <c r="P157" s="25"/>
    </row>
    <row r="158" spans="1:16" ht="27.75" customHeight="1">
      <c r="A158" s="236">
        <f t="shared" si="57"/>
        <v>22</v>
      </c>
      <c r="B158" s="253" t="s">
        <v>111</v>
      </c>
      <c r="C158" s="249">
        <f>'часть 1'!H506</f>
        <v>13232.03</v>
      </c>
      <c r="D158" s="250">
        <f>'часть 1'!K506</f>
        <v>487</v>
      </c>
      <c r="E158" s="252">
        <v>0</v>
      </c>
      <c r="F158" s="252">
        <v>0</v>
      </c>
      <c r="G158" s="252">
        <v>0</v>
      </c>
      <c r="H158" s="252">
        <v>1</v>
      </c>
      <c r="I158" s="252">
        <f t="shared" si="36"/>
        <v>1</v>
      </c>
      <c r="J158" s="251">
        <v>0</v>
      </c>
      <c r="K158" s="251">
        <v>0</v>
      </c>
      <c r="L158" s="251">
        <v>0</v>
      </c>
      <c r="M158" s="251">
        <f>'часть 1'!L506</f>
        <v>4688365</v>
      </c>
      <c r="N158" s="251">
        <f t="shared" si="58"/>
        <v>4688365</v>
      </c>
      <c r="P158" s="25"/>
    </row>
    <row r="159" spans="1:16" ht="27.75" customHeight="1">
      <c r="A159" s="536">
        <f t="shared" si="57"/>
        <v>23</v>
      </c>
      <c r="B159" s="534" t="s">
        <v>129</v>
      </c>
      <c r="C159" s="529">
        <f>'часть 1'!H963</f>
        <v>1028</v>
      </c>
      <c r="D159" s="530">
        <f>'часть 1'!K963</f>
        <v>47</v>
      </c>
      <c r="E159" s="531">
        <v>0</v>
      </c>
      <c r="F159" s="531">
        <v>0</v>
      </c>
      <c r="G159" s="531">
        <v>0</v>
      </c>
      <c r="H159" s="531">
        <v>1</v>
      </c>
      <c r="I159" s="531">
        <f t="shared" si="36"/>
        <v>1</v>
      </c>
      <c r="J159" s="532">
        <v>0</v>
      </c>
      <c r="K159" s="532">
        <v>0</v>
      </c>
      <c r="L159" s="532">
        <v>0</v>
      </c>
      <c r="M159" s="532">
        <f>'часть 1'!L963</f>
        <v>1430935</v>
      </c>
      <c r="N159" s="532">
        <f t="shared" si="58"/>
        <v>1430935</v>
      </c>
      <c r="P159" s="25"/>
    </row>
    <row r="160" spans="1:16">
      <c r="A160" s="236"/>
      <c r="B160" s="255" t="s">
        <v>54</v>
      </c>
      <c r="C160" s="249">
        <f>C161</f>
        <v>0</v>
      </c>
      <c r="D160" s="250">
        <f t="shared" ref="D160:N160" si="59">D161</f>
        <v>0</v>
      </c>
      <c r="E160" s="252">
        <f t="shared" si="59"/>
        <v>0</v>
      </c>
      <c r="F160" s="252">
        <f t="shared" si="59"/>
        <v>0</v>
      </c>
      <c r="G160" s="252">
        <f t="shared" si="59"/>
        <v>0</v>
      </c>
      <c r="H160" s="252" t="e">
        <f t="shared" si="59"/>
        <v>#REF!</v>
      </c>
      <c r="I160" s="252" t="e">
        <f t="shared" si="36"/>
        <v>#REF!</v>
      </c>
      <c r="J160" s="251">
        <f t="shared" si="59"/>
        <v>0</v>
      </c>
      <c r="K160" s="251">
        <f t="shared" si="59"/>
        <v>0</v>
      </c>
      <c r="L160" s="251">
        <f t="shared" si="59"/>
        <v>0</v>
      </c>
      <c r="M160" s="251">
        <f t="shared" si="59"/>
        <v>0</v>
      </c>
      <c r="N160" s="251">
        <f t="shared" si="59"/>
        <v>0</v>
      </c>
      <c r="O160" s="25"/>
      <c r="P160" s="25"/>
    </row>
    <row r="161" spans="1:16" ht="25.5">
      <c r="A161" s="236">
        <f>A159+1</f>
        <v>24</v>
      </c>
      <c r="B161" s="253" t="s">
        <v>112</v>
      </c>
      <c r="C161" s="249">
        <f>'часть 1'!H514</f>
        <v>0</v>
      </c>
      <c r="D161" s="250">
        <f>'часть 1'!K514</f>
        <v>0</v>
      </c>
      <c r="E161" s="252">
        <v>0</v>
      </c>
      <c r="F161" s="252">
        <v>0</v>
      </c>
      <c r="G161" s="252">
        <v>0</v>
      </c>
      <c r="H161" s="252" t="e">
        <f>'часть 2'!#REF!</f>
        <v>#REF!</v>
      </c>
      <c r="I161" s="252" t="e">
        <f t="shared" si="36"/>
        <v>#REF!</v>
      </c>
      <c r="J161" s="251">
        <v>0</v>
      </c>
      <c r="K161" s="251">
        <v>0</v>
      </c>
      <c r="L161" s="251">
        <v>0</v>
      </c>
      <c r="M161" s="251">
        <f>'часть 1'!L514</f>
        <v>0</v>
      </c>
      <c r="N161" s="251">
        <f>M161</f>
        <v>0</v>
      </c>
      <c r="P161" s="25"/>
    </row>
    <row r="162" spans="1:16">
      <c r="A162" s="236"/>
      <c r="B162" s="255" t="s">
        <v>55</v>
      </c>
      <c r="C162" s="249">
        <f>C163</f>
        <v>561.4</v>
      </c>
      <c r="D162" s="249">
        <f t="shared" ref="D162:N162" si="60">D163</f>
        <v>19</v>
      </c>
      <c r="E162" s="249">
        <f t="shared" si="60"/>
        <v>0</v>
      </c>
      <c r="F162" s="249">
        <f t="shared" si="60"/>
        <v>0</v>
      </c>
      <c r="G162" s="249">
        <f t="shared" si="60"/>
        <v>1</v>
      </c>
      <c r="H162" s="249">
        <f t="shared" si="60"/>
        <v>0</v>
      </c>
      <c r="I162" s="249">
        <f t="shared" si="60"/>
        <v>1</v>
      </c>
      <c r="J162" s="251">
        <f t="shared" si="60"/>
        <v>0</v>
      </c>
      <c r="K162" s="251">
        <f t="shared" si="60"/>
        <v>0</v>
      </c>
      <c r="L162" s="251">
        <f t="shared" si="60"/>
        <v>1739787</v>
      </c>
      <c r="M162" s="251">
        <f t="shared" si="60"/>
        <v>0</v>
      </c>
      <c r="N162" s="251">
        <f t="shared" si="60"/>
        <v>1739787</v>
      </c>
      <c r="O162" s="25"/>
      <c r="P162" s="25"/>
    </row>
    <row r="163" spans="1:16" ht="25.5">
      <c r="A163" s="536">
        <v>38</v>
      </c>
      <c r="B163" s="534" t="s">
        <v>590</v>
      </c>
      <c r="C163" s="529">
        <v>561.4</v>
      </c>
      <c r="D163" s="530">
        <v>19</v>
      </c>
      <c r="E163" s="531">
        <v>0</v>
      </c>
      <c r="F163" s="531">
        <v>0</v>
      </c>
      <c r="G163" s="531">
        <v>1</v>
      </c>
      <c r="H163" s="531">
        <v>0</v>
      </c>
      <c r="I163" s="531">
        <f t="shared" si="36"/>
        <v>1</v>
      </c>
      <c r="J163" s="532">
        <v>0</v>
      </c>
      <c r="K163" s="532">
        <v>0</v>
      </c>
      <c r="L163" s="532">
        <v>1739787</v>
      </c>
      <c r="M163" s="532">
        <v>0</v>
      </c>
      <c r="N163" s="532">
        <f>M163+L163+K163+J163</f>
        <v>1739787</v>
      </c>
      <c r="P163" s="25"/>
    </row>
    <row r="164" spans="1:16">
      <c r="A164" s="236"/>
      <c r="B164" s="255" t="s">
        <v>56</v>
      </c>
      <c r="C164" s="249">
        <f>'часть 1'!H523</f>
        <v>23801.1</v>
      </c>
      <c r="D164" s="250">
        <f>'часть 1'!K523</f>
        <v>702</v>
      </c>
      <c r="E164" s="252">
        <f t="shared" ref="E164:H164" si="61">E165+E166+E167</f>
        <v>0</v>
      </c>
      <c r="F164" s="252">
        <f t="shared" si="61"/>
        <v>0</v>
      </c>
      <c r="G164" s="252">
        <f t="shared" si="61"/>
        <v>0</v>
      </c>
      <c r="H164" s="252" t="e">
        <f t="shared" si="61"/>
        <v>#REF!</v>
      </c>
      <c r="I164" s="252" t="e">
        <f t="shared" si="36"/>
        <v>#REF!</v>
      </c>
      <c r="J164" s="251">
        <f t="shared" ref="J164:L164" si="62">J165+J166+J167</f>
        <v>0</v>
      </c>
      <c r="K164" s="251">
        <f t="shared" si="62"/>
        <v>0</v>
      </c>
      <c r="L164" s="251">
        <f t="shared" si="62"/>
        <v>0</v>
      </c>
      <c r="M164" s="251">
        <f>M165+M166+M167</f>
        <v>12623452</v>
      </c>
      <c r="N164" s="251">
        <f t="shared" ref="N164" si="63">N165+N166+N167</f>
        <v>12623452</v>
      </c>
      <c r="O164" s="25"/>
      <c r="P164" s="25"/>
    </row>
    <row r="165" spans="1:16" ht="25.5">
      <c r="A165" s="536">
        <v>39</v>
      </c>
      <c r="B165" s="534" t="s">
        <v>424</v>
      </c>
      <c r="C165" s="529">
        <f>'часть 1'!H979</f>
        <v>5703</v>
      </c>
      <c r="D165" s="530">
        <f>'часть 1'!K979</f>
        <v>262</v>
      </c>
      <c r="E165" s="531">
        <v>0</v>
      </c>
      <c r="F165" s="531">
        <v>0</v>
      </c>
      <c r="G165" s="531">
        <v>0</v>
      </c>
      <c r="H165" s="531">
        <v>6</v>
      </c>
      <c r="I165" s="531">
        <f t="shared" si="36"/>
        <v>6</v>
      </c>
      <c r="J165" s="532">
        <v>0</v>
      </c>
      <c r="K165" s="532">
        <v>0</v>
      </c>
      <c r="L165" s="532">
        <v>0</v>
      </c>
      <c r="M165" s="532">
        <f>'часть 1'!L979</f>
        <v>8669678</v>
      </c>
      <c r="N165" s="532">
        <f>M165</f>
        <v>8669678</v>
      </c>
      <c r="P165" s="25"/>
    </row>
    <row r="166" spans="1:16" ht="25.5">
      <c r="A166" s="236">
        <v>40</v>
      </c>
      <c r="B166" s="253" t="s">
        <v>121</v>
      </c>
      <c r="C166" s="249">
        <f>'часть 1'!H986</f>
        <v>1293.3000000000002</v>
      </c>
      <c r="D166" s="250">
        <f>'часть 1'!K986</f>
        <v>57</v>
      </c>
      <c r="E166" s="252">
        <v>0</v>
      </c>
      <c r="F166" s="252">
        <v>0</v>
      </c>
      <c r="G166" s="252">
        <v>0</v>
      </c>
      <c r="H166" s="252">
        <v>3</v>
      </c>
      <c r="I166" s="252">
        <f t="shared" si="36"/>
        <v>3</v>
      </c>
      <c r="J166" s="251">
        <v>0</v>
      </c>
      <c r="K166" s="251">
        <v>0</v>
      </c>
      <c r="L166" s="251">
        <v>0</v>
      </c>
      <c r="M166" s="251">
        <f>'часть 1'!L986</f>
        <v>2114731</v>
      </c>
      <c r="N166" s="251">
        <f>M166</f>
        <v>2114731</v>
      </c>
      <c r="O166" s="25"/>
      <c r="P166" s="25"/>
    </row>
    <row r="167" spans="1:16" ht="25.5">
      <c r="A167" s="236">
        <v>41</v>
      </c>
      <c r="B167" s="253" t="s">
        <v>120</v>
      </c>
      <c r="C167" s="249">
        <f>'часть 1'!H537</f>
        <v>4504.3</v>
      </c>
      <c r="D167" s="250">
        <f>'часть 1'!K537</f>
        <v>203</v>
      </c>
      <c r="E167" s="252">
        <v>0</v>
      </c>
      <c r="F167" s="252">
        <v>0</v>
      </c>
      <c r="G167" s="252">
        <v>0</v>
      </c>
      <c r="H167" s="252" t="e">
        <f>'часть 2'!#REF!</f>
        <v>#REF!</v>
      </c>
      <c r="I167" s="252" t="e">
        <f t="shared" si="36"/>
        <v>#REF!</v>
      </c>
      <c r="J167" s="251">
        <v>0</v>
      </c>
      <c r="K167" s="251">
        <v>0</v>
      </c>
      <c r="L167" s="251">
        <v>0</v>
      </c>
      <c r="M167" s="251">
        <f>'часть 1'!L537</f>
        <v>1839043</v>
      </c>
      <c r="N167" s="251">
        <f>M167</f>
        <v>1839043</v>
      </c>
      <c r="O167" s="25"/>
      <c r="P167" s="25"/>
    </row>
    <row r="168" spans="1:16">
      <c r="A168" s="236"/>
      <c r="B168" s="255" t="s">
        <v>57</v>
      </c>
      <c r="C168" s="249">
        <f>C169</f>
        <v>4519.1000000000004</v>
      </c>
      <c r="D168" s="250">
        <f t="shared" ref="D168:L168" si="64">D169</f>
        <v>141</v>
      </c>
      <c r="E168" s="252">
        <f t="shared" si="64"/>
        <v>0</v>
      </c>
      <c r="F168" s="252">
        <f t="shared" si="64"/>
        <v>0</v>
      </c>
      <c r="G168" s="252">
        <f t="shared" si="64"/>
        <v>0</v>
      </c>
      <c r="H168" s="252">
        <f t="shared" si="64"/>
        <v>2</v>
      </c>
      <c r="I168" s="252">
        <f t="shared" si="36"/>
        <v>2</v>
      </c>
      <c r="J168" s="251">
        <f t="shared" si="64"/>
        <v>0</v>
      </c>
      <c r="K168" s="251">
        <f t="shared" si="64"/>
        <v>0</v>
      </c>
      <c r="L168" s="251">
        <f t="shared" si="64"/>
        <v>0</v>
      </c>
      <c r="M168" s="251">
        <f>M169</f>
        <v>2547865</v>
      </c>
      <c r="N168" s="251">
        <f>N169</f>
        <v>2547865</v>
      </c>
      <c r="P168" s="25"/>
    </row>
    <row r="169" spans="1:16" ht="25.5">
      <c r="A169" s="236">
        <v>42</v>
      </c>
      <c r="B169" s="253" t="s">
        <v>119</v>
      </c>
      <c r="C169" s="249">
        <f>'часть 1'!H993</f>
        <v>4519.1000000000004</v>
      </c>
      <c r="D169" s="250">
        <f>'часть 1'!K993</f>
        <v>141</v>
      </c>
      <c r="E169" s="252">
        <v>0</v>
      </c>
      <c r="F169" s="252">
        <v>0</v>
      </c>
      <c r="G169" s="252">
        <v>0</v>
      </c>
      <c r="H169" s="252">
        <v>2</v>
      </c>
      <c r="I169" s="252">
        <f t="shared" si="36"/>
        <v>2</v>
      </c>
      <c r="J169" s="251">
        <v>0</v>
      </c>
      <c r="K169" s="251">
        <v>0</v>
      </c>
      <c r="L169" s="251">
        <v>0</v>
      </c>
      <c r="M169" s="251">
        <f>'часть 1'!L993</f>
        <v>2547865</v>
      </c>
      <c r="N169" s="251">
        <f>M169</f>
        <v>2547865</v>
      </c>
      <c r="P169" s="25"/>
    </row>
    <row r="170" spans="1:16">
      <c r="A170" s="236"/>
      <c r="B170" s="255" t="s">
        <v>58</v>
      </c>
      <c r="C170" s="249">
        <f>C171</f>
        <v>538.20000000000005</v>
      </c>
      <c r="D170" s="250">
        <f>'часть 1'!K543+'часть 1'!K603</f>
        <v>24</v>
      </c>
      <c r="E170" s="252">
        <f t="shared" ref="E170:N170" si="65">E171</f>
        <v>0</v>
      </c>
      <c r="F170" s="252">
        <f t="shared" si="65"/>
        <v>0</v>
      </c>
      <c r="G170" s="252">
        <f t="shared" si="65"/>
        <v>0</v>
      </c>
      <c r="H170" s="252" t="e">
        <f t="shared" si="65"/>
        <v>#REF!</v>
      </c>
      <c r="I170" s="252" t="e">
        <f t="shared" si="36"/>
        <v>#REF!</v>
      </c>
      <c r="J170" s="251">
        <f t="shared" si="65"/>
        <v>0</v>
      </c>
      <c r="K170" s="251">
        <f t="shared" si="65"/>
        <v>0</v>
      </c>
      <c r="L170" s="251">
        <f t="shared" si="65"/>
        <v>0</v>
      </c>
      <c r="M170" s="251">
        <f t="shared" si="65"/>
        <v>974618</v>
      </c>
      <c r="N170" s="251">
        <f t="shared" si="65"/>
        <v>974618</v>
      </c>
      <c r="P170" s="25"/>
    </row>
    <row r="171" spans="1:16" ht="27.75" customHeight="1">
      <c r="A171" s="236">
        <v>43</v>
      </c>
      <c r="B171" s="253" t="s">
        <v>87</v>
      </c>
      <c r="C171" s="249">
        <f>'часть 1'!H543+'часть 1'!H604</f>
        <v>538.20000000000005</v>
      </c>
      <c r="D171" s="250">
        <f>'часть 1'!K604+'часть 1'!K544</f>
        <v>45</v>
      </c>
      <c r="E171" s="252">
        <v>0</v>
      </c>
      <c r="F171" s="252">
        <v>0</v>
      </c>
      <c r="G171" s="252">
        <v>0</v>
      </c>
      <c r="H171" s="252" t="e">
        <f>'часть 2'!#REF!</f>
        <v>#REF!</v>
      </c>
      <c r="I171" s="252" t="e">
        <f t="shared" si="36"/>
        <v>#REF!</v>
      </c>
      <c r="J171" s="251">
        <v>0</v>
      </c>
      <c r="K171" s="251">
        <v>0</v>
      </c>
      <c r="L171" s="251">
        <v>0</v>
      </c>
      <c r="M171" s="251">
        <f>'часть 2'!C516</f>
        <v>974618</v>
      </c>
      <c r="N171" s="251">
        <f>M171</f>
        <v>974618</v>
      </c>
      <c r="P171" s="25"/>
    </row>
    <row r="172" spans="1:16" ht="30" customHeight="1">
      <c r="A172" s="536"/>
      <c r="B172" s="546" t="s">
        <v>59</v>
      </c>
      <c r="C172" s="529">
        <f>C173+C174</f>
        <v>0</v>
      </c>
      <c r="D172" s="529">
        <f t="shared" ref="D172:N172" si="66">D173+D174</f>
        <v>0</v>
      </c>
      <c r="E172" s="529">
        <f t="shared" si="66"/>
        <v>0</v>
      </c>
      <c r="F172" s="529">
        <f t="shared" si="66"/>
        <v>0</v>
      </c>
      <c r="G172" s="529">
        <f t="shared" si="66"/>
        <v>0</v>
      </c>
      <c r="H172" s="529">
        <f t="shared" si="66"/>
        <v>0</v>
      </c>
      <c r="I172" s="529">
        <f t="shared" si="66"/>
        <v>0</v>
      </c>
      <c r="J172" s="532">
        <f t="shared" si="66"/>
        <v>0</v>
      </c>
      <c r="K172" s="532">
        <f t="shared" si="66"/>
        <v>0</v>
      </c>
      <c r="L172" s="532">
        <f t="shared" si="66"/>
        <v>0</v>
      </c>
      <c r="M172" s="532">
        <f t="shared" si="66"/>
        <v>0</v>
      </c>
      <c r="N172" s="532">
        <f t="shared" si="66"/>
        <v>0</v>
      </c>
      <c r="P172" s="25"/>
    </row>
    <row r="173" spans="1:16" ht="25.5">
      <c r="A173" s="536">
        <v>44</v>
      </c>
      <c r="B173" s="534" t="s">
        <v>86</v>
      </c>
      <c r="C173" s="529">
        <f>'часть 1'!H607</f>
        <v>0</v>
      </c>
      <c r="D173" s="530">
        <f>'часть 1'!K607</f>
        <v>0</v>
      </c>
      <c r="E173" s="531">
        <v>0</v>
      </c>
      <c r="F173" s="531">
        <v>0</v>
      </c>
      <c r="G173" s="531">
        <v>0</v>
      </c>
      <c r="H173" s="531">
        <v>0</v>
      </c>
      <c r="I173" s="531">
        <v>0</v>
      </c>
      <c r="J173" s="532">
        <v>0</v>
      </c>
      <c r="K173" s="532">
        <v>0</v>
      </c>
      <c r="L173" s="532">
        <v>0</v>
      </c>
      <c r="M173" s="532">
        <v>0</v>
      </c>
      <c r="N173" s="532">
        <f>M173</f>
        <v>0</v>
      </c>
      <c r="P173" s="25"/>
    </row>
    <row r="174" spans="1:16" ht="25.5">
      <c r="A174" s="536">
        <v>45</v>
      </c>
      <c r="B174" s="534" t="s">
        <v>85</v>
      </c>
      <c r="C174" s="529">
        <f>'часть 1'!H662</f>
        <v>0</v>
      </c>
      <c r="D174" s="530">
        <f>'часть 1'!K662</f>
        <v>0</v>
      </c>
      <c r="E174" s="531">
        <v>0</v>
      </c>
      <c r="F174" s="531">
        <v>0</v>
      </c>
      <c r="G174" s="531">
        <v>0</v>
      </c>
      <c r="H174" s="531">
        <v>0</v>
      </c>
      <c r="I174" s="531">
        <f t="shared" ref="I174:I180" si="67">H174+G174</f>
        <v>0</v>
      </c>
      <c r="J174" s="532">
        <v>0</v>
      </c>
      <c r="K174" s="532">
        <v>0</v>
      </c>
      <c r="L174" s="532">
        <v>0</v>
      </c>
      <c r="M174" s="532">
        <v>0</v>
      </c>
      <c r="N174" s="532">
        <f>M174</f>
        <v>0</v>
      </c>
      <c r="P174" s="25"/>
    </row>
    <row r="175" spans="1:16">
      <c r="A175" s="236"/>
      <c r="B175" s="255" t="s">
        <v>60</v>
      </c>
      <c r="C175" s="249">
        <f>'часть 1'!H554</f>
        <v>640.4</v>
      </c>
      <c r="D175" s="250">
        <f>'часть 1'!K554</f>
        <v>19</v>
      </c>
      <c r="E175" s="252">
        <f t="shared" ref="E175:N175" si="68">E177</f>
        <v>0</v>
      </c>
      <c r="F175" s="252">
        <f t="shared" si="68"/>
        <v>0</v>
      </c>
      <c r="G175" s="252">
        <f t="shared" si="68"/>
        <v>3</v>
      </c>
      <c r="H175" s="252">
        <f t="shared" si="68"/>
        <v>0</v>
      </c>
      <c r="I175" s="252">
        <f t="shared" si="67"/>
        <v>3</v>
      </c>
      <c r="J175" s="251">
        <f t="shared" si="68"/>
        <v>0</v>
      </c>
      <c r="K175" s="251">
        <f t="shared" si="68"/>
        <v>0</v>
      </c>
      <c r="L175" s="251">
        <f t="shared" si="68"/>
        <v>4886972</v>
      </c>
      <c r="M175" s="251">
        <f t="shared" si="68"/>
        <v>0</v>
      </c>
      <c r="N175" s="251">
        <f t="shared" si="68"/>
        <v>4886972</v>
      </c>
      <c r="P175" s="25"/>
    </row>
    <row r="176" spans="1:16">
      <c r="A176" s="536"/>
      <c r="B176" s="546" t="s">
        <v>208</v>
      </c>
      <c r="C176" s="529">
        <f>'часть 1'!H1013</f>
        <v>274.14</v>
      </c>
      <c r="D176" s="530">
        <f>'часть 1'!K1015</f>
        <v>13</v>
      </c>
      <c r="E176" s="531">
        <v>0</v>
      </c>
      <c r="F176" s="531">
        <v>0</v>
      </c>
      <c r="G176" s="531">
        <v>0</v>
      </c>
      <c r="H176" s="531">
        <v>1</v>
      </c>
      <c r="I176" s="531">
        <f t="shared" si="67"/>
        <v>1</v>
      </c>
      <c r="J176" s="532">
        <v>0</v>
      </c>
      <c r="K176" s="532">
        <v>0</v>
      </c>
      <c r="L176" s="532">
        <v>0</v>
      </c>
      <c r="M176" s="532">
        <v>423156</v>
      </c>
      <c r="N176" s="532">
        <f>M176+L176+K176+J176</f>
        <v>423156</v>
      </c>
      <c r="P176" s="25"/>
    </row>
    <row r="177" spans="1:16">
      <c r="A177" s="536">
        <v>46</v>
      </c>
      <c r="B177" s="534" t="s">
        <v>61</v>
      </c>
      <c r="C177" s="529">
        <v>1469.14</v>
      </c>
      <c r="D177" s="530">
        <v>75</v>
      </c>
      <c r="E177" s="531">
        <v>0</v>
      </c>
      <c r="F177" s="531">
        <v>0</v>
      </c>
      <c r="G177" s="531">
        <v>3</v>
      </c>
      <c r="H177" s="531">
        <v>0</v>
      </c>
      <c r="I177" s="531">
        <f t="shared" si="67"/>
        <v>3</v>
      </c>
      <c r="J177" s="532">
        <v>0</v>
      </c>
      <c r="K177" s="532">
        <v>0</v>
      </c>
      <c r="L177" s="532">
        <v>4886972</v>
      </c>
      <c r="M177" s="532">
        <v>0</v>
      </c>
      <c r="N177" s="532">
        <f>M177+L177+K177+J177</f>
        <v>4886972</v>
      </c>
      <c r="P177" s="25"/>
    </row>
    <row r="178" spans="1:16">
      <c r="A178" s="236"/>
      <c r="B178" s="255" t="s">
        <v>649</v>
      </c>
      <c r="C178" s="249">
        <f>1391.4+1391.4</f>
        <v>2782.8</v>
      </c>
      <c r="D178" s="250">
        <f>39+37</f>
        <v>76</v>
      </c>
      <c r="E178" s="252">
        <v>0</v>
      </c>
      <c r="F178" s="252">
        <v>0</v>
      </c>
      <c r="G178" s="252">
        <v>2</v>
      </c>
      <c r="H178" s="252">
        <v>0</v>
      </c>
      <c r="I178" s="252">
        <v>2</v>
      </c>
      <c r="J178" s="251">
        <v>0</v>
      </c>
      <c r="K178" s="251">
        <v>0</v>
      </c>
      <c r="L178" s="251">
        <f>788836+788836</f>
        <v>1577672</v>
      </c>
      <c r="M178" s="251">
        <v>0</v>
      </c>
      <c r="N178" s="251">
        <f>788836+788836</f>
        <v>1577672</v>
      </c>
      <c r="P178" s="25"/>
    </row>
    <row r="179" spans="1:16">
      <c r="A179" s="536">
        <v>47</v>
      </c>
      <c r="B179" s="534" t="s">
        <v>62</v>
      </c>
      <c r="C179" s="529">
        <f>'часть 1'!H1026</f>
        <v>403.4</v>
      </c>
      <c r="D179" s="530">
        <v>17</v>
      </c>
      <c r="E179" s="531">
        <v>0</v>
      </c>
      <c r="F179" s="531">
        <v>0</v>
      </c>
      <c r="G179" s="531">
        <v>1</v>
      </c>
      <c r="H179" s="531">
        <v>0</v>
      </c>
      <c r="I179" s="531">
        <f t="shared" si="67"/>
        <v>1</v>
      </c>
      <c r="J179" s="532">
        <v>0</v>
      </c>
      <c r="K179" s="532">
        <v>0</v>
      </c>
      <c r="L179" s="532">
        <v>1134905</v>
      </c>
      <c r="M179" s="532">
        <v>0</v>
      </c>
      <c r="N179" s="532">
        <f>M179+L179+K179+J179</f>
        <v>1134905</v>
      </c>
      <c r="P179" s="25"/>
    </row>
    <row r="180" spans="1:16">
      <c r="A180" s="236"/>
      <c r="B180" s="255" t="s">
        <v>211</v>
      </c>
      <c r="C180" s="249">
        <f>'часть 1'!H1038</f>
        <v>1161.3</v>
      </c>
      <c r="D180" s="250">
        <f>'часть 1'!K1038</f>
        <v>32</v>
      </c>
      <c r="E180" s="252">
        <f>E182</f>
        <v>0</v>
      </c>
      <c r="F180" s="252">
        <f>F182</f>
        <v>0</v>
      </c>
      <c r="G180" s="252">
        <f>G182</f>
        <v>0</v>
      </c>
      <c r="H180" s="250">
        <v>2</v>
      </c>
      <c r="I180" s="252">
        <f t="shared" si="67"/>
        <v>2</v>
      </c>
      <c r="J180" s="251">
        <f>J182</f>
        <v>0</v>
      </c>
      <c r="K180" s="251">
        <f>K182</f>
        <v>0</v>
      </c>
      <c r="L180" s="251">
        <f>L182</f>
        <v>0</v>
      </c>
      <c r="M180" s="251">
        <f>'часть 1'!L1038</f>
        <v>3125223</v>
      </c>
      <c r="N180" s="251">
        <f>M180+L180+K180+J180</f>
        <v>3125223</v>
      </c>
      <c r="P180" s="25"/>
    </row>
    <row r="181" spans="1:16">
      <c r="A181" s="536"/>
      <c r="B181" s="546" t="s">
        <v>63</v>
      </c>
      <c r="C181" s="529">
        <f>'часть 1'!H1028</f>
        <v>1388.4</v>
      </c>
      <c r="D181" s="530">
        <f>'часть 1'!K1028</f>
        <v>39</v>
      </c>
      <c r="E181" s="531">
        <v>0</v>
      </c>
      <c r="F181" s="531">
        <v>0</v>
      </c>
      <c r="G181" s="531">
        <v>0</v>
      </c>
      <c r="H181" s="530">
        <v>2</v>
      </c>
      <c r="I181" s="531">
        <v>2</v>
      </c>
      <c r="J181" s="532">
        <v>0</v>
      </c>
      <c r="K181" s="532">
        <v>0</v>
      </c>
      <c r="L181" s="532">
        <v>0</v>
      </c>
      <c r="M181" s="532">
        <v>2751167</v>
      </c>
      <c r="N181" s="532">
        <f>M181+L181+K181+J181</f>
        <v>2751167</v>
      </c>
      <c r="P181" s="25"/>
    </row>
    <row r="182" spans="1:16" ht="20.45" customHeight="1">
      <c r="A182" s="236"/>
      <c r="B182" s="253" t="s">
        <v>64</v>
      </c>
      <c r="C182" s="249">
        <f>C183</f>
        <v>1981.8</v>
      </c>
      <c r="D182" s="249">
        <f t="shared" ref="D182:N182" si="69">D183</f>
        <v>66</v>
      </c>
      <c r="E182" s="249">
        <f t="shared" si="69"/>
        <v>0</v>
      </c>
      <c r="F182" s="249">
        <f t="shared" si="69"/>
        <v>0</v>
      </c>
      <c r="G182" s="249">
        <f t="shared" si="69"/>
        <v>0</v>
      </c>
      <c r="H182" s="249">
        <f t="shared" si="69"/>
        <v>4</v>
      </c>
      <c r="I182" s="249">
        <f t="shared" si="69"/>
        <v>4</v>
      </c>
      <c r="J182" s="251">
        <f t="shared" si="69"/>
        <v>0</v>
      </c>
      <c r="K182" s="251">
        <f t="shared" si="69"/>
        <v>0</v>
      </c>
      <c r="L182" s="251">
        <f t="shared" si="69"/>
        <v>0</v>
      </c>
      <c r="M182" s="251">
        <f t="shared" si="69"/>
        <v>5819333</v>
      </c>
      <c r="N182" s="251">
        <f t="shared" si="69"/>
        <v>5819333</v>
      </c>
      <c r="P182" s="25"/>
    </row>
    <row r="183" spans="1:16" ht="27" customHeight="1">
      <c r="A183" s="536">
        <v>49</v>
      </c>
      <c r="B183" s="534" t="s">
        <v>115</v>
      </c>
      <c r="C183" s="529">
        <v>1981.8</v>
      </c>
      <c r="D183" s="530">
        <v>66</v>
      </c>
      <c r="E183" s="531">
        <v>0</v>
      </c>
      <c r="F183" s="531">
        <v>0</v>
      </c>
      <c r="G183" s="531">
        <v>0</v>
      </c>
      <c r="H183" s="531">
        <v>4</v>
      </c>
      <c r="I183" s="531">
        <f t="shared" ref="I183:I185" si="70">H183+G183</f>
        <v>4</v>
      </c>
      <c r="J183" s="532">
        <v>0</v>
      </c>
      <c r="K183" s="532">
        <v>0</v>
      </c>
      <c r="L183" s="532">
        <v>0</v>
      </c>
      <c r="M183" s="532">
        <v>5819333</v>
      </c>
      <c r="N183" s="532">
        <f>M183</f>
        <v>5819333</v>
      </c>
      <c r="P183" s="25"/>
    </row>
    <row r="184" spans="1:16">
      <c r="A184" s="236"/>
      <c r="B184" s="255" t="s">
        <v>66</v>
      </c>
      <c r="C184" s="249">
        <f>C185</f>
        <v>1156.8</v>
      </c>
      <c r="D184" s="249">
        <f t="shared" ref="D184:N184" si="71">D185</f>
        <v>44</v>
      </c>
      <c r="E184" s="249">
        <f t="shared" si="71"/>
        <v>0</v>
      </c>
      <c r="F184" s="249">
        <f t="shared" si="71"/>
        <v>0</v>
      </c>
      <c r="G184" s="249">
        <f t="shared" si="71"/>
        <v>0</v>
      </c>
      <c r="H184" s="249">
        <f t="shared" si="71"/>
        <v>1</v>
      </c>
      <c r="I184" s="249">
        <f t="shared" si="71"/>
        <v>1</v>
      </c>
      <c r="J184" s="251">
        <f t="shared" si="71"/>
        <v>0</v>
      </c>
      <c r="K184" s="251">
        <f t="shared" si="71"/>
        <v>0</v>
      </c>
      <c r="L184" s="251">
        <f t="shared" si="71"/>
        <v>0</v>
      </c>
      <c r="M184" s="251">
        <f t="shared" si="71"/>
        <v>2792955</v>
      </c>
      <c r="N184" s="251">
        <f t="shared" si="71"/>
        <v>2792955</v>
      </c>
      <c r="P184" s="25"/>
    </row>
    <row r="185" spans="1:16" ht="25.5">
      <c r="A185" s="536"/>
      <c r="B185" s="534" t="s">
        <v>114</v>
      </c>
      <c r="C185" s="529">
        <v>1156.8</v>
      </c>
      <c r="D185" s="530">
        <v>44</v>
      </c>
      <c r="E185" s="531">
        <v>0</v>
      </c>
      <c r="F185" s="531">
        <v>0</v>
      </c>
      <c r="G185" s="531">
        <v>0</v>
      </c>
      <c r="H185" s="531">
        <v>1</v>
      </c>
      <c r="I185" s="531">
        <f t="shared" si="70"/>
        <v>1</v>
      </c>
      <c r="J185" s="532">
        <v>0</v>
      </c>
      <c r="K185" s="532">
        <v>0</v>
      </c>
      <c r="L185" s="532">
        <v>0</v>
      </c>
      <c r="M185" s="532">
        <v>2792955</v>
      </c>
      <c r="N185" s="532">
        <f t="shared" ref="N185" si="72">M185</f>
        <v>2792955</v>
      </c>
      <c r="P185" s="25"/>
    </row>
    <row r="186" spans="1:16">
      <c r="A186" s="536"/>
      <c r="B186" s="534"/>
      <c r="C186" s="529"/>
      <c r="D186" s="530"/>
      <c r="E186" s="530"/>
      <c r="F186" s="530"/>
      <c r="G186" s="530"/>
      <c r="H186" s="530"/>
      <c r="I186" s="531"/>
      <c r="J186" s="532"/>
      <c r="K186" s="532"/>
      <c r="L186" s="532"/>
      <c r="M186" s="532"/>
      <c r="N186" s="532"/>
      <c r="P186" s="25"/>
    </row>
    <row r="187" spans="1:16">
      <c r="A187" s="394"/>
      <c r="B187" s="258"/>
      <c r="C187" s="249"/>
      <c r="D187" s="250"/>
      <c r="E187" s="252"/>
      <c r="F187" s="252"/>
      <c r="G187" s="252"/>
      <c r="H187" s="252"/>
      <c r="I187" s="252"/>
      <c r="J187" s="251"/>
      <c r="K187" s="251"/>
      <c r="L187" s="251"/>
      <c r="M187" s="251"/>
      <c r="N187" s="251"/>
      <c r="P187" s="25"/>
    </row>
    <row r="188" spans="1:16" ht="27" customHeight="1">
      <c r="A188" s="236"/>
      <c r="B188" s="257"/>
      <c r="C188" s="249"/>
      <c r="D188" s="250"/>
      <c r="E188" s="252"/>
      <c r="F188" s="252"/>
      <c r="G188" s="252"/>
      <c r="H188" s="252"/>
      <c r="I188" s="252"/>
      <c r="J188" s="251"/>
      <c r="K188" s="251"/>
      <c r="L188" s="251"/>
      <c r="M188" s="251"/>
      <c r="N188" s="251"/>
      <c r="P188" s="25"/>
    </row>
    <row r="189" spans="1:16">
      <c r="A189" s="236"/>
      <c r="B189" s="253"/>
      <c r="C189" s="249"/>
      <c r="D189" s="250"/>
      <c r="E189" s="252"/>
      <c r="F189" s="252"/>
      <c r="G189" s="252"/>
      <c r="H189" s="252"/>
      <c r="I189" s="252"/>
      <c r="J189" s="251"/>
      <c r="K189" s="251"/>
      <c r="L189" s="251"/>
      <c r="M189" s="251"/>
      <c r="N189" s="251"/>
      <c r="P189" s="25"/>
    </row>
    <row r="190" spans="1:16" ht="29.25" customHeight="1">
      <c r="A190" s="236">
        <f>A188+1</f>
        <v>1</v>
      </c>
      <c r="B190" s="253" t="s">
        <v>212</v>
      </c>
      <c r="C190" s="249" t="e">
        <f>'часть 1'!#REF!</f>
        <v>#REF!</v>
      </c>
      <c r="D190" s="250" t="e">
        <f>'часть 1'!#REF!</f>
        <v>#REF!</v>
      </c>
      <c r="E190" s="252">
        <v>0</v>
      </c>
      <c r="F190" s="252">
        <v>0</v>
      </c>
      <c r="G190" s="252">
        <v>0</v>
      </c>
      <c r="H190" s="252">
        <v>1</v>
      </c>
      <c r="I190" s="252">
        <f t="shared" ref="I190:I191" si="73">H190+G190</f>
        <v>1</v>
      </c>
      <c r="J190" s="251">
        <v>0</v>
      </c>
      <c r="K190" s="251">
        <v>0</v>
      </c>
      <c r="L190" s="251">
        <v>0</v>
      </c>
      <c r="M190" s="251">
        <f>'часть 2'!C622</f>
        <v>1870046</v>
      </c>
      <c r="N190" s="251">
        <f>M190</f>
        <v>1870046</v>
      </c>
      <c r="P190" s="25"/>
    </row>
    <row r="191" spans="1:16" ht="27" customHeight="1">
      <c r="A191" s="236">
        <v>54</v>
      </c>
      <c r="B191" s="253" t="s">
        <v>213</v>
      </c>
      <c r="C191" s="249" t="e">
        <f>'часть 1'!#REF!</f>
        <v>#REF!</v>
      </c>
      <c r="D191" s="250" t="e">
        <f>'часть 1'!#REF!</f>
        <v>#REF!</v>
      </c>
      <c r="E191" s="252">
        <v>0</v>
      </c>
      <c r="F191" s="252">
        <v>0</v>
      </c>
      <c r="G191" s="252">
        <v>0</v>
      </c>
      <c r="H191" s="252">
        <v>1</v>
      </c>
      <c r="I191" s="252">
        <f t="shared" si="73"/>
        <v>1</v>
      </c>
      <c r="J191" s="251">
        <v>0</v>
      </c>
      <c r="K191" s="251">
        <v>0</v>
      </c>
      <c r="L191" s="251">
        <v>0</v>
      </c>
      <c r="M191" s="251">
        <f>'часть 2'!C624</f>
        <v>3687908</v>
      </c>
      <c r="N191" s="251">
        <f>M191</f>
        <v>3687908</v>
      </c>
      <c r="P191" s="25"/>
    </row>
    <row r="192" spans="1:16">
      <c r="A192" s="236"/>
      <c r="B192" s="255"/>
      <c r="C192" s="249"/>
      <c r="D192" s="250"/>
      <c r="E192" s="252"/>
      <c r="F192" s="252"/>
      <c r="G192" s="252"/>
      <c r="H192" s="252"/>
      <c r="I192" s="252"/>
      <c r="J192" s="251"/>
      <c r="K192" s="251"/>
      <c r="L192" s="251"/>
      <c r="M192" s="251"/>
      <c r="N192" s="251"/>
      <c r="P192" s="25"/>
    </row>
    <row r="193" spans="1:16">
      <c r="A193" s="536"/>
      <c r="B193" s="534"/>
      <c r="C193" s="529"/>
      <c r="D193" s="530"/>
      <c r="E193" s="531"/>
      <c r="F193" s="531"/>
      <c r="G193" s="531"/>
      <c r="H193" s="531"/>
      <c r="I193" s="531"/>
      <c r="J193" s="532"/>
      <c r="K193" s="532"/>
      <c r="L193" s="532"/>
      <c r="M193" s="532"/>
      <c r="N193" s="532"/>
      <c r="P193" s="25"/>
    </row>
    <row r="194" spans="1:16">
      <c r="A194" s="536">
        <v>56</v>
      </c>
      <c r="B194" s="534" t="s">
        <v>207</v>
      </c>
      <c r="C194" s="529">
        <v>53993.47</v>
      </c>
      <c r="D194" s="530">
        <v>1897</v>
      </c>
      <c r="E194" s="530">
        <v>0</v>
      </c>
      <c r="F194" s="530">
        <v>0</v>
      </c>
      <c r="G194" s="530">
        <v>0</v>
      </c>
      <c r="H194" s="530">
        <v>10</v>
      </c>
      <c r="I194" s="531">
        <f t="shared" ref="I194:I196" si="74">H194+G194</f>
        <v>10</v>
      </c>
      <c r="J194" s="532">
        <v>0</v>
      </c>
      <c r="K194" s="532">
        <v>0</v>
      </c>
      <c r="L194" s="532">
        <v>0</v>
      </c>
      <c r="M194" s="532">
        <v>22164555</v>
      </c>
      <c r="N194" s="532">
        <f>M194</f>
        <v>22164555</v>
      </c>
      <c r="P194" s="25"/>
    </row>
    <row r="195" spans="1:16">
      <c r="A195" s="394"/>
      <c r="B195" s="258" t="s">
        <v>67</v>
      </c>
      <c r="C195" s="249">
        <f>'часть 1'!H585</f>
        <v>0</v>
      </c>
      <c r="D195" s="250">
        <f>'часть 1'!K585</f>
        <v>0</v>
      </c>
      <c r="E195" s="252">
        <v>0</v>
      </c>
      <c r="F195" s="252">
        <v>0</v>
      </c>
      <c r="G195" s="252">
        <f>G196</f>
        <v>1</v>
      </c>
      <c r="H195" s="252">
        <f>H196+H197</f>
        <v>0</v>
      </c>
      <c r="I195" s="252">
        <f t="shared" si="74"/>
        <v>1</v>
      </c>
      <c r="J195" s="251">
        <v>0</v>
      </c>
      <c r="K195" s="251">
        <v>0</v>
      </c>
      <c r="L195" s="251">
        <f>L196</f>
        <v>9379653</v>
      </c>
      <c r="M195" s="251">
        <f>M196+M197</f>
        <v>0</v>
      </c>
      <c r="N195" s="251">
        <f>N196+N197</f>
        <v>9379653</v>
      </c>
      <c r="P195" s="25"/>
    </row>
    <row r="196" spans="1:16" ht="27" customHeight="1">
      <c r="A196" s="236">
        <v>57</v>
      </c>
      <c r="B196" s="257" t="s">
        <v>90</v>
      </c>
      <c r="C196" s="249">
        <f>'часть 1'!H586</f>
        <v>0</v>
      </c>
      <c r="D196" s="250">
        <f>'часть 1'!K586</f>
        <v>0</v>
      </c>
      <c r="E196" s="252">
        <v>0</v>
      </c>
      <c r="F196" s="252">
        <v>0</v>
      </c>
      <c r="G196" s="252">
        <v>1</v>
      </c>
      <c r="H196" s="252">
        <v>0</v>
      </c>
      <c r="I196" s="252">
        <f t="shared" si="74"/>
        <v>1</v>
      </c>
      <c r="J196" s="251">
        <v>0</v>
      </c>
      <c r="K196" s="251">
        <v>0</v>
      </c>
      <c r="L196" s="251">
        <f>'часть 1'!L586</f>
        <v>9379653</v>
      </c>
      <c r="M196" s="251">
        <v>0</v>
      </c>
      <c r="N196" s="251">
        <f>L196</f>
        <v>9379653</v>
      </c>
      <c r="P196" s="25"/>
    </row>
    <row r="197" spans="1:16" ht="25.5">
      <c r="A197" s="536">
        <v>58</v>
      </c>
      <c r="B197" s="534" t="s">
        <v>127</v>
      </c>
      <c r="C197" s="529">
        <v>0</v>
      </c>
      <c r="D197" s="530">
        <v>0</v>
      </c>
      <c r="E197" s="531">
        <v>0</v>
      </c>
      <c r="F197" s="531">
        <v>0</v>
      </c>
      <c r="G197" s="531">
        <v>0</v>
      </c>
      <c r="H197" s="531">
        <v>0</v>
      </c>
      <c r="I197" s="531">
        <v>0</v>
      </c>
      <c r="J197" s="532">
        <v>0</v>
      </c>
      <c r="K197" s="532">
        <v>0</v>
      </c>
      <c r="L197" s="532">
        <v>0</v>
      </c>
      <c r="M197" s="532">
        <v>0</v>
      </c>
      <c r="N197" s="532">
        <v>0</v>
      </c>
      <c r="P197" s="25"/>
    </row>
    <row r="198" spans="1:16" ht="15.75" customHeight="1">
      <c r="A198" s="537">
        <v>1</v>
      </c>
      <c r="B198" s="538" t="s">
        <v>89</v>
      </c>
      <c r="C198" s="539">
        <f>'часть 1'!H193</f>
        <v>1534.2</v>
      </c>
      <c r="D198" s="540">
        <f>'часть 1'!K193</f>
        <v>47</v>
      </c>
      <c r="E198" s="533">
        <v>0</v>
      </c>
      <c r="F198" s="533">
        <v>0</v>
      </c>
      <c r="G198" s="533">
        <v>0</v>
      </c>
      <c r="H198" s="533">
        <v>168</v>
      </c>
      <c r="I198" s="533">
        <f>H198+G198</f>
        <v>168</v>
      </c>
      <c r="J198" s="541">
        <v>0</v>
      </c>
      <c r="K198" s="541">
        <v>0</v>
      </c>
      <c r="L198" s="541">
        <v>0</v>
      </c>
      <c r="M198" s="541">
        <f>'часть 1'!L193</f>
        <v>2435193</v>
      </c>
      <c r="N198" s="541">
        <f t="shared" ref="N198:N200" si="75">M198</f>
        <v>2435193</v>
      </c>
      <c r="O198" s="25"/>
      <c r="P198" s="25"/>
    </row>
    <row r="199" spans="1:16" ht="26.25" customHeight="1">
      <c r="A199" s="189">
        <v>2</v>
      </c>
      <c r="B199" s="248" t="s">
        <v>91</v>
      </c>
      <c r="C199" s="249">
        <f>'часть 1'!H1255</f>
        <v>14224.600000000002</v>
      </c>
      <c r="D199" s="250">
        <f>'часть 1'!K1255</f>
        <v>391</v>
      </c>
      <c r="E199" s="252">
        <v>0</v>
      </c>
      <c r="F199" s="252">
        <v>0</v>
      </c>
      <c r="G199" s="252">
        <v>0</v>
      </c>
      <c r="H199" s="252">
        <v>11</v>
      </c>
      <c r="I199" s="252">
        <f t="shared" ref="I199:I264" si="76">H199+G199</f>
        <v>11</v>
      </c>
      <c r="J199" s="251">
        <v>0</v>
      </c>
      <c r="K199" s="251">
        <v>0</v>
      </c>
      <c r="L199" s="251">
        <v>0</v>
      </c>
      <c r="M199" s="251">
        <f>'часть 1'!L1255</f>
        <v>20085822.140000001</v>
      </c>
      <c r="N199" s="251">
        <f t="shared" si="75"/>
        <v>20085822.140000001</v>
      </c>
      <c r="O199" s="25"/>
      <c r="P199" s="25"/>
    </row>
    <row r="200" spans="1:16" ht="15.75" customHeight="1">
      <c r="A200" s="537">
        <v>3</v>
      </c>
      <c r="B200" s="538" t="s">
        <v>92</v>
      </c>
      <c r="C200" s="539">
        <v>0</v>
      </c>
      <c r="D200" s="540">
        <v>0</v>
      </c>
      <c r="E200" s="533">
        <v>0</v>
      </c>
      <c r="F200" s="533">
        <v>0</v>
      </c>
      <c r="G200" s="533">
        <v>0</v>
      </c>
      <c r="H200" s="533">
        <v>0</v>
      </c>
      <c r="I200" s="533">
        <f t="shared" si="76"/>
        <v>0</v>
      </c>
      <c r="J200" s="541">
        <v>0</v>
      </c>
      <c r="K200" s="541">
        <v>0</v>
      </c>
      <c r="L200" s="541">
        <v>0</v>
      </c>
      <c r="M200" s="703">
        <v>0</v>
      </c>
      <c r="N200" s="703">
        <f t="shared" si="75"/>
        <v>0</v>
      </c>
      <c r="P200" s="25"/>
    </row>
    <row r="201" spans="1:16" ht="15.75" customHeight="1">
      <c r="A201" s="537">
        <v>4</v>
      </c>
      <c r="B201" s="538" t="s">
        <v>93</v>
      </c>
      <c r="C201" s="539">
        <f>'часть 1'!H1269</f>
        <v>16121.400000000001</v>
      </c>
      <c r="D201" s="540">
        <f>'часть 1'!K1269</f>
        <v>400</v>
      </c>
      <c r="E201" s="533">
        <v>0</v>
      </c>
      <c r="F201" s="533">
        <v>0</v>
      </c>
      <c r="G201" s="533">
        <v>0</v>
      </c>
      <c r="H201" s="533">
        <v>4</v>
      </c>
      <c r="I201" s="533">
        <f t="shared" si="76"/>
        <v>4</v>
      </c>
      <c r="J201" s="541">
        <v>0</v>
      </c>
      <c r="K201" s="541">
        <v>0</v>
      </c>
      <c r="L201" s="541">
        <v>0</v>
      </c>
      <c r="M201" s="704">
        <f>'часть 1'!L1269</f>
        <v>12233600</v>
      </c>
      <c r="N201" s="703">
        <f>M201</f>
        <v>12233600</v>
      </c>
      <c r="P201" s="25"/>
    </row>
    <row r="202" spans="1:16" ht="16.5" customHeight="1">
      <c r="A202" s="537">
        <v>5</v>
      </c>
      <c r="B202" s="543" t="s">
        <v>94</v>
      </c>
      <c r="C202" s="539">
        <f>'часть 1'!H1295</f>
        <v>5185.7</v>
      </c>
      <c r="D202" s="540">
        <f>'часть 1'!K1295</f>
        <v>172</v>
      </c>
      <c r="E202" s="533">
        <v>0</v>
      </c>
      <c r="F202" s="533">
        <v>0</v>
      </c>
      <c r="G202" s="533">
        <v>0</v>
      </c>
      <c r="H202" s="533">
        <v>2</v>
      </c>
      <c r="I202" s="533">
        <f t="shared" si="76"/>
        <v>2</v>
      </c>
      <c r="J202" s="541">
        <v>0</v>
      </c>
      <c r="K202" s="541">
        <v>0</v>
      </c>
      <c r="L202" s="541">
        <v>0</v>
      </c>
      <c r="M202" s="703">
        <f>'часть 1'!L1295</f>
        <v>2634518</v>
      </c>
      <c r="N202" s="703">
        <f t="shared" ref="N202:N203" si="77">M202</f>
        <v>2634518</v>
      </c>
      <c r="O202" s="25"/>
      <c r="P202" s="25"/>
    </row>
    <row r="203" spans="1:16" s="3" customFormat="1">
      <c r="A203" s="537">
        <v>6</v>
      </c>
      <c r="B203" s="838" t="s">
        <v>123</v>
      </c>
      <c r="C203" s="839">
        <f>'часть 1'!H1308</f>
        <v>20881.099999999999</v>
      </c>
      <c r="D203" s="840">
        <f>'часть 1'!K1308</f>
        <v>629</v>
      </c>
      <c r="E203" s="882">
        <v>0</v>
      </c>
      <c r="F203" s="882">
        <v>0</v>
      </c>
      <c r="G203" s="882">
        <v>0</v>
      </c>
      <c r="H203" s="842">
        <v>3</v>
      </c>
      <c r="I203" s="533">
        <f t="shared" si="76"/>
        <v>3</v>
      </c>
      <c r="J203" s="841">
        <v>0</v>
      </c>
      <c r="K203" s="841">
        <v>0</v>
      </c>
      <c r="L203" s="841">
        <v>0</v>
      </c>
      <c r="M203" s="841">
        <f>'часть 1'!L1308</f>
        <v>10007426</v>
      </c>
      <c r="N203" s="841">
        <f t="shared" si="77"/>
        <v>10007426</v>
      </c>
      <c r="P203" s="25"/>
    </row>
    <row r="204" spans="1:16" s="3" customFormat="1">
      <c r="A204" s="537"/>
      <c r="B204" s="838" t="s">
        <v>864</v>
      </c>
      <c r="C204" s="839">
        <f>'часть 1'!H1320</f>
        <v>2514.6999999999998</v>
      </c>
      <c r="D204" s="840">
        <f>'часть 1'!K1320</f>
        <v>82</v>
      </c>
      <c r="E204" s="882">
        <v>0</v>
      </c>
      <c r="F204" s="882">
        <v>0</v>
      </c>
      <c r="G204" s="882">
        <v>1</v>
      </c>
      <c r="H204" s="842">
        <v>0</v>
      </c>
      <c r="I204" s="533">
        <f>H204+G204+F204+E204</f>
        <v>1</v>
      </c>
      <c r="J204" s="841">
        <v>0</v>
      </c>
      <c r="K204" s="841">
        <v>0</v>
      </c>
      <c r="L204" s="841">
        <v>1112894</v>
      </c>
      <c r="M204" s="841">
        <v>0</v>
      </c>
      <c r="N204" s="841">
        <v>1112894</v>
      </c>
      <c r="P204" s="25"/>
    </row>
    <row r="205" spans="1:16" s="3" customFormat="1">
      <c r="A205" s="837"/>
      <c r="B205" s="838" t="s">
        <v>72</v>
      </c>
      <c r="C205" s="839">
        <f>C206</f>
        <v>2066.4</v>
      </c>
      <c r="D205" s="840">
        <f t="shared" ref="D205:N205" si="78">D206</f>
        <v>80</v>
      </c>
      <c r="E205" s="840">
        <f t="shared" si="78"/>
        <v>0</v>
      </c>
      <c r="F205" s="840">
        <f t="shared" si="78"/>
        <v>0</v>
      </c>
      <c r="G205" s="840">
        <f t="shared" si="78"/>
        <v>0</v>
      </c>
      <c r="H205" s="840">
        <f t="shared" si="78"/>
        <v>4</v>
      </c>
      <c r="I205" s="840">
        <f t="shared" si="78"/>
        <v>4</v>
      </c>
      <c r="J205" s="841">
        <f t="shared" si="78"/>
        <v>0</v>
      </c>
      <c r="K205" s="841">
        <f t="shared" si="78"/>
        <v>0</v>
      </c>
      <c r="L205" s="841">
        <f t="shared" si="78"/>
        <v>0</v>
      </c>
      <c r="M205" s="841">
        <f t="shared" si="78"/>
        <v>4547991</v>
      </c>
      <c r="N205" s="841">
        <f t="shared" si="78"/>
        <v>4547991</v>
      </c>
      <c r="P205" s="25"/>
    </row>
    <row r="206" spans="1:16" s="3" customFormat="1" ht="25.5">
      <c r="A206" s="837">
        <v>7</v>
      </c>
      <c r="B206" s="838" t="s">
        <v>95</v>
      </c>
      <c r="C206" s="839">
        <f>'часть 1'!H1323</f>
        <v>2066.4</v>
      </c>
      <c r="D206" s="840">
        <f>'часть 1'!K1323</f>
        <v>80</v>
      </c>
      <c r="E206" s="533">
        <v>0</v>
      </c>
      <c r="F206" s="533">
        <v>0</v>
      </c>
      <c r="G206" s="533">
        <v>0</v>
      </c>
      <c r="H206" s="842">
        <v>4</v>
      </c>
      <c r="I206" s="533">
        <f t="shared" si="76"/>
        <v>4</v>
      </c>
      <c r="J206" s="841">
        <v>0</v>
      </c>
      <c r="K206" s="841">
        <v>0</v>
      </c>
      <c r="L206" s="841">
        <v>0</v>
      </c>
      <c r="M206" s="841">
        <f>'часть 1'!L1323</f>
        <v>4547991</v>
      </c>
      <c r="N206" s="841">
        <f>M206</f>
        <v>4547991</v>
      </c>
      <c r="P206" s="25"/>
    </row>
    <row r="207" spans="1:16">
      <c r="A207" s="394"/>
      <c r="B207" s="248" t="s">
        <v>41</v>
      </c>
      <c r="C207" s="249">
        <f>C208</f>
        <v>11641.5</v>
      </c>
      <c r="D207" s="249">
        <f t="shared" ref="D207:N207" si="79">D208</f>
        <v>480</v>
      </c>
      <c r="E207" s="249">
        <f t="shared" si="79"/>
        <v>0</v>
      </c>
      <c r="F207" s="249">
        <f t="shared" si="79"/>
        <v>0</v>
      </c>
      <c r="G207" s="249">
        <f t="shared" si="79"/>
        <v>0</v>
      </c>
      <c r="H207" s="249">
        <f t="shared" si="79"/>
        <v>4</v>
      </c>
      <c r="I207" s="249">
        <f t="shared" si="79"/>
        <v>4</v>
      </c>
      <c r="J207" s="249">
        <f t="shared" si="79"/>
        <v>0</v>
      </c>
      <c r="K207" s="249">
        <f t="shared" si="79"/>
        <v>0</v>
      </c>
      <c r="L207" s="249">
        <f t="shared" si="79"/>
        <v>0</v>
      </c>
      <c r="M207" s="249">
        <f t="shared" si="79"/>
        <v>12671361</v>
      </c>
      <c r="N207" s="249">
        <f t="shared" si="79"/>
        <v>12671361</v>
      </c>
      <c r="P207" s="25"/>
    </row>
    <row r="208" spans="1:16" ht="25.5">
      <c r="A208" s="544">
        <v>8</v>
      </c>
      <c r="B208" s="538" t="s">
        <v>96</v>
      </c>
      <c r="C208" s="539">
        <f>'часть 1'!H1332</f>
        <v>11641.5</v>
      </c>
      <c r="D208" s="540">
        <f>'часть 1'!K1332</f>
        <v>480</v>
      </c>
      <c r="E208" s="533">
        <v>0</v>
      </c>
      <c r="F208" s="533">
        <v>0</v>
      </c>
      <c r="G208" s="533">
        <v>0</v>
      </c>
      <c r="H208" s="533">
        <v>4</v>
      </c>
      <c r="I208" s="533">
        <f t="shared" si="76"/>
        <v>4</v>
      </c>
      <c r="J208" s="541">
        <v>0</v>
      </c>
      <c r="K208" s="541">
        <v>0</v>
      </c>
      <c r="L208" s="541">
        <v>0</v>
      </c>
      <c r="M208" s="541">
        <f>'часть 1'!L1332</f>
        <v>12671361</v>
      </c>
      <c r="N208" s="541">
        <f>M208</f>
        <v>12671361</v>
      </c>
      <c r="P208" s="25"/>
    </row>
    <row r="209" spans="1:16">
      <c r="A209" s="394"/>
      <c r="B209" s="248" t="s">
        <v>68</v>
      </c>
      <c r="C209" s="249">
        <f>C210</f>
        <v>0</v>
      </c>
      <c r="D209" s="250">
        <f t="shared" ref="D209:N209" si="80">D210</f>
        <v>0</v>
      </c>
      <c r="E209" s="252">
        <f t="shared" si="80"/>
        <v>0</v>
      </c>
      <c r="F209" s="252">
        <f t="shared" si="80"/>
        <v>0</v>
      </c>
      <c r="G209" s="252">
        <f t="shared" si="80"/>
        <v>0</v>
      </c>
      <c r="H209" s="252" t="e">
        <f>'часть 2'!#REF!</f>
        <v>#REF!</v>
      </c>
      <c r="I209" s="252" t="e">
        <f t="shared" si="76"/>
        <v>#REF!</v>
      </c>
      <c r="J209" s="251">
        <f t="shared" si="80"/>
        <v>0</v>
      </c>
      <c r="K209" s="251">
        <f t="shared" si="80"/>
        <v>0</v>
      </c>
      <c r="L209" s="251">
        <f t="shared" si="80"/>
        <v>0</v>
      </c>
      <c r="M209" s="251">
        <f>'часть 1'!L455</f>
        <v>1512903</v>
      </c>
      <c r="N209" s="251">
        <f t="shared" si="80"/>
        <v>0</v>
      </c>
      <c r="P209" s="25"/>
    </row>
    <row r="210" spans="1:16" ht="25.5">
      <c r="A210" s="544">
        <v>9</v>
      </c>
      <c r="B210" s="538" t="s">
        <v>97</v>
      </c>
      <c r="C210" s="539">
        <v>0</v>
      </c>
      <c r="D210" s="540">
        <v>0</v>
      </c>
      <c r="E210" s="533">
        <v>0</v>
      </c>
      <c r="F210" s="533">
        <v>0</v>
      </c>
      <c r="G210" s="533">
        <v>0</v>
      </c>
      <c r="H210" s="533">
        <v>0</v>
      </c>
      <c r="I210" s="533">
        <f t="shared" si="76"/>
        <v>0</v>
      </c>
      <c r="J210" s="541">
        <v>0</v>
      </c>
      <c r="K210" s="541">
        <v>0</v>
      </c>
      <c r="L210" s="541">
        <v>0</v>
      </c>
      <c r="M210" s="541">
        <v>0</v>
      </c>
      <c r="N210" s="541">
        <f>M210</f>
        <v>0</v>
      </c>
      <c r="P210" s="25"/>
    </row>
    <row r="211" spans="1:16" s="19" customFormat="1">
      <c r="A211" s="255"/>
      <c r="B211" s="255" t="s">
        <v>43</v>
      </c>
      <c r="C211" s="249">
        <f>C212+C213</f>
        <v>1600.52</v>
      </c>
      <c r="D211" s="256">
        <f>D212+D213</f>
        <v>49</v>
      </c>
      <c r="E211" s="252">
        <f>E212+E213</f>
        <v>0</v>
      </c>
      <c r="F211" s="252">
        <f t="shared" ref="F211:H211" si="81">F212+F213</f>
        <v>0</v>
      </c>
      <c r="G211" s="252">
        <f t="shared" si="81"/>
        <v>0</v>
      </c>
      <c r="H211" s="252" t="e">
        <f t="shared" si="81"/>
        <v>#REF!</v>
      </c>
      <c r="I211" s="252" t="e">
        <f t="shared" si="76"/>
        <v>#REF!</v>
      </c>
      <c r="J211" s="251">
        <f>J212+J213</f>
        <v>0</v>
      </c>
      <c r="K211" s="251">
        <f t="shared" ref="K211:N211" si="82">K212+K213</f>
        <v>0</v>
      </c>
      <c r="L211" s="251">
        <f t="shared" si="82"/>
        <v>0</v>
      </c>
      <c r="M211" s="251">
        <f t="shared" si="82"/>
        <v>2576038</v>
      </c>
      <c r="N211" s="251">
        <f t="shared" si="82"/>
        <v>2576038</v>
      </c>
      <c r="O211" s="84"/>
      <c r="P211" s="25"/>
    </row>
    <row r="212" spans="1:16" s="19" customFormat="1" ht="25.5">
      <c r="A212" s="394">
        <v>10</v>
      </c>
      <c r="B212" s="253" t="s">
        <v>125</v>
      </c>
      <c r="C212" s="249">
        <f>'часть 1'!H459</f>
        <v>1091.5999999999999</v>
      </c>
      <c r="D212" s="250">
        <f>'часть 1'!K459</f>
        <v>33</v>
      </c>
      <c r="E212" s="252">
        <v>0</v>
      </c>
      <c r="F212" s="252">
        <v>0</v>
      </c>
      <c r="G212" s="252">
        <v>0</v>
      </c>
      <c r="H212" s="252" t="e">
        <f>'часть 2'!#REF!</f>
        <v>#REF!</v>
      </c>
      <c r="I212" s="252" t="e">
        <f t="shared" si="76"/>
        <v>#REF!</v>
      </c>
      <c r="J212" s="251">
        <v>0</v>
      </c>
      <c r="K212" s="251">
        <v>0</v>
      </c>
      <c r="L212" s="251">
        <v>0</v>
      </c>
      <c r="M212" s="251">
        <f>'часть 1'!L459</f>
        <v>1361248</v>
      </c>
      <c r="N212" s="251">
        <f>M212</f>
        <v>1361248</v>
      </c>
      <c r="P212" s="25"/>
    </row>
    <row r="213" spans="1:16" s="19" customFormat="1" ht="25.5">
      <c r="A213" s="394">
        <v>11</v>
      </c>
      <c r="B213" s="253" t="s">
        <v>210</v>
      </c>
      <c r="C213" s="249">
        <f>'часть 1'!H477</f>
        <v>508.92</v>
      </c>
      <c r="D213" s="250">
        <f>'часть 1'!K477</f>
        <v>16</v>
      </c>
      <c r="E213" s="252">
        <v>0</v>
      </c>
      <c r="F213" s="252">
        <v>0</v>
      </c>
      <c r="G213" s="252">
        <v>0</v>
      </c>
      <c r="H213" s="252">
        <v>2</v>
      </c>
      <c r="I213" s="252">
        <f t="shared" si="76"/>
        <v>2</v>
      </c>
      <c r="J213" s="251">
        <v>0</v>
      </c>
      <c r="K213" s="251">
        <v>0</v>
      </c>
      <c r="L213" s="251">
        <v>0</v>
      </c>
      <c r="M213" s="251">
        <f>'часть 1'!L477</f>
        <v>1214790</v>
      </c>
      <c r="N213" s="251">
        <f>M213</f>
        <v>1214790</v>
      </c>
      <c r="P213" s="25"/>
    </row>
    <row r="214" spans="1:16">
      <c r="A214" s="394"/>
      <c r="B214" s="255" t="s">
        <v>44</v>
      </c>
      <c r="C214" s="249">
        <f>C215</f>
        <v>518.5</v>
      </c>
      <c r="D214" s="250">
        <f t="shared" ref="D214:N214" si="83">D215</f>
        <v>27</v>
      </c>
      <c r="E214" s="252">
        <f t="shared" si="83"/>
        <v>0</v>
      </c>
      <c r="F214" s="252">
        <f t="shared" si="83"/>
        <v>0</v>
      </c>
      <c r="G214" s="252">
        <f t="shared" si="83"/>
        <v>0</v>
      </c>
      <c r="H214" s="252">
        <f t="shared" si="83"/>
        <v>1</v>
      </c>
      <c r="I214" s="252">
        <f t="shared" si="76"/>
        <v>1</v>
      </c>
      <c r="J214" s="251">
        <f t="shared" si="83"/>
        <v>0</v>
      </c>
      <c r="K214" s="251">
        <f t="shared" si="83"/>
        <v>0</v>
      </c>
      <c r="L214" s="251">
        <f t="shared" si="83"/>
        <v>0</v>
      </c>
      <c r="M214" s="251">
        <f>'часть 1'!L480</f>
        <v>3037109</v>
      </c>
      <c r="N214" s="251">
        <f t="shared" si="83"/>
        <v>906976</v>
      </c>
      <c r="P214" s="25"/>
    </row>
    <row r="215" spans="1:16" s="18" customFormat="1" ht="25.5">
      <c r="A215" s="544">
        <f>A213+1</f>
        <v>12</v>
      </c>
      <c r="B215" s="543" t="s">
        <v>435</v>
      </c>
      <c r="C215" s="539">
        <f>'часть 1'!H1362</f>
        <v>518.5</v>
      </c>
      <c r="D215" s="540">
        <f>'часть 1'!K1361</f>
        <v>27</v>
      </c>
      <c r="E215" s="533">
        <v>0</v>
      </c>
      <c r="F215" s="533">
        <v>0</v>
      </c>
      <c r="G215" s="533">
        <v>0</v>
      </c>
      <c r="H215" s="533">
        <v>1</v>
      </c>
      <c r="I215" s="533">
        <v>1</v>
      </c>
      <c r="J215" s="541">
        <v>0</v>
      </c>
      <c r="K215" s="541">
        <v>0</v>
      </c>
      <c r="L215" s="541">
        <v>0</v>
      </c>
      <c r="M215" s="541">
        <f>'часть 1'!L1361</f>
        <v>906976</v>
      </c>
      <c r="N215" s="541">
        <f>M215</f>
        <v>906976</v>
      </c>
      <c r="P215" s="25"/>
    </row>
    <row r="216" spans="1:16">
      <c r="A216" s="394"/>
      <c r="B216" s="255" t="s">
        <v>45</v>
      </c>
      <c r="C216" s="249">
        <f>C217+C218+C219+C220+C221+C222+C223</f>
        <v>11088.41</v>
      </c>
      <c r="D216" s="249">
        <f t="shared" ref="D216:N216" si="84">D217+D218+D219+D220+D221+D222+D223</f>
        <v>381</v>
      </c>
      <c r="E216" s="249">
        <f t="shared" si="84"/>
        <v>0</v>
      </c>
      <c r="F216" s="249">
        <f t="shared" si="84"/>
        <v>0</v>
      </c>
      <c r="G216" s="249">
        <f t="shared" si="84"/>
        <v>1</v>
      </c>
      <c r="H216" s="249">
        <f t="shared" si="84"/>
        <v>5</v>
      </c>
      <c r="I216" s="249">
        <f t="shared" si="84"/>
        <v>6</v>
      </c>
      <c r="J216" s="251">
        <f t="shared" si="84"/>
        <v>0</v>
      </c>
      <c r="K216" s="251">
        <f t="shared" si="84"/>
        <v>0</v>
      </c>
      <c r="L216" s="251">
        <f t="shared" si="84"/>
        <v>1648047</v>
      </c>
      <c r="M216" s="251">
        <f t="shared" si="84"/>
        <v>9461519</v>
      </c>
      <c r="N216" s="251">
        <f t="shared" si="84"/>
        <v>11109566</v>
      </c>
      <c r="O216" s="25"/>
      <c r="P216" s="25"/>
    </row>
    <row r="217" spans="1:16" ht="25.5">
      <c r="A217" s="544">
        <f>A215+1</f>
        <v>13</v>
      </c>
      <c r="B217" s="595" t="s">
        <v>98</v>
      </c>
      <c r="C217" s="539">
        <f>'часть 1'!H1365</f>
        <v>3642.1</v>
      </c>
      <c r="D217" s="540">
        <f>'часть 1'!K1365</f>
        <v>158</v>
      </c>
      <c r="E217" s="533">
        <v>0</v>
      </c>
      <c r="F217" s="533">
        <v>0</v>
      </c>
      <c r="G217" s="533">
        <v>0</v>
      </c>
      <c r="H217" s="533">
        <v>1</v>
      </c>
      <c r="I217" s="533">
        <f t="shared" si="76"/>
        <v>1</v>
      </c>
      <c r="J217" s="541">
        <v>0</v>
      </c>
      <c r="K217" s="541">
        <v>0</v>
      </c>
      <c r="L217" s="541">
        <v>0</v>
      </c>
      <c r="M217" s="541">
        <f>'часть 1'!L1365</f>
        <v>2377747</v>
      </c>
      <c r="N217" s="541">
        <f>M217</f>
        <v>2377747</v>
      </c>
      <c r="P217" s="25"/>
    </row>
    <row r="218" spans="1:16" ht="25.5">
      <c r="A218" s="544"/>
      <c r="B218" s="595" t="s">
        <v>688</v>
      </c>
      <c r="C218" s="539">
        <f>'часть 1'!H1368</f>
        <v>489.41</v>
      </c>
      <c r="D218" s="540">
        <f>'часть 1'!K1368</f>
        <v>20</v>
      </c>
      <c r="E218" s="533">
        <v>0</v>
      </c>
      <c r="F218" s="533">
        <v>0</v>
      </c>
      <c r="G218" s="533">
        <v>0</v>
      </c>
      <c r="H218" s="533">
        <v>1</v>
      </c>
      <c r="I218" s="533">
        <v>1</v>
      </c>
      <c r="J218" s="541">
        <v>0</v>
      </c>
      <c r="K218" s="541">
        <v>0</v>
      </c>
      <c r="L218" s="541">
        <v>0</v>
      </c>
      <c r="M218" s="541">
        <v>901450</v>
      </c>
      <c r="N218" s="541">
        <f>M218+L218+K218+J218</f>
        <v>901450</v>
      </c>
      <c r="P218" s="25"/>
    </row>
    <row r="219" spans="1:16" ht="25.5">
      <c r="A219" s="544">
        <f>A217+1</f>
        <v>14</v>
      </c>
      <c r="B219" s="543" t="s">
        <v>99</v>
      </c>
      <c r="C219" s="479">
        <f>'часть 1'!H1369</f>
        <v>1025.3</v>
      </c>
      <c r="D219" s="516">
        <f>'часть 1'!K1369</f>
        <v>34</v>
      </c>
      <c r="E219" s="533">
        <v>0</v>
      </c>
      <c r="F219" s="533">
        <v>0</v>
      </c>
      <c r="G219" s="533">
        <v>0</v>
      </c>
      <c r="H219" s="515">
        <v>1</v>
      </c>
      <c r="I219" s="533">
        <f t="shared" si="76"/>
        <v>1</v>
      </c>
      <c r="J219" s="541">
        <v>0</v>
      </c>
      <c r="K219" s="541">
        <v>0</v>
      </c>
      <c r="L219" s="541">
        <v>0</v>
      </c>
      <c r="M219" s="541">
        <f>'часть 1'!L1369</f>
        <v>1696092</v>
      </c>
      <c r="N219" s="541">
        <f>M219</f>
        <v>1696092</v>
      </c>
      <c r="P219" s="25"/>
    </row>
    <row r="220" spans="1:16" ht="25.5">
      <c r="A220" s="544">
        <f>A219+1</f>
        <v>15</v>
      </c>
      <c r="B220" s="543" t="s">
        <v>100</v>
      </c>
      <c r="C220" s="539">
        <v>0</v>
      </c>
      <c r="D220" s="540">
        <v>0</v>
      </c>
      <c r="E220" s="533">
        <v>0</v>
      </c>
      <c r="F220" s="533">
        <v>0</v>
      </c>
      <c r="G220" s="533">
        <v>0</v>
      </c>
      <c r="H220" s="533">
        <v>0</v>
      </c>
      <c r="I220" s="533">
        <f t="shared" si="76"/>
        <v>0</v>
      </c>
      <c r="J220" s="541">
        <v>0</v>
      </c>
      <c r="K220" s="541">
        <v>0</v>
      </c>
      <c r="L220" s="541">
        <v>0</v>
      </c>
      <c r="M220" s="541">
        <v>0</v>
      </c>
      <c r="N220" s="541">
        <f>M220</f>
        <v>0</v>
      </c>
      <c r="P220" s="25"/>
    </row>
    <row r="221" spans="1:16" ht="25.5">
      <c r="A221" s="544">
        <f>A220+1</f>
        <v>16</v>
      </c>
      <c r="B221" s="543" t="s">
        <v>101</v>
      </c>
      <c r="C221" s="539">
        <f>'часть 1'!H1373</f>
        <v>1472.1</v>
      </c>
      <c r="D221" s="540">
        <f>'часть 1'!K1373</f>
        <v>29</v>
      </c>
      <c r="E221" s="533">
        <v>0</v>
      </c>
      <c r="F221" s="533">
        <v>0</v>
      </c>
      <c r="G221" s="533">
        <v>1</v>
      </c>
      <c r="H221" s="533">
        <v>0</v>
      </c>
      <c r="I221" s="533">
        <f t="shared" si="76"/>
        <v>1</v>
      </c>
      <c r="J221" s="541">
        <v>0</v>
      </c>
      <c r="K221" s="541">
        <v>0</v>
      </c>
      <c r="L221" s="541">
        <f>'часть 1'!L1373</f>
        <v>1648047</v>
      </c>
      <c r="M221" s="541">
        <v>0</v>
      </c>
      <c r="N221" s="541">
        <f>M221+L221+K221+J221</f>
        <v>1648047</v>
      </c>
      <c r="P221" s="25"/>
    </row>
    <row r="222" spans="1:16" ht="28.5" customHeight="1">
      <c r="A222" s="542">
        <f>A221+1</f>
        <v>17</v>
      </c>
      <c r="B222" s="543" t="s">
        <v>586</v>
      </c>
      <c r="C222" s="539">
        <f>'часть 1'!H1375</f>
        <v>874.2</v>
      </c>
      <c r="D222" s="540">
        <f>'часть 1'!K1375</f>
        <v>33</v>
      </c>
      <c r="E222" s="533">
        <v>0</v>
      </c>
      <c r="F222" s="533">
        <v>0</v>
      </c>
      <c r="G222" s="533">
        <v>0</v>
      </c>
      <c r="H222" s="533">
        <v>1</v>
      </c>
      <c r="I222" s="533">
        <f t="shared" si="76"/>
        <v>1</v>
      </c>
      <c r="J222" s="541">
        <v>0</v>
      </c>
      <c r="K222" s="541">
        <v>0</v>
      </c>
      <c r="L222" s="541">
        <v>0</v>
      </c>
      <c r="M222" s="541">
        <f>'часть 1'!L1375</f>
        <v>2577836</v>
      </c>
      <c r="N222" s="541">
        <f>M222</f>
        <v>2577836</v>
      </c>
      <c r="P222" s="25"/>
    </row>
    <row r="223" spans="1:16" ht="28.5" customHeight="1">
      <c r="A223" s="542"/>
      <c r="B223" s="543" t="s">
        <v>861</v>
      </c>
      <c r="C223" s="539">
        <f>'часть 1'!H1377</f>
        <v>3585.3</v>
      </c>
      <c r="D223" s="540">
        <f>'часть 1'!K1377</f>
        <v>107</v>
      </c>
      <c r="E223" s="533">
        <v>0</v>
      </c>
      <c r="F223" s="533">
        <v>0</v>
      </c>
      <c r="G223" s="533">
        <v>0</v>
      </c>
      <c r="H223" s="533">
        <v>1</v>
      </c>
      <c r="I223" s="533">
        <f t="shared" si="76"/>
        <v>1</v>
      </c>
      <c r="J223" s="541">
        <v>0</v>
      </c>
      <c r="K223" s="541">
        <v>0</v>
      </c>
      <c r="L223" s="541">
        <v>0</v>
      </c>
      <c r="M223" s="541">
        <f>'часть 1'!L1377</f>
        <v>1908394</v>
      </c>
      <c r="N223" s="541">
        <f>M223+L223+K223+J223</f>
        <v>1908394</v>
      </c>
      <c r="P223" s="25"/>
    </row>
    <row r="224" spans="1:16">
      <c r="A224" s="394"/>
      <c r="B224" s="255" t="s">
        <v>46</v>
      </c>
      <c r="C224" s="249">
        <f>C225</f>
        <v>466.2</v>
      </c>
      <c r="D224" s="249">
        <f t="shared" ref="D224:N224" si="85">D225</f>
        <v>17</v>
      </c>
      <c r="E224" s="249">
        <f t="shared" si="85"/>
        <v>0</v>
      </c>
      <c r="F224" s="249">
        <f t="shared" si="85"/>
        <v>0</v>
      </c>
      <c r="G224" s="249">
        <f t="shared" si="85"/>
        <v>0</v>
      </c>
      <c r="H224" s="249">
        <f t="shared" si="85"/>
        <v>1</v>
      </c>
      <c r="I224" s="249">
        <f t="shared" si="85"/>
        <v>1</v>
      </c>
      <c r="J224" s="251">
        <f t="shared" si="85"/>
        <v>0</v>
      </c>
      <c r="K224" s="251">
        <f t="shared" si="85"/>
        <v>0</v>
      </c>
      <c r="L224" s="251">
        <f t="shared" si="85"/>
        <v>0</v>
      </c>
      <c r="M224" s="251">
        <f t="shared" si="85"/>
        <v>684446</v>
      </c>
      <c r="N224" s="251">
        <f t="shared" si="85"/>
        <v>684446</v>
      </c>
      <c r="O224" s="25"/>
      <c r="P224" s="25"/>
    </row>
    <row r="225" spans="1:16" ht="25.5">
      <c r="A225" s="544">
        <f>A222+1</f>
        <v>18</v>
      </c>
      <c r="B225" s="543" t="s">
        <v>587</v>
      </c>
      <c r="C225" s="539">
        <v>466.2</v>
      </c>
      <c r="D225" s="540">
        <v>17</v>
      </c>
      <c r="E225" s="533">
        <v>0</v>
      </c>
      <c r="F225" s="533">
        <v>0</v>
      </c>
      <c r="G225" s="533">
        <v>0</v>
      </c>
      <c r="H225" s="533">
        <v>1</v>
      </c>
      <c r="I225" s="533">
        <f t="shared" si="76"/>
        <v>1</v>
      </c>
      <c r="J225" s="541">
        <v>0</v>
      </c>
      <c r="K225" s="541">
        <v>0</v>
      </c>
      <c r="L225" s="541">
        <v>0</v>
      </c>
      <c r="M225" s="541">
        <v>684446</v>
      </c>
      <c r="N225" s="541">
        <f>M225</f>
        <v>684446</v>
      </c>
      <c r="P225" s="25"/>
    </row>
    <row r="226" spans="1:16" ht="20.45" customHeight="1">
      <c r="A226" s="394"/>
      <c r="B226" s="255" t="s">
        <v>47</v>
      </c>
      <c r="C226" s="249">
        <f>C227</f>
        <v>930</v>
      </c>
      <c r="D226" s="249">
        <f t="shared" ref="D226:N226" si="86">D227</f>
        <v>45</v>
      </c>
      <c r="E226" s="249">
        <f t="shared" si="86"/>
        <v>0</v>
      </c>
      <c r="F226" s="249">
        <f t="shared" si="86"/>
        <v>0</v>
      </c>
      <c r="G226" s="249">
        <f t="shared" si="86"/>
        <v>0</v>
      </c>
      <c r="H226" s="249">
        <f t="shared" si="86"/>
        <v>1</v>
      </c>
      <c r="I226" s="249">
        <f t="shared" si="86"/>
        <v>1</v>
      </c>
      <c r="J226" s="251">
        <f t="shared" si="86"/>
        <v>0</v>
      </c>
      <c r="K226" s="251">
        <f t="shared" si="86"/>
        <v>0</v>
      </c>
      <c r="L226" s="251">
        <f t="shared" si="86"/>
        <v>0</v>
      </c>
      <c r="M226" s="251">
        <f t="shared" si="86"/>
        <v>2602688</v>
      </c>
      <c r="N226" s="251">
        <f t="shared" si="86"/>
        <v>2602688</v>
      </c>
      <c r="O226" s="25"/>
      <c r="P226" s="25"/>
    </row>
    <row r="227" spans="1:16" ht="25.5">
      <c r="A227" s="542">
        <f>A225+1</f>
        <v>19</v>
      </c>
      <c r="B227" s="543" t="s">
        <v>103</v>
      </c>
      <c r="C227" s="539">
        <f>'часть 1'!H1384</f>
        <v>930</v>
      </c>
      <c r="D227" s="540">
        <f>'часть 1'!K1384</f>
        <v>45</v>
      </c>
      <c r="E227" s="533">
        <v>0</v>
      </c>
      <c r="F227" s="533">
        <v>0</v>
      </c>
      <c r="G227" s="533">
        <v>0</v>
      </c>
      <c r="H227" s="533">
        <v>1</v>
      </c>
      <c r="I227" s="533">
        <f t="shared" si="76"/>
        <v>1</v>
      </c>
      <c r="J227" s="541">
        <v>0</v>
      </c>
      <c r="K227" s="541">
        <v>0</v>
      </c>
      <c r="L227" s="541">
        <v>0</v>
      </c>
      <c r="M227" s="541">
        <f>'часть 1'!L1384</f>
        <v>2602688</v>
      </c>
      <c r="N227" s="541">
        <f>M227</f>
        <v>2602688</v>
      </c>
      <c r="P227" s="25"/>
    </row>
    <row r="228" spans="1:16" s="9" customFormat="1">
      <c r="A228" s="394"/>
      <c r="B228" s="255" t="s">
        <v>48</v>
      </c>
      <c r="C228" s="249">
        <f>'часть 1'!H513</f>
        <v>0</v>
      </c>
      <c r="D228" s="250">
        <f>'часть 1'!K513</f>
        <v>0</v>
      </c>
      <c r="E228" s="252">
        <f t="shared" ref="E228:G228" si="87">E229+E230</f>
        <v>0</v>
      </c>
      <c r="F228" s="252">
        <f t="shared" si="87"/>
        <v>0</v>
      </c>
      <c r="G228" s="252">
        <f t="shared" si="87"/>
        <v>0</v>
      </c>
      <c r="H228" s="252" t="e">
        <f>H229+H230</f>
        <v>#REF!</v>
      </c>
      <c r="I228" s="252" t="e">
        <f t="shared" si="76"/>
        <v>#REF!</v>
      </c>
      <c r="J228" s="251">
        <f t="shared" ref="J228:N228" si="88">J229+J230</f>
        <v>0</v>
      </c>
      <c r="K228" s="251">
        <f t="shared" si="88"/>
        <v>0</v>
      </c>
      <c r="L228" s="251">
        <f t="shared" si="88"/>
        <v>0</v>
      </c>
      <c r="M228" s="251">
        <f t="shared" si="88"/>
        <v>4233663</v>
      </c>
      <c r="N228" s="251">
        <f t="shared" si="88"/>
        <v>4233663</v>
      </c>
      <c r="O228" s="39"/>
      <c r="P228" s="25"/>
    </row>
    <row r="229" spans="1:16" ht="25.5">
      <c r="A229" s="542">
        <f>A227+1</f>
        <v>20</v>
      </c>
      <c r="B229" s="543" t="s">
        <v>107</v>
      </c>
      <c r="C229" s="539">
        <f>'часть 1'!H1387</f>
        <v>1876</v>
      </c>
      <c r="D229" s="540">
        <f>'часть 1'!K1387</f>
        <v>41</v>
      </c>
      <c r="E229" s="533">
        <v>0</v>
      </c>
      <c r="F229" s="533">
        <v>0</v>
      </c>
      <c r="G229" s="533">
        <v>0</v>
      </c>
      <c r="H229" s="533">
        <v>1</v>
      </c>
      <c r="I229" s="533">
        <f t="shared" si="76"/>
        <v>1</v>
      </c>
      <c r="J229" s="541">
        <v>0</v>
      </c>
      <c r="K229" s="541">
        <v>0</v>
      </c>
      <c r="L229" s="541">
        <v>0</v>
      </c>
      <c r="M229" s="541">
        <f>'часть 1'!L1387</f>
        <v>2102577</v>
      </c>
      <c r="N229" s="541">
        <f t="shared" ref="N229:N230" si="89">M229</f>
        <v>2102577</v>
      </c>
      <c r="P229" s="25"/>
    </row>
    <row r="230" spans="1:16" ht="27" customHeight="1">
      <c r="A230" s="236">
        <f>A229+1</f>
        <v>21</v>
      </c>
      <c r="B230" s="253" t="s">
        <v>104</v>
      </c>
      <c r="C230" s="249">
        <f>'часть 1'!H518</f>
        <v>3286.8</v>
      </c>
      <c r="D230" s="250">
        <f>'часть 1'!K518</f>
        <v>100</v>
      </c>
      <c r="E230" s="252">
        <v>0</v>
      </c>
      <c r="F230" s="252">
        <v>0</v>
      </c>
      <c r="G230" s="252">
        <v>0</v>
      </c>
      <c r="H230" s="252" t="e">
        <f>'часть 2'!#REF!</f>
        <v>#REF!</v>
      </c>
      <c r="I230" s="252" t="e">
        <f t="shared" si="76"/>
        <v>#REF!</v>
      </c>
      <c r="J230" s="251">
        <v>0</v>
      </c>
      <c r="K230" s="251">
        <v>0</v>
      </c>
      <c r="L230" s="251">
        <v>0</v>
      </c>
      <c r="M230" s="251">
        <f>'часть 1'!L518</f>
        <v>2131086</v>
      </c>
      <c r="N230" s="251">
        <f t="shared" si="89"/>
        <v>2131086</v>
      </c>
      <c r="P230" s="25"/>
    </row>
    <row r="231" spans="1:16">
      <c r="A231" s="236"/>
      <c r="B231" s="255" t="s">
        <v>49</v>
      </c>
      <c r="C231" s="249">
        <f>'часть 1'!H520</f>
        <v>0</v>
      </c>
      <c r="D231" s="250">
        <f>'часть 1'!K520</f>
        <v>0</v>
      </c>
      <c r="E231" s="252">
        <f t="shared" ref="E231:K231" si="90">E232</f>
        <v>0</v>
      </c>
      <c r="F231" s="252">
        <f t="shared" si="90"/>
        <v>0</v>
      </c>
      <c r="G231" s="252">
        <f>G232+G233+G234+G235</f>
        <v>1</v>
      </c>
      <c r="H231" s="252">
        <f>H232+H233+H234+H235</f>
        <v>2</v>
      </c>
      <c r="I231" s="252">
        <f t="shared" si="76"/>
        <v>3</v>
      </c>
      <c r="J231" s="251">
        <f t="shared" si="90"/>
        <v>0</v>
      </c>
      <c r="K231" s="251">
        <f t="shared" si="90"/>
        <v>0</v>
      </c>
      <c r="L231" s="251">
        <f>L233</f>
        <v>2447351.64</v>
      </c>
      <c r="M231" s="251">
        <f>SUM(M232:M235)</f>
        <v>2041028.6400000001</v>
      </c>
      <c r="N231" s="251">
        <f>SUM(N232:N235)</f>
        <v>7291362.5800000001</v>
      </c>
      <c r="O231" s="25"/>
      <c r="P231" s="25"/>
    </row>
    <row r="232" spans="1:16" ht="25.5">
      <c r="A232" s="542">
        <f>A230+1</f>
        <v>22</v>
      </c>
      <c r="B232" s="543" t="s">
        <v>588</v>
      </c>
      <c r="C232" s="539">
        <f>'часть 1'!H1393</f>
        <v>637.1</v>
      </c>
      <c r="D232" s="540">
        <f>'часть 1'!K1393</f>
        <v>24</v>
      </c>
      <c r="E232" s="533">
        <v>0</v>
      </c>
      <c r="F232" s="533">
        <v>0</v>
      </c>
      <c r="G232" s="533">
        <v>0</v>
      </c>
      <c r="H232" s="533">
        <v>1</v>
      </c>
      <c r="I232" s="533">
        <f t="shared" si="76"/>
        <v>1</v>
      </c>
      <c r="J232" s="541">
        <v>0</v>
      </c>
      <c r="K232" s="541">
        <v>0</v>
      </c>
      <c r="L232" s="541">
        <v>0</v>
      </c>
      <c r="M232" s="541">
        <v>1551685</v>
      </c>
      <c r="N232" s="541">
        <f t="shared" ref="N232" si="91">M232</f>
        <v>1551685</v>
      </c>
      <c r="P232" s="25"/>
    </row>
    <row r="233" spans="1:16" ht="25.5">
      <c r="A233" s="236">
        <f>A232+1</f>
        <v>23</v>
      </c>
      <c r="B233" s="253" t="s">
        <v>188</v>
      </c>
      <c r="C233" s="249">
        <f>'часть 1'!H524</f>
        <v>23801.1</v>
      </c>
      <c r="D233" s="250">
        <f>'часть 1'!K524</f>
        <v>702</v>
      </c>
      <c r="E233" s="252">
        <v>0</v>
      </c>
      <c r="F233" s="252">
        <v>0</v>
      </c>
      <c r="G233" s="252">
        <v>0</v>
      </c>
      <c r="H233" s="252">
        <v>0</v>
      </c>
      <c r="I233" s="252">
        <f t="shared" si="76"/>
        <v>0</v>
      </c>
      <c r="J233" s="251">
        <v>0</v>
      </c>
      <c r="K233" s="251">
        <v>0</v>
      </c>
      <c r="L233" s="251">
        <f>'часть 1'!L524</f>
        <v>2447351.64</v>
      </c>
      <c r="M233" s="251">
        <v>0</v>
      </c>
      <c r="N233" s="251">
        <f>L233</f>
        <v>2447351.64</v>
      </c>
      <c r="P233" s="25"/>
    </row>
    <row r="234" spans="1:16" ht="25.5">
      <c r="A234" s="236">
        <f>A233+1</f>
        <v>24</v>
      </c>
      <c r="B234" s="253" t="s">
        <v>189</v>
      </c>
      <c r="C234" s="249">
        <f>'часть 1'!H527</f>
        <v>5460.1</v>
      </c>
      <c r="D234" s="250">
        <f>'часть 1'!K527</f>
        <v>132</v>
      </c>
      <c r="E234" s="252">
        <v>0</v>
      </c>
      <c r="F234" s="252">
        <v>0</v>
      </c>
      <c r="G234" s="252">
        <v>0</v>
      </c>
      <c r="H234" s="252">
        <v>1</v>
      </c>
      <c r="I234" s="252">
        <f t="shared" si="76"/>
        <v>1</v>
      </c>
      <c r="J234" s="251">
        <v>0</v>
      </c>
      <c r="K234" s="251">
        <v>0</v>
      </c>
      <c r="L234" s="251">
        <v>0</v>
      </c>
      <c r="M234" s="251">
        <f>'часть 1'!L527</f>
        <v>489343.64</v>
      </c>
      <c r="N234" s="251">
        <f>M234</f>
        <v>489343.64</v>
      </c>
      <c r="P234" s="25"/>
    </row>
    <row r="235" spans="1:16" ht="25.5">
      <c r="A235" s="236">
        <f>A234+1</f>
        <v>25</v>
      </c>
      <c r="B235" s="253" t="s">
        <v>589</v>
      </c>
      <c r="C235" s="249">
        <f>'часть 1'!H1401</f>
        <v>2818.6</v>
      </c>
      <c r="D235" s="250">
        <f>'часть 1'!K1401</f>
        <v>156</v>
      </c>
      <c r="E235" s="252">
        <v>0</v>
      </c>
      <c r="F235" s="252">
        <v>0</v>
      </c>
      <c r="G235" s="252">
        <v>1</v>
      </c>
      <c r="H235" s="252">
        <v>0</v>
      </c>
      <c r="I235" s="252">
        <f>H235+G235</f>
        <v>1</v>
      </c>
      <c r="J235" s="251">
        <v>0</v>
      </c>
      <c r="K235" s="251">
        <v>0</v>
      </c>
      <c r="L235" s="251">
        <v>2802982.3</v>
      </c>
      <c r="M235" s="251">
        <v>0</v>
      </c>
      <c r="N235" s="251">
        <v>2802982.3</v>
      </c>
      <c r="P235" s="25"/>
    </row>
    <row r="236" spans="1:16" ht="12.6" customHeight="1">
      <c r="A236" s="236"/>
      <c r="B236" s="255" t="s">
        <v>50</v>
      </c>
      <c r="C236" s="249">
        <f>C237</f>
        <v>7969.19</v>
      </c>
      <c r="D236" s="250">
        <f t="shared" ref="D236:N236" si="92">D237</f>
        <v>301</v>
      </c>
      <c r="E236" s="252">
        <f t="shared" si="92"/>
        <v>0</v>
      </c>
      <c r="F236" s="252">
        <f t="shared" si="92"/>
        <v>0</v>
      </c>
      <c r="G236" s="252">
        <f t="shared" si="92"/>
        <v>0</v>
      </c>
      <c r="H236" s="252">
        <f t="shared" si="92"/>
        <v>9</v>
      </c>
      <c r="I236" s="252">
        <f t="shared" si="76"/>
        <v>9</v>
      </c>
      <c r="J236" s="251">
        <f t="shared" si="92"/>
        <v>0</v>
      </c>
      <c r="K236" s="251">
        <f t="shared" si="92"/>
        <v>0</v>
      </c>
      <c r="L236" s="251">
        <f t="shared" si="92"/>
        <v>0</v>
      </c>
      <c r="M236" s="251">
        <f t="shared" si="92"/>
        <v>13218958</v>
      </c>
      <c r="N236" s="251">
        <f t="shared" si="92"/>
        <v>13218958</v>
      </c>
      <c r="O236" s="25"/>
      <c r="P236" s="25"/>
    </row>
    <row r="237" spans="1:16" ht="25.5">
      <c r="A237" s="236">
        <f>A235+1</f>
        <v>26</v>
      </c>
      <c r="B237" s="253" t="s">
        <v>106</v>
      </c>
      <c r="C237" s="249">
        <f>'часть 1'!H1404</f>
        <v>7969.19</v>
      </c>
      <c r="D237" s="250">
        <f>'часть 1'!K1404</f>
        <v>301</v>
      </c>
      <c r="E237" s="252">
        <v>0</v>
      </c>
      <c r="F237" s="252">
        <v>0</v>
      </c>
      <c r="G237" s="252">
        <v>0</v>
      </c>
      <c r="H237" s="252">
        <v>9</v>
      </c>
      <c r="I237" s="252">
        <f t="shared" si="76"/>
        <v>9</v>
      </c>
      <c r="J237" s="251">
        <v>0</v>
      </c>
      <c r="K237" s="251">
        <v>0</v>
      </c>
      <c r="L237" s="251">
        <v>0</v>
      </c>
      <c r="M237" s="251">
        <f>'часть 1'!L1404</f>
        <v>13218958</v>
      </c>
      <c r="N237" s="251">
        <f>M237</f>
        <v>13218958</v>
      </c>
      <c r="P237" s="25"/>
    </row>
    <row r="238" spans="1:16">
      <c r="A238" s="236"/>
      <c r="B238" s="255" t="s">
        <v>51</v>
      </c>
      <c r="C238" s="249">
        <f>C239</f>
        <v>8727.8000000000011</v>
      </c>
      <c r="D238" s="250">
        <f t="shared" ref="D238:N238" si="93">D239</f>
        <v>328</v>
      </c>
      <c r="E238" s="252">
        <f t="shared" si="93"/>
        <v>0</v>
      </c>
      <c r="F238" s="252">
        <f t="shared" si="93"/>
        <v>0</v>
      </c>
      <c r="G238" s="252">
        <f t="shared" si="93"/>
        <v>0</v>
      </c>
      <c r="H238" s="252">
        <f t="shared" si="93"/>
        <v>7</v>
      </c>
      <c r="I238" s="252">
        <f t="shared" si="76"/>
        <v>7</v>
      </c>
      <c r="J238" s="251">
        <f t="shared" si="93"/>
        <v>0</v>
      </c>
      <c r="K238" s="251">
        <f t="shared" si="93"/>
        <v>0</v>
      </c>
      <c r="L238" s="251">
        <f t="shared" si="93"/>
        <v>0</v>
      </c>
      <c r="M238" s="251">
        <f t="shared" si="93"/>
        <v>10822736</v>
      </c>
      <c r="N238" s="251">
        <f t="shared" si="93"/>
        <v>10822736</v>
      </c>
      <c r="O238" s="25"/>
      <c r="P238" s="25"/>
    </row>
    <row r="239" spans="1:16" ht="25.5">
      <c r="A239" s="236">
        <f>A237+1</f>
        <v>27</v>
      </c>
      <c r="B239" s="253" t="s">
        <v>108</v>
      </c>
      <c r="C239" s="249">
        <f>'часть 1'!H1415</f>
        <v>8727.8000000000011</v>
      </c>
      <c r="D239" s="250">
        <f>'часть 1'!K1415</f>
        <v>328</v>
      </c>
      <c r="E239" s="252">
        <v>0</v>
      </c>
      <c r="F239" s="252">
        <v>0</v>
      </c>
      <c r="G239" s="252">
        <v>0</v>
      </c>
      <c r="H239" s="252">
        <v>7</v>
      </c>
      <c r="I239" s="252">
        <f t="shared" si="76"/>
        <v>7</v>
      </c>
      <c r="J239" s="251">
        <v>0</v>
      </c>
      <c r="K239" s="251">
        <v>0</v>
      </c>
      <c r="L239" s="251">
        <v>0</v>
      </c>
      <c r="M239" s="251">
        <f>'часть 1'!L1415</f>
        <v>10822736</v>
      </c>
      <c r="N239" s="251">
        <f>M239</f>
        <v>10822736</v>
      </c>
      <c r="P239" s="25"/>
    </row>
    <row r="240" spans="1:16" ht="25.5">
      <c r="A240" s="542"/>
      <c r="B240" s="543" t="s">
        <v>882</v>
      </c>
      <c r="C240" s="539">
        <f>'часть 1'!H1423</f>
        <v>1097.9000000000001</v>
      </c>
      <c r="D240" s="540">
        <f>'часть 1'!K1423</f>
        <v>43</v>
      </c>
      <c r="E240" s="533">
        <v>0</v>
      </c>
      <c r="F240" s="533">
        <v>0</v>
      </c>
      <c r="G240" s="533">
        <v>1</v>
      </c>
      <c r="H240" s="533">
        <v>1</v>
      </c>
      <c r="I240" s="533">
        <v>2</v>
      </c>
      <c r="J240" s="541">
        <v>0</v>
      </c>
      <c r="K240" s="541">
        <v>0</v>
      </c>
      <c r="L240" s="541">
        <v>1625233</v>
      </c>
      <c r="M240" s="541">
        <v>292645</v>
      </c>
      <c r="N240" s="541">
        <f>M240+L240+K240+J240</f>
        <v>1917878</v>
      </c>
      <c r="P240" s="25"/>
    </row>
    <row r="241" spans="1:16">
      <c r="A241" s="236"/>
      <c r="B241" s="255" t="s">
        <v>52</v>
      </c>
      <c r="C241" s="249">
        <f>C243+C242+C244</f>
        <v>2049.2000000000003</v>
      </c>
      <c r="D241" s="250">
        <f>D243+D242+D244</f>
        <v>62</v>
      </c>
      <c r="E241" s="252">
        <f>E243+E242</f>
        <v>0</v>
      </c>
      <c r="F241" s="252">
        <f t="shared" ref="F241:G241" si="94">F243+F242</f>
        <v>0</v>
      </c>
      <c r="G241" s="252">
        <f t="shared" si="94"/>
        <v>1</v>
      </c>
      <c r="H241" s="252">
        <f>H243+H242+H244</f>
        <v>2</v>
      </c>
      <c r="I241" s="252">
        <f t="shared" si="76"/>
        <v>3</v>
      </c>
      <c r="J241" s="251">
        <f t="shared" ref="J241:L241" si="95">J243</f>
        <v>0</v>
      </c>
      <c r="K241" s="251">
        <f t="shared" si="95"/>
        <v>0</v>
      </c>
      <c r="L241" s="251">
        <f t="shared" si="95"/>
        <v>0</v>
      </c>
      <c r="M241" s="251">
        <f>M243+M242+M244</f>
        <v>282612</v>
      </c>
      <c r="N241" s="251">
        <f>M241</f>
        <v>282612</v>
      </c>
      <c r="O241" s="25"/>
      <c r="P241" s="25"/>
    </row>
    <row r="242" spans="1:16" ht="25.5">
      <c r="A242" s="542">
        <f>A239+1</f>
        <v>28</v>
      </c>
      <c r="B242" s="543" t="s">
        <v>130</v>
      </c>
      <c r="C242" s="539">
        <v>747.7</v>
      </c>
      <c r="D242" s="540">
        <v>18</v>
      </c>
      <c r="E242" s="533">
        <v>0</v>
      </c>
      <c r="F242" s="533">
        <v>0</v>
      </c>
      <c r="G242" s="533">
        <v>1</v>
      </c>
      <c r="H242" s="533">
        <v>0</v>
      </c>
      <c r="I242" s="533">
        <f t="shared" si="76"/>
        <v>1</v>
      </c>
      <c r="J242" s="541">
        <v>0</v>
      </c>
      <c r="K242" s="541">
        <v>0</v>
      </c>
      <c r="L242" s="541">
        <v>2385226</v>
      </c>
      <c r="M242" s="541">
        <v>0</v>
      </c>
      <c r="N242" s="541">
        <f>M242+L242+K242+J242</f>
        <v>2385226</v>
      </c>
      <c r="O242" s="25"/>
      <c r="P242" s="25"/>
    </row>
    <row r="243" spans="1:16" ht="25.5">
      <c r="A243" s="236">
        <f>A242+1</f>
        <v>29</v>
      </c>
      <c r="B243" s="253" t="s">
        <v>109</v>
      </c>
      <c r="C243" s="249">
        <f>'часть 1'!H564</f>
        <v>778.6</v>
      </c>
      <c r="D243" s="250">
        <f>'часть 1'!K564</f>
        <v>28</v>
      </c>
      <c r="E243" s="252">
        <v>0</v>
      </c>
      <c r="F243" s="252">
        <v>0</v>
      </c>
      <c r="G243" s="252">
        <v>0</v>
      </c>
      <c r="H243" s="252">
        <v>1</v>
      </c>
      <c r="I243" s="252">
        <f t="shared" si="76"/>
        <v>1</v>
      </c>
      <c r="J243" s="251">
        <v>0</v>
      </c>
      <c r="K243" s="251">
        <v>0</v>
      </c>
      <c r="L243" s="251">
        <v>0</v>
      </c>
      <c r="M243" s="251">
        <v>201010</v>
      </c>
      <c r="N243" s="251">
        <f>M243</f>
        <v>201010</v>
      </c>
      <c r="P243" s="25"/>
    </row>
    <row r="244" spans="1:16" ht="25.5">
      <c r="A244" s="236">
        <f>A243+1</f>
        <v>30</v>
      </c>
      <c r="B244" s="253" t="s">
        <v>198</v>
      </c>
      <c r="C244" s="249">
        <f>'часть 1'!H566</f>
        <v>522.9</v>
      </c>
      <c r="D244" s="250">
        <f>'часть 1'!K566</f>
        <v>16</v>
      </c>
      <c r="E244" s="252">
        <v>0</v>
      </c>
      <c r="F244" s="252">
        <v>0</v>
      </c>
      <c r="G244" s="252">
        <v>0</v>
      </c>
      <c r="H244" s="252">
        <v>1</v>
      </c>
      <c r="I244" s="252">
        <f t="shared" si="76"/>
        <v>1</v>
      </c>
      <c r="J244" s="251">
        <v>0</v>
      </c>
      <c r="K244" s="251">
        <v>0</v>
      </c>
      <c r="L244" s="251">
        <v>0</v>
      </c>
      <c r="M244" s="251">
        <f>'часть 1'!L566</f>
        <v>81602</v>
      </c>
      <c r="N244" s="251">
        <f>M244</f>
        <v>81602</v>
      </c>
      <c r="P244" s="25"/>
    </row>
    <row r="245" spans="1:16">
      <c r="A245" s="236"/>
      <c r="B245" s="255" t="s">
        <v>53</v>
      </c>
      <c r="C245" s="249">
        <f>'часть 1'!H568+'часть 1'!H681</f>
        <v>772.5</v>
      </c>
      <c r="D245" s="250">
        <f>'часть 1'!K568+'часть 1'!K681</f>
        <v>19</v>
      </c>
      <c r="E245" s="252">
        <f t="shared" ref="E245:G245" si="96">E248+E250+E251+E246</f>
        <v>0</v>
      </c>
      <c r="F245" s="252">
        <f t="shared" si="96"/>
        <v>0</v>
      </c>
      <c r="G245" s="252">
        <f t="shared" si="96"/>
        <v>0</v>
      </c>
      <c r="H245" s="252">
        <f>H248+H250+H249+H251+H246+H247+H252</f>
        <v>18</v>
      </c>
      <c r="I245" s="252">
        <f t="shared" si="76"/>
        <v>18</v>
      </c>
      <c r="J245" s="251">
        <f t="shared" ref="J245:L245" si="97">J248+J250+J251+J246</f>
        <v>0</v>
      </c>
      <c r="K245" s="251">
        <f t="shared" si="97"/>
        <v>0</v>
      </c>
      <c r="L245" s="251">
        <f t="shared" si="97"/>
        <v>0</v>
      </c>
      <c r="M245" s="251" t="e">
        <f>M248+M250+M249+M251+M246+M247+M252</f>
        <v>#REF!</v>
      </c>
      <c r="N245" s="251" t="e">
        <f t="shared" ref="N245:N246" si="98">M245</f>
        <v>#REF!</v>
      </c>
      <c r="O245" s="25"/>
      <c r="P245" s="25"/>
    </row>
    <row r="246" spans="1:16" ht="26.25" customHeight="1">
      <c r="A246" s="542">
        <f>A244+1</f>
        <v>31</v>
      </c>
      <c r="B246" s="543" t="s">
        <v>88</v>
      </c>
      <c r="C246" s="539">
        <f>'часть 1'!H1435</f>
        <v>56547.399999999987</v>
      </c>
      <c r="D246" s="540">
        <f>'часть 1'!K1435</f>
        <v>1705</v>
      </c>
      <c r="E246" s="533">
        <v>0</v>
      </c>
      <c r="F246" s="533">
        <v>0</v>
      </c>
      <c r="G246" s="533">
        <v>0</v>
      </c>
      <c r="H246" s="533">
        <v>11</v>
      </c>
      <c r="I246" s="533">
        <f t="shared" si="76"/>
        <v>11</v>
      </c>
      <c r="J246" s="541">
        <v>0</v>
      </c>
      <c r="K246" s="541">
        <v>0</v>
      </c>
      <c r="L246" s="541">
        <v>0</v>
      </c>
      <c r="M246" s="541">
        <f>'часть 1'!L1435</f>
        <v>29036828</v>
      </c>
      <c r="N246" s="541">
        <f t="shared" si="98"/>
        <v>29036828</v>
      </c>
      <c r="P246" s="25"/>
    </row>
    <row r="247" spans="1:16" ht="26.25" customHeight="1">
      <c r="A247" s="542">
        <f t="shared" ref="A247:A252" si="99">A246+1</f>
        <v>32</v>
      </c>
      <c r="B247" s="543" t="s">
        <v>132</v>
      </c>
      <c r="C247" s="539">
        <f>'часть 1'!H1447</f>
        <v>834</v>
      </c>
      <c r="D247" s="540">
        <f>'часть 1'!K1447</f>
        <v>47</v>
      </c>
      <c r="E247" s="533">
        <v>0</v>
      </c>
      <c r="F247" s="533">
        <v>0</v>
      </c>
      <c r="G247" s="533">
        <v>0</v>
      </c>
      <c r="H247" s="533">
        <v>1</v>
      </c>
      <c r="I247" s="533">
        <f t="shared" si="76"/>
        <v>1</v>
      </c>
      <c r="J247" s="541">
        <v>0</v>
      </c>
      <c r="K247" s="541">
        <v>0</v>
      </c>
      <c r="L247" s="541">
        <v>0</v>
      </c>
      <c r="M247" s="541">
        <f>'часть 1'!L1447</f>
        <v>1854126</v>
      </c>
      <c r="N247" s="541">
        <f>M247</f>
        <v>1854126</v>
      </c>
      <c r="P247" s="25"/>
    </row>
    <row r="248" spans="1:16" ht="26.25" customHeight="1">
      <c r="A248" s="542">
        <f t="shared" si="99"/>
        <v>33</v>
      </c>
      <c r="B248" s="543" t="s">
        <v>110</v>
      </c>
      <c r="C248" s="539">
        <f>'часть 1'!H1450</f>
        <v>1394.2</v>
      </c>
      <c r="D248" s="540">
        <f>'часть 1'!K1450</f>
        <v>60</v>
      </c>
      <c r="E248" s="533">
        <v>0</v>
      </c>
      <c r="F248" s="533">
        <v>0</v>
      </c>
      <c r="G248" s="533">
        <v>0</v>
      </c>
      <c r="H248" s="533">
        <v>1</v>
      </c>
      <c r="I248" s="533">
        <f t="shared" si="76"/>
        <v>1</v>
      </c>
      <c r="J248" s="541">
        <v>0</v>
      </c>
      <c r="K248" s="541">
        <v>0</v>
      </c>
      <c r="L248" s="541">
        <v>0</v>
      </c>
      <c r="M248" s="541">
        <v>2569441</v>
      </c>
      <c r="N248" s="541">
        <f t="shared" ref="N248:N252" si="100">M248</f>
        <v>2569441</v>
      </c>
      <c r="P248" s="25"/>
    </row>
    <row r="249" spans="1:16" ht="26.25" customHeight="1">
      <c r="A249" s="542">
        <f t="shared" si="99"/>
        <v>34</v>
      </c>
      <c r="B249" s="543" t="s">
        <v>128</v>
      </c>
      <c r="C249" s="539">
        <f>'часть 1'!H1451</f>
        <v>12875.8</v>
      </c>
      <c r="D249" s="540">
        <f>'часть 1'!K1451</f>
        <v>521</v>
      </c>
      <c r="E249" s="533">
        <v>0</v>
      </c>
      <c r="F249" s="533">
        <v>0</v>
      </c>
      <c r="G249" s="533">
        <v>0</v>
      </c>
      <c r="H249" s="533">
        <v>3</v>
      </c>
      <c r="I249" s="533">
        <f t="shared" si="76"/>
        <v>3</v>
      </c>
      <c r="J249" s="541">
        <v>0</v>
      </c>
      <c r="K249" s="541">
        <v>0</v>
      </c>
      <c r="L249" s="541">
        <v>0</v>
      </c>
      <c r="M249" s="541">
        <f>'часть 1'!L1451</f>
        <v>9681670</v>
      </c>
      <c r="N249" s="541">
        <f t="shared" si="100"/>
        <v>9681670</v>
      </c>
      <c r="P249" s="25"/>
    </row>
    <row r="250" spans="1:16" ht="25.5">
      <c r="A250" s="236">
        <f t="shared" si="99"/>
        <v>35</v>
      </c>
      <c r="B250" s="253" t="s">
        <v>994</v>
      </c>
      <c r="C250" s="249">
        <f>'часть 1'!H1458</f>
        <v>0</v>
      </c>
      <c r="D250" s="250">
        <v>0</v>
      </c>
      <c r="E250" s="252">
        <v>0</v>
      </c>
      <c r="F250" s="252">
        <v>0</v>
      </c>
      <c r="G250" s="252">
        <v>0</v>
      </c>
      <c r="H250" s="252">
        <v>0</v>
      </c>
      <c r="I250" s="252">
        <f t="shared" si="76"/>
        <v>0</v>
      </c>
      <c r="J250" s="251">
        <v>0</v>
      </c>
      <c r="K250" s="251">
        <v>0</v>
      </c>
      <c r="L250" s="251">
        <v>0</v>
      </c>
      <c r="M250" s="251">
        <v>0</v>
      </c>
      <c r="N250" s="251">
        <f t="shared" si="100"/>
        <v>0</v>
      </c>
      <c r="P250" s="25"/>
    </row>
    <row r="251" spans="1:16" ht="27.75" customHeight="1">
      <c r="A251" s="236">
        <f t="shared" si="99"/>
        <v>36</v>
      </c>
      <c r="B251" s="253" t="s">
        <v>111</v>
      </c>
      <c r="C251" s="249" t="e">
        <f>'часть 1'!#REF!</f>
        <v>#REF!</v>
      </c>
      <c r="D251" s="250" t="e">
        <f>'часть 1'!#REF!</f>
        <v>#REF!</v>
      </c>
      <c r="E251" s="252">
        <v>0</v>
      </c>
      <c r="F251" s="252">
        <v>0</v>
      </c>
      <c r="G251" s="252">
        <v>0</v>
      </c>
      <c r="H251" s="252">
        <v>1</v>
      </c>
      <c r="I251" s="252">
        <f t="shared" si="76"/>
        <v>1</v>
      </c>
      <c r="J251" s="251">
        <v>0</v>
      </c>
      <c r="K251" s="251">
        <v>0</v>
      </c>
      <c r="L251" s="251">
        <v>0</v>
      </c>
      <c r="M251" s="251" t="e">
        <f>'часть 1'!#REF!</f>
        <v>#REF!</v>
      </c>
      <c r="N251" s="251" t="e">
        <f t="shared" si="100"/>
        <v>#REF!</v>
      </c>
      <c r="P251" s="25"/>
    </row>
    <row r="252" spans="1:16" ht="27.75" customHeight="1">
      <c r="A252" s="542">
        <f t="shared" si="99"/>
        <v>37</v>
      </c>
      <c r="B252" s="543" t="s">
        <v>129</v>
      </c>
      <c r="C252" s="539">
        <f>'часть 1'!H1461</f>
        <v>1039.2</v>
      </c>
      <c r="D252" s="540">
        <f>'часть 1'!K1461</f>
        <v>48</v>
      </c>
      <c r="E252" s="533">
        <v>0</v>
      </c>
      <c r="F252" s="533">
        <v>0</v>
      </c>
      <c r="G252" s="533">
        <v>0</v>
      </c>
      <c r="H252" s="533">
        <v>1</v>
      </c>
      <c r="I252" s="533">
        <f t="shared" si="76"/>
        <v>1</v>
      </c>
      <c r="J252" s="541">
        <v>0</v>
      </c>
      <c r="K252" s="541">
        <v>0</v>
      </c>
      <c r="L252" s="541">
        <v>0</v>
      </c>
      <c r="M252" s="541">
        <f>'часть 1'!L1461</f>
        <v>1586995</v>
      </c>
      <c r="N252" s="541">
        <f t="shared" si="100"/>
        <v>1586995</v>
      </c>
      <c r="P252" s="25"/>
    </row>
    <row r="253" spans="1:16">
      <c r="A253" s="236"/>
      <c r="B253" s="255" t="s">
        <v>54</v>
      </c>
      <c r="C253" s="249">
        <f>C254</f>
        <v>0</v>
      </c>
      <c r="D253" s="250">
        <f t="shared" ref="D253:N253" si="101">D254</f>
        <v>0</v>
      </c>
      <c r="E253" s="252">
        <f t="shared" si="101"/>
        <v>0</v>
      </c>
      <c r="F253" s="252">
        <f t="shared" si="101"/>
        <v>0</v>
      </c>
      <c r="G253" s="252">
        <f t="shared" si="101"/>
        <v>0</v>
      </c>
      <c r="H253" s="252" t="e">
        <f t="shared" si="101"/>
        <v>#REF!</v>
      </c>
      <c r="I253" s="252" t="e">
        <f t="shared" si="76"/>
        <v>#REF!</v>
      </c>
      <c r="J253" s="251">
        <f t="shared" si="101"/>
        <v>0</v>
      </c>
      <c r="K253" s="251">
        <f t="shared" si="101"/>
        <v>0</v>
      </c>
      <c r="L253" s="251">
        <f t="shared" si="101"/>
        <v>0</v>
      </c>
      <c r="M253" s="251">
        <f t="shared" si="101"/>
        <v>336230870.63</v>
      </c>
      <c r="N253" s="251">
        <f t="shared" si="101"/>
        <v>336230870.63</v>
      </c>
      <c r="O253" s="25"/>
      <c r="P253" s="25"/>
    </row>
    <row r="254" spans="1:16" ht="25.5">
      <c r="A254" s="236">
        <f>A252+1</f>
        <v>38</v>
      </c>
      <c r="B254" s="253" t="s">
        <v>112</v>
      </c>
      <c r="C254" s="249">
        <f>'часть 1'!H584</f>
        <v>0</v>
      </c>
      <c r="D254" s="250">
        <f>'часть 1'!K584</f>
        <v>0</v>
      </c>
      <c r="E254" s="252">
        <v>0</v>
      </c>
      <c r="F254" s="252">
        <v>0</v>
      </c>
      <c r="G254" s="252">
        <v>0</v>
      </c>
      <c r="H254" s="252" t="e">
        <f>'часть 2'!#REF!</f>
        <v>#REF!</v>
      </c>
      <c r="I254" s="252" t="e">
        <f t="shared" si="76"/>
        <v>#REF!</v>
      </c>
      <c r="J254" s="251">
        <v>0</v>
      </c>
      <c r="K254" s="251">
        <v>0</v>
      </c>
      <c r="L254" s="251">
        <v>0</v>
      </c>
      <c r="M254" s="251">
        <f>'часть 1'!L584</f>
        <v>336230870.63</v>
      </c>
      <c r="N254" s="251">
        <f>M254</f>
        <v>336230870.63</v>
      </c>
      <c r="P254" s="25"/>
    </row>
    <row r="255" spans="1:16">
      <c r="A255" s="236"/>
      <c r="B255" s="255" t="s">
        <v>55</v>
      </c>
      <c r="C255" s="249">
        <f>C256</f>
        <v>988.7</v>
      </c>
      <c r="D255" s="249">
        <f t="shared" ref="D255:N255" si="102">D256</f>
        <v>17</v>
      </c>
      <c r="E255" s="249">
        <f t="shared" si="102"/>
        <v>0</v>
      </c>
      <c r="F255" s="249">
        <f t="shared" si="102"/>
        <v>0</v>
      </c>
      <c r="G255" s="249">
        <f t="shared" si="102"/>
        <v>1</v>
      </c>
      <c r="H255" s="249">
        <f t="shared" si="102"/>
        <v>0</v>
      </c>
      <c r="I255" s="249">
        <f t="shared" si="102"/>
        <v>1</v>
      </c>
      <c r="J255" s="251">
        <f t="shared" si="102"/>
        <v>0</v>
      </c>
      <c r="K255" s="251">
        <f t="shared" si="102"/>
        <v>0</v>
      </c>
      <c r="L255" s="251">
        <f t="shared" si="102"/>
        <v>2451868</v>
      </c>
      <c r="M255" s="251">
        <f t="shared" si="102"/>
        <v>0</v>
      </c>
      <c r="N255" s="251">
        <f t="shared" si="102"/>
        <v>2451868</v>
      </c>
      <c r="O255" s="25"/>
      <c r="P255" s="25"/>
    </row>
    <row r="256" spans="1:16" ht="25.5">
      <c r="A256" s="542">
        <v>38</v>
      </c>
      <c r="B256" s="543" t="s">
        <v>590</v>
      </c>
      <c r="C256" s="539">
        <v>988.7</v>
      </c>
      <c r="D256" s="540">
        <v>17</v>
      </c>
      <c r="E256" s="533">
        <v>0</v>
      </c>
      <c r="F256" s="533">
        <v>0</v>
      </c>
      <c r="G256" s="533">
        <v>1</v>
      </c>
      <c r="H256" s="533">
        <v>0</v>
      </c>
      <c r="I256" s="533">
        <f t="shared" si="76"/>
        <v>1</v>
      </c>
      <c r="J256" s="541">
        <v>0</v>
      </c>
      <c r="K256" s="541">
        <v>0</v>
      </c>
      <c r="L256" s="541">
        <v>2451868</v>
      </c>
      <c r="M256" s="541">
        <v>0</v>
      </c>
      <c r="N256" s="541">
        <f>M256+L256+K256+J256</f>
        <v>2451868</v>
      </c>
      <c r="P256" s="25"/>
    </row>
    <row r="257" spans="1:16">
      <c r="A257" s="236"/>
      <c r="B257" s="255" t="s">
        <v>56</v>
      </c>
      <c r="C257" s="249">
        <f>'часть 1'!H593</f>
        <v>0</v>
      </c>
      <c r="D257" s="250">
        <f>'часть 1'!K593</f>
        <v>0</v>
      </c>
      <c r="E257" s="252">
        <f t="shared" ref="E257:H257" si="103">E258+E259+E260</f>
        <v>0</v>
      </c>
      <c r="F257" s="252">
        <f t="shared" si="103"/>
        <v>1</v>
      </c>
      <c r="G257" s="252">
        <f t="shared" si="103"/>
        <v>0</v>
      </c>
      <c r="H257" s="252">
        <f t="shared" si="103"/>
        <v>6</v>
      </c>
      <c r="I257" s="252">
        <f t="shared" si="76"/>
        <v>6</v>
      </c>
      <c r="J257" s="251">
        <f t="shared" ref="J257:L257" si="104">J258+J259+J260</f>
        <v>0</v>
      </c>
      <c r="K257" s="251">
        <f t="shared" si="104"/>
        <v>588419</v>
      </c>
      <c r="L257" s="251">
        <f t="shared" si="104"/>
        <v>0</v>
      </c>
      <c r="M257" s="251">
        <f>M258+M259+M260</f>
        <v>11293784</v>
      </c>
      <c r="N257" s="251">
        <f t="shared" ref="N257" si="105">N258+N259+N260</f>
        <v>11882203</v>
      </c>
      <c r="O257" s="25"/>
      <c r="P257" s="25"/>
    </row>
    <row r="258" spans="1:16" ht="25.5">
      <c r="A258" s="542">
        <v>39</v>
      </c>
      <c r="B258" s="543" t="s">
        <v>424</v>
      </c>
      <c r="C258" s="539">
        <f>'часть 1'!H1477</f>
        <v>4232.5</v>
      </c>
      <c r="D258" s="540">
        <f>'часть 1'!K1477</f>
        <v>175</v>
      </c>
      <c r="E258" s="533">
        <v>0</v>
      </c>
      <c r="F258" s="533">
        <v>0</v>
      </c>
      <c r="G258" s="533">
        <v>0</v>
      </c>
      <c r="H258" s="533">
        <v>5</v>
      </c>
      <c r="I258" s="533">
        <f t="shared" si="76"/>
        <v>5</v>
      </c>
      <c r="J258" s="541">
        <v>0</v>
      </c>
      <c r="K258" s="541">
        <v>0</v>
      </c>
      <c r="L258" s="541">
        <v>0</v>
      </c>
      <c r="M258" s="541">
        <f>'часть 1'!L1477</f>
        <v>9225003</v>
      </c>
      <c r="N258" s="541">
        <f>M258</f>
        <v>9225003</v>
      </c>
      <c r="P258" s="25"/>
    </row>
    <row r="259" spans="1:16" ht="25.5">
      <c r="A259" s="236">
        <v>40</v>
      </c>
      <c r="B259" s="253" t="s">
        <v>121</v>
      </c>
      <c r="C259" s="249">
        <f>'часть 1'!H1483</f>
        <v>3954</v>
      </c>
      <c r="D259" s="250">
        <f>'часть 1'!K1483</f>
        <v>93</v>
      </c>
      <c r="E259" s="252">
        <v>0</v>
      </c>
      <c r="F259" s="252">
        <v>0</v>
      </c>
      <c r="G259" s="252">
        <v>0</v>
      </c>
      <c r="H259" s="252">
        <v>1</v>
      </c>
      <c r="I259" s="252">
        <f t="shared" si="76"/>
        <v>1</v>
      </c>
      <c r="J259" s="251">
        <v>0</v>
      </c>
      <c r="K259" s="251">
        <v>0</v>
      </c>
      <c r="L259" s="251">
        <v>0</v>
      </c>
      <c r="M259" s="251">
        <f>'часть 1'!L1483</f>
        <v>2068781</v>
      </c>
      <c r="N259" s="251">
        <f>M259</f>
        <v>2068781</v>
      </c>
      <c r="O259" s="25"/>
      <c r="P259" s="25"/>
    </row>
    <row r="260" spans="1:16" ht="25.5">
      <c r="A260" s="236">
        <v>41</v>
      </c>
      <c r="B260" s="253" t="s">
        <v>807</v>
      </c>
      <c r="C260" s="249">
        <f>'часть 1'!H1485</f>
        <v>654.20000000000005</v>
      </c>
      <c r="D260" s="250">
        <f>'часть 1'!K1485</f>
        <v>36</v>
      </c>
      <c r="E260" s="252">
        <v>0</v>
      </c>
      <c r="F260" s="252">
        <v>1</v>
      </c>
      <c r="G260" s="252">
        <v>0</v>
      </c>
      <c r="H260" s="252">
        <v>0</v>
      </c>
      <c r="I260" s="252">
        <v>1</v>
      </c>
      <c r="J260" s="251">
        <v>0</v>
      </c>
      <c r="K260" s="251">
        <v>588419</v>
      </c>
      <c r="L260" s="251">
        <v>0</v>
      </c>
      <c r="M260" s="251">
        <v>0</v>
      </c>
      <c r="N260" s="251">
        <f>K260</f>
        <v>588419</v>
      </c>
      <c r="O260" s="25"/>
      <c r="P260" s="25"/>
    </row>
    <row r="261" spans="1:16">
      <c r="A261" s="236"/>
      <c r="B261" s="255" t="s">
        <v>57</v>
      </c>
      <c r="C261" s="249">
        <f>C262</f>
        <v>821.12</v>
      </c>
      <c r="D261" s="250">
        <f t="shared" ref="D261:L261" si="106">D262</f>
        <v>21</v>
      </c>
      <c r="E261" s="252">
        <f t="shared" si="106"/>
        <v>0</v>
      </c>
      <c r="F261" s="252">
        <f t="shared" si="106"/>
        <v>0</v>
      </c>
      <c r="G261" s="252">
        <f t="shared" si="106"/>
        <v>0</v>
      </c>
      <c r="H261" s="252">
        <f t="shared" si="106"/>
        <v>1</v>
      </c>
      <c r="I261" s="252">
        <f t="shared" si="76"/>
        <v>1</v>
      </c>
      <c r="J261" s="251">
        <f t="shared" si="106"/>
        <v>0</v>
      </c>
      <c r="K261" s="251">
        <f t="shared" si="106"/>
        <v>0</v>
      </c>
      <c r="L261" s="251">
        <f t="shared" si="106"/>
        <v>0</v>
      </c>
      <c r="M261" s="251">
        <f>M262</f>
        <v>1788296</v>
      </c>
      <c r="N261" s="251">
        <f>N262</f>
        <v>1788296</v>
      </c>
      <c r="P261" s="25"/>
    </row>
    <row r="262" spans="1:16" ht="25.5">
      <c r="A262" s="236">
        <v>42</v>
      </c>
      <c r="B262" s="253" t="s">
        <v>119</v>
      </c>
      <c r="C262" s="249">
        <f>'часть 1'!H1488</f>
        <v>821.12</v>
      </c>
      <c r="D262" s="250">
        <f>'часть 1'!K1488</f>
        <v>21</v>
      </c>
      <c r="E262" s="252">
        <v>0</v>
      </c>
      <c r="F262" s="252">
        <v>0</v>
      </c>
      <c r="G262" s="252">
        <v>0</v>
      </c>
      <c r="H262" s="252">
        <v>1</v>
      </c>
      <c r="I262" s="252">
        <f t="shared" si="76"/>
        <v>1</v>
      </c>
      <c r="J262" s="251">
        <v>0</v>
      </c>
      <c r="K262" s="251">
        <v>0</v>
      </c>
      <c r="L262" s="251">
        <v>0</v>
      </c>
      <c r="M262" s="251">
        <f>'часть 1'!L1488</f>
        <v>1788296</v>
      </c>
      <c r="N262" s="251">
        <f>M262</f>
        <v>1788296</v>
      </c>
      <c r="P262" s="25"/>
    </row>
    <row r="263" spans="1:16">
      <c r="A263" s="236"/>
      <c r="B263" s="255" t="s">
        <v>58</v>
      </c>
      <c r="C263" s="249">
        <f>C264</f>
        <v>0</v>
      </c>
      <c r="D263" s="250">
        <f>'часть 1'!K613+'часть 1'!K690</f>
        <v>0</v>
      </c>
      <c r="E263" s="252">
        <f t="shared" ref="E263:N263" si="107">E264</f>
        <v>0</v>
      </c>
      <c r="F263" s="252">
        <f t="shared" si="107"/>
        <v>0</v>
      </c>
      <c r="G263" s="252">
        <f t="shared" si="107"/>
        <v>0</v>
      </c>
      <c r="H263" s="252" t="e">
        <f t="shared" si="107"/>
        <v>#REF!</v>
      </c>
      <c r="I263" s="252" t="e">
        <f t="shared" si="76"/>
        <v>#REF!</v>
      </c>
      <c r="J263" s="251">
        <f t="shared" si="107"/>
        <v>0</v>
      </c>
      <c r="K263" s="251">
        <f t="shared" si="107"/>
        <v>0</v>
      </c>
      <c r="L263" s="251">
        <f t="shared" si="107"/>
        <v>0</v>
      </c>
      <c r="M263" s="251">
        <f t="shared" si="107"/>
        <v>869880</v>
      </c>
      <c r="N263" s="251">
        <f t="shared" si="107"/>
        <v>869880</v>
      </c>
      <c r="P263" s="25"/>
    </row>
    <row r="264" spans="1:16" ht="27.75" customHeight="1">
      <c r="A264" s="236">
        <v>43</v>
      </c>
      <c r="B264" s="253" t="s">
        <v>87</v>
      </c>
      <c r="C264" s="249">
        <f>'часть 1'!H613+'часть 1'!H691</f>
        <v>0</v>
      </c>
      <c r="D264" s="250">
        <f>'часть 1'!K691+'часть 1'!K614</f>
        <v>0</v>
      </c>
      <c r="E264" s="252">
        <v>0</v>
      </c>
      <c r="F264" s="252">
        <v>0</v>
      </c>
      <c r="G264" s="252">
        <v>0</v>
      </c>
      <c r="H264" s="252" t="e">
        <f>'часть 2'!#REF!</f>
        <v>#REF!</v>
      </c>
      <c r="I264" s="252" t="e">
        <f t="shared" si="76"/>
        <v>#REF!</v>
      </c>
      <c r="J264" s="251">
        <v>0</v>
      </c>
      <c r="K264" s="251">
        <v>0</v>
      </c>
      <c r="L264" s="251">
        <v>0</v>
      </c>
      <c r="M264" s="251">
        <f>'часть 2'!C608</f>
        <v>869880</v>
      </c>
      <c r="N264" s="251">
        <f>M264</f>
        <v>869880</v>
      </c>
      <c r="P264" s="25"/>
    </row>
    <row r="265" spans="1:16" ht="25.15" customHeight="1">
      <c r="A265" s="542"/>
      <c r="B265" s="547" t="s">
        <v>59</v>
      </c>
      <c r="C265" s="539">
        <f>C266+C267</f>
        <v>0</v>
      </c>
      <c r="D265" s="539">
        <f t="shared" ref="D265:N265" si="108">D266+D267</f>
        <v>0</v>
      </c>
      <c r="E265" s="539">
        <f t="shared" si="108"/>
        <v>0</v>
      </c>
      <c r="F265" s="539">
        <f t="shared" si="108"/>
        <v>0</v>
      </c>
      <c r="G265" s="539">
        <f t="shared" si="108"/>
        <v>0</v>
      </c>
      <c r="H265" s="539">
        <f t="shared" si="108"/>
        <v>0</v>
      </c>
      <c r="I265" s="539">
        <f t="shared" si="108"/>
        <v>0</v>
      </c>
      <c r="J265" s="541">
        <f t="shared" si="108"/>
        <v>0</v>
      </c>
      <c r="K265" s="541">
        <f t="shared" si="108"/>
        <v>0</v>
      </c>
      <c r="L265" s="541">
        <f t="shared" si="108"/>
        <v>0</v>
      </c>
      <c r="M265" s="541">
        <f t="shared" si="108"/>
        <v>0</v>
      </c>
      <c r="N265" s="541">
        <f t="shared" si="108"/>
        <v>0</v>
      </c>
      <c r="P265" s="25"/>
    </row>
    <row r="266" spans="1:16" ht="25.5">
      <c r="A266" s="542">
        <v>44</v>
      </c>
      <c r="B266" s="543" t="s">
        <v>86</v>
      </c>
      <c r="C266" s="539">
        <v>0</v>
      </c>
      <c r="D266" s="540">
        <v>0</v>
      </c>
      <c r="E266" s="533">
        <v>0</v>
      </c>
      <c r="F266" s="533">
        <v>0</v>
      </c>
      <c r="G266" s="533">
        <v>0</v>
      </c>
      <c r="H266" s="533">
        <v>0</v>
      </c>
      <c r="I266" s="533">
        <v>0</v>
      </c>
      <c r="J266" s="541">
        <v>0</v>
      </c>
      <c r="K266" s="541">
        <v>0</v>
      </c>
      <c r="L266" s="541">
        <v>0</v>
      </c>
      <c r="M266" s="541">
        <v>0</v>
      </c>
      <c r="N266" s="541">
        <f>M266</f>
        <v>0</v>
      </c>
      <c r="P266" s="25"/>
    </row>
    <row r="267" spans="1:16" ht="25.5">
      <c r="A267" s="542">
        <v>45</v>
      </c>
      <c r="B267" s="543" t="s">
        <v>85</v>
      </c>
      <c r="C267" s="539">
        <v>0</v>
      </c>
      <c r="D267" s="540">
        <v>0</v>
      </c>
      <c r="E267" s="533">
        <v>0</v>
      </c>
      <c r="F267" s="533">
        <v>0</v>
      </c>
      <c r="G267" s="533">
        <v>0</v>
      </c>
      <c r="H267" s="533">
        <v>0</v>
      </c>
      <c r="I267" s="533">
        <v>0</v>
      </c>
      <c r="J267" s="541">
        <v>0</v>
      </c>
      <c r="K267" s="541">
        <v>0</v>
      </c>
      <c r="L267" s="541">
        <v>0</v>
      </c>
      <c r="M267" s="541">
        <v>0</v>
      </c>
      <c r="N267" s="541">
        <f>M267</f>
        <v>0</v>
      </c>
      <c r="P267" s="25"/>
    </row>
    <row r="268" spans="1:16">
      <c r="A268" s="236"/>
      <c r="B268" s="255" t="s">
        <v>60</v>
      </c>
      <c r="C268" s="249">
        <f>'часть 1'!H624</f>
        <v>0</v>
      </c>
      <c r="D268" s="250">
        <f>'часть 1'!K624</f>
        <v>0</v>
      </c>
      <c r="E268" s="252">
        <f t="shared" ref="E268:N268" si="109">E270</f>
        <v>0</v>
      </c>
      <c r="F268" s="252">
        <f t="shared" si="109"/>
        <v>2</v>
      </c>
      <c r="G268" s="252">
        <f t="shared" si="109"/>
        <v>2</v>
      </c>
      <c r="H268" s="252">
        <f t="shared" si="109"/>
        <v>0</v>
      </c>
      <c r="I268" s="252">
        <f t="shared" ref="I268:I273" si="110">H268+G268</f>
        <v>2</v>
      </c>
      <c r="J268" s="251">
        <f t="shared" si="109"/>
        <v>0</v>
      </c>
      <c r="K268" s="251">
        <f t="shared" si="109"/>
        <v>1585646</v>
      </c>
      <c r="L268" s="251">
        <f t="shared" si="109"/>
        <v>2750663</v>
      </c>
      <c r="M268" s="251">
        <f t="shared" si="109"/>
        <v>0</v>
      </c>
      <c r="N268" s="251">
        <f t="shared" si="109"/>
        <v>4336309</v>
      </c>
      <c r="P268" s="25"/>
    </row>
    <row r="269" spans="1:16">
      <c r="A269" s="542"/>
      <c r="B269" s="547" t="s">
        <v>208</v>
      </c>
      <c r="C269" s="539">
        <f>'часть 1'!H1507</f>
        <v>340.3</v>
      </c>
      <c r="D269" s="540">
        <f>'часть 1'!K1507</f>
        <v>14</v>
      </c>
      <c r="E269" s="533">
        <v>0</v>
      </c>
      <c r="F269" s="533">
        <v>0</v>
      </c>
      <c r="G269" s="533">
        <v>0</v>
      </c>
      <c r="H269" s="533">
        <v>1</v>
      </c>
      <c r="I269" s="533">
        <f t="shared" si="110"/>
        <v>1</v>
      </c>
      <c r="J269" s="541">
        <v>0</v>
      </c>
      <c r="K269" s="541">
        <v>0</v>
      </c>
      <c r="L269" s="541">
        <v>0</v>
      </c>
      <c r="M269" s="541">
        <v>512860</v>
      </c>
      <c r="N269" s="541">
        <f>M269+L269+K269+J269</f>
        <v>512860</v>
      </c>
      <c r="P269" s="25"/>
    </row>
    <row r="270" spans="1:16">
      <c r="A270" s="542">
        <v>46</v>
      </c>
      <c r="B270" s="543" t="s">
        <v>61</v>
      </c>
      <c r="C270" s="539">
        <v>2833.3</v>
      </c>
      <c r="D270" s="540">
        <v>119</v>
      </c>
      <c r="E270" s="533">
        <v>0</v>
      </c>
      <c r="F270" s="533">
        <v>2</v>
      </c>
      <c r="G270" s="533">
        <v>2</v>
      </c>
      <c r="H270" s="533">
        <v>0</v>
      </c>
      <c r="I270" s="533">
        <f>H270+G270+F270+E270</f>
        <v>4</v>
      </c>
      <c r="J270" s="541">
        <v>0</v>
      </c>
      <c r="K270" s="541">
        <v>1585646</v>
      </c>
      <c r="L270" s="541">
        <v>2750663</v>
      </c>
      <c r="M270" s="541">
        <v>0</v>
      </c>
      <c r="N270" s="541">
        <f>M270+L270+K270+J270</f>
        <v>4336309</v>
      </c>
      <c r="P270" s="25"/>
    </row>
    <row r="271" spans="1:16">
      <c r="A271" s="236"/>
      <c r="B271" s="255" t="s">
        <v>649</v>
      </c>
      <c r="C271" s="249">
        <v>952.2</v>
      </c>
      <c r="D271" s="250">
        <v>41</v>
      </c>
      <c r="E271" s="252">
        <v>0</v>
      </c>
      <c r="F271" s="252">
        <v>0</v>
      </c>
      <c r="G271" s="252">
        <v>1</v>
      </c>
      <c r="H271" s="252">
        <v>0</v>
      </c>
      <c r="I271" s="252">
        <v>1</v>
      </c>
      <c r="J271" s="251">
        <v>0</v>
      </c>
      <c r="K271" s="251">
        <v>0</v>
      </c>
      <c r="L271" s="251">
        <v>1490380</v>
      </c>
      <c r="M271" s="251">
        <v>0</v>
      </c>
      <c r="N271" s="251">
        <v>1490380</v>
      </c>
      <c r="P271" s="25"/>
    </row>
    <row r="272" spans="1:16">
      <c r="A272" s="542">
        <v>47</v>
      </c>
      <c r="B272" s="543" t="s">
        <v>62</v>
      </c>
      <c r="C272" s="539">
        <f>'часть 1'!H1520</f>
        <v>445.14</v>
      </c>
      <c r="D272" s="540">
        <v>18</v>
      </c>
      <c r="E272" s="533">
        <v>0</v>
      </c>
      <c r="F272" s="533">
        <v>0</v>
      </c>
      <c r="G272" s="533">
        <v>1</v>
      </c>
      <c r="H272" s="533">
        <v>0</v>
      </c>
      <c r="I272" s="533">
        <f t="shared" si="110"/>
        <v>1</v>
      </c>
      <c r="J272" s="541">
        <v>0</v>
      </c>
      <c r="K272" s="541">
        <v>0</v>
      </c>
      <c r="L272" s="541">
        <v>1175875</v>
      </c>
      <c r="M272" s="541">
        <v>0</v>
      </c>
      <c r="N272" s="541">
        <f>M272+L272+K272+J272</f>
        <v>1175875</v>
      </c>
      <c r="P272" s="25"/>
    </row>
    <row r="273" spans="1:16">
      <c r="A273" s="236"/>
      <c r="B273" s="255" t="s">
        <v>211</v>
      </c>
      <c r="C273" s="249">
        <f>'часть 1'!H1533</f>
        <v>2953.2000000000003</v>
      </c>
      <c r="D273" s="250">
        <f>'часть 1'!K1533</f>
        <v>85</v>
      </c>
      <c r="E273" s="252">
        <f>E277</f>
        <v>0</v>
      </c>
      <c r="F273" s="252">
        <f>F277</f>
        <v>0</v>
      </c>
      <c r="G273" s="252">
        <f>G277</f>
        <v>0</v>
      </c>
      <c r="H273" s="250">
        <v>2</v>
      </c>
      <c r="I273" s="252">
        <f t="shared" si="110"/>
        <v>2</v>
      </c>
      <c r="J273" s="251">
        <f>J277</f>
        <v>0</v>
      </c>
      <c r="K273" s="251">
        <f>K277</f>
        <v>0</v>
      </c>
      <c r="L273" s="251">
        <f>L277</f>
        <v>0</v>
      </c>
      <c r="M273" s="251">
        <f>'часть 1'!L1533</f>
        <v>3398521</v>
      </c>
      <c r="N273" s="251">
        <f>M273+L273+K273+J273</f>
        <v>3398521</v>
      </c>
      <c r="P273" s="25"/>
    </row>
    <row r="274" spans="1:16">
      <c r="A274" s="542"/>
      <c r="B274" s="547" t="s">
        <v>63</v>
      </c>
      <c r="C274" s="539">
        <f>'часть 1'!H1522</f>
        <v>571.1</v>
      </c>
      <c r="D274" s="540">
        <f>'часть 1'!K1522</f>
        <v>28</v>
      </c>
      <c r="E274" s="533">
        <v>0</v>
      </c>
      <c r="F274" s="533">
        <v>0</v>
      </c>
      <c r="G274" s="533">
        <v>0</v>
      </c>
      <c r="H274" s="540">
        <v>1</v>
      </c>
      <c r="I274" s="533">
        <v>1</v>
      </c>
      <c r="J274" s="541">
        <v>0</v>
      </c>
      <c r="K274" s="541">
        <v>0</v>
      </c>
      <c r="L274" s="541">
        <v>0</v>
      </c>
      <c r="M274" s="541">
        <v>1608623</v>
      </c>
      <c r="N274" s="541">
        <f>M274+L274+K274+J274</f>
        <v>1608623</v>
      </c>
      <c r="P274" s="25"/>
    </row>
    <row r="275" spans="1:16">
      <c r="A275" s="542"/>
      <c r="B275" s="547" t="s">
        <v>663</v>
      </c>
      <c r="C275" s="539">
        <f>C276</f>
        <v>783.2</v>
      </c>
      <c r="D275" s="539">
        <f t="shared" ref="D275:N275" si="111">D276</f>
        <v>32</v>
      </c>
      <c r="E275" s="539">
        <f t="shared" si="111"/>
        <v>0</v>
      </c>
      <c r="F275" s="539">
        <f t="shared" si="111"/>
        <v>0</v>
      </c>
      <c r="G275" s="539">
        <f t="shared" si="111"/>
        <v>1</v>
      </c>
      <c r="H275" s="539">
        <f t="shared" si="111"/>
        <v>0</v>
      </c>
      <c r="I275" s="539">
        <f t="shared" si="111"/>
        <v>1</v>
      </c>
      <c r="J275" s="539">
        <f t="shared" si="111"/>
        <v>0</v>
      </c>
      <c r="K275" s="539">
        <f t="shared" si="111"/>
        <v>0</v>
      </c>
      <c r="L275" s="539">
        <f t="shared" si="111"/>
        <v>1457324</v>
      </c>
      <c r="M275" s="541">
        <f t="shared" si="111"/>
        <v>0</v>
      </c>
      <c r="N275" s="541">
        <f t="shared" si="111"/>
        <v>1457324</v>
      </c>
      <c r="P275" s="25"/>
    </row>
    <row r="276" spans="1:16" ht="25.5">
      <c r="A276" s="542"/>
      <c r="B276" s="543" t="s">
        <v>667</v>
      </c>
      <c r="C276" s="539">
        <f>'часть 1'!H1526</f>
        <v>783.2</v>
      </c>
      <c r="D276" s="540">
        <f>'часть 1'!K1526</f>
        <v>32</v>
      </c>
      <c r="E276" s="533">
        <v>0</v>
      </c>
      <c r="F276" s="533">
        <v>0</v>
      </c>
      <c r="G276" s="533">
        <v>1</v>
      </c>
      <c r="H276" s="540">
        <v>0</v>
      </c>
      <c r="I276" s="533">
        <v>1</v>
      </c>
      <c r="J276" s="541">
        <v>0</v>
      </c>
      <c r="K276" s="541">
        <v>0</v>
      </c>
      <c r="L276" s="541">
        <v>1457324</v>
      </c>
      <c r="M276" s="541">
        <v>0</v>
      </c>
      <c r="N276" s="541">
        <v>1457324</v>
      </c>
      <c r="P276" s="25"/>
    </row>
    <row r="277" spans="1:16" ht="17.45" customHeight="1">
      <c r="A277" s="236"/>
      <c r="B277" s="253" t="s">
        <v>64</v>
      </c>
      <c r="C277" s="249">
        <f>C278</f>
        <v>3434.5</v>
      </c>
      <c r="D277" s="249">
        <f t="shared" ref="D277:N277" si="112">D278</f>
        <v>113</v>
      </c>
      <c r="E277" s="249">
        <f t="shared" si="112"/>
        <v>0</v>
      </c>
      <c r="F277" s="249">
        <f t="shared" si="112"/>
        <v>0</v>
      </c>
      <c r="G277" s="249">
        <f t="shared" si="112"/>
        <v>0</v>
      </c>
      <c r="H277" s="249">
        <f t="shared" si="112"/>
        <v>2</v>
      </c>
      <c r="I277" s="249">
        <f t="shared" si="112"/>
        <v>2</v>
      </c>
      <c r="J277" s="251">
        <f t="shared" si="112"/>
        <v>0</v>
      </c>
      <c r="K277" s="251">
        <f t="shared" si="112"/>
        <v>0</v>
      </c>
      <c r="L277" s="251">
        <f t="shared" si="112"/>
        <v>0</v>
      </c>
      <c r="M277" s="251">
        <f t="shared" si="112"/>
        <v>5448472</v>
      </c>
      <c r="N277" s="251">
        <f t="shared" si="112"/>
        <v>5448472</v>
      </c>
      <c r="P277" s="25"/>
    </row>
    <row r="278" spans="1:16" ht="27" customHeight="1">
      <c r="A278" s="542">
        <v>49</v>
      </c>
      <c r="B278" s="543" t="s">
        <v>115</v>
      </c>
      <c r="C278" s="539">
        <v>3434.5</v>
      </c>
      <c r="D278" s="540">
        <v>113</v>
      </c>
      <c r="E278" s="533">
        <v>0</v>
      </c>
      <c r="F278" s="533">
        <v>0</v>
      </c>
      <c r="G278" s="533">
        <v>0</v>
      </c>
      <c r="H278" s="533">
        <v>2</v>
      </c>
      <c r="I278" s="533">
        <f t="shared" ref="I278:I281" si="113">H278+G278</f>
        <v>2</v>
      </c>
      <c r="J278" s="541">
        <v>0</v>
      </c>
      <c r="K278" s="541">
        <v>0</v>
      </c>
      <c r="L278" s="541">
        <v>0</v>
      </c>
      <c r="M278" s="541">
        <v>5448472</v>
      </c>
      <c r="N278" s="541">
        <f>M278</f>
        <v>5448472</v>
      </c>
      <c r="P278" s="25"/>
    </row>
    <row r="279" spans="1:16">
      <c r="A279" s="236"/>
      <c r="B279" s="255" t="s">
        <v>66</v>
      </c>
      <c r="C279" s="249">
        <f>C281+C280</f>
        <v>1902.9</v>
      </c>
      <c r="D279" s="249">
        <f t="shared" ref="D279:N279" si="114">D281+D280</f>
        <v>48</v>
      </c>
      <c r="E279" s="249">
        <f t="shared" si="114"/>
        <v>0</v>
      </c>
      <c r="F279" s="249">
        <f t="shared" si="114"/>
        <v>0</v>
      </c>
      <c r="G279" s="249">
        <f t="shared" si="114"/>
        <v>0</v>
      </c>
      <c r="H279" s="249">
        <f t="shared" si="114"/>
        <v>3</v>
      </c>
      <c r="I279" s="249">
        <f t="shared" si="114"/>
        <v>3</v>
      </c>
      <c r="J279" s="251">
        <f t="shared" si="114"/>
        <v>0</v>
      </c>
      <c r="K279" s="251">
        <f t="shared" si="114"/>
        <v>0</v>
      </c>
      <c r="L279" s="251">
        <f t="shared" si="114"/>
        <v>0</v>
      </c>
      <c r="M279" s="251">
        <f t="shared" si="114"/>
        <v>4103443</v>
      </c>
      <c r="N279" s="251">
        <f t="shared" si="114"/>
        <v>4103443</v>
      </c>
      <c r="P279" s="25"/>
    </row>
    <row r="280" spans="1:16" ht="25.5">
      <c r="A280" s="542"/>
      <c r="B280" s="543" t="s">
        <v>641</v>
      </c>
      <c r="C280" s="539">
        <f>'часть 1'!H1539</f>
        <v>689.6</v>
      </c>
      <c r="D280" s="539">
        <f>'часть 1'!K1539</f>
        <v>19</v>
      </c>
      <c r="E280" s="539">
        <v>0</v>
      </c>
      <c r="F280" s="539">
        <v>0</v>
      </c>
      <c r="G280" s="539">
        <v>0</v>
      </c>
      <c r="H280" s="539">
        <v>1</v>
      </c>
      <c r="I280" s="539">
        <v>1</v>
      </c>
      <c r="J280" s="541">
        <v>0</v>
      </c>
      <c r="K280" s="541">
        <v>0</v>
      </c>
      <c r="L280" s="541">
        <v>0</v>
      </c>
      <c r="M280" s="541">
        <v>357985</v>
      </c>
      <c r="N280" s="541">
        <f>M280+L280+K280+J280</f>
        <v>357985</v>
      </c>
      <c r="P280" s="25"/>
    </row>
    <row r="281" spans="1:16" ht="25.5">
      <c r="A281" s="542"/>
      <c r="B281" s="543" t="s">
        <v>114</v>
      </c>
      <c r="C281" s="539">
        <v>1213.3</v>
      </c>
      <c r="D281" s="540">
        <v>29</v>
      </c>
      <c r="E281" s="533">
        <v>0</v>
      </c>
      <c r="F281" s="533">
        <v>0</v>
      </c>
      <c r="G281" s="533">
        <v>0</v>
      </c>
      <c r="H281" s="533">
        <v>2</v>
      </c>
      <c r="I281" s="533">
        <f t="shared" si="113"/>
        <v>2</v>
      </c>
      <c r="J281" s="541">
        <v>0</v>
      </c>
      <c r="K281" s="541">
        <v>0</v>
      </c>
      <c r="L281" s="541">
        <v>0</v>
      </c>
      <c r="M281" s="541">
        <v>3745458</v>
      </c>
      <c r="N281" s="541">
        <f t="shared" ref="N281" si="115">M281</f>
        <v>3745458</v>
      </c>
      <c r="P281" s="25"/>
    </row>
    <row r="282" spans="1:16">
      <c r="A282" s="542"/>
      <c r="B282" s="543"/>
      <c r="C282" s="539"/>
      <c r="D282" s="540"/>
      <c r="E282" s="540"/>
      <c r="F282" s="540"/>
      <c r="G282" s="540"/>
      <c r="H282" s="540"/>
      <c r="I282" s="533"/>
      <c r="J282" s="541"/>
      <c r="K282" s="541"/>
      <c r="L282" s="541"/>
      <c r="M282" s="541"/>
      <c r="N282" s="541"/>
      <c r="P282" s="25"/>
    </row>
    <row r="283" spans="1:16">
      <c r="A283" s="394"/>
      <c r="B283" s="258"/>
      <c r="C283" s="249"/>
      <c r="D283" s="250"/>
      <c r="E283" s="252"/>
      <c r="F283" s="252"/>
      <c r="G283" s="252"/>
      <c r="H283" s="252"/>
      <c r="I283" s="252"/>
      <c r="J283" s="251"/>
      <c r="K283" s="251"/>
      <c r="L283" s="251"/>
      <c r="M283" s="251"/>
      <c r="N283" s="251"/>
      <c r="P283" s="25"/>
    </row>
    <row r="284" spans="1:16" ht="27" customHeight="1">
      <c r="A284" s="236"/>
      <c r="B284" s="257"/>
      <c r="C284" s="249"/>
      <c r="D284" s="250"/>
      <c r="E284" s="252"/>
      <c r="F284" s="252"/>
      <c r="G284" s="252"/>
      <c r="H284" s="252"/>
      <c r="I284" s="252"/>
      <c r="J284" s="251"/>
      <c r="K284" s="251"/>
      <c r="L284" s="251"/>
      <c r="M284" s="251"/>
      <c r="N284" s="251"/>
      <c r="P284" s="25"/>
    </row>
    <row r="285" spans="1:16">
      <c r="A285" s="236"/>
      <c r="B285" s="253"/>
      <c r="C285" s="249"/>
      <c r="D285" s="250"/>
      <c r="E285" s="252"/>
      <c r="F285" s="252"/>
      <c r="G285" s="252"/>
      <c r="H285" s="252"/>
      <c r="I285" s="252"/>
      <c r="J285" s="251"/>
      <c r="K285" s="251"/>
      <c r="L285" s="251"/>
      <c r="M285" s="251"/>
      <c r="N285" s="251"/>
      <c r="P285" s="25"/>
    </row>
    <row r="286" spans="1:16" ht="29.25" customHeight="1">
      <c r="A286" s="236">
        <f>A284+1</f>
        <v>1</v>
      </c>
      <c r="B286" s="253" t="s">
        <v>212</v>
      </c>
      <c r="C286" s="249">
        <f>'часть 1'!H651</f>
        <v>0</v>
      </c>
      <c r="D286" s="250">
        <f>'часть 1'!K651</f>
        <v>0</v>
      </c>
      <c r="E286" s="252">
        <v>0</v>
      </c>
      <c r="F286" s="252">
        <v>0</v>
      </c>
      <c r="G286" s="252">
        <v>0</v>
      </c>
      <c r="H286" s="252">
        <v>1</v>
      </c>
      <c r="I286" s="252">
        <f t="shared" ref="I286:I287" si="116">H286+G286</f>
        <v>1</v>
      </c>
      <c r="J286" s="251">
        <v>0</v>
      </c>
      <c r="K286" s="251">
        <v>0</v>
      </c>
      <c r="L286" s="251">
        <v>0</v>
      </c>
      <c r="M286" s="251">
        <f>'часть 2'!C709</f>
        <v>1118494</v>
      </c>
      <c r="N286" s="251">
        <f>M286</f>
        <v>1118494</v>
      </c>
      <c r="P286" s="25"/>
    </row>
    <row r="287" spans="1:16" ht="27" customHeight="1">
      <c r="A287" s="236">
        <v>54</v>
      </c>
      <c r="B287" s="253" t="s">
        <v>213</v>
      </c>
      <c r="C287" s="249">
        <f>'часть 1'!H653</f>
        <v>0</v>
      </c>
      <c r="D287" s="250">
        <f>'часть 1'!K653</f>
        <v>0</v>
      </c>
      <c r="E287" s="252">
        <v>0</v>
      </c>
      <c r="F287" s="252">
        <v>0</v>
      </c>
      <c r="G287" s="252">
        <v>0</v>
      </c>
      <c r="H287" s="252">
        <v>1</v>
      </c>
      <c r="I287" s="252">
        <f t="shared" si="116"/>
        <v>1</v>
      </c>
      <c r="J287" s="251">
        <v>0</v>
      </c>
      <c r="K287" s="251">
        <v>0</v>
      </c>
      <c r="L287" s="251">
        <v>0</v>
      </c>
      <c r="M287" s="251">
        <f>'часть 2'!C711</f>
        <v>2253297</v>
      </c>
      <c r="N287" s="251">
        <f>M287</f>
        <v>2253297</v>
      </c>
      <c r="P287" s="25"/>
    </row>
    <row r="288" spans="1:16">
      <c r="A288" s="236"/>
      <c r="B288" s="255"/>
      <c r="C288" s="249"/>
      <c r="D288" s="250"/>
      <c r="E288" s="252"/>
      <c r="F288" s="252"/>
      <c r="G288" s="252"/>
      <c r="H288" s="252"/>
      <c r="I288" s="252"/>
      <c r="J288" s="251"/>
      <c r="K288" s="251"/>
      <c r="L288" s="251"/>
      <c r="M288" s="251"/>
      <c r="N288" s="251"/>
      <c r="P288" s="25"/>
    </row>
    <row r="289" spans="1:16">
      <c r="A289" s="542"/>
      <c r="B289" s="543"/>
      <c r="C289" s="539"/>
      <c r="D289" s="540"/>
      <c r="E289" s="533"/>
      <c r="F289" s="533"/>
      <c r="G289" s="533"/>
      <c r="H289" s="533"/>
      <c r="I289" s="533"/>
      <c r="J289" s="541"/>
      <c r="K289" s="541"/>
      <c r="L289" s="541"/>
      <c r="M289" s="541"/>
      <c r="N289" s="541"/>
      <c r="P289" s="25"/>
    </row>
    <row r="290" spans="1:16">
      <c r="A290" s="542">
        <v>56</v>
      </c>
      <c r="B290" s="543" t="s">
        <v>207</v>
      </c>
      <c r="C290" s="539">
        <v>53715.519999999997</v>
      </c>
      <c r="D290" s="540">
        <v>2022</v>
      </c>
      <c r="E290" s="540">
        <v>0</v>
      </c>
      <c r="F290" s="540">
        <v>0</v>
      </c>
      <c r="G290" s="540">
        <v>0</v>
      </c>
      <c r="H290" s="540">
        <v>7</v>
      </c>
      <c r="I290" s="533">
        <f t="shared" ref="I290:I293" si="117">H290+G290</f>
        <v>7</v>
      </c>
      <c r="J290" s="541">
        <v>0</v>
      </c>
      <c r="K290" s="541">
        <v>0</v>
      </c>
      <c r="L290" s="541">
        <v>0</v>
      </c>
      <c r="M290" s="541">
        <v>21360482</v>
      </c>
      <c r="N290" s="541">
        <f>M290</f>
        <v>21360482</v>
      </c>
      <c r="P290" s="25"/>
    </row>
    <row r="291" spans="1:16">
      <c r="A291" s="394"/>
      <c r="B291" s="258" t="s">
        <v>67</v>
      </c>
      <c r="C291" s="249">
        <f>'часть 1'!H672</f>
        <v>0</v>
      </c>
      <c r="D291" s="250">
        <f>'часть 1'!K672</f>
        <v>0</v>
      </c>
      <c r="E291" s="252">
        <v>0</v>
      </c>
      <c r="F291" s="252">
        <v>0</v>
      </c>
      <c r="G291" s="252">
        <f>G292</f>
        <v>1</v>
      </c>
      <c r="H291" s="252">
        <f>H292+H293</f>
        <v>1</v>
      </c>
      <c r="I291" s="252">
        <f t="shared" si="117"/>
        <v>2</v>
      </c>
      <c r="J291" s="251">
        <v>0</v>
      </c>
      <c r="K291" s="251">
        <v>0</v>
      </c>
      <c r="L291" s="251">
        <f>L292</f>
        <v>359651</v>
      </c>
      <c r="M291" s="251">
        <f>M292+M293</f>
        <v>2254298</v>
      </c>
      <c r="N291" s="251">
        <f>N292+N293</f>
        <v>2613949</v>
      </c>
      <c r="P291" s="25"/>
    </row>
    <row r="292" spans="1:16" ht="27" customHeight="1">
      <c r="A292" s="236">
        <v>57</v>
      </c>
      <c r="B292" s="257" t="s">
        <v>90</v>
      </c>
      <c r="C292" s="249">
        <f>'часть 1'!H673</f>
        <v>0</v>
      </c>
      <c r="D292" s="250">
        <f>'часть 1'!K673</f>
        <v>0</v>
      </c>
      <c r="E292" s="252">
        <v>0</v>
      </c>
      <c r="F292" s="252">
        <v>0</v>
      </c>
      <c r="G292" s="252">
        <v>1</v>
      </c>
      <c r="H292" s="252">
        <v>0</v>
      </c>
      <c r="I292" s="252">
        <f t="shared" si="117"/>
        <v>1</v>
      </c>
      <c r="J292" s="251">
        <v>0</v>
      </c>
      <c r="K292" s="251">
        <v>0</v>
      </c>
      <c r="L292" s="251">
        <f>'часть 1'!L673</f>
        <v>359651</v>
      </c>
      <c r="M292" s="251">
        <v>0</v>
      </c>
      <c r="N292" s="251">
        <f>L292</f>
        <v>359651</v>
      </c>
      <c r="P292" s="25"/>
    </row>
    <row r="293" spans="1:16" ht="25.5">
      <c r="A293" s="542">
        <v>58</v>
      </c>
      <c r="B293" s="543" t="s">
        <v>127</v>
      </c>
      <c r="C293" s="539">
        <f>'часть 1'!H1560</f>
        <v>3387.4</v>
      </c>
      <c r="D293" s="540">
        <f>'часть 1'!K1560</f>
        <v>105</v>
      </c>
      <c r="E293" s="533">
        <v>0</v>
      </c>
      <c r="F293" s="533">
        <v>0</v>
      </c>
      <c r="G293" s="533">
        <v>0</v>
      </c>
      <c r="H293" s="533">
        <v>1</v>
      </c>
      <c r="I293" s="533">
        <f t="shared" si="117"/>
        <v>1</v>
      </c>
      <c r="J293" s="541">
        <v>0</v>
      </c>
      <c r="K293" s="541">
        <v>0</v>
      </c>
      <c r="L293" s="541">
        <v>0</v>
      </c>
      <c r="M293" s="541">
        <f>'часть 1'!L1560</f>
        <v>2254298</v>
      </c>
      <c r="N293" s="541">
        <f>M293</f>
        <v>2254298</v>
      </c>
      <c r="P293" s="25"/>
    </row>
  </sheetData>
  <autoFilter ref="A5:P185"/>
  <customSheetViews>
    <customSheetView guid="{971AA6D5-B469-4A54-816C-1252CCB6D265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"/>
      <headerFooter>
        <oddHeader>&amp;C&amp;P</oddHeader>
      </headerFooter>
      <autoFilter ref="A5:P185"/>
    </customSheetView>
    <customSheetView guid="{DFE5B545-478C-4B86-847C-1FEE882C6F69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2"/>
      <headerFooter>
        <oddHeader>&amp;C&amp;P</oddHeader>
      </headerFooter>
      <autoFilter ref="A5:P185"/>
    </customSheetView>
    <customSheetView guid="{4C44C113-DA02-468D-99C5-83FA6693F42F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3"/>
      <headerFooter>
        <oddHeader>&amp;C&amp;P</oddHeader>
      </headerFooter>
      <autoFilter ref="A5:P185"/>
    </customSheetView>
    <customSheetView guid="{570403C4-1D93-4175-B4D8-BD47D46CE99C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4"/>
      <headerFooter>
        <oddHeader>&amp;C&amp;P</oddHeader>
      </headerFooter>
      <autoFilter ref="A5:P185"/>
    </customSheetView>
    <customSheetView guid="{B1841E62-04AF-4786-8B2B-B1F42C88E6D1}" scale="72" showPageBreaks="1" fitToPage="1" showAutoFilter="1" state="hidden" view="pageBreakPreview">
      <pane xSplit="2" ySplit="5.666666666666667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5"/>
      <headerFooter>
        <oddHeader>&amp;C&amp;P</oddHeader>
      </headerFooter>
      <autoFilter ref="A5:P104"/>
    </customSheetView>
    <customSheetView guid="{A28C0ADC-4E0C-4A0A-ACB1-DA409183476D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6"/>
      <headerFooter>
        <oddHeader>&amp;C&amp;P</oddHeader>
      </headerFooter>
      <autoFilter ref="A5:P185"/>
    </customSheetView>
    <customSheetView guid="{144E5A37-1CF2-41F0-BEF8-CB5D4D392E2A}" scale="72" showPageBreaks="1" fitToPage="1" showAutoFilter="1" state="hidden" view="pageBreakPreview">
      <pane xSplit="1.7430555555555556" ySplit="5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7"/>
      <headerFooter>
        <oddHeader>&amp;C&amp;P</oddHeader>
      </headerFooter>
      <autoFilter ref="A5:P185"/>
    </customSheetView>
    <customSheetView guid="{7A75CCE7-0E84-47E6-A162-5AC0354F296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8"/>
      <headerFooter>
        <oddHeader>&amp;C&amp;P</oddHeader>
      </headerFooter>
      <autoFilter ref="A5:P185"/>
    </customSheetView>
    <customSheetView guid="{A6187BD3-0BA4-497C-8924-4FA3D77530F0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9"/>
      <headerFooter>
        <oddHeader>&amp;C&amp;P</oddHeader>
      </headerFooter>
      <autoFilter ref="A5:P185"/>
    </customSheetView>
    <customSheetView guid="{DC88C499-913F-4D15-846E-E5B9D5E047D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0"/>
      <headerFooter>
        <oddHeader>&amp;C&amp;P</oddHeader>
      </headerFooter>
      <autoFilter ref="A5:P185"/>
    </customSheetView>
  </customSheetViews>
  <mergeCells count="7">
    <mergeCell ref="A1:N1"/>
    <mergeCell ref="A2:A4"/>
    <mergeCell ref="B2:B4"/>
    <mergeCell ref="C2:C3"/>
    <mergeCell ref="D2:D3"/>
    <mergeCell ref="E2:I2"/>
    <mergeCell ref="J2:N2"/>
  </mergeCells>
  <printOptions horizontalCentered="1"/>
  <pageMargins left="0.23622047244094491" right="0.23622047244094491" top="0.98425196850393704" bottom="0.39370078740157483" header="0.7" footer="0.31496062992125984"/>
  <pageSetup paperSize="9" scale="75" firstPageNumber="38" fitToHeight="0" orientation="landscape" useFirstPageNumber="1" r:id="rId1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activeCell="L21" sqref="L21"/>
    </sheetView>
  </sheetViews>
  <sheetFormatPr defaultColWidth="8.85546875" defaultRowHeight="15"/>
  <cols>
    <col min="1" max="1" width="4.28515625" style="1" customWidth="1"/>
    <col min="2" max="2" width="23.28515625" style="67" customWidth="1"/>
    <col min="3" max="3" width="1.5703125" style="1" customWidth="1"/>
    <col min="4" max="4" width="24.85546875" style="1" customWidth="1"/>
    <col min="5" max="5" width="2" style="1" customWidth="1"/>
    <col min="6" max="6" width="26.7109375" style="1" customWidth="1"/>
    <col min="7" max="16384" width="8.85546875" style="1"/>
  </cols>
  <sheetData>
    <row r="1" spans="2:6" ht="15.75" thickBot="1">
      <c r="B1" s="82" t="s">
        <v>199</v>
      </c>
      <c r="C1" s="30"/>
      <c r="D1" s="82" t="s">
        <v>200</v>
      </c>
      <c r="E1" s="30"/>
      <c r="F1" s="82" t="s">
        <v>201</v>
      </c>
    </row>
    <row r="2" spans="2:6">
      <c r="B2" s="68" t="s">
        <v>133</v>
      </c>
      <c r="D2" s="74" t="s">
        <v>154</v>
      </c>
      <c r="F2" s="74" t="s">
        <v>174</v>
      </c>
    </row>
    <row r="3" spans="2:6" s="3" customFormat="1">
      <c r="B3" s="69" t="s">
        <v>134</v>
      </c>
      <c r="D3" s="75" t="s">
        <v>155</v>
      </c>
      <c r="F3" s="75" t="s">
        <v>175</v>
      </c>
    </row>
    <row r="4" spans="2:6" s="3" customFormat="1" ht="15.75" thickBot="1">
      <c r="B4" s="69" t="s">
        <v>135</v>
      </c>
      <c r="D4" s="75" t="s">
        <v>156</v>
      </c>
      <c r="F4" s="76" t="s">
        <v>176</v>
      </c>
    </row>
    <row r="5" spans="2:6" s="3" customFormat="1">
      <c r="B5" s="69" t="s">
        <v>136</v>
      </c>
      <c r="D5" s="75" t="s">
        <v>157</v>
      </c>
      <c r="F5" s="75" t="s">
        <v>158</v>
      </c>
    </row>
    <row r="6" spans="2:6" ht="15.75" thickBot="1">
      <c r="B6" s="69" t="s">
        <v>137</v>
      </c>
      <c r="D6" s="77" t="s">
        <v>204</v>
      </c>
      <c r="F6" s="75" t="s">
        <v>159</v>
      </c>
    </row>
    <row r="7" spans="2:6">
      <c r="B7" s="74" t="s">
        <v>138</v>
      </c>
      <c r="D7" s="74" t="s">
        <v>169</v>
      </c>
      <c r="F7" s="75" t="s">
        <v>160</v>
      </c>
    </row>
    <row r="8" spans="2:6">
      <c r="B8" s="75" t="s">
        <v>192</v>
      </c>
      <c r="D8" s="75" t="s">
        <v>168</v>
      </c>
      <c r="F8" s="75" t="s">
        <v>161</v>
      </c>
    </row>
    <row r="9" spans="2:6" s="19" customFormat="1" ht="12.75">
      <c r="B9" s="75" t="s">
        <v>139</v>
      </c>
      <c r="D9" s="75" t="s">
        <v>170</v>
      </c>
      <c r="F9" s="75" t="s">
        <v>162</v>
      </c>
    </row>
    <row r="10" spans="2:6" ht="15.75" thickBot="1">
      <c r="B10" s="75" t="s">
        <v>140</v>
      </c>
      <c r="D10" s="76" t="s">
        <v>171</v>
      </c>
      <c r="F10" s="75" t="s">
        <v>163</v>
      </c>
    </row>
    <row r="11" spans="2:6" s="18" customFormat="1" ht="18" customHeight="1">
      <c r="B11" s="75" t="s">
        <v>141</v>
      </c>
      <c r="D11" s="69" t="s">
        <v>172</v>
      </c>
      <c r="F11" s="75" t="s">
        <v>164</v>
      </c>
    </row>
    <row r="12" spans="2:6" ht="15.75" thickBot="1">
      <c r="B12" s="75" t="s">
        <v>142</v>
      </c>
      <c r="D12" s="69" t="s">
        <v>173</v>
      </c>
      <c r="F12" s="76" t="s">
        <v>165</v>
      </c>
    </row>
    <row r="13" spans="2:6">
      <c r="B13" s="884" t="s">
        <v>143</v>
      </c>
      <c r="D13" s="69" t="s">
        <v>1052</v>
      </c>
    </row>
    <row r="14" spans="2:6" hidden="1">
      <c r="B14" s="884"/>
    </row>
    <row r="15" spans="2:6" hidden="1">
      <c r="B15" s="884"/>
    </row>
    <row r="16" spans="2:6" ht="15.75" thickBot="1">
      <c r="B16" s="884" t="s">
        <v>944</v>
      </c>
      <c r="D16" s="984" t="s">
        <v>1051</v>
      </c>
    </row>
    <row r="17" spans="2:6" ht="18.75" customHeight="1" thickBot="1">
      <c r="B17" s="883" t="s">
        <v>945</v>
      </c>
      <c r="D17" s="82" t="s">
        <v>202</v>
      </c>
      <c r="E17" s="30"/>
      <c r="F17" s="82" t="s">
        <v>203</v>
      </c>
    </row>
    <row r="18" spans="2:6" hidden="1">
      <c r="B18" s="69"/>
    </row>
    <row r="19" spans="2:6" ht="15.75" hidden="1" thickBot="1">
      <c r="B19" s="69"/>
    </row>
    <row r="20" spans="2:6" ht="16.5" customHeight="1" thickBot="1">
      <c r="B20" s="69"/>
      <c r="D20" s="68" t="s">
        <v>177</v>
      </c>
      <c r="F20" s="73" t="s">
        <v>178</v>
      </c>
    </row>
    <row r="21" spans="2:6" ht="16.5" customHeight="1" thickBot="1">
      <c r="B21" s="69"/>
      <c r="D21" s="69" t="s">
        <v>946</v>
      </c>
      <c r="F21" s="70"/>
    </row>
    <row r="22" spans="2:6" ht="15.75" thickBot="1">
      <c r="B22" s="69"/>
      <c r="D22" s="69" t="s">
        <v>153</v>
      </c>
      <c r="F22" s="72" t="s">
        <v>195</v>
      </c>
    </row>
    <row r="23" spans="2:6">
      <c r="B23" s="69"/>
      <c r="D23" s="69" t="s">
        <v>179</v>
      </c>
      <c r="F23" s="69" t="s">
        <v>144</v>
      </c>
    </row>
    <row r="24" spans="2:6" ht="15.75" thickBot="1">
      <c r="B24" s="69"/>
      <c r="D24" s="69" t="s">
        <v>182</v>
      </c>
      <c r="F24" s="69" t="s">
        <v>145</v>
      </c>
    </row>
    <row r="25" spans="2:6">
      <c r="B25" s="69"/>
      <c r="D25" s="69" t="s">
        <v>181</v>
      </c>
      <c r="F25" s="74" t="s">
        <v>147</v>
      </c>
    </row>
    <row r="26" spans="2:6">
      <c r="B26" s="69"/>
      <c r="D26" s="69" t="s">
        <v>180</v>
      </c>
      <c r="F26" s="75" t="s">
        <v>146</v>
      </c>
    </row>
    <row r="27" spans="2:6" ht="15.75" thickBot="1">
      <c r="B27" s="69"/>
      <c r="D27" s="71" t="s">
        <v>196</v>
      </c>
      <c r="F27" s="76" t="s">
        <v>148</v>
      </c>
    </row>
    <row r="28" spans="2:6">
      <c r="B28" s="69">
        <v>3</v>
      </c>
      <c r="D28" s="69" t="s">
        <v>183</v>
      </c>
      <c r="F28" s="75" t="s">
        <v>149</v>
      </c>
    </row>
    <row r="29" spans="2:6" s="9" customFormat="1" ht="13.5" thickBot="1">
      <c r="B29" s="81"/>
      <c r="D29" s="69" t="s">
        <v>184</v>
      </c>
      <c r="F29" s="75" t="s">
        <v>150</v>
      </c>
    </row>
    <row r="30" spans="2:6" s="9" customFormat="1" ht="17.25" customHeight="1">
      <c r="B30" s="81"/>
      <c r="D30" s="74" t="s">
        <v>185</v>
      </c>
      <c r="F30" s="75" t="s">
        <v>193</v>
      </c>
    </row>
    <row r="31" spans="2:6" s="9" customFormat="1" ht="12.75">
      <c r="B31" s="81"/>
      <c r="D31" s="75" t="s">
        <v>186</v>
      </c>
      <c r="F31" s="75" t="s">
        <v>194</v>
      </c>
    </row>
    <row r="32" spans="2:6" ht="18" customHeight="1" thickBot="1">
      <c r="B32" s="70"/>
      <c r="D32" s="76" t="s">
        <v>187</v>
      </c>
      <c r="F32" s="76" t="s">
        <v>151</v>
      </c>
    </row>
    <row r="33" spans="1:6">
      <c r="B33" s="68"/>
      <c r="F33" s="68" t="s">
        <v>152</v>
      </c>
    </row>
    <row r="34" spans="1:6">
      <c r="B34" s="69"/>
      <c r="F34" s="69" t="s">
        <v>166</v>
      </c>
    </row>
    <row r="35" spans="1:6" ht="15.75" thickBot="1">
      <c r="A35" s="78"/>
      <c r="B35" s="69"/>
      <c r="C35" s="78"/>
      <c r="D35" s="78"/>
      <c r="F35" s="70" t="s">
        <v>167</v>
      </c>
    </row>
    <row r="36" spans="1:6" s="10" customFormat="1" ht="14.45" customHeight="1">
      <c r="A36" s="80"/>
      <c r="B36" s="69" t="s">
        <v>179</v>
      </c>
      <c r="C36" s="80"/>
      <c r="D36" s="1388" t="s">
        <v>197</v>
      </c>
    </row>
    <row r="37" spans="1:6" s="10" customFormat="1" ht="14.45" customHeight="1">
      <c r="A37" s="80"/>
      <c r="B37" s="69" t="s">
        <v>182</v>
      </c>
      <c r="C37" s="80"/>
      <c r="D37" s="1388"/>
    </row>
    <row r="38" spans="1:6" s="10" customFormat="1">
      <c r="A38" s="80"/>
      <c r="B38" s="69" t="s">
        <v>181</v>
      </c>
      <c r="C38" s="80"/>
      <c r="D38" s="80"/>
    </row>
    <row r="39" spans="1:6" s="10" customFormat="1" ht="14.45" customHeight="1">
      <c r="A39" s="80"/>
      <c r="B39" s="69" t="s">
        <v>180</v>
      </c>
      <c r="C39" s="80"/>
      <c r="D39" s="1388" t="s">
        <v>197</v>
      </c>
    </row>
    <row r="40" spans="1:6" s="10" customFormat="1" ht="14.45" customHeight="1">
      <c r="A40" s="80"/>
      <c r="B40" s="69" t="s">
        <v>947</v>
      </c>
      <c r="C40" s="80"/>
      <c r="D40" s="1388"/>
    </row>
    <row r="41" spans="1:6" s="10" customFormat="1">
      <c r="A41" s="80"/>
      <c r="B41" s="69" t="s">
        <v>183</v>
      </c>
      <c r="C41" s="80"/>
      <c r="D41" s="80"/>
    </row>
    <row r="42" spans="1:6" s="10" customFormat="1" ht="15.75" thickBot="1">
      <c r="A42" s="80"/>
      <c r="B42" s="70" t="s">
        <v>184</v>
      </c>
      <c r="C42" s="80"/>
      <c r="D42" s="80"/>
    </row>
    <row r="43" spans="1:6">
      <c r="A43" s="78"/>
      <c r="B43" s="79"/>
      <c r="C43" s="78"/>
      <c r="D43" s="78"/>
    </row>
    <row r="62" ht="15.75" customHeight="1"/>
    <row r="63" ht="15.75" customHeight="1"/>
  </sheetData>
  <customSheetViews>
    <customSheetView guid="{971AA6D5-B469-4A54-816C-1252CCB6D265}" showPageBreaks="1" hiddenRows="1" state="hidden">
      <selection activeCell="L21" sqref="L21"/>
      <pageMargins left="0.7" right="0.7" top="0.75" bottom="0.75" header="0.3" footer="0.3"/>
      <pageSetup paperSize="9" orientation="portrait" r:id="rId1"/>
    </customSheetView>
    <customSheetView guid="{DFE5B545-478C-4B86-847C-1FEE882C6F69}" hiddenRows="1" state="hidden">
      <selection activeCell="L21" sqref="L21"/>
      <pageMargins left="0.7" right="0.7" top="0.75" bottom="0.75" header="0.3" footer="0.3"/>
      <pageSetup paperSize="9" orientation="portrait" r:id="rId2"/>
    </customSheetView>
    <customSheetView guid="{4C44C113-DA02-468D-99C5-83FA6693F42F}" hiddenRows="1" state="hidden">
      <selection activeCell="L21" sqref="L21"/>
      <pageMargins left="0.7" right="0.7" top="0.75" bottom="0.75" header="0.3" footer="0.3"/>
      <pageSetup paperSize="9" orientation="portrait" r:id="rId3"/>
    </customSheetView>
    <customSheetView guid="{570403C4-1D93-4175-B4D8-BD47D46CE99C}" hiddenRows="1" state="hidden">
      <selection activeCell="L21" sqref="L21"/>
      <pageMargins left="0.7" right="0.7" top="0.75" bottom="0.75" header="0.3" footer="0.3"/>
      <pageSetup paperSize="9" orientation="portrait" r:id="rId4"/>
    </customSheetView>
    <customSheetView guid="{B1841E62-04AF-4786-8B2B-B1F42C88E6D1}" hiddenRows="1" state="hidden">
      <selection activeCell="L21" sqref="L21"/>
      <pageMargins left="0.7" right="0.7" top="0.75" bottom="0.75" header="0.3" footer="0.3"/>
      <pageSetup paperSize="9" orientation="portrait" r:id="rId5"/>
    </customSheetView>
    <customSheetView guid="{A28C0ADC-4E0C-4A0A-ACB1-DA409183476D}" hiddenRows="1" state="hidden">
      <selection activeCell="L21" sqref="L21"/>
      <pageMargins left="0.7" right="0.7" top="0.75" bottom="0.75" header="0.3" footer="0.3"/>
      <pageSetup paperSize="9" orientation="portrait" r:id="rId6"/>
    </customSheetView>
    <customSheetView guid="{144E5A37-1CF2-41F0-BEF8-CB5D4D392E2A}" hiddenRows="1" state="hidden">
      <selection activeCell="L21" sqref="L21"/>
      <pageMargins left="0.7" right="0.7" top="0.75" bottom="0.75" header="0.3" footer="0.3"/>
      <pageSetup paperSize="9" orientation="portrait" r:id="rId7"/>
    </customSheetView>
    <customSheetView guid="{7A75CCE7-0E84-47E6-A162-5AC0354F2967}" hiddenRows="1" state="hidden">
      <selection activeCell="L21" sqref="L21"/>
      <pageMargins left="0.7" right="0.7" top="0.75" bottom="0.75" header="0.3" footer="0.3"/>
      <pageSetup paperSize="9" orientation="portrait" r:id="rId8"/>
    </customSheetView>
    <customSheetView guid="{A6187BD3-0BA4-497C-8924-4FA3D77530F0}" hiddenRows="1" state="hidden">
      <selection activeCell="L21" sqref="L21"/>
      <pageMargins left="0.7" right="0.7" top="0.75" bottom="0.75" header="0.3" footer="0.3"/>
      <pageSetup paperSize="9" orientation="portrait" r:id="rId9"/>
    </customSheetView>
    <customSheetView guid="{DC88C499-913F-4D15-846E-E5B9D5E047D7}" hiddenRows="1" state="hidden">
      <selection activeCell="L21" sqref="L21"/>
      <pageMargins left="0.7" right="0.7" top="0.75" bottom="0.75" header="0.3" footer="0.3"/>
      <pageSetup paperSize="9" orientation="portrait" r:id="rId10"/>
    </customSheetView>
  </customSheetViews>
  <mergeCells count="2">
    <mergeCell ref="D36:D37"/>
    <mergeCell ref="D39:D40"/>
  </mergeCells>
  <pageMargins left="0.7" right="0.7" top="0.75" bottom="0.75" header="0.3" footer="0.3"/>
  <pageSetup paperSize="9" orientation="portrait" r:id="rId1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Z1635"/>
  <sheetViews>
    <sheetView tabSelected="1" view="pageBreakPreview" zoomScale="50" zoomScaleSheetLayoutView="50" workbookViewId="0">
      <selection activeCell="O1" sqref="O1:Q2"/>
    </sheetView>
  </sheetViews>
  <sheetFormatPr defaultColWidth="8.85546875" defaultRowHeight="18.75"/>
  <cols>
    <col min="1" max="1" width="8.140625" style="994" customWidth="1"/>
    <col min="2" max="2" width="55" style="995" customWidth="1"/>
    <col min="3" max="3" width="10.28515625" style="1190" customWidth="1"/>
    <col min="4" max="4" width="9.7109375" style="1190" customWidth="1"/>
    <col min="5" max="5" width="22" style="1126" customWidth="1"/>
    <col min="6" max="6" width="6.5703125" style="1190" customWidth="1"/>
    <col min="7" max="7" width="6.7109375" style="1190" customWidth="1"/>
    <col min="8" max="8" width="20.140625" style="996" customWidth="1"/>
    <col min="9" max="9" width="19.7109375" style="996" customWidth="1"/>
    <col min="10" max="10" width="17" style="996" customWidth="1"/>
    <col min="11" max="11" width="13.7109375" style="1263" customWidth="1"/>
    <col min="12" max="12" width="25.42578125" style="996" customWidth="1"/>
    <col min="13" max="13" width="8.140625" style="996" customWidth="1"/>
    <col min="14" max="14" width="19.85546875" style="996" customWidth="1"/>
    <col min="15" max="15" width="25.42578125" style="996" customWidth="1"/>
    <col min="16" max="16" width="8.140625" style="996" customWidth="1"/>
    <col min="17" max="17" width="18.7109375" style="996" customWidth="1"/>
    <col min="18" max="18" width="13" style="1005" customWidth="1"/>
    <col min="19" max="19" width="12.28515625" style="1005" customWidth="1"/>
    <col min="20" max="20" width="9.28515625" style="1126" customWidth="1"/>
    <col min="21" max="16384" width="8.85546875" style="1190"/>
  </cols>
  <sheetData>
    <row r="1" spans="1:20" ht="18" customHeight="1">
      <c r="O1" s="1389" t="s">
        <v>3067</v>
      </c>
      <c r="P1" s="1389"/>
      <c r="Q1" s="1389"/>
      <c r="R1" s="1190"/>
      <c r="S1" s="1190"/>
      <c r="T1" s="1190"/>
    </row>
    <row r="2" spans="1:20" ht="198" customHeight="1">
      <c r="O2" s="1389"/>
      <c r="P2" s="1389"/>
      <c r="Q2" s="1389"/>
      <c r="R2" s="1190"/>
      <c r="S2" s="1190"/>
      <c r="T2" s="1190"/>
    </row>
    <row r="3" spans="1:20" ht="15" customHeight="1">
      <c r="O3" s="1191"/>
      <c r="P3" s="1191"/>
      <c r="Q3" s="1190"/>
      <c r="R3" s="1190"/>
      <c r="S3" s="1190"/>
      <c r="T3" s="1190"/>
    </row>
    <row r="4" spans="1:20" ht="21">
      <c r="A4" s="1400" t="s">
        <v>438</v>
      </c>
      <c r="B4" s="1401"/>
      <c r="C4" s="1401"/>
      <c r="D4" s="1401"/>
      <c r="E4" s="1401"/>
      <c r="F4" s="1401"/>
      <c r="G4" s="1401"/>
      <c r="H4" s="1401"/>
      <c r="I4" s="1401"/>
      <c r="J4" s="1401"/>
      <c r="K4" s="1401"/>
      <c r="L4" s="1401"/>
      <c r="M4" s="1401"/>
      <c r="N4" s="1401"/>
      <c r="O4" s="1401"/>
      <c r="P4" s="1401"/>
      <c r="Q4" s="1401"/>
      <c r="R4" s="1402"/>
      <c r="S4" s="1401"/>
      <c r="T4" s="1401"/>
    </row>
    <row r="5" spans="1:20" ht="21">
      <c r="A5" s="1400" t="s">
        <v>1799</v>
      </c>
      <c r="B5" s="1401"/>
      <c r="C5" s="1401"/>
      <c r="D5" s="1401"/>
      <c r="E5" s="1401"/>
      <c r="F5" s="1401"/>
      <c r="G5" s="1401"/>
      <c r="H5" s="1401"/>
      <c r="I5" s="1401"/>
      <c r="J5" s="1401"/>
      <c r="K5" s="1401"/>
      <c r="L5" s="1401"/>
      <c r="M5" s="1401"/>
      <c r="N5" s="1401"/>
      <c r="O5" s="1401"/>
      <c r="P5" s="1401"/>
      <c r="Q5" s="1401"/>
      <c r="R5" s="1402"/>
      <c r="S5" s="1401"/>
      <c r="T5" s="1401"/>
    </row>
    <row r="6" spans="1:20" ht="21" customHeight="1">
      <c r="A6" s="1400" t="s">
        <v>1962</v>
      </c>
      <c r="B6" s="1401"/>
      <c r="C6" s="1401"/>
      <c r="D6" s="1401"/>
      <c r="E6" s="1401"/>
      <c r="F6" s="1401"/>
      <c r="G6" s="1401"/>
      <c r="H6" s="1401"/>
      <c r="I6" s="1401"/>
      <c r="J6" s="1401"/>
      <c r="K6" s="1401"/>
      <c r="L6" s="1401"/>
      <c r="M6" s="1401"/>
      <c r="N6" s="1401"/>
      <c r="O6" s="1401"/>
      <c r="P6" s="1401"/>
      <c r="Q6" s="1401"/>
      <c r="R6" s="1402"/>
      <c r="S6" s="1401"/>
      <c r="T6" s="1401"/>
    </row>
    <row r="7" spans="1:20" ht="36" customHeight="1">
      <c r="A7" s="1403" t="s">
        <v>38</v>
      </c>
      <c r="B7" s="1404"/>
      <c r="C7" s="1404"/>
      <c r="D7" s="1404"/>
      <c r="E7" s="1404"/>
      <c r="F7" s="1404"/>
      <c r="G7" s="1404"/>
      <c r="H7" s="1404"/>
      <c r="I7" s="1404"/>
      <c r="J7" s="1404"/>
      <c r="K7" s="1404"/>
      <c r="L7" s="1404"/>
      <c r="M7" s="1404"/>
      <c r="N7" s="1404"/>
      <c r="O7" s="1404"/>
      <c r="P7" s="1404"/>
      <c r="Q7" s="1404"/>
      <c r="R7" s="1405"/>
      <c r="S7" s="1404"/>
      <c r="T7" s="1404"/>
    </row>
    <row r="8" spans="1:20" ht="39.6" customHeight="1">
      <c r="A8" s="1399" t="s">
        <v>1096</v>
      </c>
      <c r="B8" s="1399" t="s">
        <v>1816</v>
      </c>
      <c r="C8" s="1406" t="s">
        <v>1</v>
      </c>
      <c r="D8" s="1406"/>
      <c r="E8" s="1407" t="s">
        <v>2</v>
      </c>
      <c r="F8" s="1407" t="s">
        <v>3</v>
      </c>
      <c r="G8" s="1407" t="s">
        <v>4</v>
      </c>
      <c r="H8" s="1394" t="s">
        <v>33</v>
      </c>
      <c r="I8" s="1396" t="s">
        <v>1179</v>
      </c>
      <c r="J8" s="1396"/>
      <c r="K8" s="1408" t="s">
        <v>6</v>
      </c>
      <c r="L8" s="1396" t="s">
        <v>7</v>
      </c>
      <c r="M8" s="1397"/>
      <c r="N8" s="1397"/>
      <c r="O8" s="1397"/>
      <c r="P8" s="1397"/>
      <c r="Q8" s="1397"/>
      <c r="R8" s="1394" t="s">
        <v>1117</v>
      </c>
      <c r="S8" s="1399" t="s">
        <v>1178</v>
      </c>
      <c r="T8" s="1399"/>
    </row>
    <row r="9" spans="1:20" ht="26.45" customHeight="1">
      <c r="A9" s="1399"/>
      <c r="B9" s="1399"/>
      <c r="C9" s="1395" t="s">
        <v>11</v>
      </c>
      <c r="D9" s="1395" t="s">
        <v>32</v>
      </c>
      <c r="E9" s="1407"/>
      <c r="F9" s="1407"/>
      <c r="G9" s="1407"/>
      <c r="H9" s="1394"/>
      <c r="I9" s="1394" t="s">
        <v>440</v>
      </c>
      <c r="J9" s="1394" t="s">
        <v>13</v>
      </c>
      <c r="K9" s="1408"/>
      <c r="L9" s="1394" t="s">
        <v>440</v>
      </c>
      <c r="M9" s="1396" t="s">
        <v>18</v>
      </c>
      <c r="N9" s="1397"/>
      <c r="O9" s="1397"/>
      <c r="P9" s="1397"/>
      <c r="Q9" s="1397"/>
      <c r="R9" s="1394"/>
      <c r="S9" s="1399"/>
      <c r="T9" s="1399"/>
    </row>
    <row r="10" spans="1:20" ht="303" customHeight="1">
      <c r="A10" s="1399"/>
      <c r="B10" s="1399"/>
      <c r="C10" s="1395"/>
      <c r="D10" s="1395"/>
      <c r="E10" s="1407"/>
      <c r="F10" s="1407"/>
      <c r="G10" s="1407"/>
      <c r="H10" s="1394"/>
      <c r="I10" s="1394"/>
      <c r="J10" s="1394"/>
      <c r="K10" s="1408"/>
      <c r="L10" s="1394"/>
      <c r="M10" s="1278" t="s">
        <v>471</v>
      </c>
      <c r="N10" s="1278" t="s">
        <v>14</v>
      </c>
      <c r="O10" s="1278" t="s">
        <v>1180</v>
      </c>
      <c r="P10" s="1278" t="s">
        <v>1115</v>
      </c>
      <c r="Q10" s="1278" t="s">
        <v>1116</v>
      </c>
      <c r="R10" s="1394"/>
      <c r="S10" s="1395" t="s">
        <v>1149</v>
      </c>
      <c r="T10" s="1395" t="s">
        <v>1132</v>
      </c>
    </row>
    <row r="11" spans="1:20" ht="29.45" customHeight="1">
      <c r="A11" s="1399"/>
      <c r="B11" s="1399"/>
      <c r="C11" s="1395"/>
      <c r="D11" s="1395"/>
      <c r="E11" s="1407"/>
      <c r="F11" s="1407"/>
      <c r="G11" s="1407"/>
      <c r="H11" s="1277" t="s">
        <v>21</v>
      </c>
      <c r="I11" s="1277" t="s">
        <v>21</v>
      </c>
      <c r="J11" s="1277" t="s">
        <v>21</v>
      </c>
      <c r="K11" s="987" t="s">
        <v>16</v>
      </c>
      <c r="L11" s="1277" t="s">
        <v>17</v>
      </c>
      <c r="M11" s="1277" t="s">
        <v>17</v>
      </c>
      <c r="N11" s="1277" t="s">
        <v>17</v>
      </c>
      <c r="O11" s="1277" t="s">
        <v>17</v>
      </c>
      <c r="P11" s="1277" t="s">
        <v>17</v>
      </c>
      <c r="Q11" s="1277" t="s">
        <v>17</v>
      </c>
      <c r="R11" s="1277" t="s">
        <v>439</v>
      </c>
      <c r="S11" s="1395"/>
      <c r="T11" s="1395"/>
    </row>
    <row r="12" spans="1:20" ht="26.45" customHeight="1">
      <c r="A12" s="1271">
        <v>1</v>
      </c>
      <c r="B12" s="1271">
        <v>2</v>
      </c>
      <c r="C12" s="1279">
        <v>3</v>
      </c>
      <c r="D12" s="1279">
        <v>4</v>
      </c>
      <c r="E12" s="1279">
        <v>5</v>
      </c>
      <c r="F12" s="1279">
        <v>6</v>
      </c>
      <c r="G12" s="1279">
        <v>7</v>
      </c>
      <c r="H12" s="990">
        <v>8</v>
      </c>
      <c r="I12" s="990">
        <v>9</v>
      </c>
      <c r="J12" s="990">
        <v>10</v>
      </c>
      <c r="K12" s="1064">
        <v>11</v>
      </c>
      <c r="L12" s="990">
        <v>12</v>
      </c>
      <c r="M12" s="990">
        <v>13</v>
      </c>
      <c r="N12" s="990">
        <v>14</v>
      </c>
      <c r="O12" s="990">
        <v>15</v>
      </c>
      <c r="P12" s="990">
        <v>16</v>
      </c>
      <c r="Q12" s="990">
        <v>17</v>
      </c>
      <c r="R12" s="990">
        <v>18</v>
      </c>
      <c r="S12" s="990">
        <v>19</v>
      </c>
      <c r="T12" s="990">
        <v>20</v>
      </c>
    </row>
    <row r="13" spans="1:20" ht="42" customHeight="1">
      <c r="A13" s="1399" t="s">
        <v>2857</v>
      </c>
      <c r="B13" s="1409"/>
      <c r="C13" s="1409"/>
      <c r="D13" s="1409"/>
      <c r="E13" s="1409"/>
      <c r="F13" s="1409"/>
      <c r="G13" s="1409"/>
      <c r="H13" s="1409"/>
      <c r="I13" s="1409"/>
      <c r="J13" s="1409"/>
      <c r="K13" s="1409"/>
      <c r="L13" s="1409"/>
      <c r="M13" s="1409"/>
      <c r="N13" s="1409"/>
      <c r="O13" s="1409"/>
      <c r="P13" s="1409"/>
      <c r="Q13" s="1409"/>
      <c r="R13" s="1409"/>
      <c r="S13" s="1409"/>
      <c r="T13" s="1409"/>
    </row>
    <row r="14" spans="1:20" s="992" customFormat="1" ht="36" customHeight="1">
      <c r="A14" s="1271"/>
      <c r="B14" s="1392" t="s">
        <v>205</v>
      </c>
      <c r="C14" s="1392"/>
      <c r="D14" s="1392"/>
      <c r="E14" s="1392"/>
      <c r="F14" s="1392"/>
      <c r="G14" s="1392"/>
      <c r="H14" s="993">
        <f t="shared" ref="H14:Q14" si="0">H16+H416+H418</f>
        <v>780115.04999999981</v>
      </c>
      <c r="I14" s="993">
        <f t="shared" si="0"/>
        <v>689425.97999999986</v>
      </c>
      <c r="J14" s="993">
        <f t="shared" si="0"/>
        <v>618117.77</v>
      </c>
      <c r="K14" s="987">
        <f t="shared" si="0"/>
        <v>27404</v>
      </c>
      <c r="L14" s="993">
        <f t="shared" si="0"/>
        <v>1074302820.3199999</v>
      </c>
      <c r="M14" s="993">
        <f t="shared" si="0"/>
        <v>0</v>
      </c>
      <c r="N14" s="993">
        <f t="shared" si="0"/>
        <v>1385983.2</v>
      </c>
      <c r="O14" s="993">
        <f t="shared" si="0"/>
        <v>1072916837.12</v>
      </c>
      <c r="P14" s="993">
        <f t="shared" si="0"/>
        <v>0</v>
      </c>
      <c r="Q14" s="993">
        <f t="shared" si="0"/>
        <v>0</v>
      </c>
      <c r="R14" s="991" t="s">
        <v>40</v>
      </c>
      <c r="S14" s="1279" t="s">
        <v>40</v>
      </c>
      <c r="T14" s="1279" t="s">
        <v>40</v>
      </c>
    </row>
    <row r="15" spans="1:20" s="992" customFormat="1" ht="43.15" customHeight="1">
      <c r="A15" s="1399" t="s">
        <v>1800</v>
      </c>
      <c r="B15" s="1399"/>
      <c r="C15" s="1399"/>
      <c r="D15" s="1399"/>
      <c r="E15" s="1399"/>
      <c r="F15" s="1399"/>
      <c r="G15" s="1399"/>
      <c r="H15" s="1399"/>
      <c r="I15" s="1399"/>
      <c r="J15" s="1399"/>
      <c r="K15" s="1399"/>
      <c r="L15" s="1399"/>
      <c r="M15" s="1399"/>
      <c r="N15" s="1399"/>
      <c r="O15" s="1399"/>
      <c r="P15" s="1399"/>
      <c r="Q15" s="1399"/>
      <c r="R15" s="1399"/>
      <c r="S15" s="1399"/>
      <c r="T15" s="1399"/>
    </row>
    <row r="16" spans="1:20" s="992" customFormat="1" ht="36" customHeight="1">
      <c r="A16" s="1271"/>
      <c r="B16" s="1392" t="s">
        <v>42</v>
      </c>
      <c r="C16" s="1392"/>
      <c r="D16" s="1392"/>
      <c r="E16" s="1392"/>
      <c r="F16" s="1392"/>
      <c r="G16" s="1392"/>
      <c r="H16" s="993">
        <f>H17+H96+H131+H142+H146+H149+H169+H174+H185+H188+H191+H195+H220+H230+H239+H254+H277+H281+H284+H287+H311+H318+H321+H325+H334+H336+H340+H368+H370+H373+H375+H379+H391+H395+H399+H406</f>
        <v>710366.04999999981</v>
      </c>
      <c r="I16" s="993">
        <f t="shared" ref="I16:Q16" si="1">I17+I96+I131+I142+I146+I149+I169+I174+I185+I188+I191+I195+I220+I230+I239+I254+I277+I281+I284+I287+I311+I318+I321+I325+I334+I336+I340+I368+I370+I373+I375+I379+I391+I395+I399+I406</f>
        <v>629549.77999999991</v>
      </c>
      <c r="J16" s="993">
        <f t="shared" si="1"/>
        <v>562023.67000000004</v>
      </c>
      <c r="K16" s="987">
        <f t="shared" si="1"/>
        <v>25047</v>
      </c>
      <c r="L16" s="993">
        <f t="shared" si="1"/>
        <v>1065559337.1</v>
      </c>
      <c r="M16" s="993">
        <f t="shared" si="1"/>
        <v>0</v>
      </c>
      <c r="N16" s="993">
        <f t="shared" si="1"/>
        <v>562517.19999999995</v>
      </c>
      <c r="O16" s="993">
        <f t="shared" si="1"/>
        <v>1064996819.9</v>
      </c>
      <c r="P16" s="993">
        <f t="shared" si="1"/>
        <v>0</v>
      </c>
      <c r="Q16" s="993">
        <f t="shared" si="1"/>
        <v>0</v>
      </c>
      <c r="R16" s="991" t="s">
        <v>40</v>
      </c>
      <c r="S16" s="991" t="s">
        <v>40</v>
      </c>
      <c r="T16" s="991" t="s">
        <v>40</v>
      </c>
    </row>
    <row r="17" spans="1:20" s="992" customFormat="1" ht="46.9" customHeight="1">
      <c r="A17" s="1271"/>
      <c r="B17" s="1392" t="s">
        <v>2553</v>
      </c>
      <c r="C17" s="1392"/>
      <c r="D17" s="1392"/>
      <c r="E17" s="1392"/>
      <c r="F17" s="1392"/>
      <c r="G17" s="1392"/>
      <c r="H17" s="985">
        <f>SUM(H18:H95)</f>
        <v>274428.46000000008</v>
      </c>
      <c r="I17" s="985">
        <f t="shared" ref="I17:Q17" si="2">SUM(I18:I95)</f>
        <v>250516.54999999996</v>
      </c>
      <c r="J17" s="985">
        <f t="shared" si="2"/>
        <v>222953.46000000002</v>
      </c>
      <c r="K17" s="1064">
        <f t="shared" si="2"/>
        <v>9692</v>
      </c>
      <c r="L17" s="985">
        <f t="shared" si="2"/>
        <v>361478792.88</v>
      </c>
      <c r="M17" s="985">
        <f t="shared" si="2"/>
        <v>0</v>
      </c>
      <c r="N17" s="985">
        <f t="shared" si="2"/>
        <v>0</v>
      </c>
      <c r="O17" s="985">
        <f t="shared" si="2"/>
        <v>361478792.88</v>
      </c>
      <c r="P17" s="985">
        <f t="shared" si="2"/>
        <v>0</v>
      </c>
      <c r="Q17" s="985">
        <f t="shared" si="2"/>
        <v>0</v>
      </c>
      <c r="R17" s="991" t="s">
        <v>40</v>
      </c>
      <c r="S17" s="991" t="s">
        <v>40</v>
      </c>
      <c r="T17" s="991" t="s">
        <v>40</v>
      </c>
    </row>
    <row r="18" spans="1:20" s="992" customFormat="1" ht="36" customHeight="1">
      <c r="A18" s="1023">
        <v>1</v>
      </c>
      <c r="B18" s="1012" t="s">
        <v>1436</v>
      </c>
      <c r="C18" s="1023">
        <v>1994</v>
      </c>
      <c r="D18" s="1023"/>
      <c r="E18" s="1023" t="s">
        <v>219</v>
      </c>
      <c r="F18" s="1023">
        <v>10</v>
      </c>
      <c r="G18" s="1023">
        <v>5</v>
      </c>
      <c r="H18" s="1024">
        <v>12497.5</v>
      </c>
      <c r="I18" s="1024">
        <v>11421.99</v>
      </c>
      <c r="J18" s="1024">
        <v>11374.89</v>
      </c>
      <c r="K18" s="1011">
        <v>431</v>
      </c>
      <c r="L18" s="1025">
        <v>16299923</v>
      </c>
      <c r="M18" s="1025">
        <v>0</v>
      </c>
      <c r="N18" s="1025">
        <v>0</v>
      </c>
      <c r="O18" s="1025">
        <v>16299923</v>
      </c>
      <c r="P18" s="1025">
        <v>0</v>
      </c>
      <c r="Q18" s="1025">
        <v>0</v>
      </c>
      <c r="R18" s="1024">
        <f t="shared" ref="R18:R78" si="3">L18/I18</f>
        <v>1427.065073599259</v>
      </c>
      <c r="S18" s="1279">
        <v>2020</v>
      </c>
      <c r="T18" s="1023">
        <v>2020</v>
      </c>
    </row>
    <row r="19" spans="1:20" s="1026" customFormat="1" ht="45.6" customHeight="1">
      <c r="A19" s="1023">
        <v>2</v>
      </c>
      <c r="B19" s="1012" t="s">
        <v>1437</v>
      </c>
      <c r="C19" s="1023">
        <v>1994</v>
      </c>
      <c r="D19" s="1023"/>
      <c r="E19" s="1015" t="s">
        <v>218</v>
      </c>
      <c r="F19" s="1023">
        <v>12</v>
      </c>
      <c r="G19" s="1023">
        <v>1</v>
      </c>
      <c r="H19" s="1024">
        <v>4485.7</v>
      </c>
      <c r="I19" s="1024">
        <v>3864.1</v>
      </c>
      <c r="J19" s="1024">
        <v>3818.8</v>
      </c>
      <c r="K19" s="1011">
        <v>168</v>
      </c>
      <c r="L19" s="1025">
        <v>6984731</v>
      </c>
      <c r="M19" s="1025">
        <v>0</v>
      </c>
      <c r="N19" s="1025">
        <v>0</v>
      </c>
      <c r="O19" s="1025">
        <v>6984731</v>
      </c>
      <c r="P19" s="1025">
        <v>0</v>
      </c>
      <c r="Q19" s="1025">
        <v>0</v>
      </c>
      <c r="R19" s="1024">
        <f t="shared" si="3"/>
        <v>1807.5958179136151</v>
      </c>
      <c r="S19" s="1279">
        <v>2020</v>
      </c>
      <c r="T19" s="1023">
        <v>2020</v>
      </c>
    </row>
    <row r="20" spans="1:20" s="1026" customFormat="1" ht="39.6" customHeight="1">
      <c r="A20" s="1023">
        <v>3</v>
      </c>
      <c r="B20" s="1012" t="s">
        <v>1438</v>
      </c>
      <c r="C20" s="1023">
        <v>1994</v>
      </c>
      <c r="D20" s="1023"/>
      <c r="E20" s="1023" t="s">
        <v>219</v>
      </c>
      <c r="F20" s="1023">
        <v>9</v>
      </c>
      <c r="G20" s="1023">
        <v>3</v>
      </c>
      <c r="H20" s="1024">
        <v>6615.4</v>
      </c>
      <c r="I20" s="1024">
        <v>6074.8</v>
      </c>
      <c r="J20" s="1024">
        <v>975.1</v>
      </c>
      <c r="K20" s="1011">
        <v>278</v>
      </c>
      <c r="L20" s="1025">
        <v>10555158</v>
      </c>
      <c r="M20" s="1025">
        <v>0</v>
      </c>
      <c r="N20" s="1025">
        <v>0</v>
      </c>
      <c r="O20" s="1025">
        <v>10555158</v>
      </c>
      <c r="P20" s="1025">
        <v>0</v>
      </c>
      <c r="Q20" s="1025">
        <v>0</v>
      </c>
      <c r="R20" s="1024">
        <f t="shared" si="3"/>
        <v>1737.5317705932705</v>
      </c>
      <c r="S20" s="1279">
        <v>2020</v>
      </c>
      <c r="T20" s="1023">
        <v>2020</v>
      </c>
    </row>
    <row r="21" spans="1:20" s="1026" customFormat="1" ht="39" customHeight="1">
      <c r="A21" s="1023">
        <v>4</v>
      </c>
      <c r="B21" s="1012" t="s">
        <v>1439</v>
      </c>
      <c r="C21" s="1023">
        <v>1995</v>
      </c>
      <c r="D21" s="1023"/>
      <c r="E21" s="1023" t="s">
        <v>219</v>
      </c>
      <c r="F21" s="1023">
        <v>10</v>
      </c>
      <c r="G21" s="1023">
        <v>5</v>
      </c>
      <c r="H21" s="1024">
        <v>12166.8</v>
      </c>
      <c r="I21" s="1024">
        <v>10842.8</v>
      </c>
      <c r="J21" s="1024">
        <v>10709.4</v>
      </c>
      <c r="K21" s="1011">
        <v>536</v>
      </c>
      <c r="L21" s="1025">
        <v>17461827</v>
      </c>
      <c r="M21" s="1025">
        <v>0</v>
      </c>
      <c r="N21" s="1025">
        <v>0</v>
      </c>
      <c r="O21" s="1025">
        <v>17461827</v>
      </c>
      <c r="P21" s="1025">
        <v>0</v>
      </c>
      <c r="Q21" s="1025">
        <v>0</v>
      </c>
      <c r="R21" s="1024">
        <f t="shared" si="3"/>
        <v>1610.4536651049546</v>
      </c>
      <c r="S21" s="1279">
        <v>2020</v>
      </c>
      <c r="T21" s="1023">
        <v>2020</v>
      </c>
    </row>
    <row r="22" spans="1:20" s="1026" customFormat="1" ht="45.6" customHeight="1">
      <c r="A22" s="1023">
        <v>5</v>
      </c>
      <c r="B22" s="1012" t="s">
        <v>1440</v>
      </c>
      <c r="C22" s="1023">
        <v>1960</v>
      </c>
      <c r="D22" s="1023"/>
      <c r="E22" s="1015" t="s">
        <v>218</v>
      </c>
      <c r="F22" s="1023">
        <v>4</v>
      </c>
      <c r="G22" s="1023">
        <v>4</v>
      </c>
      <c r="H22" s="1024">
        <v>3219.9</v>
      </c>
      <c r="I22" s="1024">
        <v>2423.1999999999998</v>
      </c>
      <c r="J22" s="1024">
        <v>1885.5</v>
      </c>
      <c r="K22" s="1011">
        <v>67</v>
      </c>
      <c r="L22" s="1025">
        <v>143558</v>
      </c>
      <c r="M22" s="1025">
        <v>0</v>
      </c>
      <c r="N22" s="1025">
        <v>0</v>
      </c>
      <c r="O22" s="1025">
        <v>143558</v>
      </c>
      <c r="P22" s="1025">
        <v>0</v>
      </c>
      <c r="Q22" s="1025">
        <v>0</v>
      </c>
      <c r="R22" s="1024">
        <f t="shared" si="3"/>
        <v>59.24314955430836</v>
      </c>
      <c r="S22" s="1279">
        <v>2020</v>
      </c>
      <c r="T22" s="1023">
        <v>2020</v>
      </c>
    </row>
    <row r="23" spans="1:20" s="1026" customFormat="1" ht="45.6" customHeight="1">
      <c r="A23" s="1023">
        <v>6</v>
      </c>
      <c r="B23" s="1276" t="s">
        <v>1477</v>
      </c>
      <c r="C23" s="1023">
        <v>1974</v>
      </c>
      <c r="D23" s="1023"/>
      <c r="E23" s="1023" t="s">
        <v>220</v>
      </c>
      <c r="F23" s="1023">
        <v>12</v>
      </c>
      <c r="G23" s="1023">
        <v>1</v>
      </c>
      <c r="H23" s="1024">
        <v>3833.3</v>
      </c>
      <c r="I23" s="1024">
        <v>3632.2</v>
      </c>
      <c r="J23" s="1024">
        <v>3350</v>
      </c>
      <c r="K23" s="1011">
        <v>178</v>
      </c>
      <c r="L23" s="1025">
        <v>1223262</v>
      </c>
      <c r="M23" s="1025">
        <v>0</v>
      </c>
      <c r="N23" s="1025">
        <v>0</v>
      </c>
      <c r="O23" s="1025">
        <v>1223262</v>
      </c>
      <c r="P23" s="1025">
        <v>0</v>
      </c>
      <c r="Q23" s="1025">
        <v>0</v>
      </c>
      <c r="R23" s="1024">
        <f t="shared" si="3"/>
        <v>336.78266615274492</v>
      </c>
      <c r="S23" s="1279">
        <v>2020</v>
      </c>
      <c r="T23" s="1023">
        <v>2020</v>
      </c>
    </row>
    <row r="24" spans="1:20" s="1026" customFormat="1" ht="42" customHeight="1">
      <c r="A24" s="1023">
        <v>7</v>
      </c>
      <c r="B24" s="1012" t="s">
        <v>1441</v>
      </c>
      <c r="C24" s="1023">
        <v>1959</v>
      </c>
      <c r="D24" s="1023"/>
      <c r="E24" s="1015" t="s">
        <v>218</v>
      </c>
      <c r="F24" s="1023">
        <v>2</v>
      </c>
      <c r="G24" s="1023">
        <v>2</v>
      </c>
      <c r="H24" s="1024">
        <v>716.9</v>
      </c>
      <c r="I24" s="1024">
        <v>638.6</v>
      </c>
      <c r="J24" s="1024">
        <v>638.6</v>
      </c>
      <c r="K24" s="1011">
        <v>37</v>
      </c>
      <c r="L24" s="1025">
        <v>2502533</v>
      </c>
      <c r="M24" s="1025">
        <v>0</v>
      </c>
      <c r="N24" s="1025">
        <v>0</v>
      </c>
      <c r="O24" s="1025">
        <v>2502533</v>
      </c>
      <c r="P24" s="1025">
        <v>0</v>
      </c>
      <c r="Q24" s="1025">
        <v>0</v>
      </c>
      <c r="R24" s="1024">
        <f t="shared" si="3"/>
        <v>3918.7801440651424</v>
      </c>
      <c r="S24" s="1279">
        <v>2020</v>
      </c>
      <c r="T24" s="1023">
        <v>2020</v>
      </c>
    </row>
    <row r="25" spans="1:20" s="1026" customFormat="1" ht="42" customHeight="1">
      <c r="A25" s="1023">
        <v>8</v>
      </c>
      <c r="B25" s="1012" t="s">
        <v>1442</v>
      </c>
      <c r="C25" s="1023">
        <v>1991</v>
      </c>
      <c r="D25" s="1023"/>
      <c r="E25" s="1023" t="s">
        <v>219</v>
      </c>
      <c r="F25" s="1023">
        <v>10</v>
      </c>
      <c r="G25" s="1023">
        <v>4</v>
      </c>
      <c r="H25" s="1024">
        <v>9035.9</v>
      </c>
      <c r="I25" s="1024">
        <v>8598.1</v>
      </c>
      <c r="J25" s="1024">
        <v>8180.9</v>
      </c>
      <c r="K25" s="1011">
        <v>293</v>
      </c>
      <c r="L25" s="1013">
        <v>3252433</v>
      </c>
      <c r="M25" s="1025">
        <v>0</v>
      </c>
      <c r="N25" s="1025">
        <v>0</v>
      </c>
      <c r="O25" s="1013">
        <v>3252433</v>
      </c>
      <c r="P25" s="1025">
        <v>0</v>
      </c>
      <c r="Q25" s="1025">
        <v>0</v>
      </c>
      <c r="R25" s="1024">
        <f t="shared" si="3"/>
        <v>378.27345576348262</v>
      </c>
      <c r="S25" s="1279">
        <v>2020</v>
      </c>
      <c r="T25" s="1023">
        <v>2020</v>
      </c>
    </row>
    <row r="26" spans="1:20" s="1026" customFormat="1" ht="43.15" customHeight="1">
      <c r="A26" s="1023">
        <v>9</v>
      </c>
      <c r="B26" s="1012" t="s">
        <v>1760</v>
      </c>
      <c r="C26" s="1023">
        <v>1986</v>
      </c>
      <c r="D26" s="1023"/>
      <c r="E26" s="1023" t="s">
        <v>219</v>
      </c>
      <c r="F26" s="1023">
        <v>9</v>
      </c>
      <c r="G26" s="1023">
        <v>3</v>
      </c>
      <c r="H26" s="1024">
        <v>6556.4</v>
      </c>
      <c r="I26" s="1024">
        <v>5865.7</v>
      </c>
      <c r="J26" s="1024">
        <v>5341.2</v>
      </c>
      <c r="K26" s="1011">
        <v>265</v>
      </c>
      <c r="L26" s="1013">
        <v>2472610</v>
      </c>
      <c r="M26" s="1025">
        <v>0</v>
      </c>
      <c r="N26" s="1025">
        <v>0</v>
      </c>
      <c r="O26" s="1013">
        <v>2472610</v>
      </c>
      <c r="P26" s="1025">
        <v>0</v>
      </c>
      <c r="Q26" s="1025">
        <v>0</v>
      </c>
      <c r="R26" s="1024">
        <f t="shared" si="3"/>
        <v>421.5370714492729</v>
      </c>
      <c r="S26" s="1279">
        <v>2020</v>
      </c>
      <c r="T26" s="1023">
        <v>2020</v>
      </c>
    </row>
    <row r="27" spans="1:20" s="1026" customFormat="1" ht="39.6" customHeight="1">
      <c r="A27" s="1023">
        <v>10</v>
      </c>
      <c r="B27" s="1012" t="s">
        <v>1665</v>
      </c>
      <c r="C27" s="1023">
        <v>1979</v>
      </c>
      <c r="D27" s="1023"/>
      <c r="E27" s="1023" t="s">
        <v>219</v>
      </c>
      <c r="F27" s="1023">
        <v>5</v>
      </c>
      <c r="G27" s="1023">
        <v>4</v>
      </c>
      <c r="H27" s="1024">
        <v>3490</v>
      </c>
      <c r="I27" s="1024">
        <v>3184.8</v>
      </c>
      <c r="J27" s="1024">
        <v>2847.5</v>
      </c>
      <c r="K27" s="1011">
        <v>123</v>
      </c>
      <c r="L27" s="1013">
        <v>2486195</v>
      </c>
      <c r="M27" s="1025">
        <v>0</v>
      </c>
      <c r="N27" s="1025">
        <v>0</v>
      </c>
      <c r="O27" s="1013">
        <v>2486195</v>
      </c>
      <c r="P27" s="1025">
        <v>0</v>
      </c>
      <c r="Q27" s="1025">
        <v>0</v>
      </c>
      <c r="R27" s="1024">
        <f t="shared" si="3"/>
        <v>780.64399648329561</v>
      </c>
      <c r="S27" s="1279">
        <v>2020</v>
      </c>
      <c r="T27" s="1023">
        <v>2020</v>
      </c>
    </row>
    <row r="28" spans="1:20" s="1026" customFormat="1" ht="40.9" customHeight="1">
      <c r="A28" s="1023">
        <v>11</v>
      </c>
      <c r="B28" s="1012" t="s">
        <v>1443</v>
      </c>
      <c r="C28" s="1023">
        <v>1994</v>
      </c>
      <c r="D28" s="1023"/>
      <c r="E28" s="1023" t="s">
        <v>219</v>
      </c>
      <c r="F28" s="1023">
        <v>9</v>
      </c>
      <c r="G28" s="1023">
        <v>4</v>
      </c>
      <c r="H28" s="1024">
        <v>8086.5</v>
      </c>
      <c r="I28" s="1024">
        <v>7521.3</v>
      </c>
      <c r="J28" s="1024">
        <v>7326.8</v>
      </c>
      <c r="K28" s="1011">
        <v>299</v>
      </c>
      <c r="L28" s="1013">
        <v>2978001</v>
      </c>
      <c r="M28" s="1025">
        <v>0</v>
      </c>
      <c r="N28" s="1025">
        <v>0</v>
      </c>
      <c r="O28" s="1013">
        <v>2978001</v>
      </c>
      <c r="P28" s="1025">
        <v>0</v>
      </c>
      <c r="Q28" s="1025">
        <v>0</v>
      </c>
      <c r="R28" s="1024">
        <f t="shared" si="3"/>
        <v>395.94232380040683</v>
      </c>
      <c r="S28" s="1279">
        <v>2020</v>
      </c>
      <c r="T28" s="1023">
        <v>2020</v>
      </c>
    </row>
    <row r="29" spans="1:20" s="1026" customFormat="1" ht="45.6" customHeight="1">
      <c r="A29" s="1023">
        <v>12</v>
      </c>
      <c r="B29" s="1012" t="s">
        <v>1444</v>
      </c>
      <c r="C29" s="1023">
        <v>1971</v>
      </c>
      <c r="D29" s="1023"/>
      <c r="E29" s="1015" t="s">
        <v>218</v>
      </c>
      <c r="F29" s="1023">
        <v>5</v>
      </c>
      <c r="G29" s="1023">
        <v>1</v>
      </c>
      <c r="H29" s="1024">
        <v>3924.7</v>
      </c>
      <c r="I29" s="1024">
        <v>3658.2</v>
      </c>
      <c r="J29" s="1024">
        <v>3158.2</v>
      </c>
      <c r="K29" s="1011">
        <v>208</v>
      </c>
      <c r="L29" s="1013">
        <v>1304334</v>
      </c>
      <c r="M29" s="1025">
        <v>0</v>
      </c>
      <c r="N29" s="1025">
        <v>0</v>
      </c>
      <c r="O29" s="1013">
        <v>1304334</v>
      </c>
      <c r="P29" s="1025">
        <v>0</v>
      </c>
      <c r="Q29" s="1025">
        <v>0</v>
      </c>
      <c r="R29" s="1024">
        <f t="shared" si="3"/>
        <v>356.55076267016568</v>
      </c>
      <c r="S29" s="1279">
        <v>2020</v>
      </c>
      <c r="T29" s="1023">
        <v>2020</v>
      </c>
    </row>
    <row r="30" spans="1:20" s="1026" customFormat="1" ht="45.6" customHeight="1">
      <c r="A30" s="1023">
        <v>13</v>
      </c>
      <c r="B30" s="1012" t="s">
        <v>1445</v>
      </c>
      <c r="C30" s="1023">
        <v>1947</v>
      </c>
      <c r="D30" s="1023"/>
      <c r="E30" s="1015" t="s">
        <v>218</v>
      </c>
      <c r="F30" s="1023">
        <v>4</v>
      </c>
      <c r="G30" s="1023">
        <v>2</v>
      </c>
      <c r="H30" s="1024">
        <v>1384.7</v>
      </c>
      <c r="I30" s="1024">
        <v>1205.9000000000001</v>
      </c>
      <c r="J30" s="1024">
        <f>I30-276.8-45.4</f>
        <v>883.70000000000016</v>
      </c>
      <c r="K30" s="1011">
        <v>54</v>
      </c>
      <c r="L30" s="1013">
        <v>7429397</v>
      </c>
      <c r="M30" s="1025">
        <v>0</v>
      </c>
      <c r="N30" s="1025">
        <v>0</v>
      </c>
      <c r="O30" s="1013">
        <v>7429397</v>
      </c>
      <c r="P30" s="1025">
        <v>0</v>
      </c>
      <c r="Q30" s="1025">
        <v>0</v>
      </c>
      <c r="R30" s="1024">
        <f t="shared" si="3"/>
        <v>6160.8732067335595</v>
      </c>
      <c r="S30" s="1279">
        <v>2020</v>
      </c>
      <c r="T30" s="1023">
        <v>2020</v>
      </c>
    </row>
    <row r="31" spans="1:20" s="1026" customFormat="1" ht="45.6" customHeight="1">
      <c r="A31" s="1023">
        <v>14</v>
      </c>
      <c r="B31" s="1012" t="s">
        <v>1446</v>
      </c>
      <c r="C31" s="1023">
        <v>1959</v>
      </c>
      <c r="D31" s="1023"/>
      <c r="E31" s="1015" t="s">
        <v>218</v>
      </c>
      <c r="F31" s="1023">
        <v>2</v>
      </c>
      <c r="G31" s="1023">
        <v>1</v>
      </c>
      <c r="H31" s="1024">
        <v>301.10000000000002</v>
      </c>
      <c r="I31" s="1024">
        <v>278.2</v>
      </c>
      <c r="J31" s="1024">
        <v>240.3</v>
      </c>
      <c r="K31" s="1011">
        <v>15</v>
      </c>
      <c r="L31" s="1013">
        <v>220003</v>
      </c>
      <c r="M31" s="1025">
        <v>0</v>
      </c>
      <c r="N31" s="1025">
        <v>0</v>
      </c>
      <c r="O31" s="1013">
        <v>220003</v>
      </c>
      <c r="P31" s="1025">
        <v>0</v>
      </c>
      <c r="Q31" s="1025">
        <v>0</v>
      </c>
      <c r="R31" s="1024">
        <f t="shared" si="3"/>
        <v>790.80877066858375</v>
      </c>
      <c r="S31" s="1279">
        <v>2020</v>
      </c>
      <c r="T31" s="1023">
        <v>2020</v>
      </c>
    </row>
    <row r="32" spans="1:20" s="1026" customFormat="1" ht="45.6" customHeight="1">
      <c r="A32" s="1023">
        <v>15</v>
      </c>
      <c r="B32" s="1012" t="s">
        <v>1478</v>
      </c>
      <c r="C32" s="1023">
        <v>1962</v>
      </c>
      <c r="D32" s="1023"/>
      <c r="E32" s="1015" t="s">
        <v>218</v>
      </c>
      <c r="F32" s="1023">
        <v>4</v>
      </c>
      <c r="G32" s="1023">
        <v>3</v>
      </c>
      <c r="H32" s="1024">
        <v>2152.1</v>
      </c>
      <c r="I32" s="1024">
        <v>1979.1</v>
      </c>
      <c r="J32" s="1024">
        <v>1865.9</v>
      </c>
      <c r="K32" s="1011">
        <v>79</v>
      </c>
      <c r="L32" s="1013">
        <v>1272992</v>
      </c>
      <c r="M32" s="1025">
        <v>0</v>
      </c>
      <c r="N32" s="1025">
        <v>0</v>
      </c>
      <c r="O32" s="1013">
        <v>1272992</v>
      </c>
      <c r="P32" s="1025">
        <v>0</v>
      </c>
      <c r="Q32" s="1025">
        <v>0</v>
      </c>
      <c r="R32" s="1024">
        <f t="shared" si="3"/>
        <v>643.21762417260379</v>
      </c>
      <c r="S32" s="1279">
        <v>2020</v>
      </c>
      <c r="T32" s="1023">
        <v>2020</v>
      </c>
    </row>
    <row r="33" spans="1:20" s="1026" customFormat="1" ht="40.9" customHeight="1">
      <c r="A33" s="1023">
        <v>16</v>
      </c>
      <c r="B33" s="1012" t="s">
        <v>1447</v>
      </c>
      <c r="C33" s="1023">
        <v>1969</v>
      </c>
      <c r="D33" s="1023"/>
      <c r="E33" s="1023" t="s">
        <v>219</v>
      </c>
      <c r="F33" s="1023">
        <v>5</v>
      </c>
      <c r="G33" s="1023">
        <v>4</v>
      </c>
      <c r="H33" s="1024">
        <v>3032</v>
      </c>
      <c r="I33" s="1024">
        <v>2657.9</v>
      </c>
      <c r="J33" s="1024">
        <v>2448.3000000000002</v>
      </c>
      <c r="K33" s="1011">
        <v>121</v>
      </c>
      <c r="L33" s="1013">
        <v>7835016.79</v>
      </c>
      <c r="M33" s="1025">
        <v>0</v>
      </c>
      <c r="N33" s="1025">
        <v>0</v>
      </c>
      <c r="O33" s="1013">
        <v>7835016.79</v>
      </c>
      <c r="P33" s="1025">
        <v>0</v>
      </c>
      <c r="Q33" s="1025">
        <v>0</v>
      </c>
      <c r="R33" s="1024">
        <f t="shared" si="3"/>
        <v>2947.822261936115</v>
      </c>
      <c r="S33" s="1279">
        <v>2020</v>
      </c>
      <c r="T33" s="1023">
        <v>2020</v>
      </c>
    </row>
    <row r="34" spans="1:20" s="1026" customFormat="1" ht="45.6" customHeight="1">
      <c r="A34" s="1023">
        <v>17</v>
      </c>
      <c r="B34" s="1276" t="s">
        <v>337</v>
      </c>
      <c r="C34" s="1023">
        <v>1959</v>
      </c>
      <c r="D34" s="1023"/>
      <c r="E34" s="1015" t="s">
        <v>218</v>
      </c>
      <c r="F34" s="1023">
        <v>2</v>
      </c>
      <c r="G34" s="1023">
        <v>2</v>
      </c>
      <c r="H34" s="1024">
        <v>700.6</v>
      </c>
      <c r="I34" s="1024">
        <v>651.79999999999995</v>
      </c>
      <c r="J34" s="1024">
        <v>651.79999999999995</v>
      </c>
      <c r="K34" s="1011">
        <v>24</v>
      </c>
      <c r="L34" s="1013">
        <v>379105</v>
      </c>
      <c r="M34" s="1025">
        <v>0</v>
      </c>
      <c r="N34" s="1025">
        <v>0</v>
      </c>
      <c r="O34" s="1013">
        <v>379105</v>
      </c>
      <c r="P34" s="1025">
        <v>0</v>
      </c>
      <c r="Q34" s="1025">
        <v>0</v>
      </c>
      <c r="R34" s="1024">
        <f t="shared" si="3"/>
        <v>581.62779993863148</v>
      </c>
      <c r="S34" s="1279">
        <v>2020</v>
      </c>
      <c r="T34" s="1023">
        <v>2020</v>
      </c>
    </row>
    <row r="35" spans="1:20" s="1026" customFormat="1" ht="45.6" customHeight="1">
      <c r="A35" s="1023">
        <v>18</v>
      </c>
      <c r="B35" s="1012" t="s">
        <v>1479</v>
      </c>
      <c r="C35" s="1023">
        <v>1958</v>
      </c>
      <c r="D35" s="1023"/>
      <c r="E35" s="1015" t="s">
        <v>218</v>
      </c>
      <c r="F35" s="1023">
        <v>3</v>
      </c>
      <c r="G35" s="1023">
        <v>2</v>
      </c>
      <c r="H35" s="1024">
        <v>1002.6</v>
      </c>
      <c r="I35" s="1024">
        <v>912</v>
      </c>
      <c r="J35" s="1024">
        <v>861.5</v>
      </c>
      <c r="K35" s="1011">
        <v>53</v>
      </c>
      <c r="L35" s="1013">
        <v>720344</v>
      </c>
      <c r="M35" s="1025">
        <v>0</v>
      </c>
      <c r="N35" s="1025">
        <v>0</v>
      </c>
      <c r="O35" s="1013">
        <v>720344</v>
      </c>
      <c r="P35" s="1025">
        <v>0</v>
      </c>
      <c r="Q35" s="1025">
        <v>0</v>
      </c>
      <c r="R35" s="1024">
        <f t="shared" si="3"/>
        <v>789.85087719298247</v>
      </c>
      <c r="S35" s="1279">
        <v>2020</v>
      </c>
      <c r="T35" s="1023">
        <v>2020</v>
      </c>
    </row>
    <row r="36" spans="1:20" s="1026" customFormat="1" ht="45.6" customHeight="1">
      <c r="A36" s="1023">
        <v>19</v>
      </c>
      <c r="B36" s="1012" t="s">
        <v>1448</v>
      </c>
      <c r="C36" s="1023">
        <v>1963</v>
      </c>
      <c r="D36" s="1023"/>
      <c r="E36" s="1015" t="s">
        <v>218</v>
      </c>
      <c r="F36" s="1023">
        <v>4</v>
      </c>
      <c r="G36" s="1023">
        <v>4</v>
      </c>
      <c r="H36" s="1024">
        <v>2744.8</v>
      </c>
      <c r="I36" s="1024">
        <v>2554.3000000000002</v>
      </c>
      <c r="J36" s="1024">
        <v>2427.4</v>
      </c>
      <c r="K36" s="1011">
        <v>104</v>
      </c>
      <c r="L36" s="1025">
        <v>4274120</v>
      </c>
      <c r="M36" s="1025">
        <v>0</v>
      </c>
      <c r="N36" s="1025">
        <v>0</v>
      </c>
      <c r="O36" s="1025">
        <v>4274120</v>
      </c>
      <c r="P36" s="1025">
        <v>0</v>
      </c>
      <c r="Q36" s="1025">
        <v>0</v>
      </c>
      <c r="R36" s="1024">
        <f t="shared" si="3"/>
        <v>1673.3038405825469</v>
      </c>
      <c r="S36" s="1279">
        <v>2020</v>
      </c>
      <c r="T36" s="1023">
        <v>2020</v>
      </c>
    </row>
    <row r="37" spans="1:20" s="1026" customFormat="1" ht="45.6" customHeight="1">
      <c r="A37" s="1023">
        <v>20</v>
      </c>
      <c r="B37" s="1012" t="s">
        <v>1449</v>
      </c>
      <c r="C37" s="1023">
        <v>1959</v>
      </c>
      <c r="D37" s="1023"/>
      <c r="E37" s="1015" t="s">
        <v>218</v>
      </c>
      <c r="F37" s="1023">
        <v>2</v>
      </c>
      <c r="G37" s="1023">
        <v>2</v>
      </c>
      <c r="H37" s="1024">
        <v>688</v>
      </c>
      <c r="I37" s="1024">
        <v>641</v>
      </c>
      <c r="J37" s="1024">
        <v>597.1</v>
      </c>
      <c r="K37" s="1011">
        <v>35</v>
      </c>
      <c r="L37" s="1025">
        <v>1840546</v>
      </c>
      <c r="M37" s="1025">
        <v>0</v>
      </c>
      <c r="N37" s="1025">
        <v>0</v>
      </c>
      <c r="O37" s="1025">
        <v>1840546</v>
      </c>
      <c r="P37" s="1025">
        <v>0</v>
      </c>
      <c r="Q37" s="1025">
        <v>0</v>
      </c>
      <c r="R37" s="1024">
        <f t="shared" si="3"/>
        <v>2871.3666146645865</v>
      </c>
      <c r="S37" s="1279">
        <v>2020</v>
      </c>
      <c r="T37" s="1023">
        <v>2020</v>
      </c>
    </row>
    <row r="38" spans="1:20" s="1026" customFormat="1" ht="45.6" customHeight="1">
      <c r="A38" s="1023">
        <v>21</v>
      </c>
      <c r="B38" s="1012" t="s">
        <v>1450</v>
      </c>
      <c r="C38" s="1023">
        <v>1959</v>
      </c>
      <c r="D38" s="1023"/>
      <c r="E38" s="1015" t="s">
        <v>218</v>
      </c>
      <c r="F38" s="1023">
        <v>4</v>
      </c>
      <c r="G38" s="1023">
        <v>4</v>
      </c>
      <c r="H38" s="1024">
        <v>2698</v>
      </c>
      <c r="I38" s="1024">
        <v>2510.3000000000002</v>
      </c>
      <c r="J38" s="1024">
        <v>2296.1</v>
      </c>
      <c r="K38" s="1011">
        <v>122</v>
      </c>
      <c r="L38" s="1025">
        <v>1985158</v>
      </c>
      <c r="M38" s="1025">
        <v>0</v>
      </c>
      <c r="N38" s="1025">
        <v>0</v>
      </c>
      <c r="O38" s="1025">
        <v>1985158</v>
      </c>
      <c r="P38" s="1025">
        <v>0</v>
      </c>
      <c r="Q38" s="1025">
        <v>0</v>
      </c>
      <c r="R38" s="1024">
        <f t="shared" si="3"/>
        <v>790.80508305780177</v>
      </c>
      <c r="S38" s="1279">
        <v>2020</v>
      </c>
      <c r="T38" s="1023">
        <v>2020</v>
      </c>
    </row>
    <row r="39" spans="1:20" s="1026" customFormat="1" ht="45.6" customHeight="1">
      <c r="A39" s="1023">
        <v>22</v>
      </c>
      <c r="B39" s="1012" t="s">
        <v>1451</v>
      </c>
      <c r="C39" s="1023">
        <v>1956</v>
      </c>
      <c r="D39" s="1023"/>
      <c r="E39" s="1015" t="s">
        <v>218</v>
      </c>
      <c r="F39" s="1023">
        <v>2</v>
      </c>
      <c r="G39" s="1023">
        <v>1</v>
      </c>
      <c r="H39" s="1024">
        <v>564.1</v>
      </c>
      <c r="I39" s="1024">
        <v>519.29999999999995</v>
      </c>
      <c r="J39" s="1024">
        <v>519.29999999999995</v>
      </c>
      <c r="K39" s="1011">
        <v>21</v>
      </c>
      <c r="L39" s="1025">
        <v>2465544</v>
      </c>
      <c r="M39" s="1025">
        <v>0</v>
      </c>
      <c r="N39" s="1025">
        <v>0</v>
      </c>
      <c r="O39" s="1025">
        <v>2465544</v>
      </c>
      <c r="P39" s="1025">
        <v>0</v>
      </c>
      <c r="Q39" s="1025">
        <v>0</v>
      </c>
      <c r="R39" s="1024">
        <f t="shared" si="3"/>
        <v>4747.8220681686889</v>
      </c>
      <c r="S39" s="1279">
        <v>2020</v>
      </c>
      <c r="T39" s="1023">
        <v>2020</v>
      </c>
    </row>
    <row r="40" spans="1:20" s="1026" customFormat="1" ht="42" customHeight="1">
      <c r="A40" s="1023">
        <v>23</v>
      </c>
      <c r="B40" s="1012" t="s">
        <v>263</v>
      </c>
      <c r="C40" s="1023">
        <v>1950</v>
      </c>
      <c r="D40" s="1023"/>
      <c r="E40" s="1023" t="s">
        <v>823</v>
      </c>
      <c r="F40" s="1023">
        <v>2</v>
      </c>
      <c r="G40" s="1023">
        <v>2</v>
      </c>
      <c r="H40" s="1024">
        <v>782.2</v>
      </c>
      <c r="I40" s="1024">
        <v>704.6</v>
      </c>
      <c r="J40" s="1024">
        <v>601.20000000000005</v>
      </c>
      <c r="K40" s="1011">
        <v>42</v>
      </c>
      <c r="L40" s="1025">
        <v>409752</v>
      </c>
      <c r="M40" s="1025">
        <v>0</v>
      </c>
      <c r="N40" s="1025">
        <v>0</v>
      </c>
      <c r="O40" s="1025">
        <v>409752</v>
      </c>
      <c r="P40" s="1025">
        <v>0</v>
      </c>
      <c r="Q40" s="1025">
        <v>0</v>
      </c>
      <c r="R40" s="1024">
        <f t="shared" si="3"/>
        <v>581.53846153846155</v>
      </c>
      <c r="S40" s="1279">
        <v>2020</v>
      </c>
      <c r="T40" s="1023">
        <v>2020</v>
      </c>
    </row>
    <row r="41" spans="1:20" s="1026" customFormat="1" ht="43.15" customHeight="1">
      <c r="A41" s="1023">
        <v>24</v>
      </c>
      <c r="B41" s="1012" t="s">
        <v>284</v>
      </c>
      <c r="C41" s="1023">
        <v>1950</v>
      </c>
      <c r="D41" s="1023"/>
      <c r="E41" s="1015" t="s">
        <v>218</v>
      </c>
      <c r="F41" s="1023">
        <v>2</v>
      </c>
      <c r="G41" s="1023">
        <v>2</v>
      </c>
      <c r="H41" s="1024">
        <v>814.2</v>
      </c>
      <c r="I41" s="1024">
        <v>732.3</v>
      </c>
      <c r="J41" s="1024">
        <v>589.1</v>
      </c>
      <c r="K41" s="1011">
        <v>31</v>
      </c>
      <c r="L41" s="1025">
        <v>425860</v>
      </c>
      <c r="M41" s="1025">
        <v>0</v>
      </c>
      <c r="N41" s="1025">
        <v>0</v>
      </c>
      <c r="O41" s="1025">
        <v>425860</v>
      </c>
      <c r="P41" s="1025">
        <v>0</v>
      </c>
      <c r="Q41" s="1025">
        <v>0</v>
      </c>
      <c r="R41" s="1024">
        <f t="shared" si="3"/>
        <v>581.53762119349994</v>
      </c>
      <c r="S41" s="1279">
        <v>2020</v>
      </c>
      <c r="T41" s="1023">
        <v>2020</v>
      </c>
    </row>
    <row r="42" spans="1:20" s="1026" customFormat="1" ht="45.6" customHeight="1">
      <c r="A42" s="1023">
        <v>25</v>
      </c>
      <c r="B42" s="1012" t="s">
        <v>1452</v>
      </c>
      <c r="C42" s="1023">
        <v>1961</v>
      </c>
      <c r="D42" s="1023"/>
      <c r="E42" s="1015" t="s">
        <v>218</v>
      </c>
      <c r="F42" s="1023">
        <v>4</v>
      </c>
      <c r="G42" s="1023">
        <v>3</v>
      </c>
      <c r="H42" s="1024">
        <v>1759.1</v>
      </c>
      <c r="I42" s="1024">
        <v>1584.5</v>
      </c>
      <c r="J42" s="1024">
        <v>1195.5999999999999</v>
      </c>
      <c r="K42" s="1011">
        <v>35</v>
      </c>
      <c r="L42" s="1025">
        <v>945487</v>
      </c>
      <c r="M42" s="1025">
        <v>0</v>
      </c>
      <c r="N42" s="1025">
        <v>0</v>
      </c>
      <c r="O42" s="1025">
        <v>945487</v>
      </c>
      <c r="P42" s="1025">
        <v>0</v>
      </c>
      <c r="Q42" s="1025">
        <v>0</v>
      </c>
      <c r="R42" s="1024">
        <f t="shared" si="3"/>
        <v>596.71000315556955</v>
      </c>
      <c r="S42" s="1279">
        <v>2020</v>
      </c>
      <c r="T42" s="1023">
        <v>2020</v>
      </c>
    </row>
    <row r="43" spans="1:20" s="1026" customFormat="1" ht="45.6" customHeight="1">
      <c r="A43" s="1023">
        <v>26</v>
      </c>
      <c r="B43" s="1012" t="s">
        <v>1453</v>
      </c>
      <c r="C43" s="1023">
        <v>1960</v>
      </c>
      <c r="D43" s="1023"/>
      <c r="E43" s="1015" t="s">
        <v>218</v>
      </c>
      <c r="F43" s="1023">
        <v>2</v>
      </c>
      <c r="G43" s="1023">
        <v>2</v>
      </c>
      <c r="H43" s="1024">
        <v>698.7</v>
      </c>
      <c r="I43" s="1024">
        <v>649.9</v>
      </c>
      <c r="J43" s="1024">
        <v>649.9</v>
      </c>
      <c r="K43" s="1011">
        <v>32</v>
      </c>
      <c r="L43" s="1025">
        <v>3932416</v>
      </c>
      <c r="M43" s="1025">
        <v>0</v>
      </c>
      <c r="N43" s="1025">
        <v>0</v>
      </c>
      <c r="O43" s="1025">
        <v>3932416</v>
      </c>
      <c r="P43" s="1025">
        <v>0</v>
      </c>
      <c r="Q43" s="1025">
        <v>0</v>
      </c>
      <c r="R43" s="1024">
        <f t="shared" si="3"/>
        <v>6050.8016617941221</v>
      </c>
      <c r="S43" s="1279">
        <v>2020</v>
      </c>
      <c r="T43" s="1023">
        <v>2020</v>
      </c>
    </row>
    <row r="44" spans="1:20" s="1026" customFormat="1" ht="41.45" customHeight="1">
      <c r="A44" s="1023">
        <v>27</v>
      </c>
      <c r="B44" s="1012" t="s">
        <v>1454</v>
      </c>
      <c r="C44" s="1023">
        <v>1967</v>
      </c>
      <c r="D44" s="1023"/>
      <c r="E44" s="1023" t="s">
        <v>219</v>
      </c>
      <c r="F44" s="1023">
        <v>5</v>
      </c>
      <c r="G44" s="1023">
        <v>6</v>
      </c>
      <c r="H44" s="1024">
        <v>4806.5</v>
      </c>
      <c r="I44" s="1024">
        <v>4343.6000000000004</v>
      </c>
      <c r="J44" s="1024">
        <v>3958.7</v>
      </c>
      <c r="K44" s="1011">
        <v>169</v>
      </c>
      <c r="L44" s="1025">
        <v>3786311</v>
      </c>
      <c r="M44" s="1025">
        <v>0</v>
      </c>
      <c r="N44" s="1025">
        <v>0</v>
      </c>
      <c r="O44" s="1025">
        <v>3786311</v>
      </c>
      <c r="P44" s="1025">
        <v>0</v>
      </c>
      <c r="Q44" s="1025">
        <v>0</v>
      </c>
      <c r="R44" s="1024">
        <f t="shared" si="3"/>
        <v>871.69882125425909</v>
      </c>
      <c r="S44" s="1279">
        <v>2020</v>
      </c>
      <c r="T44" s="1023">
        <v>2020</v>
      </c>
    </row>
    <row r="45" spans="1:20" s="1026" customFormat="1" ht="45.6" customHeight="1">
      <c r="A45" s="1023">
        <v>28</v>
      </c>
      <c r="B45" s="1012" t="s">
        <v>250</v>
      </c>
      <c r="C45" s="1023">
        <v>1948</v>
      </c>
      <c r="D45" s="1023"/>
      <c r="E45" s="1015" t="s">
        <v>218</v>
      </c>
      <c r="F45" s="1023">
        <v>2</v>
      </c>
      <c r="G45" s="1023">
        <v>3</v>
      </c>
      <c r="H45" s="1024">
        <v>1329.8</v>
      </c>
      <c r="I45" s="1024">
        <v>1212.2</v>
      </c>
      <c r="J45" s="1024">
        <v>1212.2</v>
      </c>
      <c r="K45" s="1011">
        <v>55</v>
      </c>
      <c r="L45" s="1025">
        <v>958615</v>
      </c>
      <c r="M45" s="1025">
        <v>0</v>
      </c>
      <c r="N45" s="1025">
        <v>0</v>
      </c>
      <c r="O45" s="1025">
        <v>958615</v>
      </c>
      <c r="P45" s="1025">
        <v>0</v>
      </c>
      <c r="Q45" s="1025">
        <v>0</v>
      </c>
      <c r="R45" s="1024">
        <f t="shared" si="3"/>
        <v>790.80597261178025</v>
      </c>
      <c r="S45" s="1279">
        <v>2020</v>
      </c>
      <c r="T45" s="1023">
        <v>2020</v>
      </c>
    </row>
    <row r="46" spans="1:20" s="1026" customFormat="1" ht="45.6" customHeight="1">
      <c r="A46" s="1023">
        <v>29</v>
      </c>
      <c r="B46" s="1012" t="s">
        <v>1455</v>
      </c>
      <c r="C46" s="1023">
        <v>1956</v>
      </c>
      <c r="D46" s="1023"/>
      <c r="E46" s="1015" t="s">
        <v>218</v>
      </c>
      <c r="F46" s="1023">
        <v>2</v>
      </c>
      <c r="G46" s="1023">
        <v>2</v>
      </c>
      <c r="H46" s="1024">
        <v>424.9</v>
      </c>
      <c r="I46" s="1024">
        <v>383.9</v>
      </c>
      <c r="J46" s="1024">
        <v>383.9</v>
      </c>
      <c r="K46" s="1011">
        <v>44</v>
      </c>
      <c r="L46" s="1025">
        <v>1907186</v>
      </c>
      <c r="M46" s="1025">
        <v>0</v>
      </c>
      <c r="N46" s="1025">
        <v>0</v>
      </c>
      <c r="O46" s="1025">
        <v>1907186</v>
      </c>
      <c r="P46" s="1025">
        <v>0</v>
      </c>
      <c r="Q46" s="1025">
        <v>0</v>
      </c>
      <c r="R46" s="1024">
        <f t="shared" si="3"/>
        <v>4967.9239385256578</v>
      </c>
      <c r="S46" s="1279">
        <v>2020</v>
      </c>
      <c r="T46" s="1023">
        <v>2020</v>
      </c>
    </row>
    <row r="47" spans="1:20" s="1026" customFormat="1" ht="45.6" customHeight="1">
      <c r="A47" s="1023">
        <v>30</v>
      </c>
      <c r="B47" s="1276" t="s">
        <v>496</v>
      </c>
      <c r="C47" s="1023">
        <v>1951</v>
      </c>
      <c r="D47" s="1023"/>
      <c r="E47" s="1015" t="s">
        <v>218</v>
      </c>
      <c r="F47" s="1023">
        <v>3</v>
      </c>
      <c r="G47" s="1023">
        <v>5</v>
      </c>
      <c r="H47" s="1024">
        <v>3364.9</v>
      </c>
      <c r="I47" s="1024">
        <v>3058</v>
      </c>
      <c r="J47" s="1024">
        <v>2654.3</v>
      </c>
      <c r="K47" s="1011">
        <v>68</v>
      </c>
      <c r="L47" s="1025">
        <v>5534843</v>
      </c>
      <c r="M47" s="1025">
        <v>0</v>
      </c>
      <c r="N47" s="1025">
        <v>0</v>
      </c>
      <c r="O47" s="1025">
        <v>5534843</v>
      </c>
      <c r="P47" s="1025">
        <v>0</v>
      </c>
      <c r="Q47" s="1025">
        <v>0</v>
      </c>
      <c r="R47" s="1024">
        <f t="shared" si="3"/>
        <v>1809.9551994767821</v>
      </c>
      <c r="S47" s="1279">
        <v>2020</v>
      </c>
      <c r="T47" s="1023">
        <v>2020</v>
      </c>
    </row>
    <row r="48" spans="1:20" s="1026" customFormat="1" ht="45.6" customHeight="1">
      <c r="A48" s="1023">
        <v>31</v>
      </c>
      <c r="B48" s="1012" t="s">
        <v>1456</v>
      </c>
      <c r="C48" s="1023">
        <v>1955</v>
      </c>
      <c r="D48" s="1023"/>
      <c r="E48" s="1015" t="s">
        <v>218</v>
      </c>
      <c r="F48" s="1023">
        <v>2</v>
      </c>
      <c r="G48" s="1023">
        <v>1</v>
      </c>
      <c r="H48" s="1024">
        <v>559.79999999999995</v>
      </c>
      <c r="I48" s="1024">
        <v>537.70000000000005</v>
      </c>
      <c r="J48" s="1024">
        <v>537.70000000000005</v>
      </c>
      <c r="K48" s="1011">
        <v>21</v>
      </c>
      <c r="L48" s="1025">
        <v>2175056</v>
      </c>
      <c r="M48" s="1025">
        <v>0</v>
      </c>
      <c r="N48" s="1025">
        <v>0</v>
      </c>
      <c r="O48" s="1025">
        <v>2175056</v>
      </c>
      <c r="P48" s="1025">
        <v>0</v>
      </c>
      <c r="Q48" s="1025">
        <v>0</v>
      </c>
      <c r="R48" s="1024">
        <f t="shared" si="3"/>
        <v>4045.1106564999068</v>
      </c>
      <c r="S48" s="1279">
        <v>2020</v>
      </c>
      <c r="T48" s="1023">
        <v>2020</v>
      </c>
    </row>
    <row r="49" spans="1:20" s="1026" customFormat="1" ht="46.15" customHeight="1">
      <c r="A49" s="1023">
        <v>32</v>
      </c>
      <c r="B49" s="1012" t="s">
        <v>1457</v>
      </c>
      <c r="C49" s="1023">
        <v>1982</v>
      </c>
      <c r="D49" s="1023"/>
      <c r="E49" s="1023" t="s">
        <v>219</v>
      </c>
      <c r="F49" s="1023">
        <v>5</v>
      </c>
      <c r="G49" s="1023">
        <v>14</v>
      </c>
      <c r="H49" s="1024">
        <v>11814.2</v>
      </c>
      <c r="I49" s="1024">
        <v>10844.5</v>
      </c>
      <c r="J49" s="1024">
        <v>9827.7999999999993</v>
      </c>
      <c r="K49" s="1011">
        <v>484</v>
      </c>
      <c r="L49" s="1025">
        <v>9902493.3900000006</v>
      </c>
      <c r="M49" s="1025">
        <v>0</v>
      </c>
      <c r="N49" s="1025">
        <v>0</v>
      </c>
      <c r="O49" s="1025">
        <v>9902493.3900000006</v>
      </c>
      <c r="P49" s="1025">
        <v>0</v>
      </c>
      <c r="Q49" s="1025">
        <v>0</v>
      </c>
      <c r="R49" s="1024">
        <f t="shared" si="3"/>
        <v>913.13508137765689</v>
      </c>
      <c r="S49" s="1279">
        <v>2020</v>
      </c>
      <c r="T49" s="1023">
        <v>2020</v>
      </c>
    </row>
    <row r="50" spans="1:20" s="1017" customFormat="1" ht="46.15" customHeight="1">
      <c r="A50" s="1023">
        <v>33</v>
      </c>
      <c r="B50" s="1012" t="s">
        <v>1458</v>
      </c>
      <c r="C50" s="1023">
        <v>1965</v>
      </c>
      <c r="D50" s="1023"/>
      <c r="E50" s="1015" t="s">
        <v>218</v>
      </c>
      <c r="F50" s="1023">
        <v>4</v>
      </c>
      <c r="G50" s="1023">
        <v>4</v>
      </c>
      <c r="H50" s="1024">
        <v>2779.5</v>
      </c>
      <c r="I50" s="1024">
        <v>2571.5</v>
      </c>
      <c r="J50" s="1024">
        <v>2359.4</v>
      </c>
      <c r="K50" s="1011">
        <v>114</v>
      </c>
      <c r="L50" s="1025">
        <v>2033556</v>
      </c>
      <c r="M50" s="1025">
        <v>0</v>
      </c>
      <c r="N50" s="1025">
        <v>0</v>
      </c>
      <c r="O50" s="1025">
        <v>2033556</v>
      </c>
      <c r="P50" s="1025">
        <v>0</v>
      </c>
      <c r="Q50" s="1025">
        <v>0</v>
      </c>
      <c r="R50" s="1024">
        <f t="shared" si="3"/>
        <v>790.80536651759678</v>
      </c>
      <c r="S50" s="1279">
        <v>2020</v>
      </c>
      <c r="T50" s="1023">
        <v>2020</v>
      </c>
    </row>
    <row r="51" spans="1:20" s="1017" customFormat="1" ht="43.9" customHeight="1">
      <c r="A51" s="1023">
        <v>34</v>
      </c>
      <c r="B51" s="1012" t="s">
        <v>1459</v>
      </c>
      <c r="C51" s="1023">
        <v>1989</v>
      </c>
      <c r="D51" s="1023"/>
      <c r="E51" s="1023" t="s">
        <v>219</v>
      </c>
      <c r="F51" s="1023">
        <v>9</v>
      </c>
      <c r="G51" s="1023">
        <v>1</v>
      </c>
      <c r="H51" s="1024">
        <v>4970.2</v>
      </c>
      <c r="I51" s="1024">
        <v>4016.1</v>
      </c>
      <c r="J51" s="1024">
        <v>3723.1</v>
      </c>
      <c r="K51" s="1011">
        <v>217</v>
      </c>
      <c r="L51" s="1025">
        <v>3653569</v>
      </c>
      <c r="M51" s="1025">
        <v>0</v>
      </c>
      <c r="N51" s="1025">
        <v>0</v>
      </c>
      <c r="O51" s="1025">
        <v>3653569</v>
      </c>
      <c r="P51" s="1025">
        <v>0</v>
      </c>
      <c r="Q51" s="1025">
        <v>0</v>
      </c>
      <c r="R51" s="1024">
        <f t="shared" si="3"/>
        <v>909.73058439779891</v>
      </c>
      <c r="S51" s="1279">
        <v>2020</v>
      </c>
      <c r="T51" s="1023">
        <v>2020</v>
      </c>
    </row>
    <row r="52" spans="1:20" s="1017" customFormat="1" ht="42" customHeight="1">
      <c r="A52" s="1023">
        <v>35</v>
      </c>
      <c r="B52" s="1012" t="s">
        <v>1460</v>
      </c>
      <c r="C52" s="1023">
        <v>1951</v>
      </c>
      <c r="D52" s="1023"/>
      <c r="E52" s="1023" t="s">
        <v>823</v>
      </c>
      <c r="F52" s="1023">
        <v>2</v>
      </c>
      <c r="G52" s="1023">
        <v>1</v>
      </c>
      <c r="H52" s="1024">
        <v>559.9</v>
      </c>
      <c r="I52" s="1024">
        <v>515.29999999999995</v>
      </c>
      <c r="J52" s="1024">
        <v>515.29999999999995</v>
      </c>
      <c r="K52" s="1011">
        <v>24</v>
      </c>
      <c r="L52" s="1025">
        <v>771870</v>
      </c>
      <c r="M52" s="1025">
        <v>0</v>
      </c>
      <c r="N52" s="1025">
        <v>0</v>
      </c>
      <c r="O52" s="1025">
        <v>771870</v>
      </c>
      <c r="P52" s="1025">
        <v>0</v>
      </c>
      <c r="Q52" s="1025">
        <v>0</v>
      </c>
      <c r="R52" s="1024">
        <f t="shared" si="3"/>
        <v>1497.9041335144577</v>
      </c>
      <c r="S52" s="1279">
        <v>2020</v>
      </c>
      <c r="T52" s="1023">
        <v>2020</v>
      </c>
    </row>
    <row r="53" spans="1:20" s="1017" customFormat="1" ht="42" customHeight="1">
      <c r="A53" s="1023">
        <v>36</v>
      </c>
      <c r="B53" s="1012" t="s">
        <v>1461</v>
      </c>
      <c r="C53" s="1023">
        <v>1972</v>
      </c>
      <c r="D53" s="1023"/>
      <c r="E53" s="1023" t="s">
        <v>219</v>
      </c>
      <c r="F53" s="1023">
        <v>5</v>
      </c>
      <c r="G53" s="1023">
        <v>4</v>
      </c>
      <c r="H53" s="1024">
        <v>3679.4</v>
      </c>
      <c r="I53" s="1024">
        <v>3408.6</v>
      </c>
      <c r="J53" s="1024">
        <v>2985.2</v>
      </c>
      <c r="K53" s="1011">
        <v>70</v>
      </c>
      <c r="L53" s="1025">
        <v>3642204</v>
      </c>
      <c r="M53" s="1025">
        <v>0</v>
      </c>
      <c r="N53" s="1025">
        <v>0</v>
      </c>
      <c r="O53" s="1025">
        <v>3642204</v>
      </c>
      <c r="P53" s="1025">
        <v>0</v>
      </c>
      <c r="Q53" s="1025">
        <v>0</v>
      </c>
      <c r="R53" s="1024">
        <f t="shared" si="3"/>
        <v>1068.533708854075</v>
      </c>
      <c r="S53" s="1279">
        <v>2020</v>
      </c>
      <c r="T53" s="1023">
        <v>2020</v>
      </c>
    </row>
    <row r="54" spans="1:20" s="1017" customFormat="1" ht="46.15" customHeight="1">
      <c r="A54" s="1023">
        <v>37</v>
      </c>
      <c r="B54" s="1012" t="s">
        <v>1462</v>
      </c>
      <c r="C54" s="1110">
        <v>1949</v>
      </c>
      <c r="D54" s="1023"/>
      <c r="E54" s="1015" t="s">
        <v>218</v>
      </c>
      <c r="F54" s="1027" t="s">
        <v>1148</v>
      </c>
      <c r="G54" s="1023">
        <v>7</v>
      </c>
      <c r="H54" s="1024">
        <v>5815.5</v>
      </c>
      <c r="I54" s="1024">
        <v>5272.3</v>
      </c>
      <c r="J54" s="1024">
        <v>3562.2</v>
      </c>
      <c r="K54" s="1011">
        <v>119</v>
      </c>
      <c r="L54" s="1025">
        <v>4169204</v>
      </c>
      <c r="M54" s="1025">
        <v>0</v>
      </c>
      <c r="N54" s="1025">
        <v>0</v>
      </c>
      <c r="O54" s="1025">
        <v>4169204</v>
      </c>
      <c r="P54" s="1025">
        <v>0</v>
      </c>
      <c r="Q54" s="1025">
        <v>0</v>
      </c>
      <c r="R54" s="1024">
        <f t="shared" si="3"/>
        <v>790.77518350624962</v>
      </c>
      <c r="S54" s="1279">
        <v>2020</v>
      </c>
      <c r="T54" s="1023">
        <v>2020</v>
      </c>
    </row>
    <row r="55" spans="1:20" s="1017" customFormat="1" ht="46.15" customHeight="1">
      <c r="A55" s="1023">
        <v>38</v>
      </c>
      <c r="B55" s="1012" t="s">
        <v>1463</v>
      </c>
      <c r="C55" s="1023">
        <v>1959</v>
      </c>
      <c r="D55" s="1023"/>
      <c r="E55" s="1015" t="s">
        <v>218</v>
      </c>
      <c r="F55" s="1023">
        <v>4</v>
      </c>
      <c r="G55" s="1023">
        <v>1</v>
      </c>
      <c r="H55" s="1024">
        <v>3725.76</v>
      </c>
      <c r="I55" s="1024">
        <v>3593.36</v>
      </c>
      <c r="J55" s="1024">
        <v>3078.16</v>
      </c>
      <c r="K55" s="1011">
        <v>180</v>
      </c>
      <c r="L55" s="1025">
        <v>2841648</v>
      </c>
      <c r="M55" s="1025">
        <v>0</v>
      </c>
      <c r="N55" s="1025">
        <v>0</v>
      </c>
      <c r="O55" s="1025">
        <v>2841648</v>
      </c>
      <c r="P55" s="1025">
        <v>0</v>
      </c>
      <c r="Q55" s="1025">
        <v>0</v>
      </c>
      <c r="R55" s="1024">
        <f t="shared" si="3"/>
        <v>790.80526304071952</v>
      </c>
      <c r="S55" s="1279">
        <v>2020</v>
      </c>
      <c r="T55" s="1023">
        <v>2020</v>
      </c>
    </row>
    <row r="56" spans="1:20" s="1017" customFormat="1" ht="42" customHeight="1">
      <c r="A56" s="1023">
        <v>39</v>
      </c>
      <c r="B56" s="1012" t="s">
        <v>1464</v>
      </c>
      <c r="C56" s="1023">
        <v>1966</v>
      </c>
      <c r="D56" s="1023"/>
      <c r="E56" s="1023" t="s">
        <v>219</v>
      </c>
      <c r="F56" s="1023">
        <v>5</v>
      </c>
      <c r="G56" s="1023">
        <v>3</v>
      </c>
      <c r="H56" s="1024">
        <v>2785.4</v>
      </c>
      <c r="I56" s="1024">
        <v>2579.1</v>
      </c>
      <c r="J56" s="1024">
        <v>2363.5</v>
      </c>
      <c r="K56" s="1011">
        <v>124</v>
      </c>
      <c r="L56" s="1025">
        <v>1499848</v>
      </c>
      <c r="M56" s="1025">
        <v>0</v>
      </c>
      <c r="N56" s="1025">
        <v>0</v>
      </c>
      <c r="O56" s="1025">
        <v>1499848</v>
      </c>
      <c r="P56" s="1025">
        <v>0</v>
      </c>
      <c r="Q56" s="1025">
        <v>0</v>
      </c>
      <c r="R56" s="1024">
        <f t="shared" si="3"/>
        <v>581.53929665387147</v>
      </c>
      <c r="S56" s="1279">
        <v>2020</v>
      </c>
      <c r="T56" s="1023">
        <v>2020</v>
      </c>
    </row>
    <row r="57" spans="1:20" s="992" customFormat="1" ht="40.9" customHeight="1">
      <c r="A57" s="1023">
        <v>40</v>
      </c>
      <c r="B57" s="1012" t="s">
        <v>224</v>
      </c>
      <c r="C57" s="1023">
        <v>1934</v>
      </c>
      <c r="D57" s="1023"/>
      <c r="E57" s="1015" t="s">
        <v>218</v>
      </c>
      <c r="F57" s="1023">
        <v>3</v>
      </c>
      <c r="G57" s="1023">
        <v>5</v>
      </c>
      <c r="H57" s="1024">
        <v>2467</v>
      </c>
      <c r="I57" s="1024">
        <v>3299.5</v>
      </c>
      <c r="J57" s="1024">
        <v>2116.6999999999998</v>
      </c>
      <c r="K57" s="1011">
        <v>101</v>
      </c>
      <c r="L57" s="1025">
        <v>4803022</v>
      </c>
      <c r="M57" s="1025">
        <v>0</v>
      </c>
      <c r="N57" s="1025">
        <v>0</v>
      </c>
      <c r="O57" s="1025">
        <v>4803022</v>
      </c>
      <c r="P57" s="1025">
        <v>0</v>
      </c>
      <c r="Q57" s="1025">
        <v>0</v>
      </c>
      <c r="R57" s="1024">
        <f t="shared" si="3"/>
        <v>1455.6817699651463</v>
      </c>
      <c r="S57" s="1279">
        <v>2020</v>
      </c>
      <c r="T57" s="1023">
        <v>2020</v>
      </c>
    </row>
    <row r="58" spans="1:20" s="992" customFormat="1" ht="40.15" customHeight="1">
      <c r="A58" s="1023">
        <v>41</v>
      </c>
      <c r="B58" s="1276" t="s">
        <v>1465</v>
      </c>
      <c r="C58" s="1023">
        <v>1959</v>
      </c>
      <c r="D58" s="1023"/>
      <c r="E58" s="1015" t="s">
        <v>218</v>
      </c>
      <c r="F58" s="1023">
        <v>2</v>
      </c>
      <c r="G58" s="1023">
        <v>2</v>
      </c>
      <c r="H58" s="1024">
        <v>685.9</v>
      </c>
      <c r="I58" s="1024">
        <v>639.1</v>
      </c>
      <c r="J58" s="1024">
        <v>600.4</v>
      </c>
      <c r="K58" s="1011">
        <v>32</v>
      </c>
      <c r="L58" s="1025">
        <v>2546736</v>
      </c>
      <c r="M58" s="1025">
        <v>0</v>
      </c>
      <c r="N58" s="1025">
        <v>0</v>
      </c>
      <c r="O58" s="1025">
        <v>2546736</v>
      </c>
      <c r="P58" s="1025">
        <v>0</v>
      </c>
      <c r="Q58" s="1025">
        <v>0</v>
      </c>
      <c r="R58" s="1024">
        <f t="shared" si="3"/>
        <v>3984.878735722109</v>
      </c>
      <c r="S58" s="1279">
        <v>2020</v>
      </c>
      <c r="T58" s="1023">
        <v>2020</v>
      </c>
    </row>
    <row r="59" spans="1:20" s="992" customFormat="1" ht="40.9" customHeight="1">
      <c r="A59" s="1023">
        <v>42</v>
      </c>
      <c r="B59" s="1012" t="s">
        <v>1466</v>
      </c>
      <c r="C59" s="1023">
        <v>1939</v>
      </c>
      <c r="D59" s="1023"/>
      <c r="E59" s="1015" t="s">
        <v>218</v>
      </c>
      <c r="F59" s="1027" t="s">
        <v>1432</v>
      </c>
      <c r="G59" s="1023">
        <v>12</v>
      </c>
      <c r="H59" s="1024">
        <v>15355</v>
      </c>
      <c r="I59" s="1024">
        <v>13690.4</v>
      </c>
      <c r="J59" s="1024">
        <v>9253.2999999999993</v>
      </c>
      <c r="K59" s="1011">
        <v>237</v>
      </c>
      <c r="L59" s="1025">
        <v>22225426</v>
      </c>
      <c r="M59" s="1025">
        <v>0</v>
      </c>
      <c r="N59" s="1025">
        <v>0</v>
      </c>
      <c r="O59" s="1025">
        <v>22225426</v>
      </c>
      <c r="P59" s="1025">
        <v>0</v>
      </c>
      <c r="Q59" s="1025">
        <v>0</v>
      </c>
      <c r="R59" s="1024">
        <f t="shared" si="3"/>
        <v>1623.4314556185357</v>
      </c>
      <c r="S59" s="1279">
        <v>2020</v>
      </c>
      <c r="T59" s="1023">
        <v>2020</v>
      </c>
    </row>
    <row r="60" spans="1:20" s="992" customFormat="1" ht="36" customHeight="1">
      <c r="A60" s="1023">
        <v>43</v>
      </c>
      <c r="B60" s="1012" t="s">
        <v>1467</v>
      </c>
      <c r="C60" s="1023">
        <v>1925</v>
      </c>
      <c r="D60" s="1023"/>
      <c r="E60" s="1023" t="s">
        <v>221</v>
      </c>
      <c r="F60" s="1023">
        <v>2</v>
      </c>
      <c r="G60" s="1023">
        <v>2</v>
      </c>
      <c r="H60" s="1024">
        <v>458.9</v>
      </c>
      <c r="I60" s="1024">
        <v>417.8</v>
      </c>
      <c r="J60" s="1024">
        <f>I60-53.2</f>
        <v>364.6</v>
      </c>
      <c r="K60" s="1011">
        <v>28</v>
      </c>
      <c r="L60" s="1025">
        <v>1661291</v>
      </c>
      <c r="M60" s="1025">
        <v>0</v>
      </c>
      <c r="N60" s="1025">
        <v>0</v>
      </c>
      <c r="O60" s="1025">
        <v>1661291</v>
      </c>
      <c r="P60" s="1025">
        <v>0</v>
      </c>
      <c r="Q60" s="1025">
        <v>0</v>
      </c>
      <c r="R60" s="1024">
        <f t="shared" si="3"/>
        <v>3976.282910483485</v>
      </c>
      <c r="S60" s="1279">
        <v>2020</v>
      </c>
      <c r="T60" s="1023">
        <v>2020</v>
      </c>
    </row>
    <row r="61" spans="1:20" s="992" customFormat="1" ht="40.15" customHeight="1">
      <c r="A61" s="1023">
        <v>44</v>
      </c>
      <c r="B61" s="1012" t="s">
        <v>1468</v>
      </c>
      <c r="C61" s="1023">
        <v>1960</v>
      </c>
      <c r="D61" s="1023"/>
      <c r="E61" s="1015" t="s">
        <v>218</v>
      </c>
      <c r="F61" s="1023">
        <v>2</v>
      </c>
      <c r="G61" s="1023">
        <v>2</v>
      </c>
      <c r="H61" s="1024">
        <v>684</v>
      </c>
      <c r="I61" s="1024">
        <v>635.29999999999995</v>
      </c>
      <c r="J61" s="1024">
        <v>604.9</v>
      </c>
      <c r="K61" s="1011">
        <v>44</v>
      </c>
      <c r="L61" s="1025">
        <v>1168532</v>
      </c>
      <c r="M61" s="1025">
        <v>0</v>
      </c>
      <c r="N61" s="1025">
        <v>0</v>
      </c>
      <c r="O61" s="1025">
        <v>1168532</v>
      </c>
      <c r="P61" s="1025">
        <v>0</v>
      </c>
      <c r="Q61" s="1025">
        <v>0</v>
      </c>
      <c r="R61" s="1024">
        <f t="shared" si="3"/>
        <v>1839.3388950102315</v>
      </c>
      <c r="S61" s="1279">
        <v>2020</v>
      </c>
      <c r="T61" s="1023">
        <v>2020</v>
      </c>
    </row>
    <row r="62" spans="1:20" s="992" customFormat="1" ht="42.6" customHeight="1">
      <c r="A62" s="1023">
        <v>45</v>
      </c>
      <c r="B62" s="1012" t="s">
        <v>1469</v>
      </c>
      <c r="C62" s="1023">
        <v>1975</v>
      </c>
      <c r="D62" s="1023"/>
      <c r="E62" s="1015" t="s">
        <v>218</v>
      </c>
      <c r="F62" s="1023">
        <v>9</v>
      </c>
      <c r="G62" s="1023">
        <v>5</v>
      </c>
      <c r="H62" s="1024">
        <v>15767.7</v>
      </c>
      <c r="I62" s="1024">
        <v>15005.6</v>
      </c>
      <c r="J62" s="1024">
        <v>14275.5</v>
      </c>
      <c r="K62" s="1011">
        <v>453</v>
      </c>
      <c r="L62" s="1013">
        <v>15853359</v>
      </c>
      <c r="M62" s="1025">
        <v>0</v>
      </c>
      <c r="N62" s="1025">
        <v>0</v>
      </c>
      <c r="O62" s="1013">
        <v>15853359</v>
      </c>
      <c r="P62" s="1025">
        <v>0</v>
      </c>
      <c r="Q62" s="1025">
        <v>0</v>
      </c>
      <c r="R62" s="1024">
        <f t="shared" si="3"/>
        <v>1056.4961747614225</v>
      </c>
      <c r="S62" s="1279">
        <v>2020</v>
      </c>
      <c r="T62" s="1023">
        <v>2020</v>
      </c>
    </row>
    <row r="63" spans="1:20" s="992" customFormat="1" ht="46.15" customHeight="1">
      <c r="A63" s="1023">
        <v>46</v>
      </c>
      <c r="B63" s="1012" t="s">
        <v>1470</v>
      </c>
      <c r="C63" s="1023">
        <v>1981</v>
      </c>
      <c r="D63" s="1023"/>
      <c r="E63" s="1015" t="s">
        <v>218</v>
      </c>
      <c r="F63" s="1023">
        <v>5</v>
      </c>
      <c r="G63" s="1023">
        <v>4</v>
      </c>
      <c r="H63" s="1024">
        <v>3127</v>
      </c>
      <c r="I63" s="1024">
        <v>2803</v>
      </c>
      <c r="J63" s="1024">
        <v>2654.9</v>
      </c>
      <c r="K63" s="1011">
        <v>149</v>
      </c>
      <c r="L63" s="1025">
        <v>2165572</v>
      </c>
      <c r="M63" s="1025">
        <v>0</v>
      </c>
      <c r="N63" s="1025">
        <v>0</v>
      </c>
      <c r="O63" s="1025">
        <v>2165572</v>
      </c>
      <c r="P63" s="1025">
        <v>0</v>
      </c>
      <c r="Q63" s="1025">
        <v>0</v>
      </c>
      <c r="R63" s="1024">
        <f t="shared" si="3"/>
        <v>772.59079557616838</v>
      </c>
      <c r="S63" s="1279">
        <v>2020</v>
      </c>
      <c r="T63" s="1023">
        <v>2020</v>
      </c>
    </row>
    <row r="64" spans="1:20" s="992" customFormat="1" ht="44.45" customHeight="1">
      <c r="A64" s="1023">
        <v>47</v>
      </c>
      <c r="B64" s="1012" t="s">
        <v>1471</v>
      </c>
      <c r="C64" s="1023">
        <v>1956</v>
      </c>
      <c r="D64" s="1023"/>
      <c r="E64" s="1015" t="s">
        <v>218</v>
      </c>
      <c r="F64" s="1023">
        <v>2</v>
      </c>
      <c r="G64" s="1023">
        <v>1</v>
      </c>
      <c r="H64" s="1024">
        <v>569.20000000000005</v>
      </c>
      <c r="I64" s="1024">
        <v>523.9</v>
      </c>
      <c r="J64" s="1024">
        <v>523.9</v>
      </c>
      <c r="K64" s="1011">
        <v>33</v>
      </c>
      <c r="L64" s="1025">
        <v>718972</v>
      </c>
      <c r="M64" s="1025">
        <v>0</v>
      </c>
      <c r="N64" s="1025">
        <v>0</v>
      </c>
      <c r="O64" s="1025">
        <v>718972</v>
      </c>
      <c r="P64" s="1025">
        <v>0</v>
      </c>
      <c r="Q64" s="1025">
        <v>0</v>
      </c>
      <c r="R64" s="1024">
        <f t="shared" si="3"/>
        <v>1372.3458675319719</v>
      </c>
      <c r="S64" s="1279">
        <v>2020</v>
      </c>
      <c r="T64" s="1023">
        <v>2020</v>
      </c>
    </row>
    <row r="65" spans="1:20" s="992" customFormat="1" ht="40.15" customHeight="1">
      <c r="A65" s="1023">
        <v>48</v>
      </c>
      <c r="B65" s="1012" t="s">
        <v>1472</v>
      </c>
      <c r="C65" s="1023">
        <v>1941</v>
      </c>
      <c r="D65" s="1023"/>
      <c r="E65" s="1015" t="s">
        <v>218</v>
      </c>
      <c r="F65" s="1023">
        <v>4</v>
      </c>
      <c r="G65" s="1023">
        <v>3</v>
      </c>
      <c r="H65" s="1024">
        <v>2543.1</v>
      </c>
      <c r="I65" s="1024">
        <v>2237.1999999999998</v>
      </c>
      <c r="J65" s="1024">
        <f>I65-187.2</f>
        <v>2050</v>
      </c>
      <c r="K65" s="1011">
        <v>48</v>
      </c>
      <c r="L65" s="1013">
        <v>2538452</v>
      </c>
      <c r="M65" s="1025">
        <v>0</v>
      </c>
      <c r="N65" s="1025">
        <v>0</v>
      </c>
      <c r="O65" s="1013">
        <v>2538452</v>
      </c>
      <c r="P65" s="1025">
        <v>0</v>
      </c>
      <c r="Q65" s="1025">
        <v>0</v>
      </c>
      <c r="R65" s="1024">
        <f t="shared" si="3"/>
        <v>1134.6558197747186</v>
      </c>
      <c r="S65" s="1279">
        <v>2020</v>
      </c>
      <c r="T65" s="1023">
        <v>2020</v>
      </c>
    </row>
    <row r="66" spans="1:20" s="992" customFormat="1" ht="39.6" customHeight="1">
      <c r="A66" s="1023">
        <v>49</v>
      </c>
      <c r="B66" s="1012" t="s">
        <v>235</v>
      </c>
      <c r="C66" s="1023">
        <v>1950</v>
      </c>
      <c r="D66" s="1023"/>
      <c r="E66" s="1023" t="s">
        <v>823</v>
      </c>
      <c r="F66" s="1023">
        <v>2</v>
      </c>
      <c r="G66" s="1023">
        <v>1</v>
      </c>
      <c r="H66" s="1024">
        <v>428.6</v>
      </c>
      <c r="I66" s="1024">
        <v>391.9</v>
      </c>
      <c r="J66" s="1024">
        <v>344.7</v>
      </c>
      <c r="K66" s="1011">
        <v>27</v>
      </c>
      <c r="L66" s="1025">
        <v>814934</v>
      </c>
      <c r="M66" s="1025">
        <v>0</v>
      </c>
      <c r="N66" s="1025">
        <v>0</v>
      </c>
      <c r="O66" s="1025">
        <v>814934</v>
      </c>
      <c r="P66" s="1025">
        <v>0</v>
      </c>
      <c r="Q66" s="1025">
        <v>0</v>
      </c>
      <c r="R66" s="1024">
        <f t="shared" si="3"/>
        <v>2079.4437356468488</v>
      </c>
      <c r="S66" s="1279">
        <v>2020</v>
      </c>
      <c r="T66" s="1023">
        <v>2020</v>
      </c>
    </row>
    <row r="67" spans="1:20" s="992" customFormat="1" ht="46.15" customHeight="1">
      <c r="A67" s="1023">
        <v>50</v>
      </c>
      <c r="B67" s="1012" t="s">
        <v>1473</v>
      </c>
      <c r="C67" s="1023">
        <v>1962</v>
      </c>
      <c r="D67" s="1023"/>
      <c r="E67" s="1015" t="s">
        <v>218</v>
      </c>
      <c r="F67" s="1023">
        <v>2</v>
      </c>
      <c r="G67" s="1023">
        <v>1</v>
      </c>
      <c r="H67" s="1024">
        <v>362.4</v>
      </c>
      <c r="I67" s="1024">
        <v>331.3</v>
      </c>
      <c r="J67" s="1024">
        <v>297.39999999999998</v>
      </c>
      <c r="K67" s="1011">
        <v>17</v>
      </c>
      <c r="L67" s="1025">
        <v>495540</v>
      </c>
      <c r="M67" s="1025">
        <v>0</v>
      </c>
      <c r="N67" s="1025">
        <v>0</v>
      </c>
      <c r="O67" s="1025">
        <v>495540</v>
      </c>
      <c r="P67" s="1025">
        <v>0</v>
      </c>
      <c r="Q67" s="1025">
        <v>0</v>
      </c>
      <c r="R67" s="1024">
        <f t="shared" si="3"/>
        <v>1495.7440386356775</v>
      </c>
      <c r="S67" s="1279">
        <v>2020</v>
      </c>
      <c r="T67" s="1023">
        <v>2020</v>
      </c>
    </row>
    <row r="68" spans="1:20" s="992" customFormat="1" ht="46.15" customHeight="1">
      <c r="A68" s="1023">
        <v>51</v>
      </c>
      <c r="B68" s="1012" t="s">
        <v>1474</v>
      </c>
      <c r="C68" s="1023">
        <v>1961</v>
      </c>
      <c r="D68" s="1023"/>
      <c r="E68" s="1015" t="s">
        <v>218</v>
      </c>
      <c r="F68" s="1023">
        <v>5</v>
      </c>
      <c r="G68" s="1023">
        <v>4</v>
      </c>
      <c r="H68" s="1024">
        <v>4041.1</v>
      </c>
      <c r="I68" s="1024">
        <v>3205.4</v>
      </c>
      <c r="J68" s="1024">
        <v>2446.3000000000002</v>
      </c>
      <c r="K68" s="1011">
        <v>112</v>
      </c>
      <c r="L68" s="1025">
        <v>2581108</v>
      </c>
      <c r="M68" s="1025">
        <v>0</v>
      </c>
      <c r="N68" s="1025">
        <v>0</v>
      </c>
      <c r="O68" s="1025">
        <v>2581108</v>
      </c>
      <c r="P68" s="1025">
        <v>0</v>
      </c>
      <c r="Q68" s="1025">
        <v>0</v>
      </c>
      <c r="R68" s="1024">
        <f t="shared" si="3"/>
        <v>805.23741186747361</v>
      </c>
      <c r="S68" s="1279">
        <v>2020</v>
      </c>
      <c r="T68" s="1023">
        <v>2020</v>
      </c>
    </row>
    <row r="69" spans="1:20" s="992" customFormat="1" ht="42" customHeight="1">
      <c r="A69" s="1023">
        <v>52</v>
      </c>
      <c r="B69" s="1012" t="s">
        <v>1476</v>
      </c>
      <c r="C69" s="1023">
        <v>1975</v>
      </c>
      <c r="D69" s="1023"/>
      <c r="E69" s="1023" t="s">
        <v>219</v>
      </c>
      <c r="F69" s="1023">
        <v>9</v>
      </c>
      <c r="G69" s="1023">
        <v>2</v>
      </c>
      <c r="H69" s="1024">
        <v>4329.8999999999996</v>
      </c>
      <c r="I69" s="1024">
        <v>3868.4</v>
      </c>
      <c r="J69" s="1024">
        <v>3668.2</v>
      </c>
      <c r="K69" s="1011">
        <v>165</v>
      </c>
      <c r="L69" s="1025">
        <v>16830648.670000002</v>
      </c>
      <c r="M69" s="1025">
        <v>0</v>
      </c>
      <c r="N69" s="1025">
        <v>0</v>
      </c>
      <c r="O69" s="1025">
        <v>16830648.670000002</v>
      </c>
      <c r="P69" s="1025">
        <v>0</v>
      </c>
      <c r="Q69" s="1025">
        <v>0</v>
      </c>
      <c r="R69" s="1024">
        <f t="shared" si="3"/>
        <v>4350.8036061420744</v>
      </c>
      <c r="S69" s="1279">
        <v>2020</v>
      </c>
      <c r="T69" s="1023">
        <v>2020</v>
      </c>
    </row>
    <row r="70" spans="1:20" s="992" customFormat="1" ht="46.15" customHeight="1">
      <c r="A70" s="1023">
        <v>53</v>
      </c>
      <c r="B70" s="1012" t="s">
        <v>1475</v>
      </c>
      <c r="C70" s="1023">
        <v>1960</v>
      </c>
      <c r="D70" s="1023"/>
      <c r="E70" s="1015" t="s">
        <v>218</v>
      </c>
      <c r="F70" s="1023">
        <v>4</v>
      </c>
      <c r="G70" s="1023">
        <v>2</v>
      </c>
      <c r="H70" s="1024">
        <v>1367.9</v>
      </c>
      <c r="I70" s="1024">
        <v>1271.3</v>
      </c>
      <c r="J70" s="1024">
        <v>1258.5999999999999</v>
      </c>
      <c r="K70" s="1011">
        <v>47</v>
      </c>
      <c r="L70" s="1025">
        <v>2869710</v>
      </c>
      <c r="M70" s="1025">
        <v>0</v>
      </c>
      <c r="N70" s="1025">
        <v>0</v>
      </c>
      <c r="O70" s="1025">
        <v>2869710</v>
      </c>
      <c r="P70" s="1025">
        <v>0</v>
      </c>
      <c r="Q70" s="1025">
        <v>0</v>
      </c>
      <c r="R70" s="1024">
        <f t="shared" si="3"/>
        <v>2257.3035475497522</v>
      </c>
      <c r="S70" s="1279">
        <v>2020</v>
      </c>
      <c r="T70" s="1023">
        <v>2020</v>
      </c>
    </row>
    <row r="71" spans="1:20" s="992" customFormat="1" ht="46.15" customHeight="1">
      <c r="A71" s="1023">
        <v>54</v>
      </c>
      <c r="B71" s="1012" t="s">
        <v>305</v>
      </c>
      <c r="C71" s="1023">
        <v>1971</v>
      </c>
      <c r="D71" s="1023"/>
      <c r="E71" s="1015" t="s">
        <v>218</v>
      </c>
      <c r="F71" s="1023">
        <v>5</v>
      </c>
      <c r="G71" s="1023">
        <v>4</v>
      </c>
      <c r="H71" s="1024">
        <v>3545.9</v>
      </c>
      <c r="I71" s="1024">
        <v>3358.9</v>
      </c>
      <c r="J71" s="1024">
        <f>I71-151.8</f>
        <v>3207.1</v>
      </c>
      <c r="K71" s="1011">
        <v>134</v>
      </c>
      <c r="L71" s="1025">
        <v>13361240</v>
      </c>
      <c r="M71" s="1025">
        <v>0</v>
      </c>
      <c r="N71" s="1025">
        <v>0</v>
      </c>
      <c r="O71" s="1025">
        <v>13361240</v>
      </c>
      <c r="P71" s="1025">
        <v>0</v>
      </c>
      <c r="Q71" s="1025">
        <v>0</v>
      </c>
      <c r="R71" s="1024">
        <f t="shared" si="3"/>
        <v>3977.8617999940457</v>
      </c>
      <c r="S71" s="1279">
        <v>2020</v>
      </c>
      <c r="T71" s="1023">
        <v>2020</v>
      </c>
    </row>
    <row r="72" spans="1:20" s="992" customFormat="1" ht="46.15" customHeight="1">
      <c r="A72" s="1023">
        <v>55</v>
      </c>
      <c r="B72" s="1012" t="s">
        <v>1480</v>
      </c>
      <c r="C72" s="1023">
        <v>1937</v>
      </c>
      <c r="D72" s="1023"/>
      <c r="E72" s="1015" t="s">
        <v>218</v>
      </c>
      <c r="F72" s="1023">
        <v>4</v>
      </c>
      <c r="G72" s="1023">
        <v>3</v>
      </c>
      <c r="H72" s="1024">
        <v>1867.7</v>
      </c>
      <c r="I72" s="1024">
        <v>1793.2</v>
      </c>
      <c r="J72" s="1024">
        <v>1577.8</v>
      </c>
      <c r="K72" s="1011">
        <v>54</v>
      </c>
      <c r="L72" s="1025">
        <v>5133035</v>
      </c>
      <c r="M72" s="1025">
        <v>0</v>
      </c>
      <c r="N72" s="1025">
        <v>0</v>
      </c>
      <c r="O72" s="1025">
        <v>5133035</v>
      </c>
      <c r="P72" s="1025">
        <v>0</v>
      </c>
      <c r="Q72" s="1025">
        <v>0</v>
      </c>
      <c r="R72" s="1024">
        <f t="shared" si="3"/>
        <v>2862.5</v>
      </c>
      <c r="S72" s="1279">
        <v>2020</v>
      </c>
      <c r="T72" s="1023">
        <v>2020</v>
      </c>
    </row>
    <row r="73" spans="1:20" s="992" customFormat="1" ht="46.15" customHeight="1">
      <c r="A73" s="1023">
        <v>56</v>
      </c>
      <c r="B73" s="1012" t="s">
        <v>1481</v>
      </c>
      <c r="C73" s="1023">
        <v>1960</v>
      </c>
      <c r="D73" s="1023"/>
      <c r="E73" s="1015" t="s">
        <v>218</v>
      </c>
      <c r="F73" s="1023">
        <v>4</v>
      </c>
      <c r="G73" s="1023">
        <v>3</v>
      </c>
      <c r="H73" s="1024">
        <v>2158.4</v>
      </c>
      <c r="I73" s="1024">
        <v>2010.5</v>
      </c>
      <c r="J73" s="1024">
        <v>1971.6</v>
      </c>
      <c r="K73" s="1011">
        <v>78</v>
      </c>
      <c r="L73" s="1025">
        <v>3697990</v>
      </c>
      <c r="M73" s="1025">
        <v>0</v>
      </c>
      <c r="N73" s="1025">
        <v>0</v>
      </c>
      <c r="O73" s="1025">
        <v>3697990</v>
      </c>
      <c r="P73" s="1025">
        <v>0</v>
      </c>
      <c r="Q73" s="1025">
        <v>0</v>
      </c>
      <c r="R73" s="1024">
        <f t="shared" si="3"/>
        <v>1839.3384730166624</v>
      </c>
      <c r="S73" s="1279">
        <v>2020</v>
      </c>
      <c r="T73" s="1023">
        <v>2020</v>
      </c>
    </row>
    <row r="74" spans="1:20" s="992" customFormat="1" ht="46.15" customHeight="1">
      <c r="A74" s="1023">
        <v>57</v>
      </c>
      <c r="B74" s="1012" t="s">
        <v>2204</v>
      </c>
      <c r="C74" s="1023">
        <v>1963</v>
      </c>
      <c r="D74" s="1023"/>
      <c r="E74" s="1015" t="s">
        <v>218</v>
      </c>
      <c r="F74" s="1023">
        <v>4</v>
      </c>
      <c r="G74" s="1023">
        <v>3</v>
      </c>
      <c r="H74" s="1024">
        <v>2300.6999999999998</v>
      </c>
      <c r="I74" s="1024">
        <v>2035.7</v>
      </c>
      <c r="J74" s="1024">
        <v>1906.4</v>
      </c>
      <c r="K74" s="1011">
        <v>99</v>
      </c>
      <c r="L74" s="1025">
        <v>3744342</v>
      </c>
      <c r="M74" s="1025">
        <v>0</v>
      </c>
      <c r="N74" s="1025">
        <v>0</v>
      </c>
      <c r="O74" s="1025">
        <v>3744342</v>
      </c>
      <c r="P74" s="1025">
        <v>0</v>
      </c>
      <c r="Q74" s="1025">
        <v>0</v>
      </c>
      <c r="R74" s="1024">
        <f t="shared" si="3"/>
        <v>1839.3388023775606</v>
      </c>
      <c r="S74" s="1279">
        <v>2020</v>
      </c>
      <c r="T74" s="1023">
        <v>2020</v>
      </c>
    </row>
    <row r="75" spans="1:20" s="992" customFormat="1" ht="46.15" customHeight="1">
      <c r="A75" s="1023">
        <v>58</v>
      </c>
      <c r="B75" s="1012" t="s">
        <v>272</v>
      </c>
      <c r="C75" s="1023">
        <v>1959</v>
      </c>
      <c r="D75" s="1023"/>
      <c r="E75" s="1015" t="s">
        <v>218</v>
      </c>
      <c r="F75" s="1023">
        <v>2</v>
      </c>
      <c r="G75" s="1023">
        <v>2</v>
      </c>
      <c r="H75" s="1024">
        <v>694.1</v>
      </c>
      <c r="I75" s="1024">
        <v>645.20000000000005</v>
      </c>
      <c r="J75" s="1024">
        <v>645.20000000000005</v>
      </c>
      <c r="K75" s="1011">
        <v>32</v>
      </c>
      <c r="L75" s="1025">
        <v>1180385</v>
      </c>
      <c r="M75" s="1025">
        <v>0</v>
      </c>
      <c r="N75" s="1025">
        <v>0</v>
      </c>
      <c r="O75" s="1025">
        <v>1180385</v>
      </c>
      <c r="P75" s="1025">
        <v>0</v>
      </c>
      <c r="Q75" s="1025">
        <v>0</v>
      </c>
      <c r="R75" s="1024">
        <f t="shared" si="3"/>
        <v>1829.4869807811531</v>
      </c>
      <c r="S75" s="1279">
        <v>2020</v>
      </c>
      <c r="T75" s="1023">
        <v>2020</v>
      </c>
    </row>
    <row r="76" spans="1:20" s="992" customFormat="1" ht="46.15" customHeight="1">
      <c r="A76" s="1023">
        <v>59</v>
      </c>
      <c r="B76" s="1012" t="s">
        <v>1482</v>
      </c>
      <c r="C76" s="1023">
        <v>1962</v>
      </c>
      <c r="D76" s="1023"/>
      <c r="E76" s="1015" t="s">
        <v>218</v>
      </c>
      <c r="F76" s="1023">
        <v>4</v>
      </c>
      <c r="G76" s="1023">
        <v>3</v>
      </c>
      <c r="H76" s="1024">
        <v>2172.5</v>
      </c>
      <c r="I76" s="1024">
        <v>2026.3</v>
      </c>
      <c r="J76" s="1024">
        <v>1938.8</v>
      </c>
      <c r="K76" s="1011">
        <v>88</v>
      </c>
      <c r="L76" s="1025">
        <v>3465934</v>
      </c>
      <c r="M76" s="1025">
        <v>0</v>
      </c>
      <c r="N76" s="1025">
        <v>0</v>
      </c>
      <c r="O76" s="1025">
        <v>3465934</v>
      </c>
      <c r="P76" s="1025">
        <v>0</v>
      </c>
      <c r="Q76" s="1025">
        <v>0</v>
      </c>
      <c r="R76" s="1024">
        <f t="shared" si="3"/>
        <v>1710.474263435819</v>
      </c>
      <c r="S76" s="1279">
        <v>2020</v>
      </c>
      <c r="T76" s="1023">
        <v>2020</v>
      </c>
    </row>
    <row r="77" spans="1:20" s="992" customFormat="1" ht="46.15" customHeight="1">
      <c r="A77" s="1023">
        <v>60</v>
      </c>
      <c r="B77" s="1012" t="s">
        <v>1483</v>
      </c>
      <c r="C77" s="1023">
        <v>1959</v>
      </c>
      <c r="D77" s="1023"/>
      <c r="E77" s="1015" t="s">
        <v>218</v>
      </c>
      <c r="F77" s="1023">
        <v>2</v>
      </c>
      <c r="G77" s="1023">
        <v>2</v>
      </c>
      <c r="H77" s="1024">
        <v>681.5</v>
      </c>
      <c r="I77" s="1024">
        <v>632.1</v>
      </c>
      <c r="J77" s="1024">
        <v>589.6</v>
      </c>
      <c r="K77" s="1011">
        <v>28</v>
      </c>
      <c r="L77" s="1025">
        <v>1532993</v>
      </c>
      <c r="M77" s="1025">
        <v>0</v>
      </c>
      <c r="N77" s="1025">
        <v>0</v>
      </c>
      <c r="O77" s="1025">
        <v>1532993</v>
      </c>
      <c r="P77" s="1025">
        <v>0</v>
      </c>
      <c r="Q77" s="1025">
        <v>0</v>
      </c>
      <c r="R77" s="1024">
        <f t="shared" si="3"/>
        <v>2425.238095238095</v>
      </c>
      <c r="S77" s="1279">
        <v>2020</v>
      </c>
      <c r="T77" s="1023">
        <v>2020</v>
      </c>
    </row>
    <row r="78" spans="1:20" s="992" customFormat="1" ht="46.15" customHeight="1">
      <c r="A78" s="1023">
        <v>61</v>
      </c>
      <c r="B78" s="1012" t="s">
        <v>1484</v>
      </c>
      <c r="C78" s="1023">
        <v>1968</v>
      </c>
      <c r="D78" s="1023"/>
      <c r="E78" s="1015" t="s">
        <v>218</v>
      </c>
      <c r="F78" s="1023">
        <v>5</v>
      </c>
      <c r="G78" s="1023">
        <v>4</v>
      </c>
      <c r="H78" s="1024">
        <v>3438</v>
      </c>
      <c r="I78" s="1024">
        <v>3169.8</v>
      </c>
      <c r="J78" s="1024">
        <f>I78-349.8</f>
        <v>2820</v>
      </c>
      <c r="K78" s="1011">
        <v>162</v>
      </c>
      <c r="L78" s="1025">
        <v>5074174</v>
      </c>
      <c r="M78" s="1025">
        <v>0</v>
      </c>
      <c r="N78" s="1025">
        <v>0</v>
      </c>
      <c r="O78" s="1025">
        <v>5074174</v>
      </c>
      <c r="P78" s="1025">
        <v>0</v>
      </c>
      <c r="Q78" s="1025">
        <v>0</v>
      </c>
      <c r="R78" s="1024">
        <f t="shared" si="3"/>
        <v>1600.786800429049</v>
      </c>
      <c r="S78" s="1279">
        <v>2020</v>
      </c>
      <c r="T78" s="1023">
        <v>2020</v>
      </c>
    </row>
    <row r="79" spans="1:20" s="992" customFormat="1" ht="40.15" customHeight="1">
      <c r="A79" s="1023">
        <v>62</v>
      </c>
      <c r="B79" s="1012" t="s">
        <v>1485</v>
      </c>
      <c r="C79" s="1023">
        <v>1963</v>
      </c>
      <c r="D79" s="1023"/>
      <c r="E79" s="1023" t="s">
        <v>219</v>
      </c>
      <c r="F79" s="1023">
        <v>4</v>
      </c>
      <c r="G79" s="1023">
        <v>5</v>
      </c>
      <c r="H79" s="1024">
        <v>2832.2</v>
      </c>
      <c r="I79" s="1024">
        <v>2622.6</v>
      </c>
      <c r="J79" s="1024">
        <v>2535.9</v>
      </c>
      <c r="K79" s="1011">
        <v>132</v>
      </c>
      <c r="L79" s="1025">
        <v>4291978</v>
      </c>
      <c r="M79" s="1025">
        <v>0</v>
      </c>
      <c r="N79" s="1025">
        <v>0</v>
      </c>
      <c r="O79" s="1025">
        <v>4291978</v>
      </c>
      <c r="P79" s="1025">
        <v>0</v>
      </c>
      <c r="Q79" s="1025">
        <v>0</v>
      </c>
      <c r="R79" s="1024">
        <f t="shared" ref="R79:R95" si="4">L79/I79</f>
        <v>1636.5354991230079</v>
      </c>
      <c r="S79" s="1279">
        <v>2020</v>
      </c>
      <c r="T79" s="1023">
        <v>2020</v>
      </c>
    </row>
    <row r="80" spans="1:20" s="992" customFormat="1" ht="46.15" customHeight="1">
      <c r="A80" s="1023">
        <v>63</v>
      </c>
      <c r="B80" s="1276" t="s">
        <v>247</v>
      </c>
      <c r="C80" s="1023">
        <v>1953</v>
      </c>
      <c r="D80" s="1023"/>
      <c r="E80" s="1015" t="s">
        <v>218</v>
      </c>
      <c r="F80" s="1023">
        <v>3</v>
      </c>
      <c r="G80" s="1023">
        <v>3</v>
      </c>
      <c r="H80" s="1024">
        <v>2201.1999999999998</v>
      </c>
      <c r="I80" s="1024">
        <v>1827.5</v>
      </c>
      <c r="J80" s="1024">
        <v>1827.5</v>
      </c>
      <c r="K80" s="1011">
        <v>50</v>
      </c>
      <c r="L80" s="1025">
        <v>6399781.0300000003</v>
      </c>
      <c r="M80" s="1025">
        <v>0</v>
      </c>
      <c r="N80" s="1025">
        <v>0</v>
      </c>
      <c r="O80" s="1025">
        <v>6399781.0300000003</v>
      </c>
      <c r="P80" s="1025">
        <v>0</v>
      </c>
      <c r="Q80" s="1025">
        <v>0</v>
      </c>
      <c r="R80" s="1024">
        <f t="shared" si="4"/>
        <v>3501.9321641586866</v>
      </c>
      <c r="S80" s="1279">
        <v>2020</v>
      </c>
      <c r="T80" s="1023">
        <v>2020</v>
      </c>
    </row>
    <row r="81" spans="1:20" s="992" customFormat="1" ht="46.15" customHeight="1">
      <c r="A81" s="1023">
        <v>64</v>
      </c>
      <c r="B81" s="1012" t="s">
        <v>1486</v>
      </c>
      <c r="C81" s="1023">
        <v>1962</v>
      </c>
      <c r="D81" s="1023"/>
      <c r="E81" s="1015" t="s">
        <v>218</v>
      </c>
      <c r="F81" s="1023">
        <v>4</v>
      </c>
      <c r="G81" s="1023">
        <v>3</v>
      </c>
      <c r="H81" s="1024">
        <v>2175.1</v>
      </c>
      <c r="I81" s="1024">
        <v>2004.4</v>
      </c>
      <c r="J81" s="1024">
        <v>1961.2</v>
      </c>
      <c r="K81" s="1011">
        <v>90</v>
      </c>
      <c r="L81" s="1025">
        <v>4845784</v>
      </c>
      <c r="M81" s="1025">
        <v>0</v>
      </c>
      <c r="N81" s="1025">
        <v>0</v>
      </c>
      <c r="O81" s="1025">
        <v>4845784</v>
      </c>
      <c r="P81" s="1025">
        <v>0</v>
      </c>
      <c r="Q81" s="1025">
        <v>0</v>
      </c>
      <c r="R81" s="1024">
        <f t="shared" si="4"/>
        <v>2417.5733386549591</v>
      </c>
      <c r="S81" s="1279">
        <v>2020</v>
      </c>
      <c r="T81" s="1023">
        <v>2020</v>
      </c>
    </row>
    <row r="82" spans="1:20" s="992" customFormat="1" ht="36" customHeight="1">
      <c r="A82" s="1023">
        <v>65</v>
      </c>
      <c r="B82" s="1012" t="s">
        <v>1487</v>
      </c>
      <c r="C82" s="1023">
        <v>1970</v>
      </c>
      <c r="D82" s="1023"/>
      <c r="E82" s="1023" t="s">
        <v>219</v>
      </c>
      <c r="F82" s="1023">
        <v>5</v>
      </c>
      <c r="G82" s="1023">
        <v>8</v>
      </c>
      <c r="H82" s="1024">
        <v>6282.7</v>
      </c>
      <c r="I82" s="1024">
        <v>5721.8</v>
      </c>
      <c r="J82" s="1024">
        <v>5380.29</v>
      </c>
      <c r="K82" s="1011">
        <v>300</v>
      </c>
      <c r="L82" s="1025">
        <v>8154102</v>
      </c>
      <c r="M82" s="1025">
        <v>0</v>
      </c>
      <c r="N82" s="1025">
        <v>0</v>
      </c>
      <c r="O82" s="1025">
        <v>8154102</v>
      </c>
      <c r="P82" s="1025">
        <v>0</v>
      </c>
      <c r="Q82" s="1025">
        <v>0</v>
      </c>
      <c r="R82" s="1024">
        <f t="shared" si="4"/>
        <v>1425.0938515851656</v>
      </c>
      <c r="S82" s="1279">
        <v>2020</v>
      </c>
      <c r="T82" s="1023">
        <v>2020</v>
      </c>
    </row>
    <row r="83" spans="1:20" s="1028" customFormat="1" ht="37.9" customHeight="1">
      <c r="A83" s="1023">
        <v>66</v>
      </c>
      <c r="B83" s="1012" t="s">
        <v>1488</v>
      </c>
      <c r="C83" s="1023">
        <v>1958</v>
      </c>
      <c r="D83" s="1023"/>
      <c r="E83" s="1015" t="s">
        <v>218</v>
      </c>
      <c r="F83" s="1023">
        <v>3</v>
      </c>
      <c r="G83" s="1023">
        <v>2</v>
      </c>
      <c r="H83" s="1024">
        <v>1117.5</v>
      </c>
      <c r="I83" s="1024">
        <v>945.6</v>
      </c>
      <c r="J83" s="1024">
        <v>848.6</v>
      </c>
      <c r="K83" s="1011">
        <v>39</v>
      </c>
      <c r="L83" s="1025">
        <v>2022347</v>
      </c>
      <c r="M83" s="1025">
        <v>0</v>
      </c>
      <c r="N83" s="1025">
        <v>0</v>
      </c>
      <c r="O83" s="1025">
        <v>2022347</v>
      </c>
      <c r="P83" s="1025">
        <v>0</v>
      </c>
      <c r="Q83" s="1025">
        <v>0</v>
      </c>
      <c r="R83" s="1024">
        <f t="shared" si="4"/>
        <v>2138.6918358714042</v>
      </c>
      <c r="S83" s="1279">
        <v>2020</v>
      </c>
      <c r="T83" s="1023">
        <v>2020</v>
      </c>
    </row>
    <row r="84" spans="1:20" s="1029" customFormat="1" ht="37.9" customHeight="1">
      <c r="A84" s="1023">
        <v>67</v>
      </c>
      <c r="B84" s="1012" t="s">
        <v>1761</v>
      </c>
      <c r="C84" s="1023">
        <v>1959</v>
      </c>
      <c r="D84" s="1023"/>
      <c r="E84" s="1015" t="s">
        <v>218</v>
      </c>
      <c r="F84" s="1023">
        <v>3</v>
      </c>
      <c r="G84" s="1023">
        <v>2</v>
      </c>
      <c r="H84" s="1024">
        <v>1012.8</v>
      </c>
      <c r="I84" s="1024">
        <v>983.7</v>
      </c>
      <c r="J84" s="1024">
        <v>947.3</v>
      </c>
      <c r="K84" s="1011">
        <v>22</v>
      </c>
      <c r="L84" s="1025">
        <v>2589668</v>
      </c>
      <c r="M84" s="1025">
        <v>0</v>
      </c>
      <c r="N84" s="1025">
        <v>0</v>
      </c>
      <c r="O84" s="1025">
        <v>2589668</v>
      </c>
      <c r="P84" s="1025">
        <v>0</v>
      </c>
      <c r="Q84" s="1025">
        <v>0</v>
      </c>
      <c r="R84" s="1024">
        <f t="shared" si="4"/>
        <v>2632.5790383246922</v>
      </c>
      <c r="S84" s="1279">
        <v>2020</v>
      </c>
      <c r="T84" s="1023">
        <v>2020</v>
      </c>
    </row>
    <row r="85" spans="1:20" s="1030" customFormat="1" ht="37.9" customHeight="1">
      <c r="A85" s="1023">
        <v>68</v>
      </c>
      <c r="B85" s="1012" t="s">
        <v>1489</v>
      </c>
      <c r="C85" s="1023">
        <v>1961</v>
      </c>
      <c r="D85" s="1023"/>
      <c r="E85" s="1015" t="s">
        <v>218</v>
      </c>
      <c r="F85" s="1023">
        <v>5</v>
      </c>
      <c r="G85" s="1023">
        <v>2</v>
      </c>
      <c r="H85" s="1024">
        <v>1932.2</v>
      </c>
      <c r="I85" s="1024">
        <v>1801.4</v>
      </c>
      <c r="J85" s="1024">
        <v>1286.0999999999999</v>
      </c>
      <c r="K85" s="1011">
        <v>56</v>
      </c>
      <c r="L85" s="1025">
        <v>1047584</v>
      </c>
      <c r="M85" s="1025">
        <v>0</v>
      </c>
      <c r="N85" s="1025">
        <v>0</v>
      </c>
      <c r="O85" s="1025">
        <v>1047584</v>
      </c>
      <c r="P85" s="1025">
        <v>0</v>
      </c>
      <c r="Q85" s="1025">
        <v>0</v>
      </c>
      <c r="R85" s="1024">
        <f t="shared" si="4"/>
        <v>581.53880315310312</v>
      </c>
      <c r="S85" s="1279">
        <v>2020</v>
      </c>
      <c r="T85" s="1023">
        <v>2020</v>
      </c>
    </row>
    <row r="86" spans="1:20" s="1030" customFormat="1" ht="37.9" customHeight="1">
      <c r="A86" s="1023">
        <v>69</v>
      </c>
      <c r="B86" s="1012" t="s">
        <v>1490</v>
      </c>
      <c r="C86" s="1023">
        <v>1960</v>
      </c>
      <c r="D86" s="1023"/>
      <c r="E86" s="1015" t="s">
        <v>218</v>
      </c>
      <c r="F86" s="1023">
        <v>4</v>
      </c>
      <c r="G86" s="1023">
        <v>5</v>
      </c>
      <c r="H86" s="1024">
        <v>5862.4</v>
      </c>
      <c r="I86" s="1024">
        <v>5360.2</v>
      </c>
      <c r="J86" s="1024">
        <v>4140.0200000000004</v>
      </c>
      <c r="K86" s="1011">
        <v>157</v>
      </c>
      <c r="L86" s="1025">
        <v>3117167</v>
      </c>
      <c r="M86" s="1025">
        <v>0</v>
      </c>
      <c r="N86" s="1025">
        <v>0</v>
      </c>
      <c r="O86" s="1025">
        <v>3117167</v>
      </c>
      <c r="P86" s="1025">
        <v>0</v>
      </c>
      <c r="Q86" s="1025">
        <v>0</v>
      </c>
      <c r="R86" s="1024">
        <f t="shared" si="4"/>
        <v>581.53930823476742</v>
      </c>
      <c r="S86" s="1279">
        <v>2020</v>
      </c>
      <c r="T86" s="1023">
        <v>2020</v>
      </c>
    </row>
    <row r="87" spans="1:20" s="1030" customFormat="1" ht="37.9" customHeight="1">
      <c r="A87" s="1023">
        <v>70</v>
      </c>
      <c r="B87" s="1012" t="s">
        <v>1491</v>
      </c>
      <c r="C87" s="1023">
        <v>1957</v>
      </c>
      <c r="D87" s="1023"/>
      <c r="E87" s="1015" t="s">
        <v>218</v>
      </c>
      <c r="F87" s="1023">
        <v>4</v>
      </c>
      <c r="G87" s="1023">
        <v>4</v>
      </c>
      <c r="H87" s="1024">
        <v>3324.1</v>
      </c>
      <c r="I87" s="1024">
        <v>2981.4</v>
      </c>
      <c r="J87" s="1024">
        <v>2981.4</v>
      </c>
      <c r="K87" s="1011">
        <v>132</v>
      </c>
      <c r="L87" s="1025">
        <v>7217604</v>
      </c>
      <c r="M87" s="1025">
        <v>0</v>
      </c>
      <c r="N87" s="1025">
        <v>0</v>
      </c>
      <c r="O87" s="1025">
        <v>7217604</v>
      </c>
      <c r="P87" s="1025">
        <v>0</v>
      </c>
      <c r="Q87" s="1025">
        <v>0</v>
      </c>
      <c r="R87" s="1024">
        <f t="shared" si="4"/>
        <v>2420.8774401287983</v>
      </c>
      <c r="S87" s="1279">
        <v>2020</v>
      </c>
      <c r="T87" s="1023">
        <v>2020</v>
      </c>
    </row>
    <row r="88" spans="1:20" s="1030" customFormat="1" ht="37.9" customHeight="1">
      <c r="A88" s="1023">
        <v>71</v>
      </c>
      <c r="B88" s="1012" t="s">
        <v>1492</v>
      </c>
      <c r="C88" s="1023">
        <v>1989</v>
      </c>
      <c r="D88" s="1023"/>
      <c r="E88" s="1023" t="s">
        <v>219</v>
      </c>
      <c r="F88" s="1023">
        <v>5</v>
      </c>
      <c r="G88" s="1023">
        <v>5</v>
      </c>
      <c r="H88" s="1024">
        <v>4177.7</v>
      </c>
      <c r="I88" s="1024">
        <v>3828.8</v>
      </c>
      <c r="J88" s="1024">
        <v>3674.3</v>
      </c>
      <c r="K88" s="1011">
        <v>153</v>
      </c>
      <c r="L88" s="1025">
        <v>2672049</v>
      </c>
      <c r="M88" s="1025">
        <v>0</v>
      </c>
      <c r="N88" s="1025">
        <v>0</v>
      </c>
      <c r="O88" s="1025">
        <v>2672049</v>
      </c>
      <c r="P88" s="1025">
        <v>0</v>
      </c>
      <c r="Q88" s="1025">
        <v>0</v>
      </c>
      <c r="R88" s="1024">
        <f t="shared" si="4"/>
        <v>697.88158169661506</v>
      </c>
      <c r="S88" s="1279">
        <v>2020</v>
      </c>
      <c r="T88" s="1023">
        <v>2020</v>
      </c>
    </row>
    <row r="89" spans="1:20" s="1030" customFormat="1" ht="37.9" customHeight="1">
      <c r="A89" s="1023">
        <v>72</v>
      </c>
      <c r="B89" s="1012" t="s">
        <v>1493</v>
      </c>
      <c r="C89" s="1023">
        <v>1954</v>
      </c>
      <c r="D89" s="1023"/>
      <c r="E89" s="1015" t="s">
        <v>218</v>
      </c>
      <c r="F89" s="1023">
        <v>4</v>
      </c>
      <c r="G89" s="1023">
        <v>4</v>
      </c>
      <c r="H89" s="1024">
        <v>2698.9</v>
      </c>
      <c r="I89" s="1024">
        <v>2583.8000000000002</v>
      </c>
      <c r="J89" s="1024">
        <f>I89-347.1</f>
        <v>2236.7000000000003</v>
      </c>
      <c r="K89" s="1011">
        <v>71</v>
      </c>
      <c r="L89" s="1025">
        <v>5055867</v>
      </c>
      <c r="M89" s="1025">
        <v>0</v>
      </c>
      <c r="N89" s="1025">
        <v>0</v>
      </c>
      <c r="O89" s="1025">
        <v>5055867</v>
      </c>
      <c r="P89" s="1025">
        <v>0</v>
      </c>
      <c r="Q89" s="1025">
        <v>0</v>
      </c>
      <c r="R89" s="1024">
        <f t="shared" si="4"/>
        <v>1956.7563278891553</v>
      </c>
      <c r="S89" s="1279">
        <v>2020</v>
      </c>
      <c r="T89" s="1023">
        <v>2020</v>
      </c>
    </row>
    <row r="90" spans="1:20" s="1030" customFormat="1" ht="37.9" customHeight="1">
      <c r="A90" s="1023">
        <v>73</v>
      </c>
      <c r="B90" s="1012" t="s">
        <v>1494</v>
      </c>
      <c r="C90" s="1023">
        <v>1959</v>
      </c>
      <c r="D90" s="1023"/>
      <c r="E90" s="1015" t="s">
        <v>218</v>
      </c>
      <c r="F90" s="1023">
        <v>4</v>
      </c>
      <c r="G90" s="1023">
        <v>2</v>
      </c>
      <c r="H90" s="1024">
        <v>1976.8</v>
      </c>
      <c r="I90" s="1024">
        <v>1759.7</v>
      </c>
      <c r="J90" s="1024">
        <v>1669.7</v>
      </c>
      <c r="K90" s="1011">
        <v>70</v>
      </c>
      <c r="L90" s="1025">
        <v>4027441</v>
      </c>
      <c r="M90" s="1025">
        <v>0</v>
      </c>
      <c r="N90" s="1025">
        <v>0</v>
      </c>
      <c r="O90" s="1025">
        <v>4027441</v>
      </c>
      <c r="P90" s="1025">
        <v>0</v>
      </c>
      <c r="Q90" s="1025">
        <v>0</v>
      </c>
      <c r="R90" s="1024">
        <f t="shared" si="4"/>
        <v>2288.7088708302549</v>
      </c>
      <c r="S90" s="1279">
        <v>2020</v>
      </c>
      <c r="T90" s="1023">
        <v>2020</v>
      </c>
    </row>
    <row r="91" spans="1:20" s="1030" customFormat="1" ht="37.9" customHeight="1">
      <c r="A91" s="1023">
        <v>74</v>
      </c>
      <c r="B91" s="1012" t="s">
        <v>310</v>
      </c>
      <c r="C91" s="1023">
        <v>1983</v>
      </c>
      <c r="D91" s="1023"/>
      <c r="E91" s="1023" t="s">
        <v>219</v>
      </c>
      <c r="F91" s="1023">
        <v>9</v>
      </c>
      <c r="G91" s="1023">
        <v>8</v>
      </c>
      <c r="H91" s="1024">
        <v>17869.5</v>
      </c>
      <c r="I91" s="1024">
        <v>16141.5</v>
      </c>
      <c r="J91" s="1024">
        <f>I91-345.3</f>
        <v>15796.2</v>
      </c>
      <c r="K91" s="1011">
        <v>632</v>
      </c>
      <c r="L91" s="1013">
        <v>26812058</v>
      </c>
      <c r="M91" s="1025">
        <v>0</v>
      </c>
      <c r="N91" s="1025">
        <v>0</v>
      </c>
      <c r="O91" s="1013">
        <v>26812058</v>
      </c>
      <c r="P91" s="1025">
        <v>0</v>
      </c>
      <c r="Q91" s="1025">
        <v>0</v>
      </c>
      <c r="R91" s="1024">
        <f t="shared" si="4"/>
        <v>1661.0635938419603</v>
      </c>
      <c r="S91" s="1279">
        <v>2020</v>
      </c>
      <c r="T91" s="1023">
        <v>2020</v>
      </c>
    </row>
    <row r="92" spans="1:20" s="1030" customFormat="1" ht="37.9" customHeight="1">
      <c r="A92" s="1023">
        <v>75</v>
      </c>
      <c r="B92" s="1012" t="s">
        <v>1495</v>
      </c>
      <c r="C92" s="1023">
        <v>1953</v>
      </c>
      <c r="D92" s="1023"/>
      <c r="E92" s="1015" t="s">
        <v>218</v>
      </c>
      <c r="F92" s="1023">
        <v>4</v>
      </c>
      <c r="G92" s="1023">
        <v>9</v>
      </c>
      <c r="H92" s="1024">
        <v>8123.8</v>
      </c>
      <c r="I92" s="1024">
        <v>7344.1</v>
      </c>
      <c r="J92" s="1024">
        <v>7199.8</v>
      </c>
      <c r="K92" s="1011">
        <v>144</v>
      </c>
      <c r="L92" s="1025">
        <v>15206099</v>
      </c>
      <c r="M92" s="1025">
        <v>0</v>
      </c>
      <c r="N92" s="1025">
        <v>0</v>
      </c>
      <c r="O92" s="1025">
        <v>15206099</v>
      </c>
      <c r="P92" s="1025">
        <v>0</v>
      </c>
      <c r="Q92" s="1025">
        <v>0</v>
      </c>
      <c r="R92" s="1024">
        <f t="shared" si="4"/>
        <v>2070.5190561130703</v>
      </c>
      <c r="S92" s="1279">
        <v>2020</v>
      </c>
      <c r="T92" s="1023">
        <v>2020</v>
      </c>
    </row>
    <row r="93" spans="1:20" s="1030" customFormat="1" ht="37.9" customHeight="1">
      <c r="A93" s="1023">
        <v>76</v>
      </c>
      <c r="B93" s="1012" t="s">
        <v>1496</v>
      </c>
      <c r="C93" s="1023">
        <v>1963</v>
      </c>
      <c r="D93" s="1023"/>
      <c r="E93" s="1015" t="s">
        <v>218</v>
      </c>
      <c r="F93" s="1023">
        <v>3</v>
      </c>
      <c r="G93" s="1023">
        <v>2</v>
      </c>
      <c r="H93" s="1024">
        <v>1047.4000000000001</v>
      </c>
      <c r="I93" s="1024">
        <v>953.6</v>
      </c>
      <c r="J93" s="1024">
        <v>911.5</v>
      </c>
      <c r="K93" s="1011">
        <v>44</v>
      </c>
      <c r="L93" s="1025">
        <v>2133762</v>
      </c>
      <c r="M93" s="1025">
        <v>0</v>
      </c>
      <c r="N93" s="1025">
        <v>0</v>
      </c>
      <c r="O93" s="1025">
        <v>2133762</v>
      </c>
      <c r="P93" s="1025">
        <v>0</v>
      </c>
      <c r="Q93" s="1025">
        <v>0</v>
      </c>
      <c r="R93" s="1024">
        <f t="shared" si="4"/>
        <v>2237.5859899328857</v>
      </c>
      <c r="S93" s="1279">
        <v>2020</v>
      </c>
      <c r="T93" s="1023">
        <v>2020</v>
      </c>
    </row>
    <row r="94" spans="1:20" s="1030" customFormat="1" ht="37.9" customHeight="1">
      <c r="A94" s="1023">
        <v>77</v>
      </c>
      <c r="B94" s="1014" t="s">
        <v>1497</v>
      </c>
      <c r="C94" s="1023">
        <v>1950</v>
      </c>
      <c r="D94" s="1023"/>
      <c r="E94" s="1015" t="s">
        <v>218</v>
      </c>
      <c r="F94" s="1023">
        <v>2</v>
      </c>
      <c r="G94" s="1023">
        <v>3</v>
      </c>
      <c r="H94" s="1024">
        <v>1491.9</v>
      </c>
      <c r="I94" s="1024">
        <v>1381.8</v>
      </c>
      <c r="J94" s="1024">
        <v>1304.5</v>
      </c>
      <c r="K94" s="1011">
        <v>55</v>
      </c>
      <c r="L94" s="1025">
        <v>5414970</v>
      </c>
      <c r="M94" s="1025">
        <v>0</v>
      </c>
      <c r="N94" s="1025">
        <v>0</v>
      </c>
      <c r="O94" s="1025">
        <v>5414970</v>
      </c>
      <c r="P94" s="1025">
        <v>0</v>
      </c>
      <c r="Q94" s="1025">
        <v>0</v>
      </c>
      <c r="R94" s="1024">
        <f t="shared" si="4"/>
        <v>3918.7798523664787</v>
      </c>
      <c r="S94" s="1279">
        <v>2020</v>
      </c>
      <c r="T94" s="1023">
        <v>2020</v>
      </c>
    </row>
    <row r="95" spans="1:20" s="1030" customFormat="1" ht="37.9" customHeight="1">
      <c r="A95" s="1023">
        <v>78</v>
      </c>
      <c r="B95" s="1012" t="s">
        <v>1498</v>
      </c>
      <c r="C95" s="1023">
        <v>1958</v>
      </c>
      <c r="D95" s="1023"/>
      <c r="E95" s="1015" t="s">
        <v>218</v>
      </c>
      <c r="F95" s="1023">
        <v>2</v>
      </c>
      <c r="G95" s="1023">
        <v>2</v>
      </c>
      <c r="H95" s="1024">
        <v>688.8</v>
      </c>
      <c r="I95" s="1024">
        <v>639.79999999999995</v>
      </c>
      <c r="J95" s="1024">
        <v>541</v>
      </c>
      <c r="K95" s="1011">
        <v>37</v>
      </c>
      <c r="L95" s="1025">
        <v>1330427</v>
      </c>
      <c r="M95" s="1025">
        <v>0</v>
      </c>
      <c r="N95" s="1025">
        <v>0</v>
      </c>
      <c r="O95" s="1025">
        <v>1330427</v>
      </c>
      <c r="P95" s="1025">
        <v>0</v>
      </c>
      <c r="Q95" s="1025">
        <v>0</v>
      </c>
      <c r="R95" s="1024">
        <f t="shared" si="4"/>
        <v>2079.4420131291031</v>
      </c>
      <c r="S95" s="1279">
        <v>2020</v>
      </c>
      <c r="T95" s="1023">
        <v>2020</v>
      </c>
    </row>
    <row r="96" spans="1:20" s="1030" customFormat="1" ht="37.9" customHeight="1">
      <c r="A96" s="1271"/>
      <c r="B96" s="1392" t="s">
        <v>1393</v>
      </c>
      <c r="C96" s="1392"/>
      <c r="D96" s="1392"/>
      <c r="E96" s="1392"/>
      <c r="F96" s="1392"/>
      <c r="G96" s="1392"/>
      <c r="H96" s="985">
        <f>SUM(H97:H130)</f>
        <v>34314.01</v>
      </c>
      <c r="I96" s="985">
        <f t="shared" ref="I96:Q96" si="5">SUM(I97:I130)</f>
        <v>33892.51</v>
      </c>
      <c r="J96" s="985">
        <f t="shared" si="5"/>
        <v>29924.710000000006</v>
      </c>
      <c r="K96" s="1064">
        <f t="shared" si="5"/>
        <v>1272</v>
      </c>
      <c r="L96" s="985">
        <f t="shared" si="5"/>
        <v>77767080.439999968</v>
      </c>
      <c r="M96" s="985">
        <f t="shared" si="5"/>
        <v>0</v>
      </c>
      <c r="N96" s="985">
        <f t="shared" si="5"/>
        <v>0</v>
      </c>
      <c r="O96" s="985">
        <f t="shared" si="5"/>
        <v>77767080.439999968</v>
      </c>
      <c r="P96" s="985">
        <f t="shared" si="5"/>
        <v>0</v>
      </c>
      <c r="Q96" s="985">
        <f t="shared" si="5"/>
        <v>0</v>
      </c>
      <c r="R96" s="991" t="s">
        <v>40</v>
      </c>
      <c r="S96" s="991" t="s">
        <v>40</v>
      </c>
      <c r="T96" s="991" t="s">
        <v>40</v>
      </c>
    </row>
    <row r="97" spans="1:20" s="1030" customFormat="1" ht="61.15" customHeight="1">
      <c r="A97" s="1031">
        <v>79</v>
      </c>
      <c r="B97" s="1014" t="s">
        <v>2030</v>
      </c>
      <c r="C97" s="1023">
        <v>1962</v>
      </c>
      <c r="D97" s="1023"/>
      <c r="E97" s="1271" t="s">
        <v>218</v>
      </c>
      <c r="F97" s="1023">
        <v>2</v>
      </c>
      <c r="G97" s="1023">
        <v>2</v>
      </c>
      <c r="H97" s="1024">
        <v>317.89999999999998</v>
      </c>
      <c r="I97" s="1024">
        <v>317.89999999999998</v>
      </c>
      <c r="J97" s="1024">
        <v>317.89999999999998</v>
      </c>
      <c r="K97" s="1011">
        <v>16</v>
      </c>
      <c r="L97" s="1024">
        <v>1479441.23</v>
      </c>
      <c r="M97" s="985">
        <v>0</v>
      </c>
      <c r="N97" s="985">
        <v>0</v>
      </c>
      <c r="O97" s="1024">
        <f>L97</f>
        <v>1479441.23</v>
      </c>
      <c r="P97" s="993">
        <f t="shared" ref="P97:P98" si="6">Q97</f>
        <v>0</v>
      </c>
      <c r="Q97" s="985">
        <v>0</v>
      </c>
      <c r="R97" s="1024">
        <f t="shared" ref="R97:R130" si="7">L97/I97</f>
        <v>4653.7943692985218</v>
      </c>
      <c r="S97" s="1032">
        <v>2020</v>
      </c>
      <c r="T97" s="1032">
        <v>2022</v>
      </c>
    </row>
    <row r="98" spans="1:20" s="1030" customFormat="1" ht="48.6" customHeight="1">
      <c r="A98" s="1031">
        <v>80</v>
      </c>
      <c r="B98" s="1014" t="s">
        <v>2306</v>
      </c>
      <c r="C98" s="1023">
        <v>1993</v>
      </c>
      <c r="D98" s="1023"/>
      <c r="E98" s="1271" t="s">
        <v>218</v>
      </c>
      <c r="F98" s="1023">
        <v>2</v>
      </c>
      <c r="G98" s="1023">
        <v>3</v>
      </c>
      <c r="H98" s="1024">
        <v>849.5</v>
      </c>
      <c r="I98" s="1024">
        <v>849.5</v>
      </c>
      <c r="J98" s="1024">
        <v>849.5</v>
      </c>
      <c r="K98" s="1011">
        <v>41</v>
      </c>
      <c r="L98" s="1024">
        <v>1517751.23</v>
      </c>
      <c r="M98" s="985">
        <v>0</v>
      </c>
      <c r="N98" s="985">
        <v>0</v>
      </c>
      <c r="O98" s="1024">
        <f t="shared" ref="O98:O130" si="8">L98</f>
        <v>1517751.23</v>
      </c>
      <c r="P98" s="993">
        <f t="shared" si="6"/>
        <v>0</v>
      </c>
      <c r="Q98" s="985">
        <v>0</v>
      </c>
      <c r="R98" s="1024">
        <f t="shared" si="7"/>
        <v>1786.6406474396704</v>
      </c>
      <c r="S98" s="1032">
        <v>2020</v>
      </c>
      <c r="T98" s="1032">
        <v>2022</v>
      </c>
    </row>
    <row r="99" spans="1:20" s="1030" customFormat="1" ht="48.6" customHeight="1">
      <c r="A99" s="1031">
        <v>81</v>
      </c>
      <c r="B99" s="1014" t="s">
        <v>2031</v>
      </c>
      <c r="C99" s="1023">
        <v>1931</v>
      </c>
      <c r="D99" s="1023"/>
      <c r="E99" s="1023" t="s">
        <v>824</v>
      </c>
      <c r="F99" s="1023">
        <v>1</v>
      </c>
      <c r="G99" s="1023">
        <v>3</v>
      </c>
      <c r="H99" s="1024">
        <v>265.10000000000002</v>
      </c>
      <c r="I99" s="1024">
        <v>265.10000000000002</v>
      </c>
      <c r="J99" s="1024">
        <v>226.7</v>
      </c>
      <c r="K99" s="1011">
        <v>13</v>
      </c>
      <c r="L99" s="1024">
        <v>1534866.98</v>
      </c>
      <c r="M99" s="985">
        <v>0</v>
      </c>
      <c r="N99" s="985">
        <v>0</v>
      </c>
      <c r="O99" s="1024">
        <f t="shared" si="8"/>
        <v>1534866.98</v>
      </c>
      <c r="P99" s="993">
        <f t="shared" ref="P99:P123" si="9">Q99</f>
        <v>0</v>
      </c>
      <c r="Q99" s="985">
        <v>0</v>
      </c>
      <c r="R99" s="1024">
        <f t="shared" si="7"/>
        <v>5789.766050546963</v>
      </c>
      <c r="S99" s="1032">
        <v>2020</v>
      </c>
      <c r="T99" s="1032">
        <v>2022</v>
      </c>
    </row>
    <row r="100" spans="1:20" s="1030" customFormat="1" ht="47.45" customHeight="1">
      <c r="A100" s="1031">
        <v>82</v>
      </c>
      <c r="B100" s="1014" t="s">
        <v>2307</v>
      </c>
      <c r="C100" s="1023">
        <v>1972</v>
      </c>
      <c r="D100" s="1023"/>
      <c r="E100" s="1271" t="s">
        <v>218</v>
      </c>
      <c r="F100" s="1023">
        <v>5</v>
      </c>
      <c r="G100" s="1023">
        <v>4</v>
      </c>
      <c r="H100" s="1024">
        <v>3463.7</v>
      </c>
      <c r="I100" s="1024">
        <v>3463.7</v>
      </c>
      <c r="J100" s="1024">
        <v>3242.1</v>
      </c>
      <c r="K100" s="1011">
        <v>108</v>
      </c>
      <c r="L100" s="1024">
        <v>4303305.09</v>
      </c>
      <c r="M100" s="985">
        <v>0</v>
      </c>
      <c r="N100" s="985">
        <v>0</v>
      </c>
      <c r="O100" s="1024">
        <f t="shared" si="8"/>
        <v>4303305.09</v>
      </c>
      <c r="P100" s="993">
        <f t="shared" si="9"/>
        <v>0</v>
      </c>
      <c r="Q100" s="985">
        <v>0</v>
      </c>
      <c r="R100" s="1024">
        <f t="shared" si="7"/>
        <v>1242.401215463233</v>
      </c>
      <c r="S100" s="1032">
        <v>2020</v>
      </c>
      <c r="T100" s="1032">
        <v>2022</v>
      </c>
    </row>
    <row r="101" spans="1:20" s="1030" customFormat="1" ht="42" customHeight="1">
      <c r="A101" s="1031">
        <v>83</v>
      </c>
      <c r="B101" s="1014" t="s">
        <v>2032</v>
      </c>
      <c r="C101" s="1023" t="s">
        <v>190</v>
      </c>
      <c r="D101" s="1023"/>
      <c r="E101" s="1271" t="s">
        <v>218</v>
      </c>
      <c r="F101" s="1023">
        <v>3</v>
      </c>
      <c r="G101" s="1023">
        <v>2</v>
      </c>
      <c r="H101" s="1024">
        <v>626.29999999999995</v>
      </c>
      <c r="I101" s="1024">
        <v>626.29999999999995</v>
      </c>
      <c r="J101" s="1024">
        <v>444.8</v>
      </c>
      <c r="K101" s="1011">
        <v>18</v>
      </c>
      <c r="L101" s="1024">
        <v>1591955.51</v>
      </c>
      <c r="M101" s="985">
        <v>0</v>
      </c>
      <c r="N101" s="985">
        <v>0</v>
      </c>
      <c r="O101" s="1024">
        <f t="shared" si="8"/>
        <v>1591955.51</v>
      </c>
      <c r="P101" s="993">
        <f t="shared" si="9"/>
        <v>0</v>
      </c>
      <c r="Q101" s="985">
        <v>0</v>
      </c>
      <c r="R101" s="1024">
        <f t="shared" si="7"/>
        <v>2541.8417850870192</v>
      </c>
      <c r="S101" s="1032">
        <v>2020</v>
      </c>
      <c r="T101" s="1032">
        <v>2022</v>
      </c>
    </row>
    <row r="102" spans="1:20" s="1030" customFormat="1" ht="41.45" customHeight="1">
      <c r="A102" s="1031">
        <v>84</v>
      </c>
      <c r="B102" s="1014" t="s">
        <v>2033</v>
      </c>
      <c r="C102" s="1023">
        <v>1977</v>
      </c>
      <c r="D102" s="1023"/>
      <c r="E102" s="1023" t="s">
        <v>221</v>
      </c>
      <c r="F102" s="1023">
        <v>2</v>
      </c>
      <c r="G102" s="1023">
        <v>3</v>
      </c>
      <c r="H102" s="1024">
        <v>823.2</v>
      </c>
      <c r="I102" s="1024">
        <v>823.2</v>
      </c>
      <c r="J102" s="1024">
        <v>823.2</v>
      </c>
      <c r="K102" s="1011">
        <v>42</v>
      </c>
      <c r="L102" s="1024">
        <v>1908022.84</v>
      </c>
      <c r="M102" s="985">
        <v>0</v>
      </c>
      <c r="N102" s="985">
        <v>0</v>
      </c>
      <c r="O102" s="1024">
        <f t="shared" si="8"/>
        <v>1908022.84</v>
      </c>
      <c r="P102" s="993">
        <f t="shared" si="9"/>
        <v>0</v>
      </c>
      <c r="Q102" s="985">
        <v>0</v>
      </c>
      <c r="R102" s="1024">
        <f t="shared" si="7"/>
        <v>2317.8120019436346</v>
      </c>
      <c r="S102" s="1032">
        <v>2020</v>
      </c>
      <c r="T102" s="1032">
        <v>2022</v>
      </c>
    </row>
    <row r="103" spans="1:20" s="2" customFormat="1" ht="36.75" customHeight="1">
      <c r="A103" s="1031">
        <v>85</v>
      </c>
      <c r="B103" s="1014" t="s">
        <v>1499</v>
      </c>
      <c r="C103" s="1023">
        <v>1934</v>
      </c>
      <c r="D103" s="1023"/>
      <c r="E103" s="1023" t="s">
        <v>824</v>
      </c>
      <c r="F103" s="1023">
        <v>2</v>
      </c>
      <c r="G103" s="1023">
        <v>1</v>
      </c>
      <c r="H103" s="1024">
        <v>323.8</v>
      </c>
      <c r="I103" s="1024">
        <v>323.8</v>
      </c>
      <c r="J103" s="1024">
        <v>181.7</v>
      </c>
      <c r="K103" s="1011">
        <v>14</v>
      </c>
      <c r="L103" s="1024">
        <v>1153472</v>
      </c>
      <c r="M103" s="985">
        <v>0</v>
      </c>
      <c r="N103" s="985">
        <v>0</v>
      </c>
      <c r="O103" s="1024">
        <f t="shared" si="8"/>
        <v>1153472</v>
      </c>
      <c r="P103" s="993">
        <f t="shared" si="9"/>
        <v>0</v>
      </c>
      <c r="Q103" s="985">
        <v>0</v>
      </c>
      <c r="R103" s="1024">
        <f t="shared" si="7"/>
        <v>3562.2977146386656</v>
      </c>
      <c r="S103" s="1032">
        <v>2020</v>
      </c>
      <c r="T103" s="1032">
        <v>2022</v>
      </c>
    </row>
    <row r="104" spans="1:20" s="2" customFormat="1" ht="42.6" customHeight="1">
      <c r="A104" s="1031">
        <v>86</v>
      </c>
      <c r="B104" s="1014" t="s">
        <v>2858</v>
      </c>
      <c r="C104" s="1023">
        <v>1960</v>
      </c>
      <c r="D104" s="1023"/>
      <c r="E104" s="1271" t="s">
        <v>218</v>
      </c>
      <c r="F104" s="1023">
        <v>4</v>
      </c>
      <c r="G104" s="1023">
        <v>2</v>
      </c>
      <c r="H104" s="1024">
        <v>1252.5999999999999</v>
      </c>
      <c r="I104" s="1024">
        <v>1252.5999999999999</v>
      </c>
      <c r="J104" s="1024">
        <v>1252.5999999999999</v>
      </c>
      <c r="K104" s="1011">
        <v>51</v>
      </c>
      <c r="L104" s="1024">
        <v>2132299</v>
      </c>
      <c r="M104" s="985">
        <v>0</v>
      </c>
      <c r="N104" s="985">
        <v>0</v>
      </c>
      <c r="O104" s="1024">
        <f t="shared" si="8"/>
        <v>2132299</v>
      </c>
      <c r="P104" s="993">
        <f t="shared" si="9"/>
        <v>0</v>
      </c>
      <c r="Q104" s="985">
        <v>0</v>
      </c>
      <c r="R104" s="1024">
        <f t="shared" si="7"/>
        <v>1702.2984192878814</v>
      </c>
      <c r="S104" s="1032">
        <v>2020</v>
      </c>
      <c r="T104" s="1032">
        <v>2022</v>
      </c>
    </row>
    <row r="105" spans="1:20" s="2" customFormat="1" ht="41.45" customHeight="1">
      <c r="A105" s="1031">
        <v>87</v>
      </c>
      <c r="B105" s="1014" t="s">
        <v>2308</v>
      </c>
      <c r="C105" s="1023">
        <v>1961</v>
      </c>
      <c r="D105" s="1023"/>
      <c r="E105" s="1271" t="s">
        <v>218</v>
      </c>
      <c r="F105" s="1023">
        <v>3</v>
      </c>
      <c r="G105" s="1023">
        <v>3</v>
      </c>
      <c r="H105" s="1024">
        <v>2001.1</v>
      </c>
      <c r="I105" s="1024">
        <v>2001.1</v>
      </c>
      <c r="J105" s="1024">
        <v>1363.01</v>
      </c>
      <c r="K105" s="1011">
        <v>57</v>
      </c>
      <c r="L105" s="1024">
        <v>6875521.4699999997</v>
      </c>
      <c r="M105" s="985">
        <v>0</v>
      </c>
      <c r="N105" s="985">
        <v>0</v>
      </c>
      <c r="O105" s="1024">
        <f t="shared" si="8"/>
        <v>6875521.4699999997</v>
      </c>
      <c r="P105" s="993">
        <f t="shared" si="9"/>
        <v>0</v>
      </c>
      <c r="Q105" s="985">
        <v>0</v>
      </c>
      <c r="R105" s="1024">
        <f t="shared" si="7"/>
        <v>3435.8710059467294</v>
      </c>
      <c r="S105" s="1032">
        <v>2020</v>
      </c>
      <c r="T105" s="1032">
        <v>2022</v>
      </c>
    </row>
    <row r="106" spans="1:20" s="2" customFormat="1" ht="36.75" customHeight="1">
      <c r="A106" s="1031">
        <v>88</v>
      </c>
      <c r="B106" s="1014" t="s">
        <v>2034</v>
      </c>
      <c r="C106" s="1023">
        <v>1993</v>
      </c>
      <c r="D106" s="1023"/>
      <c r="E106" s="1023" t="s">
        <v>824</v>
      </c>
      <c r="F106" s="1023">
        <v>2</v>
      </c>
      <c r="G106" s="1023">
        <v>1</v>
      </c>
      <c r="H106" s="1024">
        <v>209.4</v>
      </c>
      <c r="I106" s="1024">
        <v>209.4</v>
      </c>
      <c r="J106" s="1024">
        <v>209.4</v>
      </c>
      <c r="K106" s="1011">
        <v>6</v>
      </c>
      <c r="L106" s="1024">
        <v>740536.55</v>
      </c>
      <c r="M106" s="985">
        <v>0</v>
      </c>
      <c r="N106" s="985">
        <v>0</v>
      </c>
      <c r="O106" s="1024">
        <f t="shared" si="8"/>
        <v>740536.55</v>
      </c>
      <c r="P106" s="993">
        <f t="shared" si="9"/>
        <v>0</v>
      </c>
      <c r="Q106" s="985">
        <v>0</v>
      </c>
      <c r="R106" s="1024">
        <f t="shared" si="7"/>
        <v>3536.4687201528177</v>
      </c>
      <c r="S106" s="1032">
        <v>2020</v>
      </c>
      <c r="T106" s="1032">
        <v>2022</v>
      </c>
    </row>
    <row r="107" spans="1:20" s="2" customFormat="1" ht="47.45" customHeight="1">
      <c r="A107" s="1031">
        <v>89</v>
      </c>
      <c r="B107" s="1014" t="s">
        <v>2309</v>
      </c>
      <c r="C107" s="1023" t="s">
        <v>190</v>
      </c>
      <c r="D107" s="1023"/>
      <c r="E107" s="1271" t="s">
        <v>218</v>
      </c>
      <c r="F107" s="1023">
        <v>3</v>
      </c>
      <c r="G107" s="1023">
        <v>3</v>
      </c>
      <c r="H107" s="1024">
        <v>2020.3</v>
      </c>
      <c r="I107" s="1024">
        <v>2020.3</v>
      </c>
      <c r="J107" s="1024">
        <v>1435</v>
      </c>
      <c r="K107" s="1011">
        <v>49</v>
      </c>
      <c r="L107" s="1024">
        <v>117262</v>
      </c>
      <c r="M107" s="985">
        <v>0</v>
      </c>
      <c r="N107" s="985">
        <v>0</v>
      </c>
      <c r="O107" s="1024">
        <f t="shared" si="8"/>
        <v>117262</v>
      </c>
      <c r="P107" s="993">
        <f t="shared" si="9"/>
        <v>0</v>
      </c>
      <c r="Q107" s="985">
        <v>0</v>
      </c>
      <c r="R107" s="1024">
        <f t="shared" si="7"/>
        <v>58.041874969064004</v>
      </c>
      <c r="S107" s="1032">
        <v>2020</v>
      </c>
      <c r="T107" s="1032">
        <v>2022</v>
      </c>
    </row>
    <row r="108" spans="1:20" s="2" customFormat="1" ht="43.15" customHeight="1">
      <c r="A108" s="1031">
        <v>90</v>
      </c>
      <c r="B108" s="1014" t="s">
        <v>2974</v>
      </c>
      <c r="C108" s="1023">
        <v>1961</v>
      </c>
      <c r="D108" s="1023"/>
      <c r="E108" s="1023" t="s">
        <v>824</v>
      </c>
      <c r="F108" s="1023">
        <v>2</v>
      </c>
      <c r="G108" s="1023">
        <v>2</v>
      </c>
      <c r="H108" s="1024">
        <v>719.1</v>
      </c>
      <c r="I108" s="1024">
        <v>719.1</v>
      </c>
      <c r="J108" s="1024">
        <v>719.1</v>
      </c>
      <c r="K108" s="1011">
        <v>30</v>
      </c>
      <c r="L108" s="1024">
        <v>2568914</v>
      </c>
      <c r="M108" s="985">
        <v>0</v>
      </c>
      <c r="N108" s="985">
        <v>0</v>
      </c>
      <c r="O108" s="1024">
        <f t="shared" si="8"/>
        <v>2568914</v>
      </c>
      <c r="P108" s="993">
        <f t="shared" si="9"/>
        <v>0</v>
      </c>
      <c r="Q108" s="985">
        <v>0</v>
      </c>
      <c r="R108" s="1024">
        <f t="shared" si="7"/>
        <v>3572.4016131275202</v>
      </c>
      <c r="S108" s="1032">
        <v>2020</v>
      </c>
      <c r="T108" s="1032">
        <v>2022</v>
      </c>
    </row>
    <row r="109" spans="1:20" s="2" customFormat="1" ht="42.6" customHeight="1">
      <c r="A109" s="1031">
        <v>91</v>
      </c>
      <c r="B109" s="1014" t="s">
        <v>2035</v>
      </c>
      <c r="C109" s="1023">
        <v>1957</v>
      </c>
      <c r="D109" s="1023"/>
      <c r="E109" s="1023" t="s">
        <v>824</v>
      </c>
      <c r="F109" s="1023">
        <v>2</v>
      </c>
      <c r="G109" s="1023">
        <v>1</v>
      </c>
      <c r="H109" s="1024">
        <v>373.6</v>
      </c>
      <c r="I109" s="1024">
        <v>373.6</v>
      </c>
      <c r="J109" s="1024">
        <v>373.6</v>
      </c>
      <c r="K109" s="1011">
        <v>27</v>
      </c>
      <c r="L109" s="1024">
        <v>1086458</v>
      </c>
      <c r="M109" s="985">
        <v>0</v>
      </c>
      <c r="N109" s="985">
        <v>0</v>
      </c>
      <c r="O109" s="1024">
        <f t="shared" si="8"/>
        <v>1086458</v>
      </c>
      <c r="P109" s="993">
        <f t="shared" si="9"/>
        <v>0</v>
      </c>
      <c r="Q109" s="985">
        <v>0</v>
      </c>
      <c r="R109" s="1024">
        <f t="shared" si="7"/>
        <v>2908.0781584582442</v>
      </c>
      <c r="S109" s="1032">
        <v>2020</v>
      </c>
      <c r="T109" s="1032">
        <v>2022</v>
      </c>
    </row>
    <row r="110" spans="1:20" s="2" customFormat="1" ht="40.9" customHeight="1">
      <c r="A110" s="1031">
        <v>92</v>
      </c>
      <c r="B110" s="1014" t="s">
        <v>2973</v>
      </c>
      <c r="C110" s="1023">
        <v>1959</v>
      </c>
      <c r="D110" s="1023"/>
      <c r="E110" s="1023" t="s">
        <v>824</v>
      </c>
      <c r="F110" s="1023">
        <v>2</v>
      </c>
      <c r="G110" s="1023">
        <v>2</v>
      </c>
      <c r="H110" s="1024">
        <v>717.2</v>
      </c>
      <c r="I110" s="1024">
        <v>717.2</v>
      </c>
      <c r="J110" s="1024">
        <v>717.2</v>
      </c>
      <c r="K110" s="1011">
        <v>29</v>
      </c>
      <c r="L110" s="1024">
        <v>3316910</v>
      </c>
      <c r="M110" s="985">
        <v>0</v>
      </c>
      <c r="N110" s="985">
        <v>0</v>
      </c>
      <c r="O110" s="1024">
        <f t="shared" si="8"/>
        <v>3316910</v>
      </c>
      <c r="P110" s="993">
        <f t="shared" si="9"/>
        <v>0</v>
      </c>
      <c r="Q110" s="985">
        <v>0</v>
      </c>
      <c r="R110" s="1024">
        <f t="shared" si="7"/>
        <v>4624.8047964305633</v>
      </c>
      <c r="S110" s="1032">
        <v>2020</v>
      </c>
      <c r="T110" s="1032">
        <v>2022</v>
      </c>
    </row>
    <row r="111" spans="1:20" s="2" customFormat="1" ht="46.9" customHeight="1">
      <c r="A111" s="1031">
        <v>93</v>
      </c>
      <c r="B111" s="1014" t="s">
        <v>2310</v>
      </c>
      <c r="C111" s="1023" t="s">
        <v>190</v>
      </c>
      <c r="D111" s="1023"/>
      <c r="E111" s="1271" t="s">
        <v>218</v>
      </c>
      <c r="F111" s="1023">
        <v>3</v>
      </c>
      <c r="G111" s="1023">
        <v>1</v>
      </c>
      <c r="H111" s="1024">
        <v>837.5</v>
      </c>
      <c r="I111" s="1024">
        <v>837.5</v>
      </c>
      <c r="J111" s="1024">
        <v>697</v>
      </c>
      <c r="K111" s="1011">
        <v>27</v>
      </c>
      <c r="L111" s="1024">
        <v>1678763</v>
      </c>
      <c r="M111" s="985">
        <v>0</v>
      </c>
      <c r="N111" s="985">
        <v>0</v>
      </c>
      <c r="O111" s="1024">
        <f t="shared" si="8"/>
        <v>1678763</v>
      </c>
      <c r="P111" s="993">
        <f t="shared" si="9"/>
        <v>0</v>
      </c>
      <c r="Q111" s="985">
        <v>0</v>
      </c>
      <c r="R111" s="1024">
        <f t="shared" si="7"/>
        <v>2004.4931343283581</v>
      </c>
      <c r="S111" s="1032">
        <v>2020</v>
      </c>
      <c r="T111" s="1032">
        <v>2022</v>
      </c>
    </row>
    <row r="112" spans="1:20" s="2" customFormat="1" ht="42" customHeight="1">
      <c r="A112" s="1031">
        <v>94</v>
      </c>
      <c r="B112" s="1014" t="s">
        <v>2978</v>
      </c>
      <c r="C112" s="1023">
        <v>1964</v>
      </c>
      <c r="D112" s="1023"/>
      <c r="E112" s="1271" t="s">
        <v>218</v>
      </c>
      <c r="F112" s="1023">
        <v>2</v>
      </c>
      <c r="G112" s="1023">
        <v>3</v>
      </c>
      <c r="H112" s="1024">
        <v>324.5</v>
      </c>
      <c r="I112" s="1024">
        <v>324.5</v>
      </c>
      <c r="J112" s="1024">
        <v>324.5</v>
      </c>
      <c r="K112" s="1011">
        <v>13</v>
      </c>
      <c r="L112" s="1024">
        <v>1020657.34</v>
      </c>
      <c r="M112" s="985">
        <v>0</v>
      </c>
      <c r="N112" s="985">
        <v>0</v>
      </c>
      <c r="O112" s="1024">
        <f t="shared" si="8"/>
        <v>1020657.34</v>
      </c>
      <c r="P112" s="993">
        <f t="shared" si="9"/>
        <v>0</v>
      </c>
      <c r="Q112" s="985">
        <v>0</v>
      </c>
      <c r="R112" s="1024">
        <f t="shared" si="7"/>
        <v>3145.3230816640985</v>
      </c>
      <c r="S112" s="1032">
        <v>2020</v>
      </c>
      <c r="T112" s="1032">
        <v>2022</v>
      </c>
    </row>
    <row r="113" spans="1:20" s="2" customFormat="1" ht="43.15" customHeight="1">
      <c r="A113" s="1031">
        <v>95</v>
      </c>
      <c r="B113" s="1014" t="s">
        <v>2036</v>
      </c>
      <c r="C113" s="1023">
        <v>1967</v>
      </c>
      <c r="D113" s="1023"/>
      <c r="E113" s="1023" t="s">
        <v>824</v>
      </c>
      <c r="F113" s="1023">
        <v>1</v>
      </c>
      <c r="G113" s="1023">
        <v>2</v>
      </c>
      <c r="H113" s="1024">
        <v>199.8</v>
      </c>
      <c r="I113" s="1024">
        <v>199.8</v>
      </c>
      <c r="J113" s="1024">
        <v>193</v>
      </c>
      <c r="K113" s="1011">
        <v>16</v>
      </c>
      <c r="L113" s="1024">
        <v>796854.09</v>
      </c>
      <c r="M113" s="985">
        <v>0</v>
      </c>
      <c r="N113" s="985">
        <v>0</v>
      </c>
      <c r="O113" s="1024">
        <f t="shared" si="8"/>
        <v>796854.09</v>
      </c>
      <c r="P113" s="993">
        <f t="shared" si="9"/>
        <v>0</v>
      </c>
      <c r="Q113" s="985">
        <v>0</v>
      </c>
      <c r="R113" s="1024">
        <f t="shared" si="7"/>
        <v>3988.2587087087081</v>
      </c>
      <c r="S113" s="1032">
        <v>2020</v>
      </c>
      <c r="T113" s="1032">
        <v>2022</v>
      </c>
    </row>
    <row r="114" spans="1:20" s="2" customFormat="1" ht="44.45" customHeight="1">
      <c r="A114" s="1031">
        <v>96</v>
      </c>
      <c r="B114" s="1014" t="s">
        <v>2037</v>
      </c>
      <c r="C114" s="1023">
        <v>1958</v>
      </c>
      <c r="D114" s="1023"/>
      <c r="E114" s="1023" t="s">
        <v>824</v>
      </c>
      <c r="F114" s="1023">
        <v>2</v>
      </c>
      <c r="G114" s="1023">
        <v>3</v>
      </c>
      <c r="H114" s="1024">
        <v>445</v>
      </c>
      <c r="I114" s="1024">
        <v>445</v>
      </c>
      <c r="J114" s="1024">
        <v>393.8</v>
      </c>
      <c r="K114" s="1011">
        <v>23</v>
      </c>
      <c r="L114" s="1024">
        <v>60901</v>
      </c>
      <c r="M114" s="985">
        <v>0</v>
      </c>
      <c r="N114" s="985">
        <v>0</v>
      </c>
      <c r="O114" s="1024">
        <f t="shared" si="8"/>
        <v>60901</v>
      </c>
      <c r="P114" s="993">
        <f t="shared" si="9"/>
        <v>0</v>
      </c>
      <c r="Q114" s="985">
        <v>0</v>
      </c>
      <c r="R114" s="1024">
        <f t="shared" si="7"/>
        <v>136.85617977528091</v>
      </c>
      <c r="S114" s="1032">
        <v>2020</v>
      </c>
      <c r="T114" s="1032">
        <v>2022</v>
      </c>
    </row>
    <row r="115" spans="1:20" s="2" customFormat="1" ht="45.6" customHeight="1">
      <c r="A115" s="1031">
        <v>97</v>
      </c>
      <c r="B115" s="1014" t="s">
        <v>2977</v>
      </c>
      <c r="C115" s="1023">
        <v>1964</v>
      </c>
      <c r="D115" s="1023"/>
      <c r="E115" s="1271" t="s">
        <v>218</v>
      </c>
      <c r="F115" s="1023">
        <v>4</v>
      </c>
      <c r="G115" s="1023">
        <v>3</v>
      </c>
      <c r="H115" s="1024">
        <v>1965.5</v>
      </c>
      <c r="I115" s="1024">
        <v>1965.5</v>
      </c>
      <c r="J115" s="1024">
        <v>1390.6</v>
      </c>
      <c r="K115" s="1011">
        <v>73</v>
      </c>
      <c r="L115" s="1024">
        <v>4640094.01</v>
      </c>
      <c r="M115" s="985">
        <v>0</v>
      </c>
      <c r="N115" s="985">
        <v>0</v>
      </c>
      <c r="O115" s="1024">
        <f t="shared" si="8"/>
        <v>4640094.01</v>
      </c>
      <c r="P115" s="993">
        <f t="shared" si="9"/>
        <v>0</v>
      </c>
      <c r="Q115" s="985">
        <v>0</v>
      </c>
      <c r="R115" s="1024">
        <f t="shared" si="7"/>
        <v>2360.7702925464259</v>
      </c>
      <c r="S115" s="1032">
        <v>2020</v>
      </c>
      <c r="T115" s="1032">
        <v>2022</v>
      </c>
    </row>
    <row r="116" spans="1:20" s="2" customFormat="1" ht="45.6" customHeight="1">
      <c r="A116" s="1031">
        <v>98</v>
      </c>
      <c r="B116" s="1014" t="s">
        <v>2975</v>
      </c>
      <c r="C116" s="1023">
        <v>1959</v>
      </c>
      <c r="D116" s="1023"/>
      <c r="E116" s="1271" t="s">
        <v>218</v>
      </c>
      <c r="F116" s="1023">
        <v>2</v>
      </c>
      <c r="G116" s="1023">
        <v>3</v>
      </c>
      <c r="H116" s="1024">
        <v>981.3</v>
      </c>
      <c r="I116" s="1024">
        <v>981.3</v>
      </c>
      <c r="J116" s="1024">
        <v>523.79999999999995</v>
      </c>
      <c r="K116" s="1011">
        <v>44</v>
      </c>
      <c r="L116" s="1024">
        <v>2874498.88</v>
      </c>
      <c r="M116" s="985">
        <v>0</v>
      </c>
      <c r="N116" s="985">
        <v>0</v>
      </c>
      <c r="O116" s="1024">
        <f t="shared" si="8"/>
        <v>2874498.88</v>
      </c>
      <c r="P116" s="993">
        <f t="shared" si="9"/>
        <v>0</v>
      </c>
      <c r="Q116" s="985">
        <v>0</v>
      </c>
      <c r="R116" s="1024">
        <f t="shared" si="7"/>
        <v>2929.276347702028</v>
      </c>
      <c r="S116" s="1032">
        <v>2020</v>
      </c>
      <c r="T116" s="1032">
        <v>2022</v>
      </c>
    </row>
    <row r="117" spans="1:20" s="2" customFormat="1" ht="38.450000000000003" customHeight="1">
      <c r="A117" s="1031">
        <v>99</v>
      </c>
      <c r="B117" s="1014" t="s">
        <v>2976</v>
      </c>
      <c r="C117" s="1023">
        <v>1961</v>
      </c>
      <c r="D117" s="1023"/>
      <c r="E117" s="1271" t="s">
        <v>218</v>
      </c>
      <c r="F117" s="1023">
        <v>2</v>
      </c>
      <c r="G117" s="1023">
        <v>2</v>
      </c>
      <c r="H117" s="1024">
        <v>847.5</v>
      </c>
      <c r="I117" s="1024">
        <v>847.5</v>
      </c>
      <c r="J117" s="1024">
        <v>847.5</v>
      </c>
      <c r="K117" s="1011">
        <v>30</v>
      </c>
      <c r="L117" s="1024">
        <v>2255106.5499999998</v>
      </c>
      <c r="M117" s="985">
        <v>0</v>
      </c>
      <c r="N117" s="985">
        <v>0</v>
      </c>
      <c r="O117" s="1024">
        <f t="shared" si="8"/>
        <v>2255106.5499999998</v>
      </c>
      <c r="P117" s="993">
        <f t="shared" si="9"/>
        <v>0</v>
      </c>
      <c r="Q117" s="985">
        <v>0</v>
      </c>
      <c r="R117" s="1024">
        <f t="shared" si="7"/>
        <v>2660.8926843657814</v>
      </c>
      <c r="S117" s="1032">
        <v>2020</v>
      </c>
      <c r="T117" s="1032">
        <v>2022</v>
      </c>
    </row>
    <row r="118" spans="1:20" s="2" customFormat="1" ht="40.9" customHeight="1">
      <c r="A118" s="1031">
        <v>100</v>
      </c>
      <c r="B118" s="1014" t="s">
        <v>2038</v>
      </c>
      <c r="C118" s="1023">
        <v>1950</v>
      </c>
      <c r="D118" s="1023"/>
      <c r="E118" s="1271" t="s">
        <v>218</v>
      </c>
      <c r="F118" s="1023">
        <v>3</v>
      </c>
      <c r="G118" s="1023">
        <v>3</v>
      </c>
      <c r="H118" s="1024">
        <v>1575.9</v>
      </c>
      <c r="I118" s="1024">
        <v>1575.9</v>
      </c>
      <c r="J118" s="1024">
        <v>1575.9</v>
      </c>
      <c r="K118" s="1011">
        <v>60</v>
      </c>
      <c r="L118" s="1024">
        <v>5842347.1699999999</v>
      </c>
      <c r="M118" s="985">
        <v>0</v>
      </c>
      <c r="N118" s="985">
        <v>0</v>
      </c>
      <c r="O118" s="1024">
        <f t="shared" si="8"/>
        <v>5842347.1699999999</v>
      </c>
      <c r="P118" s="993">
        <f t="shared" si="9"/>
        <v>0</v>
      </c>
      <c r="Q118" s="985">
        <v>0</v>
      </c>
      <c r="R118" s="1024">
        <f t="shared" si="7"/>
        <v>3707.3083127101972</v>
      </c>
      <c r="S118" s="1032">
        <v>2020</v>
      </c>
      <c r="T118" s="1032">
        <v>2022</v>
      </c>
    </row>
    <row r="119" spans="1:20" s="2" customFormat="1" ht="48.75" customHeight="1">
      <c r="A119" s="1031">
        <v>101</v>
      </c>
      <c r="B119" s="1014" t="s">
        <v>2968</v>
      </c>
      <c r="C119" s="1023">
        <v>1950</v>
      </c>
      <c r="D119" s="1023"/>
      <c r="E119" s="1271" t="s">
        <v>218</v>
      </c>
      <c r="F119" s="1023">
        <v>3</v>
      </c>
      <c r="G119" s="1023">
        <v>1</v>
      </c>
      <c r="H119" s="1024">
        <v>689.2</v>
      </c>
      <c r="I119" s="1024">
        <v>689.2</v>
      </c>
      <c r="J119" s="1024">
        <v>464.9</v>
      </c>
      <c r="K119" s="1011">
        <v>21</v>
      </c>
      <c r="L119" s="1024">
        <v>1479354.86</v>
      </c>
      <c r="M119" s="985">
        <v>0</v>
      </c>
      <c r="N119" s="985">
        <v>0</v>
      </c>
      <c r="O119" s="1024">
        <f t="shared" si="8"/>
        <v>1479354.86</v>
      </c>
      <c r="P119" s="993">
        <f t="shared" si="9"/>
        <v>0</v>
      </c>
      <c r="Q119" s="985">
        <v>0</v>
      </c>
      <c r="R119" s="1024">
        <f t="shared" si="7"/>
        <v>2146.4812246082415</v>
      </c>
      <c r="S119" s="1032">
        <v>2020</v>
      </c>
      <c r="T119" s="1032">
        <v>2022</v>
      </c>
    </row>
    <row r="120" spans="1:20" s="2" customFormat="1" ht="42" customHeight="1">
      <c r="A120" s="1031">
        <v>102</v>
      </c>
      <c r="B120" s="1014" t="s">
        <v>2969</v>
      </c>
      <c r="C120" s="1023">
        <v>1962</v>
      </c>
      <c r="D120" s="1023"/>
      <c r="E120" s="1271" t="s">
        <v>218</v>
      </c>
      <c r="F120" s="1023">
        <v>3</v>
      </c>
      <c r="G120" s="1023">
        <v>2</v>
      </c>
      <c r="H120" s="1024">
        <v>955.8</v>
      </c>
      <c r="I120" s="1024">
        <v>955.8</v>
      </c>
      <c r="J120" s="1024">
        <v>924</v>
      </c>
      <c r="K120" s="1011">
        <v>42</v>
      </c>
      <c r="L120" s="1024">
        <v>4241749</v>
      </c>
      <c r="M120" s="985">
        <v>0</v>
      </c>
      <c r="N120" s="985">
        <v>0</v>
      </c>
      <c r="O120" s="1024">
        <f t="shared" si="8"/>
        <v>4241749</v>
      </c>
      <c r="P120" s="993">
        <f t="shared" si="9"/>
        <v>0</v>
      </c>
      <c r="Q120" s="985">
        <v>0</v>
      </c>
      <c r="R120" s="1024">
        <f t="shared" si="7"/>
        <v>4437.9043732998534</v>
      </c>
      <c r="S120" s="1032">
        <v>2020</v>
      </c>
      <c r="T120" s="1032">
        <v>2022</v>
      </c>
    </row>
    <row r="121" spans="1:20" s="2" customFormat="1" ht="51" customHeight="1">
      <c r="A121" s="1031">
        <v>103</v>
      </c>
      <c r="B121" s="1014" t="s">
        <v>2971</v>
      </c>
      <c r="C121" s="1023">
        <v>1967</v>
      </c>
      <c r="D121" s="1023"/>
      <c r="E121" s="1271" t="s">
        <v>218</v>
      </c>
      <c r="F121" s="1023">
        <v>2</v>
      </c>
      <c r="G121" s="1023">
        <v>2</v>
      </c>
      <c r="H121" s="1024">
        <v>606.70000000000005</v>
      </c>
      <c r="I121" s="1024">
        <v>606.70000000000005</v>
      </c>
      <c r="J121" s="1024">
        <v>606.70000000000005</v>
      </c>
      <c r="K121" s="1011">
        <v>29</v>
      </c>
      <c r="L121" s="1024">
        <v>1837881.4</v>
      </c>
      <c r="M121" s="985">
        <v>0</v>
      </c>
      <c r="N121" s="985">
        <v>0</v>
      </c>
      <c r="O121" s="1024">
        <f t="shared" si="8"/>
        <v>1837881.4</v>
      </c>
      <c r="P121" s="993">
        <f t="shared" si="9"/>
        <v>0</v>
      </c>
      <c r="Q121" s="985">
        <v>0</v>
      </c>
      <c r="R121" s="1024">
        <f t="shared" si="7"/>
        <v>3029.3083896489202</v>
      </c>
      <c r="S121" s="1032">
        <v>2020</v>
      </c>
      <c r="T121" s="1032">
        <v>2022</v>
      </c>
    </row>
    <row r="122" spans="1:20" s="2" customFormat="1" ht="44.45" customHeight="1">
      <c r="A122" s="1031">
        <v>104</v>
      </c>
      <c r="B122" s="1014" t="s">
        <v>2970</v>
      </c>
      <c r="C122" s="1023">
        <v>1991</v>
      </c>
      <c r="D122" s="1023"/>
      <c r="E122" s="1271" t="s">
        <v>218</v>
      </c>
      <c r="F122" s="1023">
        <v>3</v>
      </c>
      <c r="G122" s="1023">
        <v>2</v>
      </c>
      <c r="H122" s="1024">
        <v>1353</v>
      </c>
      <c r="I122" s="1024">
        <v>1353</v>
      </c>
      <c r="J122" s="1024">
        <v>1174.9000000000001</v>
      </c>
      <c r="K122" s="1011">
        <v>52</v>
      </c>
      <c r="L122" s="1024">
        <v>4091607</v>
      </c>
      <c r="M122" s="985">
        <v>0</v>
      </c>
      <c r="N122" s="985">
        <v>0</v>
      </c>
      <c r="O122" s="1024">
        <f t="shared" si="8"/>
        <v>4091607</v>
      </c>
      <c r="P122" s="993">
        <f t="shared" si="9"/>
        <v>0</v>
      </c>
      <c r="Q122" s="985">
        <v>0</v>
      </c>
      <c r="R122" s="1024">
        <f t="shared" si="7"/>
        <v>3024.0997782705099</v>
      </c>
      <c r="S122" s="1032">
        <v>2020</v>
      </c>
      <c r="T122" s="1032">
        <v>2022</v>
      </c>
    </row>
    <row r="123" spans="1:20" s="2" customFormat="1" ht="40.15" customHeight="1">
      <c r="A123" s="1031">
        <v>105</v>
      </c>
      <c r="B123" s="1014" t="s">
        <v>2967</v>
      </c>
      <c r="C123" s="1023">
        <v>1974</v>
      </c>
      <c r="D123" s="1023"/>
      <c r="E123" s="1023" t="s">
        <v>219</v>
      </c>
      <c r="F123" s="1023">
        <v>5</v>
      </c>
      <c r="G123" s="1023">
        <v>6</v>
      </c>
      <c r="H123" s="1024">
        <v>4614.3</v>
      </c>
      <c r="I123" s="1024">
        <v>4415.8</v>
      </c>
      <c r="J123" s="1024">
        <v>4415.8</v>
      </c>
      <c r="K123" s="1011">
        <v>151</v>
      </c>
      <c r="L123" s="1024">
        <v>6428277</v>
      </c>
      <c r="M123" s="985">
        <v>0</v>
      </c>
      <c r="N123" s="985">
        <v>0</v>
      </c>
      <c r="O123" s="1024">
        <f t="shared" si="8"/>
        <v>6428277</v>
      </c>
      <c r="P123" s="993">
        <f t="shared" si="9"/>
        <v>0</v>
      </c>
      <c r="Q123" s="985">
        <v>0</v>
      </c>
      <c r="R123" s="1024">
        <f t="shared" si="7"/>
        <v>1455.7445989401692</v>
      </c>
      <c r="S123" s="1032">
        <v>2020</v>
      </c>
      <c r="T123" s="1032">
        <v>2022</v>
      </c>
    </row>
    <row r="124" spans="1:20" s="1034" customFormat="1" ht="42" customHeight="1">
      <c r="A124" s="1031">
        <v>106</v>
      </c>
      <c r="B124" s="1014" t="s">
        <v>2311</v>
      </c>
      <c r="C124" s="1015">
        <v>1966</v>
      </c>
      <c r="D124" s="1015"/>
      <c r="E124" s="1271" t="s">
        <v>218</v>
      </c>
      <c r="F124" s="1015">
        <v>2</v>
      </c>
      <c r="G124" s="1015">
        <v>2</v>
      </c>
      <c r="H124" s="1033">
        <v>462.9</v>
      </c>
      <c r="I124" s="1033">
        <v>455.9</v>
      </c>
      <c r="J124" s="1033">
        <v>455.9</v>
      </c>
      <c r="K124" s="1110">
        <v>30</v>
      </c>
      <c r="L124" s="1033">
        <v>1803468.71</v>
      </c>
      <c r="M124" s="985">
        <v>0</v>
      </c>
      <c r="N124" s="985">
        <v>0</v>
      </c>
      <c r="O124" s="1024">
        <f t="shared" si="8"/>
        <v>1803468.71</v>
      </c>
      <c r="P124" s="993">
        <f t="shared" ref="P124:P130" si="10">Q124</f>
        <v>0</v>
      </c>
      <c r="Q124" s="985">
        <v>0</v>
      </c>
      <c r="R124" s="1033">
        <f t="shared" si="7"/>
        <v>3955.8427506032026</v>
      </c>
      <c r="S124" s="1032">
        <v>2020</v>
      </c>
      <c r="T124" s="1032">
        <v>2022</v>
      </c>
    </row>
    <row r="125" spans="1:20" s="1034" customFormat="1" ht="39" customHeight="1">
      <c r="A125" s="1031">
        <v>107</v>
      </c>
      <c r="B125" s="1014" t="s">
        <v>2859</v>
      </c>
      <c r="C125" s="1015">
        <v>1960</v>
      </c>
      <c r="D125" s="1015"/>
      <c r="E125" s="1271" t="s">
        <v>218</v>
      </c>
      <c r="F125" s="1015">
        <v>2</v>
      </c>
      <c r="G125" s="1015">
        <v>3</v>
      </c>
      <c r="H125" s="1033">
        <v>489.41</v>
      </c>
      <c r="I125" s="1033">
        <v>489.41</v>
      </c>
      <c r="J125" s="1033">
        <v>317</v>
      </c>
      <c r="K125" s="1110">
        <v>19</v>
      </c>
      <c r="L125" s="1033">
        <v>1569979</v>
      </c>
      <c r="M125" s="985">
        <v>0</v>
      </c>
      <c r="N125" s="985">
        <v>0</v>
      </c>
      <c r="O125" s="1024">
        <f t="shared" si="8"/>
        <v>1569979</v>
      </c>
      <c r="P125" s="993">
        <f t="shared" si="10"/>
        <v>0</v>
      </c>
      <c r="Q125" s="985">
        <v>0</v>
      </c>
      <c r="R125" s="1033">
        <f t="shared" si="7"/>
        <v>3207.9013506058313</v>
      </c>
      <c r="S125" s="1032">
        <v>2020</v>
      </c>
      <c r="T125" s="1032">
        <v>2022</v>
      </c>
    </row>
    <row r="126" spans="1:20" s="1034" customFormat="1" ht="43.9" customHeight="1">
      <c r="A126" s="1031">
        <v>108</v>
      </c>
      <c r="B126" s="1014" t="s">
        <v>2203</v>
      </c>
      <c r="C126" s="1015">
        <v>1981</v>
      </c>
      <c r="D126" s="1015"/>
      <c r="E126" s="1271" t="s">
        <v>218</v>
      </c>
      <c r="F126" s="1015">
        <v>2</v>
      </c>
      <c r="G126" s="1015">
        <v>3</v>
      </c>
      <c r="H126" s="1033">
        <v>987.2</v>
      </c>
      <c r="I126" s="1033">
        <v>900.2</v>
      </c>
      <c r="J126" s="1033">
        <v>587.6</v>
      </c>
      <c r="K126" s="1110">
        <v>44</v>
      </c>
      <c r="L126" s="1033">
        <v>836011.03</v>
      </c>
      <c r="M126" s="985">
        <v>0</v>
      </c>
      <c r="N126" s="985">
        <v>0</v>
      </c>
      <c r="O126" s="1024">
        <f t="shared" si="8"/>
        <v>836011.03</v>
      </c>
      <c r="P126" s="993">
        <f t="shared" si="10"/>
        <v>0</v>
      </c>
      <c r="Q126" s="985">
        <v>0</v>
      </c>
      <c r="R126" s="1033">
        <f t="shared" si="7"/>
        <v>928.69476782937124</v>
      </c>
      <c r="S126" s="1032">
        <v>2020</v>
      </c>
      <c r="T126" s="1032">
        <v>2022</v>
      </c>
    </row>
    <row r="127" spans="1:20" s="1034" customFormat="1" ht="39" customHeight="1">
      <c r="A127" s="1031">
        <v>109</v>
      </c>
      <c r="B127" s="1014" t="s">
        <v>2972</v>
      </c>
      <c r="C127" s="1015">
        <v>1976</v>
      </c>
      <c r="D127" s="1015"/>
      <c r="E127" s="1271" t="s">
        <v>218</v>
      </c>
      <c r="F127" s="1015">
        <v>3</v>
      </c>
      <c r="G127" s="1015">
        <v>2</v>
      </c>
      <c r="H127" s="1033">
        <v>1155</v>
      </c>
      <c r="I127" s="1033">
        <v>1081.8</v>
      </c>
      <c r="J127" s="1033">
        <v>1081.8</v>
      </c>
      <c r="K127" s="1110">
        <v>27</v>
      </c>
      <c r="L127" s="1033">
        <v>1391271.96</v>
      </c>
      <c r="M127" s="985">
        <v>0</v>
      </c>
      <c r="N127" s="985">
        <v>0</v>
      </c>
      <c r="O127" s="1024">
        <f t="shared" si="8"/>
        <v>1391271.96</v>
      </c>
      <c r="P127" s="993">
        <f t="shared" si="10"/>
        <v>0</v>
      </c>
      <c r="Q127" s="985">
        <v>0</v>
      </c>
      <c r="R127" s="1033">
        <f t="shared" si="7"/>
        <v>1286.0713255684971</v>
      </c>
      <c r="S127" s="1032">
        <v>2020</v>
      </c>
      <c r="T127" s="1032">
        <v>2022</v>
      </c>
    </row>
    <row r="128" spans="1:20" s="2" customFormat="1" ht="42" customHeight="1">
      <c r="A128" s="1031">
        <v>110</v>
      </c>
      <c r="B128" s="1014" t="s">
        <v>2860</v>
      </c>
      <c r="C128" s="1015">
        <v>1961</v>
      </c>
      <c r="D128" s="1015"/>
      <c r="E128" s="1271" t="s">
        <v>218</v>
      </c>
      <c r="F128" s="1015">
        <v>2</v>
      </c>
      <c r="G128" s="1015">
        <v>3</v>
      </c>
      <c r="H128" s="1033">
        <v>814.4</v>
      </c>
      <c r="I128" s="1033">
        <v>814.4</v>
      </c>
      <c r="J128" s="1033">
        <v>803.7</v>
      </c>
      <c r="K128" s="1110">
        <v>32</v>
      </c>
      <c r="L128" s="1033">
        <v>3270119.38</v>
      </c>
      <c r="M128" s="985">
        <v>0</v>
      </c>
      <c r="N128" s="985">
        <v>0</v>
      </c>
      <c r="O128" s="1024">
        <f t="shared" si="8"/>
        <v>3270119.38</v>
      </c>
      <c r="P128" s="993">
        <f t="shared" si="10"/>
        <v>0</v>
      </c>
      <c r="Q128" s="985">
        <v>0</v>
      </c>
      <c r="R128" s="1033">
        <f t="shared" si="7"/>
        <v>4015.3725196463656</v>
      </c>
      <c r="S128" s="1032">
        <v>2020</v>
      </c>
      <c r="T128" s="1032">
        <v>2022</v>
      </c>
    </row>
    <row r="129" spans="1:20" s="2" customFormat="1" ht="41.45" customHeight="1">
      <c r="A129" s="1031">
        <v>111</v>
      </c>
      <c r="B129" s="1014" t="s">
        <v>1501</v>
      </c>
      <c r="C129" s="1015">
        <v>1972</v>
      </c>
      <c r="D129" s="1015"/>
      <c r="E129" s="1271" t="s">
        <v>218</v>
      </c>
      <c r="F129" s="1015">
        <v>2</v>
      </c>
      <c r="G129" s="1015">
        <v>2</v>
      </c>
      <c r="H129" s="1033">
        <v>547</v>
      </c>
      <c r="I129" s="1033">
        <v>522</v>
      </c>
      <c r="J129" s="1033">
        <v>522</v>
      </c>
      <c r="K129" s="1110">
        <v>22</v>
      </c>
      <c r="L129" s="1033">
        <v>210350</v>
      </c>
      <c r="M129" s="985">
        <v>0</v>
      </c>
      <c r="N129" s="985">
        <v>0</v>
      </c>
      <c r="O129" s="1024">
        <f t="shared" si="8"/>
        <v>210350</v>
      </c>
      <c r="P129" s="993">
        <f t="shared" si="10"/>
        <v>0</v>
      </c>
      <c r="Q129" s="985">
        <v>0</v>
      </c>
      <c r="R129" s="1033">
        <f t="shared" si="7"/>
        <v>402.96934865900386</v>
      </c>
      <c r="S129" s="1032">
        <v>2020</v>
      </c>
      <c r="T129" s="1032">
        <v>2022</v>
      </c>
    </row>
    <row r="130" spans="1:20" s="992" customFormat="1" ht="38.450000000000003" customHeight="1">
      <c r="A130" s="1031">
        <v>112</v>
      </c>
      <c r="B130" s="1014" t="s">
        <v>1502</v>
      </c>
      <c r="C130" s="1015">
        <v>1962</v>
      </c>
      <c r="D130" s="1015"/>
      <c r="E130" s="1271" t="s">
        <v>218</v>
      </c>
      <c r="F130" s="1015">
        <v>2</v>
      </c>
      <c r="G130" s="1015">
        <v>2</v>
      </c>
      <c r="H130" s="1033">
        <v>499.3</v>
      </c>
      <c r="I130" s="1033">
        <v>468.5</v>
      </c>
      <c r="J130" s="1033">
        <v>468.5</v>
      </c>
      <c r="K130" s="1110">
        <v>16</v>
      </c>
      <c r="L130" s="1033">
        <v>1111073.1599999999</v>
      </c>
      <c r="M130" s="985">
        <v>0</v>
      </c>
      <c r="N130" s="985">
        <v>0</v>
      </c>
      <c r="O130" s="1024">
        <f t="shared" si="8"/>
        <v>1111073.1599999999</v>
      </c>
      <c r="P130" s="993">
        <f t="shared" si="10"/>
        <v>0</v>
      </c>
      <c r="Q130" s="985">
        <v>0</v>
      </c>
      <c r="R130" s="1033">
        <f t="shared" si="7"/>
        <v>2371.5542369263608</v>
      </c>
      <c r="S130" s="1032">
        <v>2020</v>
      </c>
      <c r="T130" s="1032">
        <v>2022</v>
      </c>
    </row>
    <row r="131" spans="1:20" s="992" customFormat="1" ht="36" customHeight="1">
      <c r="A131" s="1271"/>
      <c r="B131" s="1392" t="s">
        <v>1062</v>
      </c>
      <c r="C131" s="1391"/>
      <c r="D131" s="1391"/>
      <c r="E131" s="1391"/>
      <c r="F131" s="1391"/>
      <c r="G131" s="1391"/>
      <c r="H131" s="985">
        <f t="shared" ref="H131:Q131" si="11">SUM(H132:H141)</f>
        <v>13747.900000000001</v>
      </c>
      <c r="I131" s="985">
        <f t="shared" si="11"/>
        <v>13747.900000000001</v>
      </c>
      <c r="J131" s="985">
        <f t="shared" si="11"/>
        <v>12325.6</v>
      </c>
      <c r="K131" s="1064">
        <f t="shared" si="11"/>
        <v>501</v>
      </c>
      <c r="L131" s="985">
        <f t="shared" si="11"/>
        <v>17889512.890000001</v>
      </c>
      <c r="M131" s="985">
        <f t="shared" si="11"/>
        <v>0</v>
      </c>
      <c r="N131" s="985">
        <f t="shared" si="11"/>
        <v>0</v>
      </c>
      <c r="O131" s="985">
        <f t="shared" si="11"/>
        <v>17889512.890000001</v>
      </c>
      <c r="P131" s="985">
        <f t="shared" si="11"/>
        <v>0</v>
      </c>
      <c r="Q131" s="985">
        <f t="shared" si="11"/>
        <v>0</v>
      </c>
      <c r="R131" s="991" t="s">
        <v>40</v>
      </c>
      <c r="S131" s="991" t="s">
        <v>40</v>
      </c>
      <c r="T131" s="991" t="s">
        <v>40</v>
      </c>
    </row>
    <row r="132" spans="1:20" s="992" customFormat="1" ht="39.6" customHeight="1">
      <c r="A132" s="1279">
        <v>113</v>
      </c>
      <c r="B132" s="1276" t="s">
        <v>1664</v>
      </c>
      <c r="C132" s="1279">
        <v>1960</v>
      </c>
      <c r="D132" s="1279"/>
      <c r="E132" s="1271" t="s">
        <v>218</v>
      </c>
      <c r="F132" s="1279">
        <v>2</v>
      </c>
      <c r="G132" s="1279">
        <v>2</v>
      </c>
      <c r="H132" s="985">
        <v>562.29999999999995</v>
      </c>
      <c r="I132" s="985">
        <v>562.29999999999995</v>
      </c>
      <c r="J132" s="985">
        <v>379.5</v>
      </c>
      <c r="K132" s="1064">
        <v>32</v>
      </c>
      <c r="L132" s="985">
        <v>1788092.36</v>
      </c>
      <c r="M132" s="985">
        <v>0</v>
      </c>
      <c r="N132" s="985">
        <v>0</v>
      </c>
      <c r="O132" s="985">
        <f t="shared" ref="O132:O141" si="12">L132</f>
        <v>1788092.36</v>
      </c>
      <c r="P132" s="985">
        <v>0</v>
      </c>
      <c r="Q132" s="985">
        <v>0</v>
      </c>
      <c r="R132" s="985">
        <f t="shared" ref="R132:R141" si="13">L132/I132</f>
        <v>3179.9615152054066</v>
      </c>
      <c r="S132" s="987">
        <v>2020</v>
      </c>
      <c r="T132" s="987">
        <v>2020</v>
      </c>
    </row>
    <row r="133" spans="1:20" s="992" customFormat="1" ht="47.45" customHeight="1">
      <c r="A133" s="1279">
        <v>114</v>
      </c>
      <c r="B133" s="1272" t="s">
        <v>2861</v>
      </c>
      <c r="C133" s="1279">
        <v>1958</v>
      </c>
      <c r="D133" s="1279"/>
      <c r="E133" s="1271" t="s">
        <v>218</v>
      </c>
      <c r="F133" s="1279">
        <v>3</v>
      </c>
      <c r="G133" s="1279">
        <v>4</v>
      </c>
      <c r="H133" s="985">
        <v>1641.7</v>
      </c>
      <c r="I133" s="985">
        <v>1641.7</v>
      </c>
      <c r="J133" s="985">
        <v>1547.8</v>
      </c>
      <c r="K133" s="1064">
        <v>44</v>
      </c>
      <c r="L133" s="985">
        <v>3746957.53</v>
      </c>
      <c r="M133" s="985">
        <v>0</v>
      </c>
      <c r="N133" s="985">
        <v>0</v>
      </c>
      <c r="O133" s="985">
        <f t="shared" si="12"/>
        <v>3746957.53</v>
      </c>
      <c r="P133" s="985">
        <v>0</v>
      </c>
      <c r="Q133" s="985">
        <v>0</v>
      </c>
      <c r="R133" s="985">
        <f t="shared" si="13"/>
        <v>2282.3643357495275</v>
      </c>
      <c r="S133" s="987">
        <v>2020</v>
      </c>
      <c r="T133" s="987">
        <v>2020</v>
      </c>
    </row>
    <row r="134" spans="1:20" s="992" customFormat="1" ht="40.15" customHeight="1">
      <c r="A134" s="1279">
        <v>115</v>
      </c>
      <c r="B134" s="1276" t="s">
        <v>1632</v>
      </c>
      <c r="C134" s="1279">
        <v>1965</v>
      </c>
      <c r="D134" s="1279"/>
      <c r="E134" s="1271" t="s">
        <v>218</v>
      </c>
      <c r="F134" s="1279">
        <v>2</v>
      </c>
      <c r="G134" s="1279">
        <v>2</v>
      </c>
      <c r="H134" s="985">
        <v>623.70000000000005</v>
      </c>
      <c r="I134" s="985">
        <v>623.70000000000005</v>
      </c>
      <c r="J134" s="985">
        <v>440.7</v>
      </c>
      <c r="K134" s="1064">
        <v>42</v>
      </c>
      <c r="L134" s="985">
        <v>405299</v>
      </c>
      <c r="M134" s="985">
        <v>0</v>
      </c>
      <c r="N134" s="985">
        <v>0</v>
      </c>
      <c r="O134" s="985">
        <f t="shared" si="12"/>
        <v>405299</v>
      </c>
      <c r="P134" s="985">
        <v>0</v>
      </c>
      <c r="Q134" s="985">
        <v>0</v>
      </c>
      <c r="R134" s="985">
        <f t="shared" si="13"/>
        <v>649.83004649671307</v>
      </c>
      <c r="S134" s="987">
        <v>2020</v>
      </c>
      <c r="T134" s="987">
        <v>2020</v>
      </c>
    </row>
    <row r="135" spans="1:20" s="992" customFormat="1" ht="39.6" customHeight="1">
      <c r="A135" s="1279">
        <v>116</v>
      </c>
      <c r="B135" s="1276" t="s">
        <v>1508</v>
      </c>
      <c r="C135" s="1279">
        <v>1965</v>
      </c>
      <c r="D135" s="1279"/>
      <c r="E135" s="1271" t="s">
        <v>218</v>
      </c>
      <c r="F135" s="1279">
        <v>5</v>
      </c>
      <c r="G135" s="1279">
        <v>5</v>
      </c>
      <c r="H135" s="985">
        <v>3401.7</v>
      </c>
      <c r="I135" s="985">
        <v>3401.7</v>
      </c>
      <c r="J135" s="985">
        <v>3024.7</v>
      </c>
      <c r="K135" s="1064">
        <v>117</v>
      </c>
      <c r="L135" s="985">
        <v>2904682</v>
      </c>
      <c r="M135" s="985">
        <v>0</v>
      </c>
      <c r="N135" s="985">
        <v>0</v>
      </c>
      <c r="O135" s="985">
        <f t="shared" si="12"/>
        <v>2904682</v>
      </c>
      <c r="P135" s="985">
        <v>0</v>
      </c>
      <c r="Q135" s="985">
        <v>0</v>
      </c>
      <c r="R135" s="985">
        <f t="shared" si="13"/>
        <v>853.89128964929307</v>
      </c>
      <c r="S135" s="987">
        <v>2020</v>
      </c>
      <c r="T135" s="987">
        <v>2020</v>
      </c>
    </row>
    <row r="136" spans="1:20" s="992" customFormat="1" ht="42.6" customHeight="1">
      <c r="A136" s="1279">
        <v>117</v>
      </c>
      <c r="B136" s="1276" t="s">
        <v>1509</v>
      </c>
      <c r="C136" s="1279">
        <v>1960</v>
      </c>
      <c r="D136" s="1279"/>
      <c r="E136" s="1271" t="s">
        <v>218</v>
      </c>
      <c r="F136" s="1279">
        <v>3</v>
      </c>
      <c r="G136" s="1279">
        <v>2</v>
      </c>
      <c r="H136" s="985">
        <v>1032.8</v>
      </c>
      <c r="I136" s="985">
        <v>1032.8</v>
      </c>
      <c r="J136" s="985">
        <v>960.5</v>
      </c>
      <c r="K136" s="1064">
        <v>34</v>
      </c>
      <c r="L136" s="985">
        <v>1298799</v>
      </c>
      <c r="M136" s="985">
        <v>0</v>
      </c>
      <c r="N136" s="985">
        <v>0</v>
      </c>
      <c r="O136" s="985">
        <f t="shared" si="12"/>
        <v>1298799</v>
      </c>
      <c r="P136" s="985">
        <v>0</v>
      </c>
      <c r="Q136" s="985">
        <v>0</v>
      </c>
      <c r="R136" s="985">
        <f t="shared" si="13"/>
        <v>1257.5513168086754</v>
      </c>
      <c r="S136" s="987">
        <v>2020</v>
      </c>
      <c r="T136" s="987">
        <v>2020</v>
      </c>
    </row>
    <row r="137" spans="1:20" s="992" customFormat="1" ht="40.15" customHeight="1">
      <c r="A137" s="1279">
        <v>118</v>
      </c>
      <c r="B137" s="1276" t="s">
        <v>1510</v>
      </c>
      <c r="C137" s="1279">
        <v>1961</v>
      </c>
      <c r="D137" s="1279"/>
      <c r="E137" s="1271" t="s">
        <v>218</v>
      </c>
      <c r="F137" s="1279">
        <v>3</v>
      </c>
      <c r="G137" s="1279">
        <v>2</v>
      </c>
      <c r="H137" s="985">
        <v>1039.4000000000001</v>
      </c>
      <c r="I137" s="985">
        <v>1039.4000000000001</v>
      </c>
      <c r="J137" s="985">
        <v>966.2</v>
      </c>
      <c r="K137" s="1064">
        <v>28</v>
      </c>
      <c r="L137" s="985">
        <v>1298799</v>
      </c>
      <c r="M137" s="985">
        <v>0</v>
      </c>
      <c r="N137" s="985">
        <v>0</v>
      </c>
      <c r="O137" s="985">
        <f t="shared" si="12"/>
        <v>1298799</v>
      </c>
      <c r="P137" s="985">
        <v>0</v>
      </c>
      <c r="Q137" s="985">
        <v>0</v>
      </c>
      <c r="R137" s="985">
        <f t="shared" si="13"/>
        <v>1249.5660958245139</v>
      </c>
      <c r="S137" s="987">
        <v>2020</v>
      </c>
      <c r="T137" s="987">
        <v>2020</v>
      </c>
    </row>
    <row r="138" spans="1:20" s="992" customFormat="1" ht="39.6" customHeight="1">
      <c r="A138" s="1279">
        <v>119</v>
      </c>
      <c r="B138" s="1276" t="s">
        <v>1271</v>
      </c>
      <c r="C138" s="1279">
        <v>1961</v>
      </c>
      <c r="D138" s="1279"/>
      <c r="E138" s="1271" t="s">
        <v>218</v>
      </c>
      <c r="F138" s="1279">
        <v>3</v>
      </c>
      <c r="G138" s="1279">
        <v>2</v>
      </c>
      <c r="H138" s="985">
        <v>1022.2</v>
      </c>
      <c r="I138" s="985">
        <v>1022.2</v>
      </c>
      <c r="J138" s="985">
        <v>950.6</v>
      </c>
      <c r="K138" s="1064">
        <v>45</v>
      </c>
      <c r="L138" s="985">
        <v>1252608</v>
      </c>
      <c r="M138" s="985">
        <v>0</v>
      </c>
      <c r="N138" s="985">
        <v>0</v>
      </c>
      <c r="O138" s="985">
        <f t="shared" si="12"/>
        <v>1252608</v>
      </c>
      <c r="P138" s="985">
        <v>0</v>
      </c>
      <c r="Q138" s="985">
        <v>0</v>
      </c>
      <c r="R138" s="985">
        <f t="shared" si="13"/>
        <v>1225.4040305224025</v>
      </c>
      <c r="S138" s="987">
        <v>2020</v>
      </c>
      <c r="T138" s="987">
        <v>2020</v>
      </c>
    </row>
    <row r="139" spans="1:20" s="992" customFormat="1" ht="39.6" customHeight="1">
      <c r="A139" s="1279">
        <v>120</v>
      </c>
      <c r="B139" s="1276" t="s">
        <v>1273</v>
      </c>
      <c r="C139" s="1279">
        <v>1961</v>
      </c>
      <c r="D139" s="1279"/>
      <c r="E139" s="1271" t="s">
        <v>218</v>
      </c>
      <c r="F139" s="1279">
        <v>3</v>
      </c>
      <c r="G139" s="1279">
        <v>2</v>
      </c>
      <c r="H139" s="985">
        <v>1036</v>
      </c>
      <c r="I139" s="985">
        <v>1036</v>
      </c>
      <c r="J139" s="985">
        <v>961.7</v>
      </c>
      <c r="K139" s="1064">
        <v>39</v>
      </c>
      <c r="L139" s="985">
        <v>1298799</v>
      </c>
      <c r="M139" s="985">
        <v>0</v>
      </c>
      <c r="N139" s="985">
        <v>0</v>
      </c>
      <c r="O139" s="985">
        <f t="shared" si="12"/>
        <v>1298799</v>
      </c>
      <c r="P139" s="985">
        <v>0</v>
      </c>
      <c r="Q139" s="985">
        <v>0</v>
      </c>
      <c r="R139" s="985">
        <f t="shared" si="13"/>
        <v>1253.6669884169885</v>
      </c>
      <c r="S139" s="987">
        <v>2020</v>
      </c>
      <c r="T139" s="987">
        <v>2020</v>
      </c>
    </row>
    <row r="140" spans="1:20" s="992" customFormat="1" ht="40.15" customHeight="1">
      <c r="A140" s="1279">
        <v>121</v>
      </c>
      <c r="B140" s="1276" t="s">
        <v>1274</v>
      </c>
      <c r="C140" s="1279">
        <v>1960</v>
      </c>
      <c r="D140" s="1279"/>
      <c r="E140" s="1271" t="s">
        <v>218</v>
      </c>
      <c r="F140" s="1279">
        <v>2</v>
      </c>
      <c r="G140" s="1279">
        <v>2</v>
      </c>
      <c r="H140" s="985">
        <v>684.3</v>
      </c>
      <c r="I140" s="985">
        <v>684.3</v>
      </c>
      <c r="J140" s="985">
        <v>637.9</v>
      </c>
      <c r="K140" s="1064">
        <v>25</v>
      </c>
      <c r="L140" s="985">
        <v>2186115</v>
      </c>
      <c r="M140" s="985">
        <v>0</v>
      </c>
      <c r="N140" s="985">
        <v>0</v>
      </c>
      <c r="O140" s="985">
        <f t="shared" si="12"/>
        <v>2186115</v>
      </c>
      <c r="P140" s="985">
        <v>0</v>
      </c>
      <c r="Q140" s="985">
        <v>0</v>
      </c>
      <c r="R140" s="985">
        <f t="shared" si="13"/>
        <v>3194.6733888645335</v>
      </c>
      <c r="S140" s="987">
        <v>2020</v>
      </c>
      <c r="T140" s="987">
        <v>2020</v>
      </c>
    </row>
    <row r="141" spans="1:20" s="992" customFormat="1" ht="40.9" customHeight="1">
      <c r="A141" s="1279">
        <v>122</v>
      </c>
      <c r="B141" s="1276" t="s">
        <v>1277</v>
      </c>
      <c r="C141" s="1279">
        <v>1992</v>
      </c>
      <c r="D141" s="1279"/>
      <c r="E141" s="1271" t="s">
        <v>218</v>
      </c>
      <c r="F141" s="1279">
        <v>5</v>
      </c>
      <c r="G141" s="1279">
        <v>2</v>
      </c>
      <c r="H141" s="985">
        <v>2703.8</v>
      </c>
      <c r="I141" s="985">
        <v>2703.8</v>
      </c>
      <c r="J141" s="985">
        <v>2456</v>
      </c>
      <c r="K141" s="1064">
        <v>95</v>
      </c>
      <c r="L141" s="985">
        <v>1709362</v>
      </c>
      <c r="M141" s="985">
        <v>0</v>
      </c>
      <c r="N141" s="985">
        <v>0</v>
      </c>
      <c r="O141" s="985">
        <f t="shared" si="12"/>
        <v>1709362</v>
      </c>
      <c r="P141" s="985">
        <v>0</v>
      </c>
      <c r="Q141" s="985">
        <v>0</v>
      </c>
      <c r="R141" s="985">
        <f t="shared" si="13"/>
        <v>632.20726385087653</v>
      </c>
      <c r="S141" s="987">
        <v>2020</v>
      </c>
      <c r="T141" s="987">
        <v>2020</v>
      </c>
    </row>
    <row r="142" spans="1:20" s="992" customFormat="1" ht="36" customHeight="1">
      <c r="A142" s="1279"/>
      <c r="B142" s="1273" t="s">
        <v>1124</v>
      </c>
      <c r="C142" s="1279"/>
      <c r="D142" s="1283"/>
      <c r="E142" s="1271"/>
      <c r="F142" s="1279"/>
      <c r="G142" s="1279"/>
      <c r="H142" s="1035">
        <f>H143+H144+H145</f>
        <v>16929.599999999999</v>
      </c>
      <c r="I142" s="1035">
        <f t="shared" ref="I142:Q142" si="14">I143+I144+I145</f>
        <v>10617.5</v>
      </c>
      <c r="J142" s="1035">
        <f t="shared" si="14"/>
        <v>7391.35</v>
      </c>
      <c r="K142" s="1064">
        <f t="shared" si="14"/>
        <v>501</v>
      </c>
      <c r="L142" s="1035">
        <f t="shared" si="14"/>
        <v>13178092.4</v>
      </c>
      <c r="M142" s="1035">
        <f t="shared" si="14"/>
        <v>0</v>
      </c>
      <c r="N142" s="1035">
        <f t="shared" si="14"/>
        <v>0</v>
      </c>
      <c r="O142" s="1035">
        <f t="shared" si="14"/>
        <v>13178092.4</v>
      </c>
      <c r="P142" s="1035">
        <f t="shared" si="14"/>
        <v>0</v>
      </c>
      <c r="Q142" s="1035">
        <f t="shared" si="14"/>
        <v>0</v>
      </c>
      <c r="R142" s="991" t="s">
        <v>40</v>
      </c>
      <c r="S142" s="991" t="s">
        <v>40</v>
      </c>
      <c r="T142" s="991" t="s">
        <v>40</v>
      </c>
    </row>
    <row r="143" spans="1:20" s="992" customFormat="1" ht="42" customHeight="1">
      <c r="A143" s="1279">
        <v>123</v>
      </c>
      <c r="B143" s="1276" t="s">
        <v>736</v>
      </c>
      <c r="C143" s="1279">
        <v>1967</v>
      </c>
      <c r="D143" s="1279"/>
      <c r="E143" s="1271" t="s">
        <v>218</v>
      </c>
      <c r="F143" s="1279">
        <v>5</v>
      </c>
      <c r="G143" s="1279">
        <v>5</v>
      </c>
      <c r="H143" s="1035">
        <v>4774.3999999999996</v>
      </c>
      <c r="I143" s="1035">
        <v>3076.1</v>
      </c>
      <c r="J143" s="1035">
        <v>1861.04</v>
      </c>
      <c r="K143" s="1064">
        <v>162</v>
      </c>
      <c r="L143" s="1035">
        <v>4693140.3</v>
      </c>
      <c r="M143" s="1035">
        <v>0</v>
      </c>
      <c r="N143" s="1035">
        <v>0</v>
      </c>
      <c r="O143" s="1035">
        <v>4693140.3</v>
      </c>
      <c r="P143" s="1035">
        <v>0</v>
      </c>
      <c r="Q143" s="1035">
        <v>0</v>
      </c>
      <c r="R143" s="985">
        <f t="shared" ref="R143:R145" si="15">L143/I143</f>
        <v>1525.6787165566789</v>
      </c>
      <c r="S143" s="987">
        <v>2020</v>
      </c>
      <c r="T143" s="987">
        <v>2022</v>
      </c>
    </row>
    <row r="144" spans="1:20" s="992" customFormat="1" ht="38.450000000000003" customHeight="1">
      <c r="A144" s="1279">
        <v>124</v>
      </c>
      <c r="B144" s="1276" t="s">
        <v>1326</v>
      </c>
      <c r="C144" s="1279">
        <v>1967</v>
      </c>
      <c r="D144" s="1279"/>
      <c r="E144" s="1271" t="s">
        <v>218</v>
      </c>
      <c r="F144" s="1279">
        <v>5</v>
      </c>
      <c r="G144" s="1279">
        <v>5</v>
      </c>
      <c r="H144" s="1035">
        <v>5224.8</v>
      </c>
      <c r="I144" s="1035">
        <v>3447.3</v>
      </c>
      <c r="J144" s="1035">
        <v>2930.92</v>
      </c>
      <c r="K144" s="1064">
        <v>134</v>
      </c>
      <c r="L144" s="1035">
        <v>3541419.53</v>
      </c>
      <c r="M144" s="1035">
        <v>0</v>
      </c>
      <c r="N144" s="1035">
        <v>0</v>
      </c>
      <c r="O144" s="1035">
        <v>3541419.53</v>
      </c>
      <c r="P144" s="1035">
        <v>0</v>
      </c>
      <c r="Q144" s="1035">
        <v>0</v>
      </c>
      <c r="R144" s="985">
        <f t="shared" si="15"/>
        <v>1027.302390276448</v>
      </c>
      <c r="S144" s="987">
        <v>2020</v>
      </c>
      <c r="T144" s="987">
        <v>2022</v>
      </c>
    </row>
    <row r="145" spans="1:20" s="992" customFormat="1" ht="40.15" customHeight="1">
      <c r="A145" s="1279">
        <v>125</v>
      </c>
      <c r="B145" s="1276" t="s">
        <v>1327</v>
      </c>
      <c r="C145" s="1279">
        <v>1988</v>
      </c>
      <c r="D145" s="1279"/>
      <c r="E145" s="1271" t="s">
        <v>218</v>
      </c>
      <c r="F145" s="1279">
        <v>5</v>
      </c>
      <c r="G145" s="1279">
        <v>6</v>
      </c>
      <c r="H145" s="1035">
        <v>6930.4</v>
      </c>
      <c r="I145" s="1035">
        <v>4094.1</v>
      </c>
      <c r="J145" s="1035">
        <v>2599.39</v>
      </c>
      <c r="K145" s="1064">
        <v>205</v>
      </c>
      <c r="L145" s="1035">
        <v>4943532.57</v>
      </c>
      <c r="M145" s="1035">
        <v>0</v>
      </c>
      <c r="N145" s="1035">
        <v>0</v>
      </c>
      <c r="O145" s="1035">
        <v>4943532.57</v>
      </c>
      <c r="P145" s="1035">
        <v>0</v>
      </c>
      <c r="Q145" s="1035">
        <v>0</v>
      </c>
      <c r="R145" s="985">
        <f t="shared" si="15"/>
        <v>1207.4772404191399</v>
      </c>
      <c r="S145" s="987">
        <v>2020</v>
      </c>
      <c r="T145" s="987">
        <v>2022</v>
      </c>
    </row>
    <row r="146" spans="1:20" s="992" customFormat="1" ht="36" customHeight="1">
      <c r="A146" s="1279"/>
      <c r="B146" s="1391" t="s">
        <v>1435</v>
      </c>
      <c r="C146" s="1391"/>
      <c r="D146" s="1391"/>
      <c r="E146" s="1391"/>
      <c r="F146" s="1391"/>
      <c r="G146" s="1391"/>
      <c r="H146" s="1035">
        <f>H147+H148</f>
        <v>937.3</v>
      </c>
      <c r="I146" s="1035">
        <f t="shared" ref="I146:Q146" si="16">I147+I148</f>
        <v>799.9</v>
      </c>
      <c r="J146" s="1035">
        <f t="shared" si="16"/>
        <v>697.9</v>
      </c>
      <c r="K146" s="1064">
        <f t="shared" si="16"/>
        <v>19</v>
      </c>
      <c r="L146" s="1035">
        <f t="shared" si="16"/>
        <v>3858446</v>
      </c>
      <c r="M146" s="1035">
        <f t="shared" si="16"/>
        <v>0</v>
      </c>
      <c r="N146" s="1035">
        <f t="shared" si="16"/>
        <v>0</v>
      </c>
      <c r="O146" s="1035">
        <f t="shared" si="16"/>
        <v>3858446</v>
      </c>
      <c r="P146" s="1035">
        <f t="shared" si="16"/>
        <v>0</v>
      </c>
      <c r="Q146" s="1035">
        <f t="shared" si="16"/>
        <v>0</v>
      </c>
      <c r="R146" s="991" t="s">
        <v>40</v>
      </c>
      <c r="S146" s="991" t="s">
        <v>40</v>
      </c>
      <c r="T146" s="991" t="s">
        <v>40</v>
      </c>
    </row>
    <row r="147" spans="1:20" s="999" customFormat="1" ht="39.6" customHeight="1">
      <c r="A147" s="1279">
        <v>126</v>
      </c>
      <c r="B147" s="1276" t="s">
        <v>2083</v>
      </c>
      <c r="C147" s="1279">
        <v>1962</v>
      </c>
      <c r="D147" s="1279"/>
      <c r="E147" s="1271" t="s">
        <v>218</v>
      </c>
      <c r="F147" s="1279">
        <v>2</v>
      </c>
      <c r="G147" s="1279">
        <v>2</v>
      </c>
      <c r="H147" s="1035">
        <v>416.7</v>
      </c>
      <c r="I147" s="1035">
        <v>333.9</v>
      </c>
      <c r="J147" s="1035">
        <v>231.9</v>
      </c>
      <c r="K147" s="1064">
        <v>7</v>
      </c>
      <c r="L147" s="1035">
        <v>1895377</v>
      </c>
      <c r="M147" s="1035">
        <v>0</v>
      </c>
      <c r="N147" s="1035">
        <v>0</v>
      </c>
      <c r="O147" s="1035">
        <v>1895377</v>
      </c>
      <c r="P147" s="1035">
        <v>0</v>
      </c>
      <c r="Q147" s="1035">
        <v>0</v>
      </c>
      <c r="R147" s="993">
        <f t="shared" ref="R147" si="17">L147/I147</f>
        <v>5676.4809823300393</v>
      </c>
      <c r="S147" s="1271">
        <v>2020</v>
      </c>
      <c r="T147" s="1271">
        <v>2020</v>
      </c>
    </row>
    <row r="148" spans="1:20" s="1000" customFormat="1" ht="42" customHeight="1">
      <c r="A148" s="1279">
        <v>127</v>
      </c>
      <c r="B148" s="1276" t="s">
        <v>2084</v>
      </c>
      <c r="C148" s="1279">
        <v>1971</v>
      </c>
      <c r="D148" s="1279"/>
      <c r="E148" s="1271" t="s">
        <v>218</v>
      </c>
      <c r="F148" s="1279">
        <v>2</v>
      </c>
      <c r="G148" s="1279">
        <v>2</v>
      </c>
      <c r="H148" s="1035">
        <v>520.6</v>
      </c>
      <c r="I148" s="1035">
        <v>466</v>
      </c>
      <c r="J148" s="1035">
        <v>466</v>
      </c>
      <c r="K148" s="1064">
        <v>12</v>
      </c>
      <c r="L148" s="1035">
        <v>1963069</v>
      </c>
      <c r="M148" s="1035">
        <v>0</v>
      </c>
      <c r="N148" s="1035">
        <v>0</v>
      </c>
      <c r="O148" s="1035">
        <v>1963069</v>
      </c>
      <c r="P148" s="1035">
        <v>0</v>
      </c>
      <c r="Q148" s="1035">
        <v>0</v>
      </c>
      <c r="R148" s="993">
        <f>L148/I148</f>
        <v>4212.594420600858</v>
      </c>
      <c r="S148" s="1271">
        <v>2020</v>
      </c>
      <c r="T148" s="1271">
        <v>2020</v>
      </c>
    </row>
    <row r="149" spans="1:20" s="1006" customFormat="1" ht="39.6" customHeight="1">
      <c r="A149" s="1271"/>
      <c r="B149" s="1274" t="s">
        <v>41</v>
      </c>
      <c r="C149" s="1279"/>
      <c r="D149" s="1283"/>
      <c r="E149" s="1271"/>
      <c r="F149" s="1279"/>
      <c r="G149" s="1279"/>
      <c r="H149" s="985">
        <f>H150</f>
        <v>27358.899999999998</v>
      </c>
      <c r="I149" s="985">
        <f t="shared" ref="I149:Q149" si="18">I150</f>
        <v>23861.87</v>
      </c>
      <c r="J149" s="985">
        <f t="shared" si="18"/>
        <v>21193.870000000003</v>
      </c>
      <c r="K149" s="1064">
        <f t="shared" si="18"/>
        <v>1054</v>
      </c>
      <c r="L149" s="985">
        <f t="shared" si="18"/>
        <v>50217234.579999998</v>
      </c>
      <c r="M149" s="985">
        <f t="shared" si="18"/>
        <v>0</v>
      </c>
      <c r="N149" s="985">
        <f t="shared" si="18"/>
        <v>0</v>
      </c>
      <c r="O149" s="985">
        <f t="shared" si="18"/>
        <v>50217234.579999998</v>
      </c>
      <c r="P149" s="985">
        <f t="shared" si="18"/>
        <v>0</v>
      </c>
      <c r="Q149" s="985">
        <f t="shared" si="18"/>
        <v>0</v>
      </c>
      <c r="R149" s="991" t="s">
        <v>40</v>
      </c>
      <c r="S149" s="991" t="s">
        <v>40</v>
      </c>
      <c r="T149" s="991" t="s">
        <v>40</v>
      </c>
    </row>
    <row r="150" spans="1:20" s="1006" customFormat="1" ht="43.15" customHeight="1">
      <c r="A150" s="1271"/>
      <c r="B150" s="1274" t="s">
        <v>2901</v>
      </c>
      <c r="C150" s="1279"/>
      <c r="D150" s="1283"/>
      <c r="E150" s="1271"/>
      <c r="F150" s="1279"/>
      <c r="G150" s="1279"/>
      <c r="H150" s="985">
        <f t="shared" ref="H150:Q150" si="19">SUM(H151:H168)</f>
        <v>27358.899999999998</v>
      </c>
      <c r="I150" s="985">
        <f t="shared" si="19"/>
        <v>23861.87</v>
      </c>
      <c r="J150" s="985">
        <f t="shared" si="19"/>
        <v>21193.870000000003</v>
      </c>
      <c r="K150" s="1064">
        <f t="shared" si="19"/>
        <v>1054</v>
      </c>
      <c r="L150" s="985">
        <f t="shared" si="19"/>
        <v>50217234.579999998</v>
      </c>
      <c r="M150" s="985">
        <f t="shared" si="19"/>
        <v>0</v>
      </c>
      <c r="N150" s="985">
        <f t="shared" si="19"/>
        <v>0</v>
      </c>
      <c r="O150" s="985">
        <f t="shared" si="19"/>
        <v>50217234.579999998</v>
      </c>
      <c r="P150" s="985">
        <f t="shared" si="19"/>
        <v>0</v>
      </c>
      <c r="Q150" s="985">
        <f t="shared" si="19"/>
        <v>0</v>
      </c>
      <c r="R150" s="991" t="s">
        <v>40</v>
      </c>
      <c r="S150" s="991" t="s">
        <v>40</v>
      </c>
      <c r="T150" s="991" t="s">
        <v>40</v>
      </c>
    </row>
    <row r="151" spans="1:20" s="1006" customFormat="1" ht="40.9" customHeight="1">
      <c r="A151" s="1271">
        <v>128</v>
      </c>
      <c r="B151" s="1272" t="s">
        <v>1512</v>
      </c>
      <c r="C151" s="1271">
        <v>1958</v>
      </c>
      <c r="D151" s="1271"/>
      <c r="E151" s="1271" t="s">
        <v>218</v>
      </c>
      <c r="F151" s="1271">
        <v>3</v>
      </c>
      <c r="G151" s="1271">
        <v>2</v>
      </c>
      <c r="H151" s="993">
        <v>1118.5999999999999</v>
      </c>
      <c r="I151" s="993">
        <v>1118.5999999999999</v>
      </c>
      <c r="J151" s="993">
        <v>1118.5999999999999</v>
      </c>
      <c r="K151" s="987">
        <v>41</v>
      </c>
      <c r="L151" s="993">
        <v>2715253.21</v>
      </c>
      <c r="M151" s="993">
        <v>0</v>
      </c>
      <c r="N151" s="993">
        <v>0</v>
      </c>
      <c r="O151" s="993">
        <v>2715253.21</v>
      </c>
      <c r="P151" s="993">
        <v>0</v>
      </c>
      <c r="Q151" s="993">
        <v>0</v>
      </c>
      <c r="R151" s="993">
        <f>L151/I151</f>
        <v>2427.3674325049169</v>
      </c>
      <c r="S151" s="1271">
        <v>2020</v>
      </c>
      <c r="T151" s="1271">
        <v>2022</v>
      </c>
    </row>
    <row r="152" spans="1:20" s="1006" customFormat="1" ht="43.15" customHeight="1">
      <c r="A152" s="1271">
        <v>129</v>
      </c>
      <c r="B152" s="1014" t="s">
        <v>1513</v>
      </c>
      <c r="C152" s="1015">
        <v>1952</v>
      </c>
      <c r="D152" s="1015">
        <v>2017</v>
      </c>
      <c r="E152" s="1015" t="s">
        <v>218</v>
      </c>
      <c r="F152" s="1015">
        <v>2</v>
      </c>
      <c r="G152" s="1015">
        <v>2</v>
      </c>
      <c r="H152" s="1033">
        <v>1216.2</v>
      </c>
      <c r="I152" s="1033">
        <v>693.5</v>
      </c>
      <c r="J152" s="1033">
        <v>693.5</v>
      </c>
      <c r="K152" s="1110">
        <v>27</v>
      </c>
      <c r="L152" s="1033">
        <v>3721587</v>
      </c>
      <c r="M152" s="1033">
        <v>0</v>
      </c>
      <c r="N152" s="1033">
        <v>0</v>
      </c>
      <c r="O152" s="1033">
        <v>3721587</v>
      </c>
      <c r="P152" s="1033">
        <v>0</v>
      </c>
      <c r="Q152" s="1033">
        <v>0</v>
      </c>
      <c r="R152" s="1033">
        <f t="shared" ref="R152" si="20">L152/I152</f>
        <v>5366.3835616438355</v>
      </c>
      <c r="S152" s="1015">
        <v>2020</v>
      </c>
      <c r="T152" s="1015">
        <v>2020</v>
      </c>
    </row>
    <row r="153" spans="1:20" s="1006" customFormat="1" ht="43.15" customHeight="1">
      <c r="A153" s="1271">
        <v>130</v>
      </c>
      <c r="B153" s="1014" t="s">
        <v>1514</v>
      </c>
      <c r="C153" s="1015">
        <v>1956</v>
      </c>
      <c r="D153" s="1015"/>
      <c r="E153" s="1015" t="s">
        <v>218</v>
      </c>
      <c r="F153" s="1015">
        <v>2</v>
      </c>
      <c r="G153" s="1015">
        <v>2</v>
      </c>
      <c r="H153" s="1033">
        <v>717.8</v>
      </c>
      <c r="I153" s="1033">
        <v>576.61</v>
      </c>
      <c r="J153" s="1033">
        <v>576.61</v>
      </c>
      <c r="K153" s="1110">
        <v>33</v>
      </c>
      <c r="L153" s="1033">
        <v>1608909.71</v>
      </c>
      <c r="M153" s="1033">
        <v>0</v>
      </c>
      <c r="N153" s="1033">
        <v>0</v>
      </c>
      <c r="O153" s="1033">
        <v>1608909.71</v>
      </c>
      <c r="P153" s="1033">
        <v>0</v>
      </c>
      <c r="Q153" s="1033">
        <v>0</v>
      </c>
      <c r="R153" s="1033">
        <f>L153/I153</f>
        <v>2790.2910285981857</v>
      </c>
      <c r="S153" s="1015">
        <v>2020</v>
      </c>
      <c r="T153" s="1015">
        <v>2020</v>
      </c>
    </row>
    <row r="154" spans="1:20" s="1006" customFormat="1" ht="39.6" customHeight="1">
      <c r="A154" s="1271">
        <v>131</v>
      </c>
      <c r="B154" s="1014" t="s">
        <v>1515</v>
      </c>
      <c r="C154" s="1015">
        <v>1989</v>
      </c>
      <c r="D154" s="1015">
        <v>2004</v>
      </c>
      <c r="E154" s="1015" t="s">
        <v>219</v>
      </c>
      <c r="F154" s="1015">
        <v>5</v>
      </c>
      <c r="G154" s="1015">
        <v>4</v>
      </c>
      <c r="H154" s="1033">
        <v>2784</v>
      </c>
      <c r="I154" s="1033">
        <v>1565.5</v>
      </c>
      <c r="J154" s="1033">
        <f>I154-245.6</f>
        <v>1319.9</v>
      </c>
      <c r="K154" s="1110">
        <v>141</v>
      </c>
      <c r="L154" s="1033">
        <v>3430773</v>
      </c>
      <c r="M154" s="1033">
        <v>0</v>
      </c>
      <c r="N154" s="1033">
        <v>0</v>
      </c>
      <c r="O154" s="1033">
        <v>3430773</v>
      </c>
      <c r="P154" s="1033">
        <v>0</v>
      </c>
      <c r="Q154" s="1033">
        <v>0</v>
      </c>
      <c r="R154" s="1033">
        <f t="shared" ref="R154:R155" si="21">L154/I154</f>
        <v>2191.4870648355159</v>
      </c>
      <c r="S154" s="1015">
        <v>2020</v>
      </c>
      <c r="T154" s="1015">
        <v>2020</v>
      </c>
    </row>
    <row r="155" spans="1:20" s="1001" customFormat="1" ht="42" customHeight="1">
      <c r="A155" s="1271">
        <v>132</v>
      </c>
      <c r="B155" s="1014" t="s">
        <v>1516</v>
      </c>
      <c r="C155" s="1015">
        <v>1988</v>
      </c>
      <c r="D155" s="1015">
        <v>2003</v>
      </c>
      <c r="E155" s="1015" t="s">
        <v>218</v>
      </c>
      <c r="F155" s="1015">
        <v>5</v>
      </c>
      <c r="G155" s="1015">
        <v>1</v>
      </c>
      <c r="H155" s="1033">
        <v>2379.9</v>
      </c>
      <c r="I155" s="1033">
        <v>2357.3000000000002</v>
      </c>
      <c r="J155" s="1033">
        <f>I155-35</f>
        <v>2322.3000000000002</v>
      </c>
      <c r="K155" s="1110">
        <v>101</v>
      </c>
      <c r="L155" s="1033">
        <v>3167481</v>
      </c>
      <c r="M155" s="1033">
        <v>0</v>
      </c>
      <c r="N155" s="1033">
        <v>0</v>
      </c>
      <c r="O155" s="1033">
        <v>3167481</v>
      </c>
      <c r="P155" s="1033">
        <v>0</v>
      </c>
      <c r="Q155" s="1033">
        <v>0</v>
      </c>
      <c r="R155" s="1033">
        <f t="shared" si="21"/>
        <v>1343.6902388325625</v>
      </c>
      <c r="S155" s="1015">
        <v>2020</v>
      </c>
      <c r="T155" s="1015">
        <v>2020</v>
      </c>
    </row>
    <row r="156" spans="1:20" s="1006" customFormat="1" ht="37.15" customHeight="1">
      <c r="A156" s="1271">
        <v>133</v>
      </c>
      <c r="B156" s="1014" t="s">
        <v>1517</v>
      </c>
      <c r="C156" s="1015">
        <v>1933</v>
      </c>
      <c r="D156" s="1036"/>
      <c r="E156" s="1015" t="s">
        <v>221</v>
      </c>
      <c r="F156" s="1036">
        <v>2</v>
      </c>
      <c r="G156" s="1036">
        <v>2</v>
      </c>
      <c r="H156" s="1033">
        <v>447.8</v>
      </c>
      <c r="I156" s="1033">
        <v>365.06</v>
      </c>
      <c r="J156" s="1033">
        <f>I156</f>
        <v>365.06</v>
      </c>
      <c r="K156" s="1011">
        <v>18</v>
      </c>
      <c r="L156" s="1033">
        <v>288691</v>
      </c>
      <c r="M156" s="1033">
        <v>0</v>
      </c>
      <c r="N156" s="1033">
        <v>0</v>
      </c>
      <c r="O156" s="1033">
        <v>288691</v>
      </c>
      <c r="P156" s="1033">
        <v>0</v>
      </c>
      <c r="Q156" s="1033">
        <v>0</v>
      </c>
      <c r="R156" s="1033">
        <f>L156/I156</f>
        <v>790.80425135594146</v>
      </c>
      <c r="S156" s="1015">
        <v>2020</v>
      </c>
      <c r="T156" s="1015">
        <v>2020</v>
      </c>
    </row>
    <row r="157" spans="1:20" s="1006" customFormat="1" ht="37.15" customHeight="1">
      <c r="A157" s="1271">
        <v>134</v>
      </c>
      <c r="B157" s="1014" t="s">
        <v>1518</v>
      </c>
      <c r="C157" s="1015">
        <v>1991</v>
      </c>
      <c r="D157" s="1015"/>
      <c r="E157" s="1015" t="s">
        <v>219</v>
      </c>
      <c r="F157" s="1015">
        <v>3</v>
      </c>
      <c r="G157" s="1015">
        <v>3</v>
      </c>
      <c r="H157" s="1033">
        <v>1469.3</v>
      </c>
      <c r="I157" s="1033">
        <v>1238.8</v>
      </c>
      <c r="J157" s="1033">
        <v>1238.8</v>
      </c>
      <c r="K157" s="1110">
        <v>66</v>
      </c>
      <c r="L157" s="1033">
        <v>2556724</v>
      </c>
      <c r="M157" s="1033">
        <v>0</v>
      </c>
      <c r="N157" s="1033">
        <v>0</v>
      </c>
      <c r="O157" s="1033">
        <v>2556724</v>
      </c>
      <c r="P157" s="1033">
        <v>0</v>
      </c>
      <c r="Q157" s="1033">
        <v>0</v>
      </c>
      <c r="R157" s="1033">
        <f t="shared" ref="R157" si="22">L157/I157</f>
        <v>2063.8714885372942</v>
      </c>
      <c r="S157" s="1015">
        <v>2020</v>
      </c>
      <c r="T157" s="1015">
        <v>2020</v>
      </c>
    </row>
    <row r="158" spans="1:20" s="1006" customFormat="1" ht="40.9" customHeight="1">
      <c r="A158" s="1271">
        <v>135</v>
      </c>
      <c r="B158" s="1014" t="s">
        <v>1666</v>
      </c>
      <c r="C158" s="1015">
        <v>1973</v>
      </c>
      <c r="D158" s="1015">
        <v>2012</v>
      </c>
      <c r="E158" s="1015" t="s">
        <v>218</v>
      </c>
      <c r="F158" s="1015">
        <v>5</v>
      </c>
      <c r="G158" s="1015">
        <v>4</v>
      </c>
      <c r="H158" s="1033">
        <v>3145.4</v>
      </c>
      <c r="I158" s="1033">
        <v>3145.4</v>
      </c>
      <c r="J158" s="1033">
        <v>3145.4</v>
      </c>
      <c r="K158" s="1110">
        <v>114</v>
      </c>
      <c r="L158" s="1033">
        <v>3718399.32</v>
      </c>
      <c r="M158" s="1033">
        <v>0</v>
      </c>
      <c r="N158" s="1033">
        <v>0</v>
      </c>
      <c r="O158" s="1033">
        <v>3718399.32</v>
      </c>
      <c r="P158" s="1033">
        <v>0</v>
      </c>
      <c r="Q158" s="1033">
        <v>0</v>
      </c>
      <c r="R158" s="1033">
        <v>1103.6500000000001</v>
      </c>
      <c r="S158" s="1015">
        <v>2020</v>
      </c>
      <c r="T158" s="1015">
        <v>2020</v>
      </c>
    </row>
    <row r="159" spans="1:20" s="1006" customFormat="1" ht="43.15" customHeight="1">
      <c r="A159" s="1271">
        <v>136</v>
      </c>
      <c r="B159" s="1014" t="s">
        <v>1519</v>
      </c>
      <c r="C159" s="1015">
        <v>1962</v>
      </c>
      <c r="D159" s="1015"/>
      <c r="E159" s="1015" t="s">
        <v>218</v>
      </c>
      <c r="F159" s="1015">
        <v>4</v>
      </c>
      <c r="G159" s="1015">
        <v>3</v>
      </c>
      <c r="H159" s="1033">
        <v>3180.3</v>
      </c>
      <c r="I159" s="1033">
        <v>1901.5</v>
      </c>
      <c r="J159" s="1033">
        <v>1901.5</v>
      </c>
      <c r="K159" s="1110">
        <v>88</v>
      </c>
      <c r="L159" s="1033">
        <v>4112925</v>
      </c>
      <c r="M159" s="1033">
        <v>0</v>
      </c>
      <c r="N159" s="1033">
        <v>0</v>
      </c>
      <c r="O159" s="1033">
        <v>4112925</v>
      </c>
      <c r="P159" s="1033">
        <v>0</v>
      </c>
      <c r="Q159" s="1033">
        <v>0</v>
      </c>
      <c r="R159" s="1033">
        <f>L159/I159</f>
        <v>2162.9897449382065</v>
      </c>
      <c r="S159" s="1015">
        <v>2020</v>
      </c>
      <c r="T159" s="1015">
        <v>2020</v>
      </c>
    </row>
    <row r="160" spans="1:20" s="1006" customFormat="1" ht="39.6" customHeight="1">
      <c r="A160" s="1271">
        <v>137</v>
      </c>
      <c r="B160" s="1014" t="s">
        <v>1520</v>
      </c>
      <c r="C160" s="1015">
        <v>1989</v>
      </c>
      <c r="D160" s="1036"/>
      <c r="E160" s="1015" t="s">
        <v>219</v>
      </c>
      <c r="F160" s="1015">
        <v>5</v>
      </c>
      <c r="G160" s="1015">
        <v>8</v>
      </c>
      <c r="H160" s="1033">
        <v>5073.2</v>
      </c>
      <c r="I160" s="1033">
        <v>5073.2</v>
      </c>
      <c r="J160" s="1033">
        <v>3132.7</v>
      </c>
      <c r="K160" s="1011">
        <v>190</v>
      </c>
      <c r="L160" s="1033">
        <v>8606287.5399999991</v>
      </c>
      <c r="M160" s="1033">
        <v>0</v>
      </c>
      <c r="N160" s="1033">
        <v>0</v>
      </c>
      <c r="O160" s="1033">
        <v>8606287.5399999991</v>
      </c>
      <c r="P160" s="1033">
        <v>0</v>
      </c>
      <c r="Q160" s="1033">
        <v>0</v>
      </c>
      <c r="R160" s="1033">
        <f>L160/I160</f>
        <v>1696.4218915083181</v>
      </c>
      <c r="S160" s="1015">
        <v>2020</v>
      </c>
      <c r="T160" s="1015">
        <v>2022</v>
      </c>
    </row>
    <row r="161" spans="1:20" s="1006" customFormat="1" ht="45" customHeight="1">
      <c r="A161" s="1271">
        <v>138</v>
      </c>
      <c r="B161" s="1014" t="s">
        <v>1260</v>
      </c>
      <c r="C161" s="1015">
        <v>1957</v>
      </c>
      <c r="D161" s="1036"/>
      <c r="E161" s="1015" t="s">
        <v>218</v>
      </c>
      <c r="F161" s="1015">
        <v>2</v>
      </c>
      <c r="G161" s="1015">
        <v>1</v>
      </c>
      <c r="H161" s="1033">
        <v>378.4</v>
      </c>
      <c r="I161" s="1033">
        <v>378.4</v>
      </c>
      <c r="J161" s="1033">
        <v>333.9</v>
      </c>
      <c r="K161" s="1011">
        <v>15</v>
      </c>
      <c r="L161" s="1033">
        <v>1445225</v>
      </c>
      <c r="M161" s="1033">
        <v>0</v>
      </c>
      <c r="N161" s="1033">
        <v>0</v>
      </c>
      <c r="O161" s="1033">
        <v>1445225</v>
      </c>
      <c r="P161" s="1033">
        <v>0</v>
      </c>
      <c r="Q161" s="1033">
        <v>0</v>
      </c>
      <c r="R161" s="1033">
        <f t="shared" ref="R161:R168" si="23">L161/I161</f>
        <v>3819.3049682875267</v>
      </c>
      <c r="S161" s="1015">
        <v>2020</v>
      </c>
      <c r="T161" s="1015">
        <v>2020</v>
      </c>
    </row>
    <row r="162" spans="1:20" s="1006" customFormat="1" ht="40.9" customHeight="1">
      <c r="A162" s="1271">
        <v>139</v>
      </c>
      <c r="B162" s="1014" t="s">
        <v>1042</v>
      </c>
      <c r="C162" s="1015">
        <v>1955</v>
      </c>
      <c r="D162" s="1015">
        <v>2005</v>
      </c>
      <c r="E162" s="1015" t="s">
        <v>218</v>
      </c>
      <c r="F162" s="1015">
        <v>3</v>
      </c>
      <c r="G162" s="1015">
        <v>2</v>
      </c>
      <c r="H162" s="1033">
        <v>1065.8</v>
      </c>
      <c r="I162" s="1033">
        <v>1065.8</v>
      </c>
      <c r="J162" s="1033">
        <f>I162-123.4</f>
        <v>942.4</v>
      </c>
      <c r="K162" s="1011">
        <v>38</v>
      </c>
      <c r="L162" s="1033">
        <v>3937076</v>
      </c>
      <c r="M162" s="1033">
        <v>0</v>
      </c>
      <c r="N162" s="1033">
        <v>0</v>
      </c>
      <c r="O162" s="1033">
        <v>3937076</v>
      </c>
      <c r="P162" s="1033">
        <v>0</v>
      </c>
      <c r="Q162" s="1033">
        <v>0</v>
      </c>
      <c r="R162" s="1033">
        <f t="shared" si="23"/>
        <v>3694.010133233252</v>
      </c>
      <c r="S162" s="1015">
        <v>2020</v>
      </c>
      <c r="T162" s="1015">
        <v>2020</v>
      </c>
    </row>
    <row r="163" spans="1:20" s="1006" customFormat="1" ht="37.15" customHeight="1">
      <c r="A163" s="1271">
        <v>140</v>
      </c>
      <c r="B163" s="1014" t="s">
        <v>1521</v>
      </c>
      <c r="C163" s="1015">
        <v>1956</v>
      </c>
      <c r="D163" s="1015"/>
      <c r="E163" s="1015" t="s">
        <v>218</v>
      </c>
      <c r="F163" s="1015">
        <v>2</v>
      </c>
      <c r="G163" s="1015">
        <v>2</v>
      </c>
      <c r="H163" s="1033">
        <v>692.3</v>
      </c>
      <c r="I163" s="1033">
        <v>692.3</v>
      </c>
      <c r="J163" s="1033">
        <v>528</v>
      </c>
      <c r="K163" s="1011">
        <v>32</v>
      </c>
      <c r="L163" s="1033">
        <v>1860239</v>
      </c>
      <c r="M163" s="1033">
        <v>0</v>
      </c>
      <c r="N163" s="1033">
        <v>0</v>
      </c>
      <c r="O163" s="1033">
        <v>1860239</v>
      </c>
      <c r="P163" s="1033">
        <v>0</v>
      </c>
      <c r="Q163" s="1033">
        <v>0</v>
      </c>
      <c r="R163" s="1033">
        <f t="shared" si="23"/>
        <v>2687.041744908277</v>
      </c>
      <c r="S163" s="1015">
        <v>2020</v>
      </c>
      <c r="T163" s="1015">
        <v>2020</v>
      </c>
    </row>
    <row r="164" spans="1:20" s="992" customFormat="1" ht="42" customHeight="1">
      <c r="A164" s="1271">
        <v>141</v>
      </c>
      <c r="B164" s="1014" t="s">
        <v>1043</v>
      </c>
      <c r="C164" s="1015">
        <v>1952</v>
      </c>
      <c r="D164" s="1015">
        <v>2011</v>
      </c>
      <c r="E164" s="1015" t="s">
        <v>218</v>
      </c>
      <c r="F164" s="1015">
        <v>3</v>
      </c>
      <c r="G164" s="1015">
        <v>2</v>
      </c>
      <c r="H164" s="1033">
        <v>924.5</v>
      </c>
      <c r="I164" s="1033">
        <v>924.5</v>
      </c>
      <c r="J164" s="1033">
        <f>I164-65.6</f>
        <v>858.9</v>
      </c>
      <c r="K164" s="1011">
        <v>37</v>
      </c>
      <c r="L164" s="1033">
        <v>3321602</v>
      </c>
      <c r="M164" s="1033">
        <v>0</v>
      </c>
      <c r="N164" s="1033">
        <v>0</v>
      </c>
      <c r="O164" s="1033">
        <v>3321602</v>
      </c>
      <c r="P164" s="1033">
        <v>0</v>
      </c>
      <c r="Q164" s="1033">
        <v>0</v>
      </c>
      <c r="R164" s="1033">
        <f t="shared" si="23"/>
        <v>3592.8631692806921</v>
      </c>
      <c r="S164" s="1015">
        <v>2020</v>
      </c>
      <c r="T164" s="1015">
        <v>2020</v>
      </c>
    </row>
    <row r="165" spans="1:20" s="992" customFormat="1" ht="36" customHeight="1">
      <c r="A165" s="1271">
        <v>142</v>
      </c>
      <c r="B165" s="1014" t="s">
        <v>1044</v>
      </c>
      <c r="C165" s="1023">
        <v>1969</v>
      </c>
      <c r="D165" s="1015">
        <v>1996</v>
      </c>
      <c r="E165" s="1015" t="s">
        <v>220</v>
      </c>
      <c r="F165" s="1015">
        <v>2</v>
      </c>
      <c r="G165" s="1015">
        <v>2</v>
      </c>
      <c r="H165" s="1033">
        <v>628.5</v>
      </c>
      <c r="I165" s="1033">
        <v>628.5</v>
      </c>
      <c r="J165" s="1033">
        <f>I165</f>
        <v>628.5</v>
      </c>
      <c r="K165" s="1011">
        <v>30</v>
      </c>
      <c r="L165" s="1033">
        <v>3272755</v>
      </c>
      <c r="M165" s="1033">
        <v>0</v>
      </c>
      <c r="N165" s="1033">
        <v>0</v>
      </c>
      <c r="O165" s="1033">
        <v>3272755</v>
      </c>
      <c r="P165" s="1033">
        <v>0</v>
      </c>
      <c r="Q165" s="1033">
        <v>0</v>
      </c>
      <c r="R165" s="1033">
        <f t="shared" si="23"/>
        <v>5207.2474144789185</v>
      </c>
      <c r="S165" s="1015">
        <v>2020</v>
      </c>
      <c r="T165" s="1015">
        <v>2020</v>
      </c>
    </row>
    <row r="166" spans="1:20" s="1006" customFormat="1" ht="42" customHeight="1">
      <c r="A166" s="1271">
        <v>143</v>
      </c>
      <c r="B166" s="1014" t="s">
        <v>1522</v>
      </c>
      <c r="C166" s="1023">
        <v>1955</v>
      </c>
      <c r="D166" s="1023"/>
      <c r="E166" s="1015" t="s">
        <v>218</v>
      </c>
      <c r="F166" s="1015">
        <v>2</v>
      </c>
      <c r="G166" s="1015">
        <v>1</v>
      </c>
      <c r="H166" s="1024">
        <v>606</v>
      </c>
      <c r="I166" s="1024">
        <v>606</v>
      </c>
      <c r="J166" s="1024">
        <v>605</v>
      </c>
      <c r="K166" s="1011">
        <v>17</v>
      </c>
      <c r="L166" s="1024">
        <v>1386668</v>
      </c>
      <c r="M166" s="1033">
        <v>0</v>
      </c>
      <c r="N166" s="1033">
        <v>0</v>
      </c>
      <c r="O166" s="1024">
        <v>1386668</v>
      </c>
      <c r="P166" s="1033">
        <v>0</v>
      </c>
      <c r="Q166" s="1033">
        <v>0</v>
      </c>
      <c r="R166" s="1033">
        <f t="shared" si="23"/>
        <v>2288.2310231023102</v>
      </c>
      <c r="S166" s="1015">
        <v>2020</v>
      </c>
      <c r="T166" s="1015">
        <v>2020</v>
      </c>
    </row>
    <row r="167" spans="1:20" s="1006" customFormat="1" ht="44.45" customHeight="1">
      <c r="A167" s="1271">
        <v>144</v>
      </c>
      <c r="B167" s="1014" t="s">
        <v>1523</v>
      </c>
      <c r="C167" s="1023">
        <v>1959</v>
      </c>
      <c r="D167" s="1023"/>
      <c r="E167" s="1015" t="s">
        <v>218</v>
      </c>
      <c r="F167" s="1015">
        <v>2</v>
      </c>
      <c r="G167" s="1015">
        <v>2</v>
      </c>
      <c r="H167" s="1024">
        <v>698.3</v>
      </c>
      <c r="I167" s="1024">
        <v>698.3</v>
      </c>
      <c r="J167" s="1024">
        <v>651.4</v>
      </c>
      <c r="K167" s="1011">
        <v>26</v>
      </c>
      <c r="L167" s="1024">
        <v>534529.80000000005</v>
      </c>
      <c r="M167" s="1033">
        <v>0</v>
      </c>
      <c r="N167" s="1033">
        <v>0</v>
      </c>
      <c r="O167" s="1024">
        <v>534529.80000000005</v>
      </c>
      <c r="P167" s="1033">
        <v>0</v>
      </c>
      <c r="Q167" s="1033">
        <v>0</v>
      </c>
      <c r="R167" s="1033">
        <f t="shared" si="23"/>
        <v>765.47300587140205</v>
      </c>
      <c r="S167" s="1015">
        <v>2020</v>
      </c>
      <c r="T167" s="1015">
        <v>2022</v>
      </c>
    </row>
    <row r="168" spans="1:20" s="1006" customFormat="1" ht="42" customHeight="1">
      <c r="A168" s="1271">
        <v>145</v>
      </c>
      <c r="B168" s="1014" t="s">
        <v>1524</v>
      </c>
      <c r="C168" s="1023">
        <v>1978</v>
      </c>
      <c r="D168" s="1023"/>
      <c r="E168" s="1015" t="s">
        <v>218</v>
      </c>
      <c r="F168" s="1015">
        <v>2</v>
      </c>
      <c r="G168" s="1015">
        <v>3</v>
      </c>
      <c r="H168" s="1024">
        <v>832.6</v>
      </c>
      <c r="I168" s="1024">
        <v>832.6</v>
      </c>
      <c r="J168" s="1024">
        <v>831.4</v>
      </c>
      <c r="K168" s="1011">
        <v>40</v>
      </c>
      <c r="L168" s="1024">
        <v>532109</v>
      </c>
      <c r="M168" s="1033">
        <v>0</v>
      </c>
      <c r="N168" s="1033">
        <v>0</v>
      </c>
      <c r="O168" s="1024">
        <v>532109</v>
      </c>
      <c r="P168" s="1033">
        <v>0</v>
      </c>
      <c r="Q168" s="1033">
        <v>0</v>
      </c>
      <c r="R168" s="1033">
        <f t="shared" si="23"/>
        <v>639.09320201777564</v>
      </c>
      <c r="S168" s="1015">
        <v>2020</v>
      </c>
      <c r="T168" s="1015">
        <v>2020</v>
      </c>
    </row>
    <row r="169" spans="1:20" s="1006" customFormat="1" ht="42" customHeight="1">
      <c r="A169" s="1015"/>
      <c r="B169" s="1274" t="s">
        <v>2673</v>
      </c>
      <c r="C169" s="1279"/>
      <c r="D169" s="1283"/>
      <c r="E169" s="1271"/>
      <c r="F169" s="1279"/>
      <c r="G169" s="1279"/>
      <c r="H169" s="1024">
        <f>H170+H171+H172+H173</f>
        <v>2562.1000000000004</v>
      </c>
      <c r="I169" s="1024">
        <f t="shared" ref="I169:Q169" si="24">I170+I171+I172+I173</f>
        <v>1843.6</v>
      </c>
      <c r="J169" s="1024">
        <f t="shared" si="24"/>
        <v>1366.8999999999999</v>
      </c>
      <c r="K169" s="1011">
        <f t="shared" si="24"/>
        <v>77</v>
      </c>
      <c r="L169" s="1024">
        <f t="shared" si="24"/>
        <v>1597686.4300000002</v>
      </c>
      <c r="M169" s="1024">
        <f t="shared" si="24"/>
        <v>0</v>
      </c>
      <c r="N169" s="1024">
        <f t="shared" si="24"/>
        <v>0</v>
      </c>
      <c r="O169" s="1024">
        <f t="shared" si="24"/>
        <v>1597686.4300000002</v>
      </c>
      <c r="P169" s="1024">
        <f t="shared" si="24"/>
        <v>0</v>
      </c>
      <c r="Q169" s="1024">
        <f t="shared" si="24"/>
        <v>0</v>
      </c>
      <c r="R169" s="991" t="s">
        <v>40</v>
      </c>
      <c r="S169" s="991" t="s">
        <v>40</v>
      </c>
      <c r="T169" s="991" t="s">
        <v>40</v>
      </c>
    </row>
    <row r="170" spans="1:20" s="1026" customFormat="1" ht="42" customHeight="1">
      <c r="A170" s="1015">
        <v>146</v>
      </c>
      <c r="B170" s="1284" t="s">
        <v>2691</v>
      </c>
      <c r="C170" s="1068">
        <v>1970</v>
      </c>
      <c r="D170" s="1067"/>
      <c r="E170" s="1015" t="s">
        <v>218</v>
      </c>
      <c r="F170" s="1068">
        <v>2</v>
      </c>
      <c r="G170" s="1068">
        <v>1</v>
      </c>
      <c r="H170" s="1037">
        <v>661.1</v>
      </c>
      <c r="I170" s="1037">
        <v>539.79999999999995</v>
      </c>
      <c r="J170" s="1037">
        <v>401.1</v>
      </c>
      <c r="K170" s="1068">
        <v>19</v>
      </c>
      <c r="L170" s="1037">
        <v>372773.9</v>
      </c>
      <c r="M170" s="1037">
        <v>0</v>
      </c>
      <c r="N170" s="1037">
        <v>0</v>
      </c>
      <c r="O170" s="1024">
        <v>372773.9</v>
      </c>
      <c r="P170" s="1037">
        <v>0</v>
      </c>
      <c r="Q170" s="1037">
        <v>0</v>
      </c>
      <c r="R170" s="1037">
        <f>L170/I170</f>
        <v>690.57780659503533</v>
      </c>
      <c r="S170" s="1038">
        <v>2020</v>
      </c>
      <c r="T170" s="1038">
        <v>2020</v>
      </c>
    </row>
    <row r="171" spans="1:20" s="992" customFormat="1" ht="40.15" customHeight="1">
      <c r="A171" s="1015">
        <v>147</v>
      </c>
      <c r="B171" s="1284" t="s">
        <v>2692</v>
      </c>
      <c r="C171" s="1068">
        <v>1973</v>
      </c>
      <c r="D171" s="1067"/>
      <c r="E171" s="1015" t="s">
        <v>218</v>
      </c>
      <c r="F171" s="1068">
        <v>2</v>
      </c>
      <c r="G171" s="1068">
        <v>2</v>
      </c>
      <c r="H171" s="1037">
        <v>777.7</v>
      </c>
      <c r="I171" s="1037">
        <v>637.5</v>
      </c>
      <c r="J171" s="1037">
        <v>460.4</v>
      </c>
      <c r="K171" s="1068">
        <v>23</v>
      </c>
      <c r="L171" s="1037">
        <v>598927.55000000005</v>
      </c>
      <c r="M171" s="1037">
        <v>0</v>
      </c>
      <c r="N171" s="1037">
        <v>0</v>
      </c>
      <c r="O171" s="1024">
        <v>598927.55000000005</v>
      </c>
      <c r="P171" s="1037">
        <v>0</v>
      </c>
      <c r="Q171" s="1037">
        <v>0</v>
      </c>
      <c r="R171" s="1037">
        <f t="shared" ref="R171:R173" si="25">L171/I171</f>
        <v>939.4941960784314</v>
      </c>
      <c r="S171" s="1038">
        <v>2020</v>
      </c>
      <c r="T171" s="1038">
        <v>2020</v>
      </c>
    </row>
    <row r="172" spans="1:20" s="992" customFormat="1" ht="42" customHeight="1">
      <c r="A172" s="1015">
        <v>148</v>
      </c>
      <c r="B172" s="1284" t="s">
        <v>2693</v>
      </c>
      <c r="C172" s="1068">
        <v>1971</v>
      </c>
      <c r="D172" s="1067"/>
      <c r="E172" s="1015" t="s">
        <v>218</v>
      </c>
      <c r="F172" s="1068">
        <v>2</v>
      </c>
      <c r="G172" s="1068">
        <v>1</v>
      </c>
      <c r="H172" s="1037">
        <v>352.3</v>
      </c>
      <c r="I172" s="1037">
        <v>216.6</v>
      </c>
      <c r="J172" s="1037">
        <v>216.6</v>
      </c>
      <c r="K172" s="1068">
        <v>12</v>
      </c>
      <c r="L172" s="1037">
        <v>203494.44</v>
      </c>
      <c r="M172" s="1037">
        <v>0</v>
      </c>
      <c r="N172" s="1037">
        <v>0</v>
      </c>
      <c r="O172" s="1024">
        <v>203494.44</v>
      </c>
      <c r="P172" s="1037">
        <v>0</v>
      </c>
      <c r="Q172" s="1037">
        <v>0</v>
      </c>
      <c r="R172" s="1037">
        <f t="shared" si="25"/>
        <v>939.49418282548481</v>
      </c>
      <c r="S172" s="1038">
        <v>2020</v>
      </c>
      <c r="T172" s="1038">
        <v>2020</v>
      </c>
    </row>
    <row r="173" spans="1:20" s="992" customFormat="1" ht="42" customHeight="1">
      <c r="A173" s="1015">
        <v>149</v>
      </c>
      <c r="B173" s="1284" t="s">
        <v>2694</v>
      </c>
      <c r="C173" s="1068">
        <v>1990</v>
      </c>
      <c r="D173" s="1067"/>
      <c r="E173" s="1015" t="s">
        <v>218</v>
      </c>
      <c r="F173" s="1068">
        <v>2</v>
      </c>
      <c r="G173" s="1068">
        <v>2</v>
      </c>
      <c r="H173" s="1037">
        <v>771</v>
      </c>
      <c r="I173" s="1037">
        <v>449.7</v>
      </c>
      <c r="J173" s="1037">
        <v>288.8</v>
      </c>
      <c r="K173" s="1068">
        <v>23</v>
      </c>
      <c r="L173" s="1037">
        <v>422490.54</v>
      </c>
      <c r="M173" s="1037">
        <v>0</v>
      </c>
      <c r="N173" s="1037">
        <v>0</v>
      </c>
      <c r="O173" s="1024">
        <v>422490.54</v>
      </c>
      <c r="P173" s="1037">
        <v>0</v>
      </c>
      <c r="Q173" s="1037">
        <v>0</v>
      </c>
      <c r="R173" s="1037">
        <f t="shared" si="25"/>
        <v>939.49419613075383</v>
      </c>
      <c r="S173" s="1038">
        <v>2020</v>
      </c>
      <c r="T173" s="1038">
        <v>2020</v>
      </c>
    </row>
    <row r="174" spans="1:20" s="992" customFormat="1" ht="42" customHeight="1">
      <c r="A174" s="1015"/>
      <c r="B174" s="1391" t="s">
        <v>43</v>
      </c>
      <c r="C174" s="1391"/>
      <c r="D174" s="1391"/>
      <c r="E174" s="1391"/>
      <c r="F174" s="1391"/>
      <c r="G174" s="1391"/>
      <c r="H174" s="1024">
        <f>H175+H183</f>
        <v>15784.300000000001</v>
      </c>
      <c r="I174" s="1024">
        <f t="shared" ref="I174:Q174" si="26">I175+I183</f>
        <v>14219.399999999998</v>
      </c>
      <c r="J174" s="1024">
        <f t="shared" si="26"/>
        <v>13394.799999999997</v>
      </c>
      <c r="K174" s="1011">
        <f t="shared" si="26"/>
        <v>431</v>
      </c>
      <c r="L174" s="1024">
        <f t="shared" si="26"/>
        <v>25585661.469999999</v>
      </c>
      <c r="M174" s="1024">
        <f t="shared" si="26"/>
        <v>0</v>
      </c>
      <c r="N174" s="1024">
        <f t="shared" si="26"/>
        <v>0</v>
      </c>
      <c r="O174" s="1024">
        <f t="shared" si="26"/>
        <v>25585661.469999999</v>
      </c>
      <c r="P174" s="1024">
        <f t="shared" si="26"/>
        <v>0</v>
      </c>
      <c r="Q174" s="1024">
        <f t="shared" si="26"/>
        <v>0</v>
      </c>
      <c r="R174" s="991" t="s">
        <v>40</v>
      </c>
      <c r="S174" s="991" t="s">
        <v>40</v>
      </c>
      <c r="T174" s="991" t="s">
        <v>40</v>
      </c>
    </row>
    <row r="175" spans="1:20" s="992" customFormat="1" ht="42" customHeight="1">
      <c r="A175" s="1015"/>
      <c r="B175" s="1393" t="s">
        <v>1090</v>
      </c>
      <c r="C175" s="1393"/>
      <c r="D175" s="1393"/>
      <c r="E175" s="1393"/>
      <c r="F175" s="1393"/>
      <c r="G175" s="1393"/>
      <c r="H175" s="985">
        <f>SUM(H176:H182)</f>
        <v>13511.400000000001</v>
      </c>
      <c r="I175" s="985">
        <f t="shared" ref="I175:Q175" si="27">SUM(I176:I182)</f>
        <v>12270.999999999998</v>
      </c>
      <c r="J175" s="985">
        <f t="shared" si="27"/>
        <v>12270.999999999998</v>
      </c>
      <c r="K175" s="1064">
        <f t="shared" si="27"/>
        <v>355</v>
      </c>
      <c r="L175" s="985">
        <f t="shared" si="27"/>
        <v>23251937.469999999</v>
      </c>
      <c r="M175" s="985">
        <f t="shared" si="27"/>
        <v>0</v>
      </c>
      <c r="N175" s="985">
        <f t="shared" si="27"/>
        <v>0</v>
      </c>
      <c r="O175" s="985">
        <f t="shared" si="27"/>
        <v>23251937.469999999</v>
      </c>
      <c r="P175" s="985">
        <f t="shared" si="27"/>
        <v>0</v>
      </c>
      <c r="Q175" s="985">
        <f t="shared" si="27"/>
        <v>0</v>
      </c>
      <c r="R175" s="991" t="s">
        <v>40</v>
      </c>
      <c r="S175" s="991" t="s">
        <v>40</v>
      </c>
      <c r="T175" s="991" t="s">
        <v>40</v>
      </c>
    </row>
    <row r="176" spans="1:20" s="992" customFormat="1" ht="38.450000000000003" customHeight="1">
      <c r="A176" s="1032">
        <v>150</v>
      </c>
      <c r="B176" s="1039" t="s">
        <v>2207</v>
      </c>
      <c r="C176" s="1279">
        <v>1976</v>
      </c>
      <c r="D176" s="1271"/>
      <c r="E176" s="1279" t="s">
        <v>219</v>
      </c>
      <c r="F176" s="1279">
        <v>5</v>
      </c>
      <c r="G176" s="1279">
        <v>8</v>
      </c>
      <c r="H176" s="986">
        <v>5834.1</v>
      </c>
      <c r="I176" s="986">
        <v>5248.5</v>
      </c>
      <c r="J176" s="986">
        <v>5248.5</v>
      </c>
      <c r="K176" s="1064">
        <v>153</v>
      </c>
      <c r="L176" s="1037">
        <v>4474754.84</v>
      </c>
      <c r="M176" s="985">
        <v>0</v>
      </c>
      <c r="N176" s="985">
        <v>0</v>
      </c>
      <c r="O176" s="1037">
        <f>L176</f>
        <v>4474754.84</v>
      </c>
      <c r="P176" s="985">
        <v>0</v>
      </c>
      <c r="Q176" s="985">
        <v>0</v>
      </c>
      <c r="R176" s="1024">
        <f t="shared" ref="R176:R182" si="28">L176/I176</f>
        <v>852.57784890921209</v>
      </c>
      <c r="S176" s="1015">
        <v>2020</v>
      </c>
      <c r="T176" s="1015">
        <v>2020</v>
      </c>
    </row>
    <row r="177" spans="1:20" s="992" customFormat="1" ht="38.450000000000003" customHeight="1">
      <c r="A177" s="1032">
        <v>151</v>
      </c>
      <c r="B177" s="1039" t="s">
        <v>2208</v>
      </c>
      <c r="C177" s="1279">
        <v>1980</v>
      </c>
      <c r="D177" s="1271"/>
      <c r="E177" s="1279" t="s">
        <v>219</v>
      </c>
      <c r="F177" s="1279">
        <v>5</v>
      </c>
      <c r="G177" s="1279">
        <v>6</v>
      </c>
      <c r="H177" s="986">
        <v>4410.3999999999996</v>
      </c>
      <c r="I177" s="986">
        <v>3969.4</v>
      </c>
      <c r="J177" s="986">
        <v>3969.4</v>
      </c>
      <c r="K177" s="1064">
        <v>115</v>
      </c>
      <c r="L177" s="1037">
        <v>3587126.86</v>
      </c>
      <c r="M177" s="985">
        <v>0</v>
      </c>
      <c r="N177" s="985">
        <v>0</v>
      </c>
      <c r="O177" s="1037">
        <f t="shared" ref="O177:O182" si="29">L177</f>
        <v>3587126.86</v>
      </c>
      <c r="P177" s="985">
        <v>0</v>
      </c>
      <c r="Q177" s="985">
        <v>0</v>
      </c>
      <c r="R177" s="1024">
        <f t="shared" si="28"/>
        <v>903.69498160931118</v>
      </c>
      <c r="S177" s="1015">
        <v>2020</v>
      </c>
      <c r="T177" s="1015">
        <v>2020</v>
      </c>
    </row>
    <row r="178" spans="1:20" s="992" customFormat="1" ht="37.9" customHeight="1">
      <c r="A178" s="1032">
        <v>152</v>
      </c>
      <c r="B178" s="1039" t="s">
        <v>1525</v>
      </c>
      <c r="C178" s="1279">
        <v>1975</v>
      </c>
      <c r="D178" s="1271"/>
      <c r="E178" s="1279" t="s">
        <v>221</v>
      </c>
      <c r="F178" s="1279">
        <v>2</v>
      </c>
      <c r="G178" s="1279">
        <v>2</v>
      </c>
      <c r="H178" s="986">
        <v>539.70000000000005</v>
      </c>
      <c r="I178" s="986">
        <v>498.9</v>
      </c>
      <c r="J178" s="986">
        <v>498.9</v>
      </c>
      <c r="K178" s="1064">
        <v>15</v>
      </c>
      <c r="L178" s="1037">
        <v>1421533</v>
      </c>
      <c r="M178" s="985">
        <v>0</v>
      </c>
      <c r="N178" s="985">
        <v>0</v>
      </c>
      <c r="O178" s="1037">
        <f t="shared" si="29"/>
        <v>1421533</v>
      </c>
      <c r="P178" s="985">
        <v>0</v>
      </c>
      <c r="Q178" s="985">
        <v>0</v>
      </c>
      <c r="R178" s="1024">
        <f t="shared" si="28"/>
        <v>2849.3345359791542</v>
      </c>
      <c r="S178" s="1015">
        <v>2020</v>
      </c>
      <c r="T178" s="1015">
        <v>2020</v>
      </c>
    </row>
    <row r="179" spans="1:20" s="992" customFormat="1" ht="42" customHeight="1">
      <c r="A179" s="1032">
        <v>153</v>
      </c>
      <c r="B179" s="1040" t="s">
        <v>2206</v>
      </c>
      <c r="C179" s="1279">
        <v>1960</v>
      </c>
      <c r="D179" s="1271"/>
      <c r="E179" s="1015" t="s">
        <v>218</v>
      </c>
      <c r="F179" s="1279">
        <v>2</v>
      </c>
      <c r="G179" s="1279">
        <v>2</v>
      </c>
      <c r="H179" s="986">
        <v>688.1</v>
      </c>
      <c r="I179" s="986">
        <v>643.29999999999995</v>
      </c>
      <c r="J179" s="986">
        <v>643.29999999999995</v>
      </c>
      <c r="K179" s="1064">
        <v>23</v>
      </c>
      <c r="L179" s="1037">
        <v>4064571.56</v>
      </c>
      <c r="M179" s="985">
        <v>0</v>
      </c>
      <c r="N179" s="985">
        <v>0</v>
      </c>
      <c r="O179" s="1037">
        <f t="shared" si="29"/>
        <v>4064571.56</v>
      </c>
      <c r="P179" s="985">
        <v>0</v>
      </c>
      <c r="Q179" s="985">
        <v>0</v>
      </c>
      <c r="R179" s="1024">
        <f t="shared" si="28"/>
        <v>6318.3142546245926</v>
      </c>
      <c r="S179" s="1015">
        <v>2020</v>
      </c>
      <c r="T179" s="1015">
        <v>2020</v>
      </c>
    </row>
    <row r="180" spans="1:20" s="992" customFormat="1" ht="42" customHeight="1">
      <c r="A180" s="1032">
        <v>154</v>
      </c>
      <c r="B180" s="1040" t="s">
        <v>1526</v>
      </c>
      <c r="C180" s="1279">
        <v>1989</v>
      </c>
      <c r="D180" s="1271"/>
      <c r="E180" s="1015" t="s">
        <v>218</v>
      </c>
      <c r="F180" s="1279">
        <v>2</v>
      </c>
      <c r="G180" s="1279">
        <v>3</v>
      </c>
      <c r="H180" s="986">
        <v>1100.2</v>
      </c>
      <c r="I180" s="986">
        <v>973</v>
      </c>
      <c r="J180" s="986">
        <v>973</v>
      </c>
      <c r="K180" s="1064">
        <v>24</v>
      </c>
      <c r="L180" s="1037">
        <v>3590229.1</v>
      </c>
      <c r="M180" s="985">
        <v>0</v>
      </c>
      <c r="N180" s="985">
        <v>0</v>
      </c>
      <c r="O180" s="1037">
        <f t="shared" si="29"/>
        <v>3590229.1</v>
      </c>
      <c r="P180" s="985">
        <v>0</v>
      </c>
      <c r="Q180" s="985">
        <v>0</v>
      </c>
      <c r="R180" s="1024">
        <f t="shared" si="28"/>
        <v>3689.8551901336077</v>
      </c>
      <c r="S180" s="1015">
        <v>2020</v>
      </c>
      <c r="T180" s="1015">
        <v>2020</v>
      </c>
    </row>
    <row r="181" spans="1:20" s="992" customFormat="1" ht="42" customHeight="1">
      <c r="A181" s="1032">
        <v>155</v>
      </c>
      <c r="B181" s="1274" t="s">
        <v>1337</v>
      </c>
      <c r="C181" s="1279">
        <v>1965</v>
      </c>
      <c r="D181" s="1271"/>
      <c r="E181" s="1015" t="s">
        <v>218</v>
      </c>
      <c r="F181" s="1279">
        <v>2</v>
      </c>
      <c r="G181" s="1279">
        <v>2</v>
      </c>
      <c r="H181" s="986">
        <v>472.1</v>
      </c>
      <c r="I181" s="986">
        <v>472.1</v>
      </c>
      <c r="J181" s="986">
        <v>472.1</v>
      </c>
      <c r="K181" s="1064">
        <v>13</v>
      </c>
      <c r="L181" s="1037">
        <v>3056074.47</v>
      </c>
      <c r="M181" s="985">
        <v>0</v>
      </c>
      <c r="N181" s="985">
        <v>0</v>
      </c>
      <c r="O181" s="1037">
        <f t="shared" si="29"/>
        <v>3056074.47</v>
      </c>
      <c r="P181" s="985">
        <v>0</v>
      </c>
      <c r="Q181" s="985">
        <v>0</v>
      </c>
      <c r="R181" s="1024">
        <f t="shared" si="28"/>
        <v>6473.3625714890914</v>
      </c>
      <c r="S181" s="1015">
        <v>2020</v>
      </c>
      <c r="T181" s="1015">
        <v>2020</v>
      </c>
    </row>
    <row r="182" spans="1:20" s="992" customFormat="1" ht="42" customHeight="1">
      <c r="A182" s="1032">
        <v>156</v>
      </c>
      <c r="B182" s="1274" t="s">
        <v>1338</v>
      </c>
      <c r="C182" s="1279">
        <v>1966</v>
      </c>
      <c r="D182" s="1271"/>
      <c r="E182" s="1015" t="s">
        <v>218</v>
      </c>
      <c r="F182" s="1279">
        <v>2</v>
      </c>
      <c r="G182" s="1279">
        <v>2</v>
      </c>
      <c r="H182" s="986">
        <v>466.8</v>
      </c>
      <c r="I182" s="986">
        <v>465.8</v>
      </c>
      <c r="J182" s="986">
        <v>465.8</v>
      </c>
      <c r="K182" s="1064">
        <v>12</v>
      </c>
      <c r="L182" s="1037">
        <v>3057647.64</v>
      </c>
      <c r="M182" s="985">
        <v>0</v>
      </c>
      <c r="N182" s="985">
        <v>0</v>
      </c>
      <c r="O182" s="1037">
        <f t="shared" si="29"/>
        <v>3057647.64</v>
      </c>
      <c r="P182" s="985">
        <v>0</v>
      </c>
      <c r="Q182" s="985">
        <v>0</v>
      </c>
      <c r="R182" s="1024">
        <f t="shared" si="28"/>
        <v>6564.2929154143412</v>
      </c>
      <c r="S182" s="1015">
        <v>2020</v>
      </c>
      <c r="T182" s="1015">
        <v>2020</v>
      </c>
    </row>
    <row r="183" spans="1:20" s="992" customFormat="1" ht="42" customHeight="1">
      <c r="A183" s="1032"/>
      <c r="B183" s="1390" t="s">
        <v>1659</v>
      </c>
      <c r="C183" s="1390"/>
      <c r="D183" s="1390"/>
      <c r="E183" s="1390"/>
      <c r="F183" s="1390"/>
      <c r="G183" s="1390"/>
      <c r="H183" s="986">
        <f>H184</f>
        <v>2272.9</v>
      </c>
      <c r="I183" s="986">
        <f t="shared" ref="I183:Q183" si="30">I184</f>
        <v>1948.4</v>
      </c>
      <c r="J183" s="986">
        <f t="shared" si="30"/>
        <v>1123.8</v>
      </c>
      <c r="K183" s="1269">
        <f t="shared" si="30"/>
        <v>76</v>
      </c>
      <c r="L183" s="986">
        <f t="shared" si="30"/>
        <v>2333724</v>
      </c>
      <c r="M183" s="986">
        <f t="shared" si="30"/>
        <v>0</v>
      </c>
      <c r="N183" s="986">
        <f t="shared" si="30"/>
        <v>0</v>
      </c>
      <c r="O183" s="986">
        <f t="shared" si="30"/>
        <v>2333724</v>
      </c>
      <c r="P183" s="986">
        <f t="shared" si="30"/>
        <v>0</v>
      </c>
      <c r="Q183" s="986">
        <f t="shared" si="30"/>
        <v>0</v>
      </c>
      <c r="R183" s="991" t="s">
        <v>40</v>
      </c>
      <c r="S183" s="991" t="s">
        <v>40</v>
      </c>
      <c r="T183" s="991" t="s">
        <v>40</v>
      </c>
    </row>
    <row r="184" spans="1:20" s="992" customFormat="1" ht="42.6" customHeight="1">
      <c r="A184" s="1032">
        <v>157</v>
      </c>
      <c r="B184" s="1274" t="s">
        <v>2862</v>
      </c>
      <c r="C184" s="1279">
        <v>1979</v>
      </c>
      <c r="D184" s="1271"/>
      <c r="E184" s="1015" t="s">
        <v>218</v>
      </c>
      <c r="F184" s="1279">
        <v>5</v>
      </c>
      <c r="G184" s="1279">
        <v>1</v>
      </c>
      <c r="H184" s="986">
        <v>2272.9</v>
      </c>
      <c r="I184" s="986">
        <v>1948.4</v>
      </c>
      <c r="J184" s="986">
        <v>1123.8</v>
      </c>
      <c r="K184" s="1064">
        <v>76</v>
      </c>
      <c r="L184" s="1037">
        <v>2333724</v>
      </c>
      <c r="M184" s="985">
        <v>0</v>
      </c>
      <c r="N184" s="985">
        <v>0</v>
      </c>
      <c r="O184" s="1037">
        <v>2333724</v>
      </c>
      <c r="P184" s="985">
        <v>0</v>
      </c>
      <c r="Q184" s="985">
        <v>0</v>
      </c>
      <c r="R184" s="1024">
        <f t="shared" ref="R184" si="31">L184/I184</f>
        <v>1197.764319441593</v>
      </c>
      <c r="S184" s="1015">
        <v>2020</v>
      </c>
      <c r="T184" s="1015">
        <v>2020</v>
      </c>
    </row>
    <row r="185" spans="1:20" s="992" customFormat="1" ht="42" customHeight="1">
      <c r="A185" s="1015"/>
      <c r="B185" s="1391" t="s">
        <v>1370</v>
      </c>
      <c r="C185" s="1391"/>
      <c r="D185" s="1391"/>
      <c r="E185" s="1391"/>
      <c r="F185" s="1391"/>
      <c r="G185" s="1391"/>
      <c r="H185" s="1024">
        <f>H186+H187</f>
        <v>1993</v>
      </c>
      <c r="I185" s="1024">
        <f t="shared" ref="I185:Q185" si="32">I186+I187</f>
        <v>1993</v>
      </c>
      <c r="J185" s="1024">
        <f t="shared" si="32"/>
        <v>1818</v>
      </c>
      <c r="K185" s="1011">
        <f t="shared" si="32"/>
        <v>39</v>
      </c>
      <c r="L185" s="1024">
        <f t="shared" si="32"/>
        <v>3350144</v>
      </c>
      <c r="M185" s="1024">
        <f t="shared" si="32"/>
        <v>0</v>
      </c>
      <c r="N185" s="1024">
        <f t="shared" si="32"/>
        <v>114142.98</v>
      </c>
      <c r="O185" s="1024">
        <f t="shared" si="32"/>
        <v>3236001.02</v>
      </c>
      <c r="P185" s="1024">
        <f t="shared" si="32"/>
        <v>0</v>
      </c>
      <c r="Q185" s="1024">
        <f t="shared" si="32"/>
        <v>0</v>
      </c>
      <c r="R185" s="991" t="s">
        <v>40</v>
      </c>
      <c r="S185" s="991" t="s">
        <v>40</v>
      </c>
      <c r="T185" s="991" t="s">
        <v>40</v>
      </c>
    </row>
    <row r="186" spans="1:20" s="992" customFormat="1" ht="42.6" customHeight="1">
      <c r="A186" s="1015">
        <v>158</v>
      </c>
      <c r="B186" s="1014" t="s">
        <v>2039</v>
      </c>
      <c r="C186" s="1023">
        <v>1971</v>
      </c>
      <c r="D186" s="1023"/>
      <c r="E186" s="1015" t="s">
        <v>218</v>
      </c>
      <c r="F186" s="1023">
        <v>2</v>
      </c>
      <c r="G186" s="1023">
        <v>2</v>
      </c>
      <c r="H186" s="1024">
        <v>555</v>
      </c>
      <c r="I186" s="1024">
        <v>555</v>
      </c>
      <c r="J186" s="1024">
        <v>510</v>
      </c>
      <c r="K186" s="1011">
        <v>12</v>
      </c>
      <c r="L186" s="1024">
        <f>N186+O186</f>
        <v>1583994</v>
      </c>
      <c r="M186" s="1024">
        <v>0</v>
      </c>
      <c r="N186" s="1024">
        <v>114142.98</v>
      </c>
      <c r="O186" s="1024">
        <v>1469851.02</v>
      </c>
      <c r="P186" s="1024">
        <v>0</v>
      </c>
      <c r="Q186" s="1024">
        <v>0</v>
      </c>
      <c r="R186" s="1024">
        <f t="shared" ref="R186:R187" si="33">L186/I186</f>
        <v>2854.0432432432431</v>
      </c>
      <c r="S186" s="1015">
        <v>2020</v>
      </c>
      <c r="T186" s="1015">
        <v>2020</v>
      </c>
    </row>
    <row r="187" spans="1:20" s="992" customFormat="1" ht="36" customHeight="1">
      <c r="A187" s="1015">
        <v>159</v>
      </c>
      <c r="B187" s="1014" t="s">
        <v>2040</v>
      </c>
      <c r="C187" s="1023">
        <v>1981</v>
      </c>
      <c r="D187" s="1023"/>
      <c r="E187" s="1015" t="s">
        <v>220</v>
      </c>
      <c r="F187" s="1023">
        <v>3</v>
      </c>
      <c r="G187" s="1023">
        <v>3</v>
      </c>
      <c r="H187" s="1024">
        <v>1438</v>
      </c>
      <c r="I187" s="1024">
        <v>1438</v>
      </c>
      <c r="J187" s="1024">
        <v>1308</v>
      </c>
      <c r="K187" s="1011">
        <v>27</v>
      </c>
      <c r="L187" s="1024">
        <v>1766150</v>
      </c>
      <c r="M187" s="1024">
        <v>0</v>
      </c>
      <c r="N187" s="1024">
        <v>0</v>
      </c>
      <c r="O187" s="1024">
        <v>1766150</v>
      </c>
      <c r="P187" s="1024">
        <v>0</v>
      </c>
      <c r="Q187" s="1024">
        <v>0</v>
      </c>
      <c r="R187" s="1024">
        <f t="shared" si="33"/>
        <v>1228.1988873435328</v>
      </c>
      <c r="S187" s="1015">
        <v>2020</v>
      </c>
      <c r="T187" s="1015">
        <v>2020</v>
      </c>
    </row>
    <row r="188" spans="1:20" s="992" customFormat="1" ht="36" customHeight="1">
      <c r="A188" s="1015"/>
      <c r="B188" s="1391" t="s">
        <v>46</v>
      </c>
      <c r="C188" s="1391"/>
      <c r="D188" s="1391"/>
      <c r="E188" s="1391"/>
      <c r="F188" s="1391"/>
      <c r="G188" s="1391"/>
      <c r="H188" s="1024">
        <f>H189</f>
        <v>571.1</v>
      </c>
      <c r="I188" s="1024">
        <f t="shared" ref="I188:Q188" si="34">I189</f>
        <v>522.70000000000005</v>
      </c>
      <c r="J188" s="1024">
        <f t="shared" si="34"/>
        <v>455.2</v>
      </c>
      <c r="K188" s="1011">
        <f t="shared" si="34"/>
        <v>23</v>
      </c>
      <c r="L188" s="1024">
        <f t="shared" si="34"/>
        <v>1688916</v>
      </c>
      <c r="M188" s="1024">
        <f t="shared" si="34"/>
        <v>0</v>
      </c>
      <c r="N188" s="1024">
        <f t="shared" si="34"/>
        <v>0</v>
      </c>
      <c r="O188" s="1024">
        <f t="shared" si="34"/>
        <v>1688916</v>
      </c>
      <c r="P188" s="1024">
        <f t="shared" si="34"/>
        <v>0</v>
      </c>
      <c r="Q188" s="1024">
        <f t="shared" si="34"/>
        <v>0</v>
      </c>
      <c r="R188" s="991" t="s">
        <v>40</v>
      </c>
      <c r="S188" s="991" t="s">
        <v>40</v>
      </c>
      <c r="T188" s="991" t="s">
        <v>40</v>
      </c>
    </row>
    <row r="189" spans="1:20" s="992" customFormat="1" ht="36" customHeight="1">
      <c r="A189" s="1015"/>
      <c r="B189" s="1391" t="s">
        <v>2209</v>
      </c>
      <c r="C189" s="1391"/>
      <c r="D189" s="1391"/>
      <c r="E189" s="1391"/>
      <c r="F189" s="1391"/>
      <c r="G189" s="1391"/>
      <c r="H189" s="1024">
        <f>H190</f>
        <v>571.1</v>
      </c>
      <c r="I189" s="1024">
        <f t="shared" ref="I189:Q189" si="35">I190</f>
        <v>522.70000000000005</v>
      </c>
      <c r="J189" s="1024">
        <f t="shared" si="35"/>
        <v>455.2</v>
      </c>
      <c r="K189" s="1011">
        <f t="shared" si="35"/>
        <v>23</v>
      </c>
      <c r="L189" s="1024">
        <f t="shared" si="35"/>
        <v>1688916</v>
      </c>
      <c r="M189" s="1024">
        <f t="shared" si="35"/>
        <v>0</v>
      </c>
      <c r="N189" s="1024">
        <f t="shared" si="35"/>
        <v>0</v>
      </c>
      <c r="O189" s="1024">
        <f t="shared" si="35"/>
        <v>1688916</v>
      </c>
      <c r="P189" s="1024">
        <f t="shared" si="35"/>
        <v>0</v>
      </c>
      <c r="Q189" s="1024">
        <f t="shared" si="35"/>
        <v>0</v>
      </c>
      <c r="R189" s="991" t="s">
        <v>40</v>
      </c>
      <c r="S189" s="991" t="s">
        <v>40</v>
      </c>
      <c r="T189" s="991" t="s">
        <v>40</v>
      </c>
    </row>
    <row r="190" spans="1:20" s="992" customFormat="1" ht="39.6" customHeight="1">
      <c r="A190" s="1015">
        <v>160</v>
      </c>
      <c r="B190" s="1274" t="s">
        <v>1203</v>
      </c>
      <c r="C190" s="1273">
        <v>1970</v>
      </c>
      <c r="D190" s="1273"/>
      <c r="E190" s="1015" t="s">
        <v>218</v>
      </c>
      <c r="F190" s="1279">
        <v>2</v>
      </c>
      <c r="G190" s="1279">
        <v>2</v>
      </c>
      <c r="H190" s="1024">
        <v>571.1</v>
      </c>
      <c r="I190" s="1024">
        <v>522.70000000000005</v>
      </c>
      <c r="J190" s="1024">
        <v>455.2</v>
      </c>
      <c r="K190" s="1011">
        <v>23</v>
      </c>
      <c r="L190" s="1024">
        <v>1688916</v>
      </c>
      <c r="M190" s="1024">
        <v>0</v>
      </c>
      <c r="N190" s="1024">
        <v>0</v>
      </c>
      <c r="O190" s="1024">
        <v>1688916</v>
      </c>
      <c r="P190" s="1024">
        <v>0</v>
      </c>
      <c r="Q190" s="1024">
        <v>0</v>
      </c>
      <c r="R190" s="1024">
        <f t="shared" ref="R190" si="36">L190/I190</f>
        <v>3231.1383202601874</v>
      </c>
      <c r="S190" s="1015">
        <v>2020</v>
      </c>
      <c r="T190" s="1015">
        <v>2020</v>
      </c>
    </row>
    <row r="191" spans="1:20" s="992" customFormat="1" ht="36" customHeight="1">
      <c r="A191" s="1015"/>
      <c r="B191" s="1391" t="s">
        <v>1649</v>
      </c>
      <c r="C191" s="1391"/>
      <c r="D191" s="1391"/>
      <c r="E191" s="1391"/>
      <c r="F191" s="1391"/>
      <c r="G191" s="1391"/>
      <c r="H191" s="1024">
        <f>H192+H193+H194</f>
        <v>1789.9</v>
      </c>
      <c r="I191" s="1024">
        <f t="shared" ref="I191:Q191" si="37">I192+I193+I194</f>
        <v>1619.3</v>
      </c>
      <c r="J191" s="1024">
        <f t="shared" si="37"/>
        <v>1619.3</v>
      </c>
      <c r="K191" s="1011">
        <f t="shared" si="37"/>
        <v>43</v>
      </c>
      <c r="L191" s="1024">
        <f t="shared" si="37"/>
        <v>6549572</v>
      </c>
      <c r="M191" s="1024">
        <f t="shared" si="37"/>
        <v>0</v>
      </c>
      <c r="N191" s="1024">
        <f t="shared" si="37"/>
        <v>0</v>
      </c>
      <c r="O191" s="1024">
        <f t="shared" si="37"/>
        <v>6549572</v>
      </c>
      <c r="P191" s="1024">
        <f t="shared" si="37"/>
        <v>0</v>
      </c>
      <c r="Q191" s="1024">
        <f t="shared" si="37"/>
        <v>0</v>
      </c>
      <c r="R191" s="991" t="s">
        <v>40</v>
      </c>
      <c r="S191" s="991" t="s">
        <v>40</v>
      </c>
      <c r="T191" s="991" t="s">
        <v>40</v>
      </c>
    </row>
    <row r="192" spans="1:20" s="992" customFormat="1" ht="46.15" customHeight="1">
      <c r="A192" s="1271">
        <v>161</v>
      </c>
      <c r="B192" s="1041" t="s">
        <v>2041</v>
      </c>
      <c r="C192" s="1032">
        <v>1963</v>
      </c>
      <c r="D192" s="1032"/>
      <c r="E192" s="1015" t="s">
        <v>218</v>
      </c>
      <c r="F192" s="1032">
        <v>2</v>
      </c>
      <c r="G192" s="1032">
        <v>2</v>
      </c>
      <c r="H192" s="1037">
        <v>517.29999999999995</v>
      </c>
      <c r="I192" s="1037">
        <v>463.3</v>
      </c>
      <c r="J192" s="1037">
        <v>463.3</v>
      </c>
      <c r="K192" s="1068">
        <v>10</v>
      </c>
      <c r="L192" s="1037">
        <v>1556917</v>
      </c>
      <c r="M192" s="1037">
        <v>0</v>
      </c>
      <c r="N192" s="1037">
        <v>0</v>
      </c>
      <c r="O192" s="1037">
        <v>1556917</v>
      </c>
      <c r="P192" s="1037">
        <v>0</v>
      </c>
      <c r="Q192" s="1037">
        <v>0</v>
      </c>
      <c r="R192" s="1042">
        <f>L192/I192</f>
        <v>3360.4942801640404</v>
      </c>
      <c r="S192" s="1015">
        <v>2020</v>
      </c>
      <c r="T192" s="1015">
        <v>2020</v>
      </c>
    </row>
    <row r="193" spans="1:20" s="992" customFormat="1" ht="42" customHeight="1">
      <c r="A193" s="1271">
        <v>162</v>
      </c>
      <c r="B193" s="1041" t="s">
        <v>2863</v>
      </c>
      <c r="C193" s="1032">
        <v>1977</v>
      </c>
      <c r="D193" s="1032"/>
      <c r="E193" s="1015" t="s">
        <v>218</v>
      </c>
      <c r="F193" s="1032">
        <v>2</v>
      </c>
      <c r="G193" s="1032">
        <v>3</v>
      </c>
      <c r="H193" s="1037">
        <v>937</v>
      </c>
      <c r="I193" s="1037">
        <v>850.7</v>
      </c>
      <c r="J193" s="1037">
        <v>850.7</v>
      </c>
      <c r="K193" s="1068">
        <v>27</v>
      </c>
      <c r="L193" s="1037">
        <v>2944604</v>
      </c>
      <c r="M193" s="1037">
        <v>0</v>
      </c>
      <c r="N193" s="1037">
        <v>0</v>
      </c>
      <c r="O193" s="1037">
        <v>2944604</v>
      </c>
      <c r="P193" s="1037">
        <v>0</v>
      </c>
      <c r="Q193" s="1037">
        <v>0</v>
      </c>
      <c r="R193" s="1042">
        <f>L193/I193</f>
        <v>3461.3894439873043</v>
      </c>
      <c r="S193" s="1015">
        <v>2020</v>
      </c>
      <c r="T193" s="1015">
        <v>2020</v>
      </c>
    </row>
    <row r="194" spans="1:20" s="992" customFormat="1" ht="42" customHeight="1">
      <c r="A194" s="1271">
        <v>163</v>
      </c>
      <c r="B194" s="1041" t="s">
        <v>2864</v>
      </c>
      <c r="C194" s="1032">
        <v>1960</v>
      </c>
      <c r="D194" s="1032"/>
      <c r="E194" s="1015" t="s">
        <v>218</v>
      </c>
      <c r="F194" s="1032">
        <v>2</v>
      </c>
      <c r="G194" s="1032">
        <v>1</v>
      </c>
      <c r="H194" s="1037">
        <v>335.6</v>
      </c>
      <c r="I194" s="1037">
        <v>305.3</v>
      </c>
      <c r="J194" s="1037">
        <v>305.3</v>
      </c>
      <c r="K194" s="1068">
        <v>6</v>
      </c>
      <c r="L194" s="1037">
        <v>2048051</v>
      </c>
      <c r="M194" s="1037">
        <v>0</v>
      </c>
      <c r="N194" s="1037">
        <v>0</v>
      </c>
      <c r="O194" s="1037">
        <v>2048051</v>
      </c>
      <c r="P194" s="1037">
        <v>0</v>
      </c>
      <c r="Q194" s="1037">
        <v>0</v>
      </c>
      <c r="R194" s="1042">
        <f>L194/I194</f>
        <v>6708.322961021945</v>
      </c>
      <c r="S194" s="1015">
        <v>2020</v>
      </c>
      <c r="T194" s="1015">
        <v>2020</v>
      </c>
    </row>
    <row r="195" spans="1:20" s="992" customFormat="1" ht="36" customHeight="1">
      <c r="A195" s="1271"/>
      <c r="B195" s="1391" t="s">
        <v>49</v>
      </c>
      <c r="C195" s="1391"/>
      <c r="D195" s="1391"/>
      <c r="E195" s="1391"/>
      <c r="F195" s="1391"/>
      <c r="G195" s="1391"/>
      <c r="H195" s="985">
        <f t="shared" ref="H195:Q195" si="38">H204+H209+H198+H213+H215+H217+H201+H196+H206</f>
        <v>19259.12</v>
      </c>
      <c r="I195" s="985">
        <f t="shared" si="38"/>
        <v>16956.919999999998</v>
      </c>
      <c r="J195" s="985">
        <f t="shared" si="38"/>
        <v>15075.849999999999</v>
      </c>
      <c r="K195" s="1064">
        <f t="shared" si="38"/>
        <v>906</v>
      </c>
      <c r="L195" s="985">
        <f t="shared" si="38"/>
        <v>36080625.129999995</v>
      </c>
      <c r="M195" s="985">
        <f t="shared" si="38"/>
        <v>0</v>
      </c>
      <c r="N195" s="985">
        <f t="shared" si="38"/>
        <v>0</v>
      </c>
      <c r="O195" s="985">
        <f t="shared" si="38"/>
        <v>36080625.129999995</v>
      </c>
      <c r="P195" s="985">
        <f t="shared" si="38"/>
        <v>0</v>
      </c>
      <c r="Q195" s="985">
        <f t="shared" si="38"/>
        <v>0</v>
      </c>
      <c r="R195" s="991" t="s">
        <v>40</v>
      </c>
      <c r="S195" s="991" t="s">
        <v>40</v>
      </c>
      <c r="T195" s="991" t="s">
        <v>40</v>
      </c>
    </row>
    <row r="196" spans="1:20" s="992" customFormat="1" ht="36" customHeight="1">
      <c r="A196" s="1271"/>
      <c r="B196" s="1273" t="s">
        <v>1348</v>
      </c>
      <c r="C196" s="1273"/>
      <c r="D196" s="1273"/>
      <c r="E196" s="1273"/>
      <c r="F196" s="1273"/>
      <c r="G196" s="1273"/>
      <c r="H196" s="985">
        <f>H197</f>
        <v>976.7</v>
      </c>
      <c r="I196" s="985">
        <f t="shared" ref="I196:Q196" si="39">I197</f>
        <v>878.7</v>
      </c>
      <c r="J196" s="985">
        <f t="shared" si="39"/>
        <v>878.7</v>
      </c>
      <c r="K196" s="1064">
        <f t="shared" si="39"/>
        <v>29</v>
      </c>
      <c r="L196" s="985">
        <f t="shared" si="39"/>
        <v>3012296</v>
      </c>
      <c r="M196" s="985">
        <f t="shared" si="39"/>
        <v>0</v>
      </c>
      <c r="N196" s="985">
        <f t="shared" si="39"/>
        <v>0</v>
      </c>
      <c r="O196" s="985">
        <f t="shared" si="39"/>
        <v>3012296</v>
      </c>
      <c r="P196" s="985">
        <f t="shared" si="39"/>
        <v>0</v>
      </c>
      <c r="Q196" s="985">
        <f t="shared" si="39"/>
        <v>0</v>
      </c>
      <c r="R196" s="991" t="s">
        <v>40</v>
      </c>
      <c r="S196" s="991" t="s">
        <v>40</v>
      </c>
      <c r="T196" s="991" t="s">
        <v>40</v>
      </c>
    </row>
    <row r="197" spans="1:20" s="992" customFormat="1" ht="42.6" customHeight="1">
      <c r="A197" s="1271">
        <v>164</v>
      </c>
      <c r="B197" s="1273" t="s">
        <v>1527</v>
      </c>
      <c r="C197" s="1279">
        <v>1987</v>
      </c>
      <c r="D197" s="1279"/>
      <c r="E197" s="1271" t="s">
        <v>218</v>
      </c>
      <c r="F197" s="1279">
        <v>2</v>
      </c>
      <c r="G197" s="1279">
        <v>3</v>
      </c>
      <c r="H197" s="985">
        <v>976.7</v>
      </c>
      <c r="I197" s="985">
        <v>878.7</v>
      </c>
      <c r="J197" s="985">
        <v>878.7</v>
      </c>
      <c r="K197" s="1064">
        <v>29</v>
      </c>
      <c r="L197" s="985">
        <v>3012296</v>
      </c>
      <c r="M197" s="985">
        <v>0</v>
      </c>
      <c r="N197" s="985">
        <v>0</v>
      </c>
      <c r="O197" s="985">
        <v>3012296</v>
      </c>
      <c r="P197" s="985">
        <v>0</v>
      </c>
      <c r="Q197" s="985">
        <v>0</v>
      </c>
      <c r="R197" s="985">
        <f t="shared" ref="R197" si="40">L197/I197</f>
        <v>3428.1279162398996</v>
      </c>
      <c r="S197" s="987">
        <v>2020</v>
      </c>
      <c r="T197" s="987">
        <v>2020</v>
      </c>
    </row>
    <row r="198" spans="1:20" s="992" customFormat="1" ht="36" customHeight="1">
      <c r="A198" s="1271"/>
      <c r="B198" s="1390" t="s">
        <v>1125</v>
      </c>
      <c r="C198" s="1390"/>
      <c r="D198" s="1390"/>
      <c r="E198" s="1390"/>
      <c r="F198" s="1390"/>
      <c r="G198" s="1390"/>
      <c r="H198" s="985">
        <f>H199+H200</f>
        <v>1996.8000000000002</v>
      </c>
      <c r="I198" s="985">
        <f t="shared" ref="I198:Q198" si="41">I199+I200</f>
        <v>1818.9</v>
      </c>
      <c r="J198" s="985">
        <f t="shared" si="41"/>
        <v>1643.8</v>
      </c>
      <c r="K198" s="1064">
        <f t="shared" si="41"/>
        <v>82</v>
      </c>
      <c r="L198" s="985">
        <f t="shared" si="41"/>
        <v>3043212</v>
      </c>
      <c r="M198" s="985">
        <f t="shared" si="41"/>
        <v>0</v>
      </c>
      <c r="N198" s="985">
        <f t="shared" si="41"/>
        <v>0</v>
      </c>
      <c r="O198" s="985">
        <f t="shared" si="41"/>
        <v>3043212</v>
      </c>
      <c r="P198" s="985">
        <f t="shared" si="41"/>
        <v>0</v>
      </c>
      <c r="Q198" s="985">
        <f t="shared" si="41"/>
        <v>0</v>
      </c>
      <c r="R198" s="991" t="s">
        <v>40</v>
      </c>
      <c r="S198" s="991" t="s">
        <v>40</v>
      </c>
      <c r="T198" s="991" t="s">
        <v>40</v>
      </c>
    </row>
    <row r="199" spans="1:20" s="992" customFormat="1" ht="42" customHeight="1">
      <c r="A199" s="1271">
        <v>165</v>
      </c>
      <c r="B199" s="1273" t="s">
        <v>1215</v>
      </c>
      <c r="C199" s="1279">
        <v>1966</v>
      </c>
      <c r="D199" s="1279"/>
      <c r="E199" s="1271" t="s">
        <v>218</v>
      </c>
      <c r="F199" s="1279">
        <v>2</v>
      </c>
      <c r="G199" s="1279">
        <v>2</v>
      </c>
      <c r="H199" s="985">
        <v>592.6</v>
      </c>
      <c r="I199" s="985">
        <v>545.20000000000005</v>
      </c>
      <c r="J199" s="985">
        <v>469.5</v>
      </c>
      <c r="K199" s="1064">
        <v>23</v>
      </c>
      <c r="L199" s="985">
        <v>1032519</v>
      </c>
      <c r="M199" s="985">
        <v>0</v>
      </c>
      <c r="N199" s="985">
        <v>0</v>
      </c>
      <c r="O199" s="985">
        <v>1032519</v>
      </c>
      <c r="P199" s="985">
        <v>0</v>
      </c>
      <c r="Q199" s="985">
        <v>0</v>
      </c>
      <c r="R199" s="985">
        <f t="shared" ref="R199:R200" si="42">L199/I199</f>
        <v>1893.8352898019075</v>
      </c>
      <c r="S199" s="987">
        <v>2020</v>
      </c>
      <c r="T199" s="987">
        <v>2020</v>
      </c>
    </row>
    <row r="200" spans="1:20" s="992" customFormat="1" ht="36" customHeight="1">
      <c r="A200" s="1271">
        <v>166</v>
      </c>
      <c r="B200" s="1273" t="s">
        <v>1216</v>
      </c>
      <c r="C200" s="1279">
        <v>1980</v>
      </c>
      <c r="D200" s="1279"/>
      <c r="E200" s="1271" t="s">
        <v>219</v>
      </c>
      <c r="F200" s="1279">
        <v>3</v>
      </c>
      <c r="G200" s="1279">
        <v>3</v>
      </c>
      <c r="H200" s="985">
        <v>1404.2</v>
      </c>
      <c r="I200" s="985">
        <v>1273.7</v>
      </c>
      <c r="J200" s="985">
        <v>1174.3</v>
      </c>
      <c r="K200" s="1064">
        <v>59</v>
      </c>
      <c r="L200" s="985">
        <v>2010693</v>
      </c>
      <c r="M200" s="985">
        <v>0</v>
      </c>
      <c r="N200" s="985">
        <v>0</v>
      </c>
      <c r="O200" s="985">
        <v>2010693</v>
      </c>
      <c r="P200" s="985">
        <v>0</v>
      </c>
      <c r="Q200" s="985">
        <v>0</v>
      </c>
      <c r="R200" s="985">
        <f t="shared" si="42"/>
        <v>1578.6236947475857</v>
      </c>
      <c r="S200" s="987">
        <v>2020</v>
      </c>
      <c r="T200" s="987">
        <v>2020</v>
      </c>
    </row>
    <row r="201" spans="1:20" s="992" customFormat="1" ht="32.450000000000003" customHeight="1">
      <c r="A201" s="1271"/>
      <c r="B201" s="1390" t="s">
        <v>1317</v>
      </c>
      <c r="C201" s="1390"/>
      <c r="D201" s="1390"/>
      <c r="E201" s="1390"/>
      <c r="F201" s="1390"/>
      <c r="G201" s="1390"/>
      <c r="H201" s="985">
        <f>H202+H203</f>
        <v>5273.4</v>
      </c>
      <c r="I201" s="985">
        <f t="shared" ref="I201:Q201" si="43">I202+I203</f>
        <v>5273.4</v>
      </c>
      <c r="J201" s="985">
        <f t="shared" si="43"/>
        <v>5048.7</v>
      </c>
      <c r="K201" s="1064">
        <f t="shared" si="43"/>
        <v>253</v>
      </c>
      <c r="L201" s="985">
        <f t="shared" si="43"/>
        <v>6733926.0899999999</v>
      </c>
      <c r="M201" s="985">
        <f t="shared" si="43"/>
        <v>0</v>
      </c>
      <c r="N201" s="985">
        <f t="shared" si="43"/>
        <v>0</v>
      </c>
      <c r="O201" s="985">
        <f t="shared" si="43"/>
        <v>6733926.0899999999</v>
      </c>
      <c r="P201" s="985">
        <f t="shared" si="43"/>
        <v>0</v>
      </c>
      <c r="Q201" s="985">
        <f t="shared" si="43"/>
        <v>0</v>
      </c>
      <c r="R201" s="991" t="s">
        <v>40</v>
      </c>
      <c r="S201" s="991" t="s">
        <v>40</v>
      </c>
      <c r="T201" s="991" t="s">
        <v>40</v>
      </c>
    </row>
    <row r="202" spans="1:20" s="992" customFormat="1" ht="46.9" customHeight="1">
      <c r="A202" s="1271">
        <v>167</v>
      </c>
      <c r="B202" s="1274" t="s">
        <v>2312</v>
      </c>
      <c r="C202" s="1279">
        <v>1980</v>
      </c>
      <c r="D202" s="1279"/>
      <c r="E202" s="1271" t="s">
        <v>218</v>
      </c>
      <c r="F202" s="1279">
        <v>2</v>
      </c>
      <c r="G202" s="1279">
        <v>2</v>
      </c>
      <c r="H202" s="985">
        <v>777.4</v>
      </c>
      <c r="I202" s="985">
        <v>777.4</v>
      </c>
      <c r="J202" s="985">
        <v>777.4</v>
      </c>
      <c r="K202" s="1064">
        <v>27</v>
      </c>
      <c r="L202" s="985">
        <v>1855440</v>
      </c>
      <c r="M202" s="985">
        <v>0</v>
      </c>
      <c r="N202" s="985">
        <v>0</v>
      </c>
      <c r="O202" s="985">
        <v>1855440</v>
      </c>
      <c r="P202" s="985">
        <v>0</v>
      </c>
      <c r="Q202" s="985">
        <v>0</v>
      </c>
      <c r="R202" s="985">
        <f t="shared" ref="R202:R203" si="44">L202/I202</f>
        <v>2386.7249807049138</v>
      </c>
      <c r="S202" s="987">
        <v>2020</v>
      </c>
      <c r="T202" s="987">
        <v>2020</v>
      </c>
    </row>
    <row r="203" spans="1:20" s="992" customFormat="1" ht="40.15" customHeight="1">
      <c r="A203" s="1271">
        <v>168</v>
      </c>
      <c r="B203" s="1274" t="s">
        <v>1528</v>
      </c>
      <c r="C203" s="1279">
        <v>1977</v>
      </c>
      <c r="D203" s="1279"/>
      <c r="E203" s="1271" t="s">
        <v>219</v>
      </c>
      <c r="F203" s="1279">
        <v>5</v>
      </c>
      <c r="G203" s="1279">
        <v>6</v>
      </c>
      <c r="H203" s="985">
        <v>4496</v>
      </c>
      <c r="I203" s="985">
        <v>4496</v>
      </c>
      <c r="J203" s="985">
        <v>4271.3</v>
      </c>
      <c r="K203" s="1064">
        <v>226</v>
      </c>
      <c r="L203" s="985">
        <v>4878486.09</v>
      </c>
      <c r="M203" s="985">
        <v>0</v>
      </c>
      <c r="N203" s="985">
        <v>0</v>
      </c>
      <c r="O203" s="985">
        <v>4878486.09</v>
      </c>
      <c r="P203" s="985">
        <v>0</v>
      </c>
      <c r="Q203" s="985">
        <v>0</v>
      </c>
      <c r="R203" s="985">
        <f t="shared" si="44"/>
        <v>1085.0725289145907</v>
      </c>
      <c r="S203" s="987">
        <v>2020</v>
      </c>
      <c r="T203" s="987">
        <v>2022</v>
      </c>
    </row>
    <row r="204" spans="1:20" s="992" customFormat="1" ht="39.6" customHeight="1">
      <c r="A204" s="1271"/>
      <c r="B204" s="1390" t="s">
        <v>1140</v>
      </c>
      <c r="C204" s="1390"/>
      <c r="D204" s="1390"/>
      <c r="E204" s="1390"/>
      <c r="F204" s="1390"/>
      <c r="G204" s="1390"/>
      <c r="H204" s="985">
        <f>H205</f>
        <v>1451.82</v>
      </c>
      <c r="I204" s="985">
        <f t="shared" ref="I204:Q204" si="45">I205</f>
        <v>1451.82</v>
      </c>
      <c r="J204" s="985">
        <f t="shared" si="45"/>
        <v>1341.75</v>
      </c>
      <c r="K204" s="1064">
        <f t="shared" si="45"/>
        <v>78</v>
      </c>
      <c r="L204" s="985">
        <f t="shared" si="45"/>
        <v>3143546</v>
      </c>
      <c r="M204" s="985">
        <f t="shared" si="45"/>
        <v>0</v>
      </c>
      <c r="N204" s="985">
        <f t="shared" si="45"/>
        <v>0</v>
      </c>
      <c r="O204" s="985">
        <f t="shared" si="45"/>
        <v>3143546</v>
      </c>
      <c r="P204" s="985">
        <f t="shared" si="45"/>
        <v>0</v>
      </c>
      <c r="Q204" s="985">
        <f t="shared" si="45"/>
        <v>0</v>
      </c>
      <c r="R204" s="991" t="s">
        <v>40</v>
      </c>
      <c r="S204" s="991" t="s">
        <v>40</v>
      </c>
      <c r="T204" s="991" t="s">
        <v>40</v>
      </c>
    </row>
    <row r="205" spans="1:20" s="992" customFormat="1" ht="36" customHeight="1">
      <c r="A205" s="1271">
        <v>169</v>
      </c>
      <c r="B205" s="1273" t="s">
        <v>1529</v>
      </c>
      <c r="C205" s="1279">
        <v>1982</v>
      </c>
      <c r="D205" s="1279"/>
      <c r="E205" s="1271" t="s">
        <v>219</v>
      </c>
      <c r="F205" s="1279">
        <v>3</v>
      </c>
      <c r="G205" s="1279">
        <v>3</v>
      </c>
      <c r="H205" s="985">
        <v>1451.82</v>
      </c>
      <c r="I205" s="985">
        <v>1451.82</v>
      </c>
      <c r="J205" s="985">
        <v>1341.75</v>
      </c>
      <c r="K205" s="1064">
        <v>78</v>
      </c>
      <c r="L205" s="986">
        <v>3143546</v>
      </c>
      <c r="M205" s="986">
        <v>0</v>
      </c>
      <c r="N205" s="986">
        <v>0</v>
      </c>
      <c r="O205" s="986">
        <v>3143546</v>
      </c>
      <c r="P205" s="993">
        <v>0</v>
      </c>
      <c r="Q205" s="986">
        <v>0</v>
      </c>
      <c r="R205" s="985">
        <f t="shared" ref="R205" si="46">L205/I205</f>
        <v>2165.2450028240414</v>
      </c>
      <c r="S205" s="987">
        <v>2020</v>
      </c>
      <c r="T205" s="987">
        <v>2020</v>
      </c>
    </row>
    <row r="206" spans="1:20" s="2" customFormat="1" ht="36.6" customHeight="1">
      <c r="A206" s="1271"/>
      <c r="B206" s="1390" t="s">
        <v>1356</v>
      </c>
      <c r="C206" s="1390"/>
      <c r="D206" s="1390"/>
      <c r="E206" s="1390"/>
      <c r="F206" s="1390"/>
      <c r="G206" s="1390"/>
      <c r="H206" s="985">
        <f>H207+H208</f>
        <v>2407.1999999999998</v>
      </c>
      <c r="I206" s="985">
        <f t="shared" ref="I206:Q206" si="47">I207+I208</f>
        <v>1633.6</v>
      </c>
      <c r="J206" s="985">
        <f t="shared" si="47"/>
        <v>1198.8</v>
      </c>
      <c r="K206" s="1064">
        <f t="shared" si="47"/>
        <v>159</v>
      </c>
      <c r="L206" s="985">
        <f t="shared" si="47"/>
        <v>4827660.26</v>
      </c>
      <c r="M206" s="985">
        <f t="shared" si="47"/>
        <v>0</v>
      </c>
      <c r="N206" s="985">
        <f t="shared" si="47"/>
        <v>0</v>
      </c>
      <c r="O206" s="985">
        <f t="shared" si="47"/>
        <v>4827660.26</v>
      </c>
      <c r="P206" s="985">
        <f t="shared" si="47"/>
        <v>0</v>
      </c>
      <c r="Q206" s="985">
        <f t="shared" si="47"/>
        <v>0</v>
      </c>
      <c r="R206" s="991" t="s">
        <v>40</v>
      </c>
      <c r="S206" s="991" t="s">
        <v>40</v>
      </c>
      <c r="T206" s="991" t="s">
        <v>40</v>
      </c>
    </row>
    <row r="207" spans="1:20" s="2" customFormat="1" ht="36.6" customHeight="1">
      <c r="A207" s="1271">
        <v>170</v>
      </c>
      <c r="B207" s="1273" t="s">
        <v>1357</v>
      </c>
      <c r="C207" s="1279">
        <v>1983</v>
      </c>
      <c r="D207" s="1279"/>
      <c r="E207" s="1271" t="s">
        <v>219</v>
      </c>
      <c r="F207" s="1279">
        <v>2</v>
      </c>
      <c r="G207" s="1279">
        <v>3</v>
      </c>
      <c r="H207" s="985">
        <v>964.3</v>
      </c>
      <c r="I207" s="985">
        <v>877.3</v>
      </c>
      <c r="J207" s="985">
        <v>509.5</v>
      </c>
      <c r="K207" s="1064">
        <v>54</v>
      </c>
      <c r="L207" s="986">
        <v>3156502.26</v>
      </c>
      <c r="M207" s="986">
        <v>0</v>
      </c>
      <c r="N207" s="986">
        <v>0</v>
      </c>
      <c r="O207" s="986">
        <v>3156502.26</v>
      </c>
      <c r="P207" s="993">
        <v>0</v>
      </c>
      <c r="Q207" s="986">
        <v>0</v>
      </c>
      <c r="R207" s="985">
        <f t="shared" ref="R207:R208" si="48">L207/I207</f>
        <v>3597.9736236179187</v>
      </c>
      <c r="S207" s="987">
        <v>2020</v>
      </c>
      <c r="T207" s="987">
        <v>2020</v>
      </c>
    </row>
    <row r="208" spans="1:20" s="2" customFormat="1" ht="43.15" customHeight="1">
      <c r="A208" s="1271">
        <v>171</v>
      </c>
      <c r="B208" s="1273" t="s">
        <v>1358</v>
      </c>
      <c r="C208" s="1279">
        <v>1977</v>
      </c>
      <c r="D208" s="1279"/>
      <c r="E208" s="1271" t="s">
        <v>218</v>
      </c>
      <c r="F208" s="1279">
        <v>3</v>
      </c>
      <c r="G208" s="1279">
        <v>2</v>
      </c>
      <c r="H208" s="985">
        <v>1442.9</v>
      </c>
      <c r="I208" s="985">
        <v>756.3</v>
      </c>
      <c r="J208" s="985">
        <v>689.3</v>
      </c>
      <c r="K208" s="1064">
        <v>105</v>
      </c>
      <c r="L208" s="986">
        <v>1671158</v>
      </c>
      <c r="M208" s="986">
        <v>0</v>
      </c>
      <c r="N208" s="986">
        <v>0</v>
      </c>
      <c r="O208" s="986">
        <v>1671158</v>
      </c>
      <c r="P208" s="993">
        <v>0</v>
      </c>
      <c r="Q208" s="986">
        <v>0</v>
      </c>
      <c r="R208" s="985">
        <f t="shared" si="48"/>
        <v>2209.6496099431442</v>
      </c>
      <c r="S208" s="987">
        <v>2020</v>
      </c>
      <c r="T208" s="987">
        <v>2020</v>
      </c>
    </row>
    <row r="209" spans="1:20" s="2" customFormat="1" ht="36.6" customHeight="1">
      <c r="A209" s="1271"/>
      <c r="B209" s="1273" t="s">
        <v>1065</v>
      </c>
      <c r="C209" s="1279"/>
      <c r="D209" s="1283"/>
      <c r="E209" s="1279"/>
      <c r="F209" s="1279"/>
      <c r="G209" s="1279"/>
      <c r="H209" s="985">
        <f>H210+H211+H212</f>
        <v>2332.1</v>
      </c>
      <c r="I209" s="985">
        <f t="shared" ref="I209:Q209" si="49">I210+I211+I212</f>
        <v>1458.3999999999999</v>
      </c>
      <c r="J209" s="985">
        <f t="shared" si="49"/>
        <v>1458.3999999999999</v>
      </c>
      <c r="K209" s="1064">
        <f t="shared" si="49"/>
        <v>95</v>
      </c>
      <c r="L209" s="985">
        <f t="shared" si="49"/>
        <v>7623339.5099999998</v>
      </c>
      <c r="M209" s="985">
        <f t="shared" si="49"/>
        <v>0</v>
      </c>
      <c r="N209" s="985">
        <f t="shared" si="49"/>
        <v>0</v>
      </c>
      <c r="O209" s="985">
        <f t="shared" si="49"/>
        <v>7623339.5099999998</v>
      </c>
      <c r="P209" s="985">
        <f t="shared" si="49"/>
        <v>0</v>
      </c>
      <c r="Q209" s="985">
        <f t="shared" si="49"/>
        <v>0</v>
      </c>
      <c r="R209" s="991" t="s">
        <v>40</v>
      </c>
      <c r="S209" s="991" t="s">
        <v>40</v>
      </c>
      <c r="T209" s="991" t="s">
        <v>40</v>
      </c>
    </row>
    <row r="210" spans="1:20" s="2" customFormat="1" ht="39" customHeight="1">
      <c r="A210" s="1271">
        <v>172</v>
      </c>
      <c r="B210" s="1273" t="s">
        <v>1183</v>
      </c>
      <c r="C210" s="1279">
        <v>1968</v>
      </c>
      <c r="D210" s="1279"/>
      <c r="E210" s="1271" t="s">
        <v>218</v>
      </c>
      <c r="F210" s="1279">
        <v>2</v>
      </c>
      <c r="G210" s="1279">
        <v>2</v>
      </c>
      <c r="H210" s="985">
        <v>735</v>
      </c>
      <c r="I210" s="985">
        <v>480.2</v>
      </c>
      <c r="J210" s="985">
        <v>480.2</v>
      </c>
      <c r="K210" s="1064">
        <v>30</v>
      </c>
      <c r="L210" s="986">
        <v>2330422.92</v>
      </c>
      <c r="M210" s="986">
        <v>0</v>
      </c>
      <c r="N210" s="986">
        <v>0</v>
      </c>
      <c r="O210" s="986">
        <f>L210</f>
        <v>2330422.92</v>
      </c>
      <c r="P210" s="993">
        <f t="shared" ref="P210" si="50">Q210</f>
        <v>0</v>
      </c>
      <c r="Q210" s="986">
        <v>0</v>
      </c>
      <c r="R210" s="985">
        <f>L210/I210</f>
        <v>4853.0256559766767</v>
      </c>
      <c r="S210" s="987">
        <v>2020</v>
      </c>
      <c r="T210" s="987">
        <v>2020</v>
      </c>
    </row>
    <row r="211" spans="1:20" s="2" customFormat="1" ht="40.9" customHeight="1">
      <c r="A211" s="1271">
        <v>173</v>
      </c>
      <c r="B211" s="1273" t="s">
        <v>1184</v>
      </c>
      <c r="C211" s="1279">
        <v>1967</v>
      </c>
      <c r="D211" s="1279"/>
      <c r="E211" s="1271" t="s">
        <v>218</v>
      </c>
      <c r="F211" s="1279">
        <v>2</v>
      </c>
      <c r="G211" s="1279">
        <v>2</v>
      </c>
      <c r="H211" s="985">
        <v>738.8</v>
      </c>
      <c r="I211" s="985">
        <v>482.9</v>
      </c>
      <c r="J211" s="985">
        <v>482.9</v>
      </c>
      <c r="K211" s="1064">
        <v>29</v>
      </c>
      <c r="L211" s="986">
        <v>2330422.92</v>
      </c>
      <c r="M211" s="986">
        <v>0</v>
      </c>
      <c r="N211" s="986">
        <v>0</v>
      </c>
      <c r="O211" s="986">
        <f t="shared" ref="O211:O212" si="51">L211</f>
        <v>2330422.92</v>
      </c>
      <c r="P211" s="993">
        <v>0</v>
      </c>
      <c r="Q211" s="986">
        <v>0</v>
      </c>
      <c r="R211" s="985">
        <f>L211/I211</f>
        <v>4825.8913232553323</v>
      </c>
      <c r="S211" s="987">
        <v>2020</v>
      </c>
      <c r="T211" s="987">
        <v>2020</v>
      </c>
    </row>
    <row r="212" spans="1:20" s="2" customFormat="1" ht="40.9" customHeight="1">
      <c r="A212" s="1271">
        <v>174</v>
      </c>
      <c r="B212" s="1273" t="s">
        <v>1530</v>
      </c>
      <c r="C212" s="1279">
        <v>1978</v>
      </c>
      <c r="D212" s="1279"/>
      <c r="E212" s="1271" t="s">
        <v>218</v>
      </c>
      <c r="F212" s="1279">
        <v>2</v>
      </c>
      <c r="G212" s="1279">
        <v>3</v>
      </c>
      <c r="H212" s="985">
        <v>858.3</v>
      </c>
      <c r="I212" s="985">
        <v>495.3</v>
      </c>
      <c r="J212" s="985">
        <v>495.3</v>
      </c>
      <c r="K212" s="1064">
        <v>36</v>
      </c>
      <c r="L212" s="986">
        <v>2962493.67</v>
      </c>
      <c r="M212" s="986">
        <v>0</v>
      </c>
      <c r="N212" s="986">
        <v>0</v>
      </c>
      <c r="O212" s="986">
        <f t="shared" si="51"/>
        <v>2962493.67</v>
      </c>
      <c r="P212" s="993">
        <v>0</v>
      </c>
      <c r="Q212" s="986">
        <v>0</v>
      </c>
      <c r="R212" s="985">
        <f>L212/I212</f>
        <v>5981.210720775287</v>
      </c>
      <c r="S212" s="987">
        <v>2020</v>
      </c>
      <c r="T212" s="987">
        <v>2020</v>
      </c>
    </row>
    <row r="213" spans="1:20" s="2" customFormat="1" ht="36.6" customHeight="1">
      <c r="A213" s="1271"/>
      <c r="B213" s="1390" t="s">
        <v>1261</v>
      </c>
      <c r="C213" s="1390"/>
      <c r="D213" s="1390"/>
      <c r="E213" s="1390"/>
      <c r="F213" s="1390"/>
      <c r="G213" s="1390"/>
      <c r="H213" s="985">
        <f>H214</f>
        <v>1237.5</v>
      </c>
      <c r="I213" s="985">
        <f t="shared" ref="I213:Q213" si="52">I214</f>
        <v>863.3</v>
      </c>
      <c r="J213" s="985">
        <f t="shared" si="52"/>
        <v>778.1</v>
      </c>
      <c r="K213" s="1064">
        <f t="shared" si="52"/>
        <v>58</v>
      </c>
      <c r="L213" s="985">
        <f t="shared" si="52"/>
        <v>2788912</v>
      </c>
      <c r="M213" s="985">
        <f t="shared" si="52"/>
        <v>0</v>
      </c>
      <c r="N213" s="985">
        <f t="shared" si="52"/>
        <v>0</v>
      </c>
      <c r="O213" s="985">
        <f t="shared" si="52"/>
        <v>2788912</v>
      </c>
      <c r="P213" s="985">
        <f t="shared" si="52"/>
        <v>0</v>
      </c>
      <c r="Q213" s="985">
        <f t="shared" si="52"/>
        <v>0</v>
      </c>
      <c r="R213" s="991" t="s">
        <v>40</v>
      </c>
      <c r="S213" s="991" t="s">
        <v>40</v>
      </c>
      <c r="T213" s="991" t="s">
        <v>40</v>
      </c>
    </row>
    <row r="214" spans="1:20" s="2" customFormat="1" ht="39" customHeight="1">
      <c r="A214" s="1271">
        <v>175</v>
      </c>
      <c r="B214" s="1273" t="s">
        <v>1262</v>
      </c>
      <c r="C214" s="1279">
        <v>1976</v>
      </c>
      <c r="D214" s="1279"/>
      <c r="E214" s="1271" t="s">
        <v>218</v>
      </c>
      <c r="F214" s="1279">
        <v>2</v>
      </c>
      <c r="G214" s="1279">
        <v>3</v>
      </c>
      <c r="H214" s="985">
        <v>1237.5</v>
      </c>
      <c r="I214" s="985">
        <v>863.3</v>
      </c>
      <c r="J214" s="985">
        <v>778.1</v>
      </c>
      <c r="K214" s="1064">
        <v>58</v>
      </c>
      <c r="L214" s="986">
        <v>2788912</v>
      </c>
      <c r="M214" s="986">
        <v>0</v>
      </c>
      <c r="N214" s="986">
        <v>0</v>
      </c>
      <c r="O214" s="986">
        <v>2788912</v>
      </c>
      <c r="P214" s="993">
        <v>0</v>
      </c>
      <c r="Q214" s="986">
        <v>0</v>
      </c>
      <c r="R214" s="985">
        <f>L214/I214</f>
        <v>3230.5247306845827</v>
      </c>
      <c r="S214" s="987">
        <v>2020</v>
      </c>
      <c r="T214" s="987">
        <v>2020</v>
      </c>
    </row>
    <row r="215" spans="1:20" s="2" customFormat="1" ht="36.6" customHeight="1">
      <c r="A215" s="1271"/>
      <c r="B215" s="1390" t="s">
        <v>1128</v>
      </c>
      <c r="C215" s="1390"/>
      <c r="D215" s="1390"/>
      <c r="E215" s="1390"/>
      <c r="F215" s="1390"/>
      <c r="G215" s="1390"/>
      <c r="H215" s="985">
        <f>H216</f>
        <v>864.2</v>
      </c>
      <c r="I215" s="985">
        <f t="shared" ref="I215:Q215" si="53">I216</f>
        <v>859.4</v>
      </c>
      <c r="J215" s="985">
        <f t="shared" si="53"/>
        <v>798.7</v>
      </c>
      <c r="K215" s="1064">
        <f t="shared" si="53"/>
        <v>32</v>
      </c>
      <c r="L215" s="985">
        <f t="shared" si="53"/>
        <v>1723365</v>
      </c>
      <c r="M215" s="985">
        <f t="shared" si="53"/>
        <v>0</v>
      </c>
      <c r="N215" s="985">
        <f t="shared" si="53"/>
        <v>0</v>
      </c>
      <c r="O215" s="985">
        <f t="shared" si="53"/>
        <v>1723365</v>
      </c>
      <c r="P215" s="985">
        <f t="shared" si="53"/>
        <v>0</v>
      </c>
      <c r="Q215" s="985">
        <f t="shared" si="53"/>
        <v>0</v>
      </c>
      <c r="R215" s="991" t="s">
        <v>40</v>
      </c>
      <c r="S215" s="991" t="s">
        <v>40</v>
      </c>
      <c r="T215" s="991" t="s">
        <v>40</v>
      </c>
    </row>
    <row r="216" spans="1:20" s="2" customFormat="1" ht="36.6" customHeight="1">
      <c r="A216" s="1271">
        <v>176</v>
      </c>
      <c r="B216" s="1274" t="s">
        <v>2865</v>
      </c>
      <c r="C216" s="1279">
        <v>1978</v>
      </c>
      <c r="D216" s="1279"/>
      <c r="E216" s="1271" t="s">
        <v>220</v>
      </c>
      <c r="F216" s="1279">
        <v>3</v>
      </c>
      <c r="G216" s="1279">
        <v>2</v>
      </c>
      <c r="H216" s="985">
        <v>864.2</v>
      </c>
      <c r="I216" s="985">
        <v>859.4</v>
      </c>
      <c r="J216" s="985">
        <v>798.7</v>
      </c>
      <c r="K216" s="1064">
        <v>32</v>
      </c>
      <c r="L216" s="986">
        <v>1723365</v>
      </c>
      <c r="M216" s="986">
        <v>0</v>
      </c>
      <c r="N216" s="986">
        <v>0</v>
      </c>
      <c r="O216" s="986">
        <v>1723365</v>
      </c>
      <c r="P216" s="993">
        <v>0</v>
      </c>
      <c r="Q216" s="986">
        <v>0</v>
      </c>
      <c r="R216" s="985">
        <f>L216/I216</f>
        <v>2005.3118454735863</v>
      </c>
      <c r="S216" s="987">
        <v>2020</v>
      </c>
      <c r="T216" s="987">
        <v>2020</v>
      </c>
    </row>
    <row r="217" spans="1:20" s="2" customFormat="1" ht="36.6" customHeight="1">
      <c r="A217" s="1271"/>
      <c r="B217" s="1390" t="s">
        <v>1151</v>
      </c>
      <c r="C217" s="1390"/>
      <c r="D217" s="1390"/>
      <c r="E217" s="1390"/>
      <c r="F217" s="1390"/>
      <c r="G217" s="1390"/>
      <c r="H217" s="985">
        <f>H218+H219</f>
        <v>2719.4</v>
      </c>
      <c r="I217" s="985">
        <f t="shared" ref="I217:Q217" si="54">I218+I219</f>
        <v>2719.4</v>
      </c>
      <c r="J217" s="985">
        <f t="shared" si="54"/>
        <v>1928.9</v>
      </c>
      <c r="K217" s="1064">
        <f t="shared" si="54"/>
        <v>120</v>
      </c>
      <c r="L217" s="985">
        <f t="shared" si="54"/>
        <v>3184368.27</v>
      </c>
      <c r="M217" s="985">
        <f t="shared" si="54"/>
        <v>0</v>
      </c>
      <c r="N217" s="985">
        <f t="shared" si="54"/>
        <v>0</v>
      </c>
      <c r="O217" s="985">
        <f t="shared" si="54"/>
        <v>3184368.27</v>
      </c>
      <c r="P217" s="985">
        <f t="shared" si="54"/>
        <v>0</v>
      </c>
      <c r="Q217" s="985">
        <f t="shared" si="54"/>
        <v>0</v>
      </c>
      <c r="R217" s="991" t="s">
        <v>40</v>
      </c>
      <c r="S217" s="991" t="s">
        <v>40</v>
      </c>
      <c r="T217" s="991" t="s">
        <v>40</v>
      </c>
    </row>
    <row r="218" spans="1:20" s="992" customFormat="1" ht="42" customHeight="1">
      <c r="A218" s="1271">
        <v>177</v>
      </c>
      <c r="B218" s="1272" t="s">
        <v>1531</v>
      </c>
      <c r="C218" s="1279">
        <v>1972</v>
      </c>
      <c r="D218" s="1279"/>
      <c r="E218" s="1271" t="s">
        <v>218</v>
      </c>
      <c r="F218" s="1279">
        <v>2</v>
      </c>
      <c r="G218" s="1279">
        <v>2</v>
      </c>
      <c r="H218" s="985">
        <v>796.2</v>
      </c>
      <c r="I218" s="985">
        <v>796.2</v>
      </c>
      <c r="J218" s="985">
        <v>566.5</v>
      </c>
      <c r="K218" s="1064">
        <v>30</v>
      </c>
      <c r="L218" s="986">
        <v>1985460</v>
      </c>
      <c r="M218" s="986">
        <v>0</v>
      </c>
      <c r="N218" s="986">
        <v>0</v>
      </c>
      <c r="O218" s="986">
        <v>1985460</v>
      </c>
      <c r="P218" s="993">
        <v>0</v>
      </c>
      <c r="Q218" s="986">
        <v>0</v>
      </c>
      <c r="R218" s="985">
        <f>L218/I218</f>
        <v>2493.6699321778447</v>
      </c>
      <c r="S218" s="987">
        <v>2020</v>
      </c>
      <c r="T218" s="987">
        <v>2020</v>
      </c>
    </row>
    <row r="219" spans="1:20" s="992" customFormat="1" ht="36" customHeight="1">
      <c r="A219" s="1271">
        <v>178</v>
      </c>
      <c r="B219" s="1272" t="s">
        <v>1532</v>
      </c>
      <c r="C219" s="1279">
        <v>1964</v>
      </c>
      <c r="D219" s="1279"/>
      <c r="E219" s="1271" t="s">
        <v>219</v>
      </c>
      <c r="F219" s="1279">
        <v>4</v>
      </c>
      <c r="G219" s="1279">
        <v>4</v>
      </c>
      <c r="H219" s="985">
        <v>1923.2</v>
      </c>
      <c r="I219" s="985">
        <v>1923.2</v>
      </c>
      <c r="J219" s="985">
        <v>1362.4</v>
      </c>
      <c r="K219" s="1064">
        <v>90</v>
      </c>
      <c r="L219" s="986">
        <v>1198908.27</v>
      </c>
      <c r="M219" s="986">
        <v>0</v>
      </c>
      <c r="N219" s="986">
        <v>0</v>
      </c>
      <c r="O219" s="986">
        <v>1198908.27</v>
      </c>
      <c r="P219" s="993">
        <v>0</v>
      </c>
      <c r="Q219" s="986">
        <v>0</v>
      </c>
      <c r="R219" s="985">
        <f>L219/I219</f>
        <v>623.39240328618973</v>
      </c>
      <c r="S219" s="987">
        <v>2020</v>
      </c>
      <c r="T219" s="987">
        <v>2020</v>
      </c>
    </row>
    <row r="220" spans="1:20" s="992" customFormat="1" ht="36" customHeight="1">
      <c r="A220" s="1271"/>
      <c r="B220" s="1391" t="s">
        <v>50</v>
      </c>
      <c r="C220" s="1391"/>
      <c r="D220" s="1391"/>
      <c r="E220" s="1391"/>
      <c r="F220" s="1391"/>
      <c r="G220" s="1391"/>
      <c r="H220" s="985">
        <f>H221</f>
        <v>29928.080000000002</v>
      </c>
      <c r="I220" s="985">
        <f t="shared" ref="I220:O220" si="55">I221</f>
        <v>26891.98</v>
      </c>
      <c r="J220" s="985">
        <f t="shared" si="55"/>
        <v>25264.58</v>
      </c>
      <c r="K220" s="1064">
        <f t="shared" si="55"/>
        <v>992</v>
      </c>
      <c r="L220" s="986">
        <f t="shared" si="55"/>
        <v>23576771</v>
      </c>
      <c r="M220" s="986">
        <f t="shared" si="55"/>
        <v>0</v>
      </c>
      <c r="N220" s="986">
        <v>0</v>
      </c>
      <c r="O220" s="986">
        <f t="shared" si="55"/>
        <v>23576771</v>
      </c>
      <c r="P220" s="993">
        <v>0</v>
      </c>
      <c r="Q220" s="986">
        <v>0</v>
      </c>
      <c r="R220" s="991" t="s">
        <v>40</v>
      </c>
      <c r="S220" s="991" t="s">
        <v>40</v>
      </c>
      <c r="T220" s="991" t="s">
        <v>40</v>
      </c>
    </row>
    <row r="221" spans="1:20" s="992" customFormat="1" ht="36" customHeight="1">
      <c r="A221" s="1271"/>
      <c r="B221" s="1391" t="s">
        <v>1067</v>
      </c>
      <c r="C221" s="1391"/>
      <c r="D221" s="1391"/>
      <c r="E221" s="1391"/>
      <c r="F221" s="1391"/>
      <c r="G221" s="1391"/>
      <c r="H221" s="985">
        <f>SUM(H222:H229)</f>
        <v>29928.080000000002</v>
      </c>
      <c r="I221" s="985">
        <f t="shared" ref="I221:Q221" si="56">SUM(I222:I229)</f>
        <v>26891.98</v>
      </c>
      <c r="J221" s="985">
        <f t="shared" si="56"/>
        <v>25264.58</v>
      </c>
      <c r="K221" s="1064">
        <f t="shared" si="56"/>
        <v>992</v>
      </c>
      <c r="L221" s="985">
        <f t="shared" si="56"/>
        <v>23576771</v>
      </c>
      <c r="M221" s="985">
        <f t="shared" si="56"/>
        <v>0</v>
      </c>
      <c r="N221" s="985">
        <f t="shared" si="56"/>
        <v>0</v>
      </c>
      <c r="O221" s="985">
        <f t="shared" si="56"/>
        <v>23576771</v>
      </c>
      <c r="P221" s="985">
        <f t="shared" si="56"/>
        <v>0</v>
      </c>
      <c r="Q221" s="985">
        <f t="shared" si="56"/>
        <v>0</v>
      </c>
      <c r="R221" s="991" t="s">
        <v>40</v>
      </c>
      <c r="S221" s="991" t="s">
        <v>40</v>
      </c>
      <c r="T221" s="991" t="s">
        <v>40</v>
      </c>
    </row>
    <row r="222" spans="1:20" s="992" customFormat="1" ht="40.9" customHeight="1">
      <c r="A222" s="1031">
        <v>179</v>
      </c>
      <c r="B222" s="1276" t="s">
        <v>1245</v>
      </c>
      <c r="C222" s="1279">
        <v>1985</v>
      </c>
      <c r="D222" s="1043"/>
      <c r="E222" s="1271" t="s">
        <v>218</v>
      </c>
      <c r="F222" s="1023">
        <v>5</v>
      </c>
      <c r="G222" s="1023">
        <v>8</v>
      </c>
      <c r="H222" s="1044">
        <v>5886.4</v>
      </c>
      <c r="I222" s="1044">
        <v>5280.1</v>
      </c>
      <c r="J222" s="1044">
        <v>5079.6000000000004</v>
      </c>
      <c r="K222" s="1011">
        <v>176</v>
      </c>
      <c r="L222" s="1045">
        <v>4293103</v>
      </c>
      <c r="M222" s="1045">
        <v>0</v>
      </c>
      <c r="N222" s="1045">
        <v>0</v>
      </c>
      <c r="O222" s="1045">
        <v>4293103</v>
      </c>
      <c r="P222" s="1024">
        <v>0</v>
      </c>
      <c r="Q222" s="1024">
        <v>0</v>
      </c>
      <c r="R222" s="1046">
        <f>L222/I222</f>
        <v>813.07229029753216</v>
      </c>
      <c r="S222" s="1032">
        <v>2020</v>
      </c>
      <c r="T222" s="1032">
        <v>2020</v>
      </c>
    </row>
    <row r="223" spans="1:20" s="992" customFormat="1" ht="44.45" customHeight="1">
      <c r="A223" s="1031">
        <v>180</v>
      </c>
      <c r="B223" s="1276" t="s">
        <v>1246</v>
      </c>
      <c r="C223" s="1279">
        <v>1985</v>
      </c>
      <c r="D223" s="1043"/>
      <c r="E223" s="1271" t="s">
        <v>218</v>
      </c>
      <c r="F223" s="1023">
        <v>5</v>
      </c>
      <c r="G223" s="1023">
        <v>6</v>
      </c>
      <c r="H223" s="1044">
        <v>4600.8</v>
      </c>
      <c r="I223" s="1044">
        <v>4163.3999999999996</v>
      </c>
      <c r="J223" s="1044">
        <v>3901.8</v>
      </c>
      <c r="K223" s="1011">
        <v>169</v>
      </c>
      <c r="L223" s="1045">
        <v>3619249</v>
      </c>
      <c r="M223" s="1045">
        <v>0</v>
      </c>
      <c r="N223" s="1045">
        <v>0</v>
      </c>
      <c r="O223" s="1045">
        <v>3619249</v>
      </c>
      <c r="P223" s="1024">
        <v>0</v>
      </c>
      <c r="Q223" s="1024">
        <v>0</v>
      </c>
      <c r="R223" s="1046">
        <f>L223/I223</f>
        <v>869.30129221309517</v>
      </c>
      <c r="S223" s="1032">
        <v>2020</v>
      </c>
      <c r="T223" s="1032">
        <v>2020</v>
      </c>
    </row>
    <row r="224" spans="1:20" s="992" customFormat="1" ht="42" customHeight="1">
      <c r="A224" s="1031">
        <v>181</v>
      </c>
      <c r="B224" s="1276" t="s">
        <v>1247</v>
      </c>
      <c r="C224" s="1279">
        <v>1985</v>
      </c>
      <c r="D224" s="1043"/>
      <c r="E224" s="1271" t="s">
        <v>218</v>
      </c>
      <c r="F224" s="1023">
        <v>5</v>
      </c>
      <c r="G224" s="1023">
        <v>6</v>
      </c>
      <c r="H224" s="1044">
        <v>4561.1000000000004</v>
      </c>
      <c r="I224" s="1044">
        <v>4119.2</v>
      </c>
      <c r="J224" s="1044">
        <v>3977.3</v>
      </c>
      <c r="K224" s="1011">
        <v>156</v>
      </c>
      <c r="L224" s="1045">
        <v>3260585</v>
      </c>
      <c r="M224" s="1045">
        <v>0</v>
      </c>
      <c r="N224" s="1045">
        <v>0</v>
      </c>
      <c r="O224" s="1045">
        <v>3260585</v>
      </c>
      <c r="P224" s="1024">
        <v>0</v>
      </c>
      <c r="Q224" s="1024">
        <v>0</v>
      </c>
      <c r="R224" s="1046">
        <f t="shared" ref="R224:R229" si="57">L224/I224</f>
        <v>791.55782676247816</v>
      </c>
      <c r="S224" s="1032">
        <v>2020</v>
      </c>
      <c r="T224" s="1032">
        <v>2020</v>
      </c>
    </row>
    <row r="225" spans="1:20" s="992" customFormat="1" ht="39.6" customHeight="1">
      <c r="A225" s="1031">
        <v>182</v>
      </c>
      <c r="B225" s="1272" t="s">
        <v>1248</v>
      </c>
      <c r="C225" s="1279">
        <v>1984</v>
      </c>
      <c r="D225" s="1043"/>
      <c r="E225" s="1271" t="s">
        <v>218</v>
      </c>
      <c r="F225" s="1023">
        <v>5</v>
      </c>
      <c r="G225" s="1023">
        <v>4</v>
      </c>
      <c r="H225" s="1044">
        <v>3168.2</v>
      </c>
      <c r="I225" s="1044">
        <v>2811.3</v>
      </c>
      <c r="J225" s="1044">
        <v>2377.1</v>
      </c>
      <c r="K225" s="1011">
        <v>99</v>
      </c>
      <c r="L225" s="1045">
        <v>2253607</v>
      </c>
      <c r="M225" s="1045">
        <v>0</v>
      </c>
      <c r="N225" s="1045">
        <v>0</v>
      </c>
      <c r="O225" s="1045">
        <v>2253607</v>
      </c>
      <c r="P225" s="1024">
        <v>0</v>
      </c>
      <c r="Q225" s="1024">
        <v>0</v>
      </c>
      <c r="R225" s="1046">
        <f t="shared" si="57"/>
        <v>801.62451534877096</v>
      </c>
      <c r="S225" s="1032">
        <v>2020</v>
      </c>
      <c r="T225" s="1032">
        <v>2020</v>
      </c>
    </row>
    <row r="226" spans="1:20" s="992" customFormat="1" ht="42" customHeight="1">
      <c r="A226" s="1031">
        <v>183</v>
      </c>
      <c r="B226" s="1272" t="s">
        <v>1244</v>
      </c>
      <c r="C226" s="1279">
        <v>1984</v>
      </c>
      <c r="D226" s="1043"/>
      <c r="E226" s="1271" t="s">
        <v>218</v>
      </c>
      <c r="F226" s="1023">
        <v>5</v>
      </c>
      <c r="G226" s="1023">
        <v>6</v>
      </c>
      <c r="H226" s="1044">
        <v>4190.8999999999996</v>
      </c>
      <c r="I226" s="1044">
        <v>3742.9</v>
      </c>
      <c r="J226" s="1044">
        <v>3606.8</v>
      </c>
      <c r="K226" s="1011">
        <v>130</v>
      </c>
      <c r="L226" s="1045">
        <v>3380139</v>
      </c>
      <c r="M226" s="1045">
        <v>0</v>
      </c>
      <c r="N226" s="1045">
        <v>0</v>
      </c>
      <c r="O226" s="1045">
        <v>3380139</v>
      </c>
      <c r="P226" s="1024">
        <v>0</v>
      </c>
      <c r="Q226" s="1024">
        <v>0</v>
      </c>
      <c r="R226" s="1046">
        <f t="shared" si="57"/>
        <v>903.08023190574147</v>
      </c>
      <c r="S226" s="1032">
        <v>2020</v>
      </c>
      <c r="T226" s="1032">
        <v>2020</v>
      </c>
    </row>
    <row r="227" spans="1:20" s="992" customFormat="1" ht="36" customHeight="1">
      <c r="A227" s="1031">
        <v>184</v>
      </c>
      <c r="B227" s="1276" t="s">
        <v>1249</v>
      </c>
      <c r="C227" s="1279">
        <v>1980</v>
      </c>
      <c r="D227" s="1043"/>
      <c r="E227" s="1081" t="s">
        <v>220</v>
      </c>
      <c r="F227" s="1023">
        <v>5</v>
      </c>
      <c r="G227" s="1023">
        <v>4</v>
      </c>
      <c r="H227" s="1046">
        <v>3179.38</v>
      </c>
      <c r="I227" s="1044">
        <v>2868.48</v>
      </c>
      <c r="J227" s="1044">
        <v>2694.38</v>
      </c>
      <c r="K227" s="1011">
        <v>102</v>
      </c>
      <c r="L227" s="1045">
        <v>2119380</v>
      </c>
      <c r="M227" s="1045">
        <v>0</v>
      </c>
      <c r="N227" s="1045">
        <v>0</v>
      </c>
      <c r="O227" s="1045">
        <v>2119380</v>
      </c>
      <c r="P227" s="1024">
        <v>0</v>
      </c>
      <c r="Q227" s="1024">
        <v>0</v>
      </c>
      <c r="R227" s="1046">
        <f t="shared" si="57"/>
        <v>738.8512382864792</v>
      </c>
      <c r="S227" s="1032">
        <v>2020</v>
      </c>
      <c r="T227" s="1032">
        <v>2020</v>
      </c>
    </row>
    <row r="228" spans="1:20" s="992" customFormat="1" ht="40.15" customHeight="1">
      <c r="A228" s="1031">
        <v>185</v>
      </c>
      <c r="B228" s="1276" t="s">
        <v>1250</v>
      </c>
      <c r="C228" s="1047">
        <v>1983</v>
      </c>
      <c r="D228" s="1048"/>
      <c r="E228" s="1271" t="s">
        <v>218</v>
      </c>
      <c r="F228" s="1047">
        <v>5</v>
      </c>
      <c r="G228" s="1047">
        <v>5</v>
      </c>
      <c r="H228" s="1049">
        <v>4054</v>
      </c>
      <c r="I228" s="1050">
        <v>3640.8</v>
      </c>
      <c r="J228" s="1050">
        <v>3361.8</v>
      </c>
      <c r="K228" s="1264">
        <v>150</v>
      </c>
      <c r="L228" s="1051">
        <v>2988869</v>
      </c>
      <c r="M228" s="1045">
        <v>0</v>
      </c>
      <c r="N228" s="1045">
        <v>0</v>
      </c>
      <c r="O228" s="1051">
        <v>2988869</v>
      </c>
      <c r="P228" s="1024">
        <v>0</v>
      </c>
      <c r="Q228" s="1024">
        <v>0</v>
      </c>
      <c r="R228" s="1046">
        <f t="shared" si="57"/>
        <v>820.93743133377279</v>
      </c>
      <c r="S228" s="1032">
        <v>2020</v>
      </c>
      <c r="T228" s="1032">
        <v>2020</v>
      </c>
    </row>
    <row r="229" spans="1:20" s="992" customFormat="1" ht="42" customHeight="1">
      <c r="A229" s="1031">
        <v>186</v>
      </c>
      <c r="B229" s="1276" t="s">
        <v>1251</v>
      </c>
      <c r="C229" s="1032">
        <v>1950</v>
      </c>
      <c r="D229" s="1032"/>
      <c r="E229" s="1271" t="s">
        <v>218</v>
      </c>
      <c r="F229" s="1032">
        <v>1</v>
      </c>
      <c r="G229" s="1032">
        <v>2</v>
      </c>
      <c r="H229" s="1052">
        <v>287.3</v>
      </c>
      <c r="I229" s="1052">
        <v>265.8</v>
      </c>
      <c r="J229" s="1052">
        <v>265.8</v>
      </c>
      <c r="K229" s="1068">
        <v>10</v>
      </c>
      <c r="L229" s="1037">
        <v>1661839</v>
      </c>
      <c r="M229" s="1024">
        <v>0</v>
      </c>
      <c r="N229" s="1024">
        <v>0</v>
      </c>
      <c r="O229" s="1037">
        <v>1661839</v>
      </c>
      <c r="P229" s="1024">
        <v>0</v>
      </c>
      <c r="Q229" s="1024">
        <v>0</v>
      </c>
      <c r="R229" s="1046">
        <f t="shared" si="57"/>
        <v>6252.215951843491</v>
      </c>
      <c r="S229" s="1032">
        <v>2020</v>
      </c>
      <c r="T229" s="1032">
        <v>2020</v>
      </c>
    </row>
    <row r="230" spans="1:20" s="992" customFormat="1" ht="36" customHeight="1">
      <c r="A230" s="1271"/>
      <c r="B230" s="1391" t="s">
        <v>1169</v>
      </c>
      <c r="C230" s="1391"/>
      <c r="D230" s="1391"/>
      <c r="E230" s="1391"/>
      <c r="F230" s="1391"/>
      <c r="G230" s="1391"/>
      <c r="H230" s="985">
        <f>SUM(H231:H238)</f>
        <v>14819.099999999999</v>
      </c>
      <c r="I230" s="985">
        <f t="shared" ref="I230:Q230" si="58">SUM(I231:I238)</f>
        <v>14819.099999999999</v>
      </c>
      <c r="J230" s="985">
        <f t="shared" si="58"/>
        <v>10063.6</v>
      </c>
      <c r="K230" s="1064">
        <f t="shared" si="58"/>
        <v>522</v>
      </c>
      <c r="L230" s="985">
        <f t="shared" si="58"/>
        <v>16702023.25</v>
      </c>
      <c r="M230" s="985">
        <f t="shared" si="58"/>
        <v>0</v>
      </c>
      <c r="N230" s="985">
        <f t="shared" si="58"/>
        <v>0</v>
      </c>
      <c r="O230" s="985">
        <f t="shared" si="58"/>
        <v>16702023.25</v>
      </c>
      <c r="P230" s="985">
        <f t="shared" si="58"/>
        <v>0</v>
      </c>
      <c r="Q230" s="985">
        <f t="shared" si="58"/>
        <v>0</v>
      </c>
      <c r="R230" s="991" t="s">
        <v>40</v>
      </c>
      <c r="S230" s="991" t="s">
        <v>40</v>
      </c>
      <c r="T230" s="991" t="s">
        <v>40</v>
      </c>
    </row>
    <row r="231" spans="1:20" s="992" customFormat="1" ht="42" customHeight="1">
      <c r="A231" s="1031">
        <v>187</v>
      </c>
      <c r="B231" s="1040" t="s">
        <v>2866</v>
      </c>
      <c r="C231" s="1031">
        <v>1966</v>
      </c>
      <c r="D231" s="1032"/>
      <c r="E231" s="1271" t="s">
        <v>218</v>
      </c>
      <c r="F231" s="1032">
        <v>2</v>
      </c>
      <c r="G231" s="1032">
        <v>1</v>
      </c>
      <c r="H231" s="1037">
        <v>381.7</v>
      </c>
      <c r="I231" s="1037">
        <v>381.7</v>
      </c>
      <c r="J231" s="1037">
        <v>350.1</v>
      </c>
      <c r="K231" s="1068">
        <v>11</v>
      </c>
      <c r="L231" s="985">
        <v>685130</v>
      </c>
      <c r="M231" s="985">
        <v>0</v>
      </c>
      <c r="N231" s="985">
        <v>0</v>
      </c>
      <c r="O231" s="985">
        <v>685130</v>
      </c>
      <c r="P231" s="1037">
        <v>0</v>
      </c>
      <c r="Q231" s="1037">
        <v>0</v>
      </c>
      <c r="R231" s="1037">
        <f>L231/I231</f>
        <v>1794.9436730416558</v>
      </c>
      <c r="S231" s="1032">
        <v>2020</v>
      </c>
      <c r="T231" s="1032">
        <v>2020</v>
      </c>
    </row>
    <row r="232" spans="1:20" s="992" customFormat="1" ht="40.9" customHeight="1">
      <c r="A232" s="1031">
        <v>188</v>
      </c>
      <c r="B232" s="1040" t="s">
        <v>2042</v>
      </c>
      <c r="C232" s="1015" t="s">
        <v>190</v>
      </c>
      <c r="D232" s="1023"/>
      <c r="E232" s="1271" t="s">
        <v>218</v>
      </c>
      <c r="F232" s="1023">
        <v>2</v>
      </c>
      <c r="G232" s="1023">
        <v>4</v>
      </c>
      <c r="H232" s="1024">
        <v>410.9</v>
      </c>
      <c r="I232" s="1024">
        <v>410.9</v>
      </c>
      <c r="J232" s="1024">
        <v>216</v>
      </c>
      <c r="K232" s="1011">
        <v>16</v>
      </c>
      <c r="L232" s="985">
        <v>1630796.17</v>
      </c>
      <c r="M232" s="985">
        <v>0</v>
      </c>
      <c r="N232" s="985">
        <v>0</v>
      </c>
      <c r="O232" s="985">
        <v>1630796.17</v>
      </c>
      <c r="P232" s="1024">
        <v>0</v>
      </c>
      <c r="Q232" s="1024">
        <v>0</v>
      </c>
      <c r="R232" s="1037">
        <f t="shared" ref="R232:R238" si="59">L232/I232</f>
        <v>3968.8395473351179</v>
      </c>
      <c r="S232" s="1032">
        <v>2020</v>
      </c>
      <c r="T232" s="1032">
        <v>2020</v>
      </c>
    </row>
    <row r="233" spans="1:20" s="992" customFormat="1" ht="39.6" customHeight="1">
      <c r="A233" s="1031">
        <v>189</v>
      </c>
      <c r="B233" s="1058" t="s">
        <v>2043</v>
      </c>
      <c r="C233" s="1031">
        <v>1978</v>
      </c>
      <c r="D233" s="1032"/>
      <c r="E233" s="1271" t="s">
        <v>218</v>
      </c>
      <c r="F233" s="1032">
        <v>2</v>
      </c>
      <c r="G233" s="1032">
        <v>2</v>
      </c>
      <c r="H233" s="1037">
        <v>3247.1</v>
      </c>
      <c r="I233" s="1037">
        <v>3247.1</v>
      </c>
      <c r="J233" s="1037">
        <v>2088.5</v>
      </c>
      <c r="K233" s="1068">
        <v>127</v>
      </c>
      <c r="L233" s="985">
        <v>2416147</v>
      </c>
      <c r="M233" s="985">
        <v>0</v>
      </c>
      <c r="N233" s="985">
        <v>0</v>
      </c>
      <c r="O233" s="985">
        <v>2416147</v>
      </c>
      <c r="P233" s="1037">
        <v>0</v>
      </c>
      <c r="Q233" s="1037">
        <v>0</v>
      </c>
      <c r="R233" s="1037">
        <f t="shared" si="59"/>
        <v>744.09380678143577</v>
      </c>
      <c r="S233" s="1032">
        <v>2020</v>
      </c>
      <c r="T233" s="1032">
        <v>2020</v>
      </c>
    </row>
    <row r="234" spans="1:20" s="992" customFormat="1" ht="39.6" customHeight="1">
      <c r="A234" s="1031">
        <v>190</v>
      </c>
      <c r="B234" s="1040" t="s">
        <v>2044</v>
      </c>
      <c r="C234" s="1015" t="s">
        <v>190</v>
      </c>
      <c r="D234" s="1015"/>
      <c r="E234" s="1271" t="s">
        <v>218</v>
      </c>
      <c r="F234" s="1015">
        <v>2</v>
      </c>
      <c r="G234" s="1015">
        <v>3</v>
      </c>
      <c r="H234" s="1033">
        <v>256.89999999999998</v>
      </c>
      <c r="I234" s="1033">
        <v>256.89999999999998</v>
      </c>
      <c r="J234" s="1033">
        <v>169.9</v>
      </c>
      <c r="K234" s="1110">
        <v>14</v>
      </c>
      <c r="L234" s="985">
        <v>1236420.6299999999</v>
      </c>
      <c r="M234" s="993">
        <v>0</v>
      </c>
      <c r="N234" s="993">
        <v>0</v>
      </c>
      <c r="O234" s="985">
        <v>1236420.6299999999</v>
      </c>
      <c r="P234" s="1033">
        <v>0</v>
      </c>
      <c r="Q234" s="1033">
        <v>0</v>
      </c>
      <c r="R234" s="1037">
        <f t="shared" si="59"/>
        <v>4812.8479174776176</v>
      </c>
      <c r="S234" s="1032">
        <v>2020</v>
      </c>
      <c r="T234" s="1032">
        <v>2020</v>
      </c>
    </row>
    <row r="235" spans="1:20" s="992" customFormat="1" ht="36" customHeight="1">
      <c r="A235" s="1031">
        <v>191</v>
      </c>
      <c r="B235" s="1040" t="s">
        <v>2045</v>
      </c>
      <c r="C235" s="1032">
        <v>1978</v>
      </c>
      <c r="D235" s="1032"/>
      <c r="E235" s="1031" t="s">
        <v>219</v>
      </c>
      <c r="F235" s="1032">
        <v>5</v>
      </c>
      <c r="G235" s="1032">
        <v>6</v>
      </c>
      <c r="H235" s="1037">
        <v>4393.5</v>
      </c>
      <c r="I235" s="1037">
        <v>4393.5</v>
      </c>
      <c r="J235" s="1037">
        <v>2915.9</v>
      </c>
      <c r="K235" s="1068">
        <v>145</v>
      </c>
      <c r="L235" s="985">
        <v>4752006.0199999996</v>
      </c>
      <c r="M235" s="985">
        <v>0</v>
      </c>
      <c r="N235" s="985">
        <v>0</v>
      </c>
      <c r="O235" s="985">
        <v>4752006.0199999996</v>
      </c>
      <c r="P235" s="1037">
        <v>0</v>
      </c>
      <c r="Q235" s="1037">
        <v>0</v>
      </c>
      <c r="R235" s="1037">
        <f t="shared" si="59"/>
        <v>1081.5991851598951</v>
      </c>
      <c r="S235" s="1032">
        <v>2020</v>
      </c>
      <c r="T235" s="1032">
        <v>2020</v>
      </c>
    </row>
    <row r="236" spans="1:20" s="992" customFormat="1" ht="42" customHeight="1">
      <c r="A236" s="1031">
        <v>192</v>
      </c>
      <c r="B236" s="1040" t="s">
        <v>2046</v>
      </c>
      <c r="C236" s="1015">
        <v>1962</v>
      </c>
      <c r="D236" s="1032"/>
      <c r="E236" s="1271" t="s">
        <v>218</v>
      </c>
      <c r="F236" s="1015">
        <v>2</v>
      </c>
      <c r="G236" s="1015">
        <v>1</v>
      </c>
      <c r="H236" s="1033">
        <v>305.89999999999998</v>
      </c>
      <c r="I236" s="1033">
        <v>305.89999999999998</v>
      </c>
      <c r="J236" s="1033">
        <v>184</v>
      </c>
      <c r="K236" s="1110">
        <v>13</v>
      </c>
      <c r="L236" s="985">
        <v>1297904.9099999999</v>
      </c>
      <c r="M236" s="993">
        <v>0</v>
      </c>
      <c r="N236" s="993">
        <v>0</v>
      </c>
      <c r="O236" s="985">
        <v>1297904.9099999999</v>
      </c>
      <c r="P236" s="1033">
        <v>0</v>
      </c>
      <c r="Q236" s="1033">
        <v>0</v>
      </c>
      <c r="R236" s="1037">
        <f t="shared" si="59"/>
        <v>4242.9058842759068</v>
      </c>
      <c r="S236" s="1032">
        <v>2020</v>
      </c>
      <c r="T236" s="1032">
        <v>2020</v>
      </c>
    </row>
    <row r="237" spans="1:20" s="992" customFormat="1" ht="42" customHeight="1">
      <c r="A237" s="1031">
        <v>193</v>
      </c>
      <c r="B237" s="1040" t="s">
        <v>2047</v>
      </c>
      <c r="C237" s="1031">
        <v>1975</v>
      </c>
      <c r="D237" s="1032"/>
      <c r="E237" s="1271" t="s">
        <v>218</v>
      </c>
      <c r="F237" s="1032">
        <v>4</v>
      </c>
      <c r="G237" s="1032">
        <v>3</v>
      </c>
      <c r="H237" s="1037">
        <v>3129.1</v>
      </c>
      <c r="I237" s="1037">
        <v>3129.1</v>
      </c>
      <c r="J237" s="1037">
        <v>2134.1</v>
      </c>
      <c r="K237" s="1068">
        <v>114</v>
      </c>
      <c r="L237" s="993">
        <v>1962666</v>
      </c>
      <c r="M237" s="985">
        <v>0</v>
      </c>
      <c r="N237" s="985">
        <v>0</v>
      </c>
      <c r="O237" s="993">
        <v>1962666</v>
      </c>
      <c r="P237" s="1037">
        <v>0</v>
      </c>
      <c r="Q237" s="1037">
        <v>0</v>
      </c>
      <c r="R237" s="1037">
        <f t="shared" si="59"/>
        <v>627.23019398549104</v>
      </c>
      <c r="S237" s="1032">
        <v>2020</v>
      </c>
      <c r="T237" s="1032">
        <v>2020</v>
      </c>
    </row>
    <row r="238" spans="1:20" s="992" customFormat="1" ht="42" customHeight="1">
      <c r="A238" s="1031">
        <v>194</v>
      </c>
      <c r="B238" s="1040" t="s">
        <v>2048</v>
      </c>
      <c r="C238" s="1023">
        <v>1969</v>
      </c>
      <c r="D238" s="1015"/>
      <c r="E238" s="1271" t="s">
        <v>218</v>
      </c>
      <c r="F238" s="1015">
        <v>4</v>
      </c>
      <c r="G238" s="1015">
        <v>3</v>
      </c>
      <c r="H238" s="1033">
        <v>2694</v>
      </c>
      <c r="I238" s="1033">
        <v>2694</v>
      </c>
      <c r="J238" s="1033">
        <v>2005.1</v>
      </c>
      <c r="K238" s="1110">
        <v>82</v>
      </c>
      <c r="L238" s="985">
        <v>2720952.52</v>
      </c>
      <c r="M238" s="993">
        <v>0</v>
      </c>
      <c r="N238" s="993">
        <v>0</v>
      </c>
      <c r="O238" s="985">
        <v>2720952.52</v>
      </c>
      <c r="P238" s="1033">
        <v>0</v>
      </c>
      <c r="Q238" s="1033">
        <v>0</v>
      </c>
      <c r="R238" s="1037">
        <f t="shared" si="59"/>
        <v>1010.0046473645137</v>
      </c>
      <c r="S238" s="1032">
        <v>2020</v>
      </c>
      <c r="T238" s="1032">
        <v>2020</v>
      </c>
    </row>
    <row r="239" spans="1:20" s="992" customFormat="1" ht="36" customHeight="1">
      <c r="A239" s="1271"/>
      <c r="B239" s="1273" t="s">
        <v>2702</v>
      </c>
      <c r="C239" s="1279"/>
      <c r="D239" s="1283"/>
      <c r="E239" s="1271"/>
      <c r="F239" s="1279"/>
      <c r="G239" s="1279"/>
      <c r="H239" s="1053">
        <f>H240+H246+H250+H252</f>
        <v>8245.6999999999989</v>
      </c>
      <c r="I239" s="1053">
        <f t="shared" ref="I239:Q239" si="60">I240+I246+I250+I252</f>
        <v>7598.1999999999989</v>
      </c>
      <c r="J239" s="1053">
        <f t="shared" si="60"/>
        <v>7266.2999999999993</v>
      </c>
      <c r="K239" s="1265">
        <f t="shared" si="60"/>
        <v>312</v>
      </c>
      <c r="L239" s="1053">
        <f t="shared" si="60"/>
        <v>21372185.59</v>
      </c>
      <c r="M239" s="1053">
        <f t="shared" si="60"/>
        <v>0</v>
      </c>
      <c r="N239" s="1053">
        <f t="shared" si="60"/>
        <v>0</v>
      </c>
      <c r="O239" s="1053">
        <f t="shared" si="60"/>
        <v>21372185.59</v>
      </c>
      <c r="P239" s="1053">
        <f t="shared" si="60"/>
        <v>0</v>
      </c>
      <c r="Q239" s="1053">
        <f t="shared" si="60"/>
        <v>0</v>
      </c>
      <c r="R239" s="991" t="s">
        <v>40</v>
      </c>
      <c r="S239" s="991" t="s">
        <v>40</v>
      </c>
      <c r="T239" s="991" t="s">
        <v>40</v>
      </c>
    </row>
    <row r="240" spans="1:20" s="992" customFormat="1" ht="36" customHeight="1">
      <c r="A240" s="1271"/>
      <c r="B240" s="1272" t="s">
        <v>1060</v>
      </c>
      <c r="C240" s="1279"/>
      <c r="D240" s="1283"/>
      <c r="E240" s="1271"/>
      <c r="F240" s="1279"/>
      <c r="G240" s="1279"/>
      <c r="H240" s="985">
        <f>H241+H242+H243+H244+H245</f>
        <v>2414.6</v>
      </c>
      <c r="I240" s="985">
        <f t="shared" ref="I240:Q240" si="61">I241+I242+I243+I244+I245</f>
        <v>2212.9</v>
      </c>
      <c r="J240" s="985">
        <f t="shared" si="61"/>
        <v>2072.4</v>
      </c>
      <c r="K240" s="1064">
        <f t="shared" si="61"/>
        <v>115</v>
      </c>
      <c r="L240" s="985">
        <f t="shared" si="61"/>
        <v>5981829</v>
      </c>
      <c r="M240" s="985">
        <f t="shared" si="61"/>
        <v>0</v>
      </c>
      <c r="N240" s="985">
        <f t="shared" si="61"/>
        <v>0</v>
      </c>
      <c r="O240" s="985">
        <f t="shared" si="61"/>
        <v>5981829</v>
      </c>
      <c r="P240" s="985">
        <f t="shared" si="61"/>
        <v>0</v>
      </c>
      <c r="Q240" s="985">
        <f t="shared" si="61"/>
        <v>0</v>
      </c>
      <c r="R240" s="991" t="s">
        <v>40</v>
      </c>
      <c r="S240" s="991" t="s">
        <v>40</v>
      </c>
      <c r="T240" s="991" t="s">
        <v>40</v>
      </c>
    </row>
    <row r="241" spans="1:20" s="992" customFormat="1" ht="38.450000000000003" customHeight="1">
      <c r="A241" s="1271">
        <v>195</v>
      </c>
      <c r="B241" s="1274" t="s">
        <v>1209</v>
      </c>
      <c r="C241" s="1279">
        <v>1959</v>
      </c>
      <c r="D241" s="1279"/>
      <c r="E241" s="1271" t="s">
        <v>218</v>
      </c>
      <c r="F241" s="1279">
        <v>2</v>
      </c>
      <c r="G241" s="1279">
        <v>2</v>
      </c>
      <c r="H241" s="985">
        <v>586.5</v>
      </c>
      <c r="I241" s="985">
        <v>543.5</v>
      </c>
      <c r="J241" s="985">
        <v>512</v>
      </c>
      <c r="K241" s="1064">
        <v>25</v>
      </c>
      <c r="L241" s="985">
        <v>1814258</v>
      </c>
      <c r="M241" s="985">
        <v>0</v>
      </c>
      <c r="N241" s="985">
        <v>0</v>
      </c>
      <c r="O241" s="985">
        <v>1814258</v>
      </c>
      <c r="P241" s="993">
        <v>0</v>
      </c>
      <c r="Q241" s="985">
        <v>0</v>
      </c>
      <c r="R241" s="985">
        <f t="shared" ref="R241" si="62">L241/I241</f>
        <v>3338.101195952162</v>
      </c>
      <c r="S241" s="987">
        <v>2020</v>
      </c>
      <c r="T241" s="987">
        <v>2020</v>
      </c>
    </row>
    <row r="242" spans="1:20" s="992" customFormat="1" ht="38.450000000000003" customHeight="1">
      <c r="A242" s="1271">
        <v>196</v>
      </c>
      <c r="B242" s="1274" t="s">
        <v>1210</v>
      </c>
      <c r="C242" s="1279">
        <v>1953</v>
      </c>
      <c r="D242" s="1279"/>
      <c r="E242" s="1271" t="s">
        <v>221</v>
      </c>
      <c r="F242" s="1279">
        <v>2</v>
      </c>
      <c r="G242" s="1279">
        <v>1</v>
      </c>
      <c r="H242" s="985">
        <v>430.8</v>
      </c>
      <c r="I242" s="985">
        <v>394.5</v>
      </c>
      <c r="J242" s="985">
        <v>336.6</v>
      </c>
      <c r="K242" s="1064">
        <v>28</v>
      </c>
      <c r="L242" s="985">
        <v>590924</v>
      </c>
      <c r="M242" s="985">
        <v>0</v>
      </c>
      <c r="N242" s="985">
        <v>0</v>
      </c>
      <c r="O242" s="985">
        <v>590924</v>
      </c>
      <c r="P242" s="993">
        <v>0</v>
      </c>
      <c r="Q242" s="985">
        <v>0</v>
      </c>
      <c r="R242" s="985">
        <f t="shared" ref="R242:R245" si="63">L242/I242</f>
        <v>1497.9062103929025</v>
      </c>
      <c r="S242" s="987">
        <v>2020</v>
      </c>
      <c r="T242" s="987">
        <v>2020</v>
      </c>
    </row>
    <row r="243" spans="1:20" s="992" customFormat="1" ht="38.450000000000003" customHeight="1">
      <c r="A243" s="1271">
        <v>197</v>
      </c>
      <c r="B243" s="1274" t="s">
        <v>1211</v>
      </c>
      <c r="C243" s="1279">
        <v>1953</v>
      </c>
      <c r="D243" s="1279"/>
      <c r="E243" s="1271" t="s">
        <v>221</v>
      </c>
      <c r="F243" s="1279">
        <v>2</v>
      </c>
      <c r="G243" s="1279">
        <v>1</v>
      </c>
      <c r="H243" s="985">
        <v>431.7</v>
      </c>
      <c r="I243" s="985">
        <v>395.5</v>
      </c>
      <c r="J243" s="985">
        <v>395.5</v>
      </c>
      <c r="K243" s="1064">
        <v>29</v>
      </c>
      <c r="L243" s="985">
        <v>646645</v>
      </c>
      <c r="M243" s="985">
        <v>0</v>
      </c>
      <c r="N243" s="985">
        <v>0</v>
      </c>
      <c r="O243" s="985">
        <v>646645</v>
      </c>
      <c r="P243" s="993">
        <v>0</v>
      </c>
      <c r="Q243" s="985">
        <v>0</v>
      </c>
      <c r="R243" s="985">
        <f t="shared" si="63"/>
        <v>1635.0063211125157</v>
      </c>
      <c r="S243" s="987">
        <v>2020</v>
      </c>
      <c r="T243" s="987">
        <v>2020</v>
      </c>
    </row>
    <row r="244" spans="1:20" s="992" customFormat="1" ht="43.15" customHeight="1">
      <c r="A244" s="1271">
        <v>198</v>
      </c>
      <c r="B244" s="1274" t="s">
        <v>1212</v>
      </c>
      <c r="C244" s="1279">
        <v>1960</v>
      </c>
      <c r="D244" s="1279"/>
      <c r="E244" s="1271" t="s">
        <v>218</v>
      </c>
      <c r="F244" s="1279">
        <v>2</v>
      </c>
      <c r="G244" s="1279">
        <v>1</v>
      </c>
      <c r="H244" s="985">
        <v>484.5</v>
      </c>
      <c r="I244" s="985">
        <v>441.2</v>
      </c>
      <c r="J244" s="985">
        <v>441.2</v>
      </c>
      <c r="K244" s="1064">
        <v>14</v>
      </c>
      <c r="L244" s="985">
        <v>1604301</v>
      </c>
      <c r="M244" s="985">
        <v>0</v>
      </c>
      <c r="N244" s="985">
        <v>0</v>
      </c>
      <c r="O244" s="985">
        <v>1604301</v>
      </c>
      <c r="P244" s="993">
        <v>0</v>
      </c>
      <c r="Q244" s="985">
        <v>0</v>
      </c>
      <c r="R244" s="985">
        <f t="shared" si="63"/>
        <v>3636.2216681776972</v>
      </c>
      <c r="S244" s="987">
        <v>2020</v>
      </c>
      <c r="T244" s="987">
        <v>2020</v>
      </c>
    </row>
    <row r="245" spans="1:20" s="992" customFormat="1" ht="42.6" customHeight="1">
      <c r="A245" s="1271">
        <v>199</v>
      </c>
      <c r="B245" s="1274" t="s">
        <v>1503</v>
      </c>
      <c r="C245" s="1279">
        <v>1960</v>
      </c>
      <c r="D245" s="1279"/>
      <c r="E245" s="1271" t="s">
        <v>218</v>
      </c>
      <c r="F245" s="1279">
        <v>2</v>
      </c>
      <c r="G245" s="1279">
        <v>1</v>
      </c>
      <c r="H245" s="985">
        <v>481.1</v>
      </c>
      <c r="I245" s="985">
        <v>438.2</v>
      </c>
      <c r="J245" s="985">
        <v>387.1</v>
      </c>
      <c r="K245" s="1064">
        <v>19</v>
      </c>
      <c r="L245" s="985">
        <v>1325701</v>
      </c>
      <c r="M245" s="985">
        <v>0</v>
      </c>
      <c r="N245" s="985">
        <v>0</v>
      </c>
      <c r="O245" s="985">
        <v>1325701</v>
      </c>
      <c r="P245" s="993">
        <v>0</v>
      </c>
      <c r="Q245" s="985">
        <v>0</v>
      </c>
      <c r="R245" s="985">
        <f t="shared" si="63"/>
        <v>3025.333181195801</v>
      </c>
      <c r="S245" s="987">
        <v>2020</v>
      </c>
      <c r="T245" s="987">
        <v>2020</v>
      </c>
    </row>
    <row r="246" spans="1:20" s="992" customFormat="1" ht="36" customHeight="1">
      <c r="A246" s="1271"/>
      <c r="B246" s="1273" t="s">
        <v>1068</v>
      </c>
      <c r="C246" s="1279"/>
      <c r="D246" s="1283"/>
      <c r="E246" s="1271"/>
      <c r="F246" s="1279"/>
      <c r="G246" s="1279"/>
      <c r="H246" s="1053">
        <f>H247+H248+H249</f>
        <v>3482.2</v>
      </c>
      <c r="I246" s="1053">
        <f t="shared" ref="I246:Q246" si="64">I247+I248+I249</f>
        <v>3036.3999999999996</v>
      </c>
      <c r="J246" s="1053">
        <f t="shared" si="64"/>
        <v>2845</v>
      </c>
      <c r="K246" s="1265">
        <f t="shared" si="64"/>
        <v>107</v>
      </c>
      <c r="L246" s="1053">
        <f t="shared" si="64"/>
        <v>7653085.3899999997</v>
      </c>
      <c r="M246" s="1053">
        <f t="shared" si="64"/>
        <v>0</v>
      </c>
      <c r="N246" s="1053">
        <f t="shared" si="64"/>
        <v>0</v>
      </c>
      <c r="O246" s="1053">
        <f t="shared" si="64"/>
        <v>7653085.3899999997</v>
      </c>
      <c r="P246" s="1053">
        <f t="shared" si="64"/>
        <v>0</v>
      </c>
      <c r="Q246" s="1053">
        <f t="shared" si="64"/>
        <v>0</v>
      </c>
      <c r="R246" s="991" t="s">
        <v>40</v>
      </c>
      <c r="S246" s="991" t="s">
        <v>40</v>
      </c>
      <c r="T246" s="991" t="s">
        <v>40</v>
      </c>
    </row>
    <row r="247" spans="1:20" s="992" customFormat="1" ht="50.45" customHeight="1">
      <c r="A247" s="1031">
        <v>200</v>
      </c>
      <c r="B247" s="1272" t="s">
        <v>2867</v>
      </c>
      <c r="C247" s="1027">
        <v>1990</v>
      </c>
      <c r="D247" s="1027"/>
      <c r="E247" s="1271" t="s">
        <v>218</v>
      </c>
      <c r="F247" s="1027" t="s">
        <v>1148</v>
      </c>
      <c r="G247" s="1027" t="s">
        <v>1188</v>
      </c>
      <c r="H247" s="1024">
        <v>1110</v>
      </c>
      <c r="I247" s="1024">
        <v>1090</v>
      </c>
      <c r="J247" s="1024">
        <f>I247-49.5</f>
        <v>1040.5</v>
      </c>
      <c r="K247" s="1011">
        <v>47</v>
      </c>
      <c r="L247" s="1024">
        <v>1904983.64</v>
      </c>
      <c r="M247" s="1024">
        <v>0</v>
      </c>
      <c r="N247" s="1024">
        <v>0</v>
      </c>
      <c r="O247" s="1024">
        <v>1904983.64</v>
      </c>
      <c r="P247" s="1024">
        <v>0</v>
      </c>
      <c r="Q247" s="1024">
        <v>0</v>
      </c>
      <c r="R247" s="1024">
        <f>L247/I247</f>
        <v>1747.6914128440367</v>
      </c>
      <c r="S247" s="1054" t="s">
        <v>1433</v>
      </c>
      <c r="T247" s="1054" t="s">
        <v>1433</v>
      </c>
    </row>
    <row r="248" spans="1:20" s="992" customFormat="1" ht="42" customHeight="1">
      <c r="A248" s="1031">
        <v>201</v>
      </c>
      <c r="B248" s="1272" t="s">
        <v>2868</v>
      </c>
      <c r="C248" s="1027" t="s">
        <v>1189</v>
      </c>
      <c r="D248" s="1027"/>
      <c r="E248" s="1271" t="s">
        <v>218</v>
      </c>
      <c r="F248" s="1027" t="s">
        <v>1148</v>
      </c>
      <c r="G248" s="1027" t="s">
        <v>1188</v>
      </c>
      <c r="H248" s="1024">
        <v>1624.5</v>
      </c>
      <c r="I248" s="1024">
        <v>1198.7</v>
      </c>
      <c r="J248" s="1024">
        <f>I248-44.2-44.9</f>
        <v>1109.5999999999999</v>
      </c>
      <c r="K248" s="1011">
        <v>42</v>
      </c>
      <c r="L248" s="1024">
        <v>1809220.99</v>
      </c>
      <c r="M248" s="1024">
        <v>0</v>
      </c>
      <c r="N248" s="1024">
        <v>0</v>
      </c>
      <c r="O248" s="1024">
        <v>1809220.99</v>
      </c>
      <c r="P248" s="1024">
        <v>0</v>
      </c>
      <c r="Q248" s="1024">
        <v>0</v>
      </c>
      <c r="R248" s="1024">
        <f>L248/I248</f>
        <v>1509.3192541920414</v>
      </c>
      <c r="S248" s="1054" t="s">
        <v>1433</v>
      </c>
      <c r="T248" s="1054" t="s">
        <v>1433</v>
      </c>
    </row>
    <row r="249" spans="1:20" s="992" customFormat="1" ht="40.9" customHeight="1">
      <c r="A249" s="1271">
        <v>202</v>
      </c>
      <c r="B249" s="1272" t="s">
        <v>2869</v>
      </c>
      <c r="C249" s="1054" t="s">
        <v>1191</v>
      </c>
      <c r="D249" s="1054"/>
      <c r="E249" s="1271" t="s">
        <v>218</v>
      </c>
      <c r="F249" s="1054" t="s">
        <v>1192</v>
      </c>
      <c r="G249" s="1054" t="s">
        <v>1192</v>
      </c>
      <c r="H249" s="1037">
        <v>747.7</v>
      </c>
      <c r="I249" s="1037">
        <v>747.7</v>
      </c>
      <c r="J249" s="1037">
        <f>I249-52.8</f>
        <v>694.90000000000009</v>
      </c>
      <c r="K249" s="1068">
        <v>18</v>
      </c>
      <c r="L249" s="1037">
        <v>3938880.76</v>
      </c>
      <c r="M249" s="1037">
        <v>0</v>
      </c>
      <c r="N249" s="1037">
        <v>0</v>
      </c>
      <c r="O249" s="1024">
        <v>3938880.76</v>
      </c>
      <c r="P249" s="1037">
        <v>0</v>
      </c>
      <c r="Q249" s="1037">
        <v>0</v>
      </c>
      <c r="R249" s="1024">
        <f>L249/I249</f>
        <v>5267.9962016851669</v>
      </c>
      <c r="S249" s="1054" t="s">
        <v>1433</v>
      </c>
      <c r="T249" s="1054" t="s">
        <v>1433</v>
      </c>
    </row>
    <row r="250" spans="1:20" s="992" customFormat="1" ht="36" customHeight="1">
      <c r="A250" s="1271"/>
      <c r="B250" s="1273" t="s">
        <v>1084</v>
      </c>
      <c r="C250" s="1279"/>
      <c r="D250" s="1283"/>
      <c r="E250" s="1271"/>
      <c r="F250" s="1279"/>
      <c r="G250" s="1279"/>
      <c r="H250" s="1037">
        <f>H251</f>
        <v>529.9</v>
      </c>
      <c r="I250" s="1037">
        <f t="shared" ref="I250:Q250" si="65">I251</f>
        <v>529.9</v>
      </c>
      <c r="J250" s="1037">
        <f t="shared" si="65"/>
        <v>529.9</v>
      </c>
      <c r="K250" s="1068">
        <f t="shared" si="65"/>
        <v>9</v>
      </c>
      <c r="L250" s="1037">
        <f t="shared" si="65"/>
        <v>3246439.14</v>
      </c>
      <c r="M250" s="1037">
        <f t="shared" si="65"/>
        <v>0</v>
      </c>
      <c r="N250" s="1037">
        <f t="shared" si="65"/>
        <v>0</v>
      </c>
      <c r="O250" s="1037">
        <f t="shared" si="65"/>
        <v>3246439.14</v>
      </c>
      <c r="P250" s="1037">
        <f t="shared" si="65"/>
        <v>0</v>
      </c>
      <c r="Q250" s="1037">
        <f t="shared" si="65"/>
        <v>0</v>
      </c>
      <c r="R250" s="991" t="s">
        <v>40</v>
      </c>
      <c r="S250" s="991" t="s">
        <v>40</v>
      </c>
      <c r="T250" s="991" t="s">
        <v>40</v>
      </c>
    </row>
    <row r="251" spans="1:20" s="1055" customFormat="1" ht="40.15" customHeight="1">
      <c r="A251" s="1271">
        <v>203</v>
      </c>
      <c r="B251" s="1272" t="s">
        <v>2870</v>
      </c>
      <c r="C251" s="1054" t="s">
        <v>600</v>
      </c>
      <c r="D251" s="1054"/>
      <c r="E251" s="1271" t="s">
        <v>218</v>
      </c>
      <c r="F251" s="1054" t="s">
        <v>1192</v>
      </c>
      <c r="G251" s="1054" t="s">
        <v>1192</v>
      </c>
      <c r="H251" s="1037">
        <v>529.9</v>
      </c>
      <c r="I251" s="1037">
        <v>529.9</v>
      </c>
      <c r="J251" s="1037">
        <v>529.9</v>
      </c>
      <c r="K251" s="1068">
        <v>9</v>
      </c>
      <c r="L251" s="1037">
        <v>3246439.14</v>
      </c>
      <c r="M251" s="1037">
        <v>0</v>
      </c>
      <c r="N251" s="1037">
        <v>0</v>
      </c>
      <c r="O251" s="1024">
        <v>3246439.14</v>
      </c>
      <c r="P251" s="1037">
        <v>0</v>
      </c>
      <c r="Q251" s="1037">
        <v>0</v>
      </c>
      <c r="R251" s="1024">
        <f>L251/I251</f>
        <v>6126.5128137384418</v>
      </c>
      <c r="S251" s="1054" t="s">
        <v>1190</v>
      </c>
      <c r="T251" s="1054" t="s">
        <v>1190</v>
      </c>
    </row>
    <row r="252" spans="1:20" s="1055" customFormat="1" ht="36.6" customHeight="1">
      <c r="A252" s="1271"/>
      <c r="B252" s="1390" t="s">
        <v>1319</v>
      </c>
      <c r="C252" s="1390"/>
      <c r="D252" s="1390"/>
      <c r="E252" s="1390"/>
      <c r="F252" s="1390"/>
      <c r="G252" s="1390"/>
      <c r="H252" s="1037">
        <f>H253</f>
        <v>1819</v>
      </c>
      <c r="I252" s="1037">
        <f t="shared" ref="I252:Q252" si="66">I253</f>
        <v>1819</v>
      </c>
      <c r="J252" s="1037">
        <f t="shared" si="66"/>
        <v>1819</v>
      </c>
      <c r="K252" s="1068">
        <f t="shared" si="66"/>
        <v>81</v>
      </c>
      <c r="L252" s="1037">
        <f t="shared" si="66"/>
        <v>4490832.0599999996</v>
      </c>
      <c r="M252" s="1037">
        <f t="shared" si="66"/>
        <v>0</v>
      </c>
      <c r="N252" s="1037">
        <f t="shared" si="66"/>
        <v>0</v>
      </c>
      <c r="O252" s="1037">
        <f t="shared" si="66"/>
        <v>4490832.0599999996</v>
      </c>
      <c r="P252" s="1037">
        <f t="shared" si="66"/>
        <v>0</v>
      </c>
      <c r="Q252" s="1037">
        <f t="shared" si="66"/>
        <v>0</v>
      </c>
      <c r="R252" s="991" t="s">
        <v>40</v>
      </c>
      <c r="S252" s="991" t="s">
        <v>40</v>
      </c>
      <c r="T252" s="991" t="s">
        <v>40</v>
      </c>
    </row>
    <row r="253" spans="1:20" s="1055" customFormat="1" ht="39" customHeight="1">
      <c r="A253" s="1271">
        <v>204</v>
      </c>
      <c r="B253" s="1272" t="s">
        <v>1320</v>
      </c>
      <c r="C253" s="1054" t="s">
        <v>876</v>
      </c>
      <c r="D253" s="1054"/>
      <c r="E253" s="1271" t="s">
        <v>218</v>
      </c>
      <c r="F253" s="1054" t="s">
        <v>73</v>
      </c>
      <c r="G253" s="1054" t="s">
        <v>73</v>
      </c>
      <c r="H253" s="1037">
        <v>1819</v>
      </c>
      <c r="I253" s="1037">
        <v>1819</v>
      </c>
      <c r="J253" s="1037">
        <v>1819</v>
      </c>
      <c r="K253" s="1068">
        <v>81</v>
      </c>
      <c r="L253" s="1037">
        <v>4490832.0599999996</v>
      </c>
      <c r="M253" s="1037">
        <v>0</v>
      </c>
      <c r="N253" s="1037">
        <v>0</v>
      </c>
      <c r="O253" s="1024">
        <v>4490832.0599999996</v>
      </c>
      <c r="P253" s="1037">
        <v>0</v>
      </c>
      <c r="Q253" s="1037">
        <v>0</v>
      </c>
      <c r="R253" s="1024">
        <f>L253/I253</f>
        <v>2468.8466520065967</v>
      </c>
      <c r="S253" s="1054" t="s">
        <v>1190</v>
      </c>
      <c r="T253" s="1054" t="s">
        <v>1190</v>
      </c>
    </row>
    <row r="254" spans="1:20" s="1055" customFormat="1" ht="36.6" customHeight="1">
      <c r="A254" s="1271"/>
      <c r="B254" s="1391" t="s">
        <v>53</v>
      </c>
      <c r="C254" s="1391"/>
      <c r="D254" s="1391"/>
      <c r="E254" s="1391"/>
      <c r="F254" s="1391"/>
      <c r="G254" s="1391"/>
      <c r="H254" s="985">
        <f>H255+H262+H265+H267+H269+H271</f>
        <v>56745.8</v>
      </c>
      <c r="I254" s="985">
        <f t="shared" ref="I254:Q254" si="67">I255+I262+I265+I267+I269+I271</f>
        <v>48575.899999999994</v>
      </c>
      <c r="J254" s="985">
        <f t="shared" si="67"/>
        <v>44618.099999999991</v>
      </c>
      <c r="K254" s="1064">
        <f t="shared" si="67"/>
        <v>1746</v>
      </c>
      <c r="L254" s="985">
        <f t="shared" si="67"/>
        <v>104108420.46000001</v>
      </c>
      <c r="M254" s="985">
        <f t="shared" si="67"/>
        <v>0</v>
      </c>
      <c r="N254" s="985">
        <f t="shared" si="67"/>
        <v>0</v>
      </c>
      <c r="O254" s="985">
        <f t="shared" si="67"/>
        <v>104108420.46000001</v>
      </c>
      <c r="P254" s="985">
        <f t="shared" si="67"/>
        <v>0</v>
      </c>
      <c r="Q254" s="985">
        <f t="shared" si="67"/>
        <v>0</v>
      </c>
      <c r="R254" s="991" t="s">
        <v>40</v>
      </c>
      <c r="S254" s="991" t="s">
        <v>40</v>
      </c>
      <c r="T254" s="991" t="s">
        <v>40</v>
      </c>
    </row>
    <row r="255" spans="1:20" s="1055" customFormat="1" ht="36.6" customHeight="1">
      <c r="A255" s="1271"/>
      <c r="B255" s="1391" t="s">
        <v>1069</v>
      </c>
      <c r="C255" s="1391"/>
      <c r="D255" s="1391"/>
      <c r="E255" s="1391"/>
      <c r="F255" s="1391"/>
      <c r="G255" s="1391"/>
      <c r="H255" s="985">
        <f>SUM(H256:H261)</f>
        <v>34481.800000000003</v>
      </c>
      <c r="I255" s="985">
        <f t="shared" ref="I255:Q255" si="68">SUM(I256:I261)</f>
        <v>27376.699999999997</v>
      </c>
      <c r="J255" s="985">
        <f t="shared" si="68"/>
        <v>26287.999999999996</v>
      </c>
      <c r="K255" s="1064">
        <f t="shared" si="68"/>
        <v>976</v>
      </c>
      <c r="L255" s="985">
        <f t="shared" si="68"/>
        <v>79274616.460000008</v>
      </c>
      <c r="M255" s="985">
        <f t="shared" si="68"/>
        <v>0</v>
      </c>
      <c r="N255" s="985">
        <f t="shared" si="68"/>
        <v>0</v>
      </c>
      <c r="O255" s="985">
        <f t="shared" si="68"/>
        <v>79274616.460000008</v>
      </c>
      <c r="P255" s="985">
        <f t="shared" si="68"/>
        <v>0</v>
      </c>
      <c r="Q255" s="985">
        <f t="shared" si="68"/>
        <v>0</v>
      </c>
      <c r="R255" s="991" t="s">
        <v>40</v>
      </c>
      <c r="S255" s="991" t="s">
        <v>40</v>
      </c>
      <c r="T255" s="991" t="s">
        <v>40</v>
      </c>
    </row>
    <row r="256" spans="1:20" s="1055" customFormat="1" ht="36.6" customHeight="1">
      <c r="A256" s="1271">
        <v>205</v>
      </c>
      <c r="B256" s="1274" t="s">
        <v>1292</v>
      </c>
      <c r="C256" s="1279">
        <v>1987</v>
      </c>
      <c r="D256" s="1279"/>
      <c r="E256" s="1271" t="s">
        <v>219</v>
      </c>
      <c r="F256" s="1279">
        <v>5</v>
      </c>
      <c r="G256" s="1279">
        <v>8</v>
      </c>
      <c r="H256" s="985">
        <v>8618.2999999999993</v>
      </c>
      <c r="I256" s="985">
        <v>6341.9</v>
      </c>
      <c r="J256" s="985">
        <f>I256-467.2</f>
        <v>5874.7</v>
      </c>
      <c r="K256" s="1064">
        <v>117</v>
      </c>
      <c r="L256" s="985">
        <v>25596872.149999999</v>
      </c>
      <c r="M256" s="985">
        <v>0</v>
      </c>
      <c r="N256" s="985">
        <v>0</v>
      </c>
      <c r="O256" s="985">
        <v>25596872.149999999</v>
      </c>
      <c r="P256" s="985">
        <v>0</v>
      </c>
      <c r="Q256" s="985">
        <v>0</v>
      </c>
      <c r="R256" s="985">
        <f>L256/I256</f>
        <v>4036.1519654992985</v>
      </c>
      <c r="S256" s="1279">
        <v>2020</v>
      </c>
      <c r="T256" s="1279">
        <v>2021</v>
      </c>
    </row>
    <row r="257" spans="1:20" s="1055" customFormat="1" ht="36.6" customHeight="1">
      <c r="A257" s="1271">
        <v>206</v>
      </c>
      <c r="B257" s="1274" t="s">
        <v>1293</v>
      </c>
      <c r="C257" s="1279">
        <v>1991</v>
      </c>
      <c r="D257" s="1279"/>
      <c r="E257" s="1271" t="s">
        <v>219</v>
      </c>
      <c r="F257" s="1279">
        <v>9</v>
      </c>
      <c r="G257" s="1279">
        <v>3</v>
      </c>
      <c r="H257" s="985">
        <v>7653.6</v>
      </c>
      <c r="I257" s="985">
        <v>5982.9</v>
      </c>
      <c r="J257" s="985">
        <f>I257-186.7</f>
        <v>5796.2</v>
      </c>
      <c r="K257" s="1064">
        <v>233</v>
      </c>
      <c r="L257" s="985">
        <v>7152840.7800000003</v>
      </c>
      <c r="M257" s="985">
        <v>0</v>
      </c>
      <c r="N257" s="985">
        <v>0</v>
      </c>
      <c r="O257" s="985">
        <v>7152840.7800000003</v>
      </c>
      <c r="P257" s="985">
        <v>0</v>
      </c>
      <c r="Q257" s="985">
        <v>0</v>
      </c>
      <c r="R257" s="985">
        <f t="shared" ref="R257:R261" si="69">L257/I257</f>
        <v>1195.5474402045832</v>
      </c>
      <c r="S257" s="1279">
        <v>2020</v>
      </c>
      <c r="T257" s="1279">
        <v>2020</v>
      </c>
    </row>
    <row r="258" spans="1:20" s="1055" customFormat="1" ht="36.6" customHeight="1">
      <c r="A258" s="1271">
        <v>207</v>
      </c>
      <c r="B258" s="1274" t="s">
        <v>1533</v>
      </c>
      <c r="C258" s="1279">
        <v>1994</v>
      </c>
      <c r="D258" s="1279"/>
      <c r="E258" s="1271" t="s">
        <v>219</v>
      </c>
      <c r="F258" s="1279">
        <v>9</v>
      </c>
      <c r="G258" s="1279">
        <v>2</v>
      </c>
      <c r="H258" s="985">
        <v>4965.5</v>
      </c>
      <c r="I258" s="985">
        <v>4114.3999999999996</v>
      </c>
      <c r="J258" s="985">
        <f>I258-183</f>
        <v>3931.3999999999996</v>
      </c>
      <c r="K258" s="1064">
        <v>186</v>
      </c>
      <c r="L258" s="985">
        <v>4768560.8600000003</v>
      </c>
      <c r="M258" s="985">
        <v>0</v>
      </c>
      <c r="N258" s="985">
        <v>0</v>
      </c>
      <c r="O258" s="985">
        <v>4768560.8600000003</v>
      </c>
      <c r="P258" s="985">
        <v>0</v>
      </c>
      <c r="Q258" s="985">
        <v>0</v>
      </c>
      <c r="R258" s="985">
        <f t="shared" si="69"/>
        <v>1158.9930147773675</v>
      </c>
      <c r="S258" s="1279">
        <v>2020</v>
      </c>
      <c r="T258" s="1279">
        <v>2020</v>
      </c>
    </row>
    <row r="259" spans="1:20" s="1055" customFormat="1" ht="36.6" customHeight="1">
      <c r="A259" s="1271">
        <v>208</v>
      </c>
      <c r="B259" s="1274" t="s">
        <v>1534</v>
      </c>
      <c r="C259" s="1279">
        <v>1994</v>
      </c>
      <c r="D259" s="1279"/>
      <c r="E259" s="1271" t="s">
        <v>219</v>
      </c>
      <c r="F259" s="1279">
        <v>9</v>
      </c>
      <c r="G259" s="1279">
        <v>2</v>
      </c>
      <c r="H259" s="985">
        <v>5047.3999999999996</v>
      </c>
      <c r="I259" s="985">
        <v>4263.2</v>
      </c>
      <c r="J259" s="985">
        <f>I259-119.6</f>
        <v>4143.5999999999995</v>
      </c>
      <c r="K259" s="1064">
        <v>170</v>
      </c>
      <c r="L259" s="985">
        <v>4768560.8600000003</v>
      </c>
      <c r="M259" s="985">
        <v>0</v>
      </c>
      <c r="N259" s="985">
        <v>0</v>
      </c>
      <c r="O259" s="985">
        <v>4768560.8600000003</v>
      </c>
      <c r="P259" s="985">
        <v>0</v>
      </c>
      <c r="Q259" s="985">
        <v>0</v>
      </c>
      <c r="R259" s="985">
        <f t="shared" si="69"/>
        <v>1118.5402655282419</v>
      </c>
      <c r="S259" s="1279">
        <v>2020</v>
      </c>
      <c r="T259" s="1279">
        <v>2020</v>
      </c>
    </row>
    <row r="260" spans="1:20" s="1055" customFormat="1" ht="36.6" customHeight="1">
      <c r="A260" s="1271">
        <v>209</v>
      </c>
      <c r="B260" s="1274" t="s">
        <v>1535</v>
      </c>
      <c r="C260" s="1279">
        <v>1994</v>
      </c>
      <c r="D260" s="1279"/>
      <c r="E260" s="1271" t="s">
        <v>219</v>
      </c>
      <c r="F260" s="1279">
        <v>9</v>
      </c>
      <c r="G260" s="1279">
        <v>2</v>
      </c>
      <c r="H260" s="985">
        <v>4362.8999999999996</v>
      </c>
      <c r="I260" s="985">
        <v>3902.7</v>
      </c>
      <c r="J260" s="985">
        <f>I260-132.2</f>
        <v>3770.5</v>
      </c>
      <c r="K260" s="1064">
        <v>151</v>
      </c>
      <c r="L260" s="985">
        <v>20067393.940000001</v>
      </c>
      <c r="M260" s="985">
        <v>0</v>
      </c>
      <c r="N260" s="985">
        <v>0</v>
      </c>
      <c r="O260" s="985">
        <v>20067393.940000001</v>
      </c>
      <c r="P260" s="985">
        <v>0</v>
      </c>
      <c r="Q260" s="985">
        <v>0</v>
      </c>
      <c r="R260" s="985">
        <f t="shared" si="69"/>
        <v>5141.9258308350636</v>
      </c>
      <c r="S260" s="1279">
        <v>2020</v>
      </c>
      <c r="T260" s="1279">
        <v>2021</v>
      </c>
    </row>
    <row r="261" spans="1:20" s="1055" customFormat="1" ht="36.6" customHeight="1">
      <c r="A261" s="1271">
        <v>210</v>
      </c>
      <c r="B261" s="1274" t="s">
        <v>1817</v>
      </c>
      <c r="C261" s="1279">
        <v>1973</v>
      </c>
      <c r="D261" s="1279"/>
      <c r="E261" s="1271" t="s">
        <v>219</v>
      </c>
      <c r="F261" s="1279">
        <v>9</v>
      </c>
      <c r="G261" s="1279">
        <v>1</v>
      </c>
      <c r="H261" s="993">
        <v>3834.1</v>
      </c>
      <c r="I261" s="993">
        <v>2771.6</v>
      </c>
      <c r="J261" s="993">
        <f>I261</f>
        <v>2771.6</v>
      </c>
      <c r="K261" s="987">
        <v>119</v>
      </c>
      <c r="L261" s="985">
        <v>16920387.870000001</v>
      </c>
      <c r="M261" s="985">
        <v>0</v>
      </c>
      <c r="N261" s="985">
        <v>0</v>
      </c>
      <c r="O261" s="985">
        <v>16920387.870000001</v>
      </c>
      <c r="P261" s="985">
        <v>0</v>
      </c>
      <c r="Q261" s="985">
        <v>0</v>
      </c>
      <c r="R261" s="985">
        <f t="shared" si="69"/>
        <v>6104.9169685380293</v>
      </c>
      <c r="S261" s="1279">
        <v>2020</v>
      </c>
      <c r="T261" s="1279">
        <v>2021</v>
      </c>
    </row>
    <row r="262" spans="1:20" s="992" customFormat="1" ht="36" customHeight="1">
      <c r="A262" s="1271"/>
      <c r="B262" s="1392" t="s">
        <v>1070</v>
      </c>
      <c r="C262" s="1391"/>
      <c r="D262" s="1391"/>
      <c r="E262" s="1391"/>
      <c r="F262" s="1391"/>
      <c r="G262" s="1391"/>
      <c r="H262" s="993">
        <f>H263+H264</f>
        <v>1430</v>
      </c>
      <c r="I262" s="993">
        <f t="shared" ref="I262:Q262" si="70">I263+I264</f>
        <v>1294.8</v>
      </c>
      <c r="J262" s="993">
        <f t="shared" si="70"/>
        <v>1294.8</v>
      </c>
      <c r="K262" s="987">
        <f t="shared" si="70"/>
        <v>48</v>
      </c>
      <c r="L262" s="993">
        <f t="shared" si="70"/>
        <v>5964228</v>
      </c>
      <c r="M262" s="993">
        <f t="shared" si="70"/>
        <v>0</v>
      </c>
      <c r="N262" s="993">
        <f t="shared" si="70"/>
        <v>0</v>
      </c>
      <c r="O262" s="993">
        <f t="shared" si="70"/>
        <v>5964228</v>
      </c>
      <c r="P262" s="993">
        <f t="shared" si="70"/>
        <v>0</v>
      </c>
      <c r="Q262" s="993">
        <f t="shared" si="70"/>
        <v>0</v>
      </c>
      <c r="R262" s="991" t="s">
        <v>40</v>
      </c>
      <c r="S262" s="991" t="s">
        <v>40</v>
      </c>
      <c r="T262" s="991" t="s">
        <v>40</v>
      </c>
    </row>
    <row r="263" spans="1:20" s="992" customFormat="1" ht="40.15" customHeight="1">
      <c r="A263" s="1271">
        <v>211</v>
      </c>
      <c r="B263" s="1274" t="s">
        <v>1315</v>
      </c>
      <c r="C263" s="1279">
        <v>1962</v>
      </c>
      <c r="D263" s="1279"/>
      <c r="E263" s="1271" t="s">
        <v>218</v>
      </c>
      <c r="F263" s="1279">
        <v>2</v>
      </c>
      <c r="G263" s="1279">
        <v>2</v>
      </c>
      <c r="H263" s="993">
        <v>696.1</v>
      </c>
      <c r="I263" s="993">
        <v>640.5</v>
      </c>
      <c r="J263" s="993">
        <v>640.5</v>
      </c>
      <c r="K263" s="987">
        <v>37</v>
      </c>
      <c r="L263" s="985">
        <v>2823361</v>
      </c>
      <c r="M263" s="985">
        <v>0</v>
      </c>
      <c r="N263" s="985">
        <v>0</v>
      </c>
      <c r="O263" s="985">
        <v>2823361</v>
      </c>
      <c r="P263" s="985">
        <v>0</v>
      </c>
      <c r="Q263" s="985">
        <v>0</v>
      </c>
      <c r="R263" s="985">
        <f t="shared" ref="R263:R264" si="71">L263/I263</f>
        <v>4408.0577673692424</v>
      </c>
      <c r="S263" s="1279">
        <v>2020</v>
      </c>
      <c r="T263" s="1279">
        <v>2020</v>
      </c>
    </row>
    <row r="264" spans="1:20" s="992" customFormat="1" ht="36" customHeight="1">
      <c r="A264" s="1271">
        <v>212</v>
      </c>
      <c r="B264" s="1274" t="s">
        <v>1316</v>
      </c>
      <c r="C264" s="1279">
        <v>1958</v>
      </c>
      <c r="D264" s="1279"/>
      <c r="E264" s="1271" t="s">
        <v>823</v>
      </c>
      <c r="F264" s="1279">
        <v>2</v>
      </c>
      <c r="G264" s="1279">
        <v>2</v>
      </c>
      <c r="H264" s="993">
        <v>733.9</v>
      </c>
      <c r="I264" s="993">
        <v>654.29999999999995</v>
      </c>
      <c r="J264" s="993">
        <v>654.29999999999995</v>
      </c>
      <c r="K264" s="987">
        <v>11</v>
      </c>
      <c r="L264" s="985">
        <v>3140867</v>
      </c>
      <c r="M264" s="985">
        <v>0</v>
      </c>
      <c r="N264" s="985">
        <v>0</v>
      </c>
      <c r="O264" s="985">
        <v>3140867</v>
      </c>
      <c r="P264" s="985">
        <v>0</v>
      </c>
      <c r="Q264" s="985">
        <v>0</v>
      </c>
      <c r="R264" s="985">
        <f t="shared" si="71"/>
        <v>4800.3469356564274</v>
      </c>
      <c r="S264" s="1279">
        <v>2020</v>
      </c>
      <c r="T264" s="1279">
        <v>2020</v>
      </c>
    </row>
    <row r="265" spans="1:20" s="992" customFormat="1" ht="36" customHeight="1">
      <c r="A265" s="1271"/>
      <c r="B265" s="1392" t="s">
        <v>1072</v>
      </c>
      <c r="C265" s="1391"/>
      <c r="D265" s="1391"/>
      <c r="E265" s="1391"/>
      <c r="F265" s="1391"/>
      <c r="G265" s="1391"/>
      <c r="H265" s="985">
        <f>H266</f>
        <v>758.9</v>
      </c>
      <c r="I265" s="985">
        <f t="shared" ref="I265:Q265" si="72">I266</f>
        <v>706.7</v>
      </c>
      <c r="J265" s="985">
        <f t="shared" si="72"/>
        <v>431.1</v>
      </c>
      <c r="K265" s="1064">
        <f t="shared" si="72"/>
        <v>19</v>
      </c>
      <c r="L265" s="985">
        <f t="shared" si="72"/>
        <v>1668609</v>
      </c>
      <c r="M265" s="985">
        <f t="shared" si="72"/>
        <v>0</v>
      </c>
      <c r="N265" s="985">
        <f t="shared" si="72"/>
        <v>0</v>
      </c>
      <c r="O265" s="985">
        <f t="shared" si="72"/>
        <v>1668609</v>
      </c>
      <c r="P265" s="985">
        <f t="shared" si="72"/>
        <v>0</v>
      </c>
      <c r="Q265" s="985">
        <f t="shared" si="72"/>
        <v>0</v>
      </c>
      <c r="R265" s="991" t="s">
        <v>40</v>
      </c>
      <c r="S265" s="991" t="s">
        <v>40</v>
      </c>
      <c r="T265" s="991" t="s">
        <v>40</v>
      </c>
    </row>
    <row r="266" spans="1:20" s="992" customFormat="1" ht="36" customHeight="1">
      <c r="A266" s="1271">
        <v>213</v>
      </c>
      <c r="B266" s="1274" t="s">
        <v>1345</v>
      </c>
      <c r="C266" s="1271">
        <v>1958</v>
      </c>
      <c r="D266" s="1271"/>
      <c r="E266" s="1271" t="s">
        <v>221</v>
      </c>
      <c r="F266" s="1271">
        <v>2</v>
      </c>
      <c r="G266" s="1271">
        <v>2</v>
      </c>
      <c r="H266" s="985">
        <v>758.9</v>
      </c>
      <c r="I266" s="985">
        <v>706.7</v>
      </c>
      <c r="J266" s="985">
        <v>431.1</v>
      </c>
      <c r="K266" s="1064">
        <v>19</v>
      </c>
      <c r="L266" s="986">
        <v>1668609</v>
      </c>
      <c r="M266" s="986">
        <v>0</v>
      </c>
      <c r="N266" s="986">
        <v>0</v>
      </c>
      <c r="O266" s="986">
        <v>1668609</v>
      </c>
      <c r="P266" s="993">
        <f t="shared" ref="P266:P364" si="73">Q266</f>
        <v>0</v>
      </c>
      <c r="Q266" s="986">
        <v>0</v>
      </c>
      <c r="R266" s="985">
        <f t="shared" ref="R266" si="74">L266/I266</f>
        <v>2361.127776991651</v>
      </c>
      <c r="S266" s="987">
        <v>2020</v>
      </c>
      <c r="T266" s="987">
        <v>2020</v>
      </c>
    </row>
    <row r="267" spans="1:20" s="992" customFormat="1" ht="36" customHeight="1">
      <c r="A267" s="1271"/>
      <c r="B267" s="1390" t="s">
        <v>1351</v>
      </c>
      <c r="C267" s="1390"/>
      <c r="D267" s="1390"/>
      <c r="E267" s="1390"/>
      <c r="F267" s="1390"/>
      <c r="G267" s="1390"/>
      <c r="H267" s="985">
        <f>H268</f>
        <v>1531.1</v>
      </c>
      <c r="I267" s="985">
        <f t="shared" ref="I267:Q267" si="75">I268</f>
        <v>1531.1</v>
      </c>
      <c r="J267" s="985">
        <f t="shared" si="75"/>
        <v>776.7</v>
      </c>
      <c r="K267" s="1064">
        <f t="shared" si="75"/>
        <v>56</v>
      </c>
      <c r="L267" s="985">
        <f t="shared" si="75"/>
        <v>2119380</v>
      </c>
      <c r="M267" s="985">
        <f t="shared" si="75"/>
        <v>0</v>
      </c>
      <c r="N267" s="985">
        <f t="shared" si="75"/>
        <v>0</v>
      </c>
      <c r="O267" s="985">
        <f t="shared" si="75"/>
        <v>2119380</v>
      </c>
      <c r="P267" s="985">
        <f t="shared" si="75"/>
        <v>0</v>
      </c>
      <c r="Q267" s="985">
        <f t="shared" si="75"/>
        <v>0</v>
      </c>
      <c r="R267" s="991" t="s">
        <v>40</v>
      </c>
      <c r="S267" s="991" t="s">
        <v>40</v>
      </c>
      <c r="T267" s="991" t="s">
        <v>40</v>
      </c>
    </row>
    <row r="268" spans="1:20" s="992" customFormat="1" ht="40.15" customHeight="1">
      <c r="A268" s="1271">
        <v>214</v>
      </c>
      <c r="B268" s="1274" t="s">
        <v>1352</v>
      </c>
      <c r="C268" s="1271">
        <v>1980</v>
      </c>
      <c r="D268" s="1271">
        <v>2009</v>
      </c>
      <c r="E268" s="1271" t="s">
        <v>218</v>
      </c>
      <c r="F268" s="1271">
        <v>3</v>
      </c>
      <c r="G268" s="1271">
        <v>3</v>
      </c>
      <c r="H268" s="985">
        <v>1531.1</v>
      </c>
      <c r="I268" s="985">
        <v>1531.1</v>
      </c>
      <c r="J268" s="985">
        <v>776.7</v>
      </c>
      <c r="K268" s="1064">
        <v>56</v>
      </c>
      <c r="L268" s="986">
        <v>2119380</v>
      </c>
      <c r="M268" s="986">
        <v>0</v>
      </c>
      <c r="N268" s="986">
        <v>0</v>
      </c>
      <c r="O268" s="986">
        <v>2119380</v>
      </c>
      <c r="P268" s="993">
        <v>0</v>
      </c>
      <c r="Q268" s="986">
        <v>0</v>
      </c>
      <c r="R268" s="985">
        <f t="shared" ref="R268" si="76">L268/I268</f>
        <v>1384.2204950689047</v>
      </c>
      <c r="S268" s="987">
        <v>2020</v>
      </c>
      <c r="T268" s="987">
        <v>2020</v>
      </c>
    </row>
    <row r="269" spans="1:20" s="992" customFormat="1" ht="36" customHeight="1">
      <c r="A269" s="1271"/>
      <c r="B269" s="1392" t="s">
        <v>1074</v>
      </c>
      <c r="C269" s="1391"/>
      <c r="D269" s="1391"/>
      <c r="E269" s="1391"/>
      <c r="F269" s="1391"/>
      <c r="G269" s="1391"/>
      <c r="H269" s="985">
        <f>H270</f>
        <v>432.6</v>
      </c>
      <c r="I269" s="985">
        <f t="shared" ref="I269:Q269" si="77">I270</f>
        <v>392</v>
      </c>
      <c r="J269" s="985">
        <f t="shared" si="77"/>
        <v>392</v>
      </c>
      <c r="K269" s="1064">
        <f t="shared" si="77"/>
        <v>9</v>
      </c>
      <c r="L269" s="985">
        <f t="shared" si="77"/>
        <v>255847</v>
      </c>
      <c r="M269" s="985">
        <f t="shared" si="77"/>
        <v>0</v>
      </c>
      <c r="N269" s="985">
        <f t="shared" si="77"/>
        <v>0</v>
      </c>
      <c r="O269" s="985">
        <f t="shared" si="77"/>
        <v>255847</v>
      </c>
      <c r="P269" s="985">
        <f t="shared" si="77"/>
        <v>0</v>
      </c>
      <c r="Q269" s="985">
        <f t="shared" si="77"/>
        <v>0</v>
      </c>
      <c r="R269" s="991" t="s">
        <v>40</v>
      </c>
      <c r="S269" s="991" t="s">
        <v>40</v>
      </c>
      <c r="T269" s="991" t="s">
        <v>40</v>
      </c>
    </row>
    <row r="270" spans="1:20" s="992" customFormat="1" ht="39.6" customHeight="1">
      <c r="A270" s="1271">
        <v>215</v>
      </c>
      <c r="B270" s="1274" t="s">
        <v>1353</v>
      </c>
      <c r="C270" s="1271">
        <v>1957</v>
      </c>
      <c r="D270" s="1271"/>
      <c r="E270" s="1271" t="s">
        <v>218</v>
      </c>
      <c r="F270" s="1271">
        <v>2</v>
      </c>
      <c r="G270" s="1271">
        <v>1</v>
      </c>
      <c r="H270" s="985">
        <v>432.6</v>
      </c>
      <c r="I270" s="985">
        <v>392</v>
      </c>
      <c r="J270" s="985">
        <v>392</v>
      </c>
      <c r="K270" s="1064">
        <v>9</v>
      </c>
      <c r="L270" s="986">
        <v>255847</v>
      </c>
      <c r="M270" s="986">
        <v>0</v>
      </c>
      <c r="N270" s="986">
        <v>0</v>
      </c>
      <c r="O270" s="986">
        <v>255847</v>
      </c>
      <c r="P270" s="993">
        <v>0</v>
      </c>
      <c r="Q270" s="986">
        <v>0</v>
      </c>
      <c r="R270" s="985">
        <f t="shared" ref="R270" si="78">L270/I270</f>
        <v>652.67091836734699</v>
      </c>
      <c r="S270" s="987">
        <v>2020</v>
      </c>
      <c r="T270" s="987">
        <v>2020</v>
      </c>
    </row>
    <row r="271" spans="1:20" s="992" customFormat="1" ht="36" customHeight="1">
      <c r="A271" s="1271"/>
      <c r="B271" s="1392" t="s">
        <v>1073</v>
      </c>
      <c r="C271" s="1391"/>
      <c r="D271" s="1391"/>
      <c r="E271" s="1391"/>
      <c r="F271" s="1391"/>
      <c r="G271" s="1391"/>
      <c r="H271" s="985">
        <f>SUM(H272:H276)</f>
        <v>18111.399999999998</v>
      </c>
      <c r="I271" s="985">
        <f t="shared" ref="I271:Q271" si="79">SUM(I272:I276)</f>
        <v>17274.599999999999</v>
      </c>
      <c r="J271" s="985">
        <f t="shared" si="79"/>
        <v>15435.5</v>
      </c>
      <c r="K271" s="1064">
        <f t="shared" si="79"/>
        <v>638</v>
      </c>
      <c r="L271" s="985">
        <f t="shared" si="79"/>
        <v>14825740</v>
      </c>
      <c r="M271" s="985">
        <f t="shared" si="79"/>
        <v>0</v>
      </c>
      <c r="N271" s="985">
        <f t="shared" si="79"/>
        <v>0</v>
      </c>
      <c r="O271" s="985">
        <f t="shared" si="79"/>
        <v>14825740</v>
      </c>
      <c r="P271" s="985">
        <f t="shared" si="79"/>
        <v>0</v>
      </c>
      <c r="Q271" s="985">
        <f t="shared" si="79"/>
        <v>0</v>
      </c>
      <c r="R271" s="991" t="s">
        <v>40</v>
      </c>
      <c r="S271" s="991" t="s">
        <v>40</v>
      </c>
      <c r="T271" s="991" t="s">
        <v>40</v>
      </c>
    </row>
    <row r="272" spans="1:20" s="992" customFormat="1" ht="36" customHeight="1">
      <c r="A272" s="1271">
        <v>216</v>
      </c>
      <c r="B272" s="1274" t="s">
        <v>1361</v>
      </c>
      <c r="C272" s="1271">
        <v>1981</v>
      </c>
      <c r="D272" s="1271">
        <v>2008</v>
      </c>
      <c r="E272" s="1271" t="s">
        <v>219</v>
      </c>
      <c r="F272" s="1271">
        <v>5</v>
      </c>
      <c r="G272" s="1271">
        <v>6</v>
      </c>
      <c r="H272" s="985">
        <v>4981.3999999999996</v>
      </c>
      <c r="I272" s="985">
        <v>4981.3999999999996</v>
      </c>
      <c r="J272" s="985">
        <v>4537.1000000000004</v>
      </c>
      <c r="K272" s="1064">
        <v>156</v>
      </c>
      <c r="L272" s="986">
        <v>3315471</v>
      </c>
      <c r="M272" s="986">
        <v>0</v>
      </c>
      <c r="N272" s="986">
        <v>0</v>
      </c>
      <c r="O272" s="986">
        <f>L272</f>
        <v>3315471</v>
      </c>
      <c r="P272" s="993">
        <v>0</v>
      </c>
      <c r="Q272" s="986">
        <v>0</v>
      </c>
      <c r="R272" s="985">
        <f t="shared" ref="R272" si="80">L272/I272</f>
        <v>665.57012084956045</v>
      </c>
      <c r="S272" s="987">
        <v>2020</v>
      </c>
      <c r="T272" s="987">
        <v>2020</v>
      </c>
    </row>
    <row r="273" spans="1:20" s="992" customFormat="1" ht="36" customHeight="1">
      <c r="A273" s="1271">
        <v>217</v>
      </c>
      <c r="B273" s="1274" t="s">
        <v>724</v>
      </c>
      <c r="C273" s="1271">
        <v>1980</v>
      </c>
      <c r="D273" s="1271"/>
      <c r="E273" s="1271" t="s">
        <v>219</v>
      </c>
      <c r="F273" s="1271">
        <v>5</v>
      </c>
      <c r="G273" s="1271">
        <v>2</v>
      </c>
      <c r="H273" s="985">
        <v>4194.2</v>
      </c>
      <c r="I273" s="985">
        <v>3357.4</v>
      </c>
      <c r="J273" s="985">
        <v>2729.6</v>
      </c>
      <c r="K273" s="1064">
        <v>188</v>
      </c>
      <c r="L273" s="986">
        <v>2655049</v>
      </c>
      <c r="M273" s="986">
        <v>0</v>
      </c>
      <c r="N273" s="986">
        <v>0</v>
      </c>
      <c r="O273" s="986">
        <f t="shared" ref="O273:O276" si="81">L273</f>
        <v>2655049</v>
      </c>
      <c r="P273" s="993">
        <v>0</v>
      </c>
      <c r="Q273" s="986">
        <v>0</v>
      </c>
      <c r="R273" s="985">
        <f t="shared" ref="R273:R276" si="82">L273/I273</f>
        <v>790.80508726991127</v>
      </c>
      <c r="S273" s="987">
        <v>2020</v>
      </c>
      <c r="T273" s="987">
        <v>2020</v>
      </c>
    </row>
    <row r="274" spans="1:20" s="992" customFormat="1" ht="36" customHeight="1">
      <c r="A274" s="1271">
        <v>218</v>
      </c>
      <c r="B274" s="1274" t="s">
        <v>1362</v>
      </c>
      <c r="C274" s="1271">
        <v>1974</v>
      </c>
      <c r="D274" s="1271">
        <v>2005</v>
      </c>
      <c r="E274" s="1271" t="s">
        <v>219</v>
      </c>
      <c r="F274" s="1271">
        <v>5</v>
      </c>
      <c r="G274" s="1271">
        <v>6</v>
      </c>
      <c r="H274" s="985">
        <v>4867</v>
      </c>
      <c r="I274" s="985">
        <v>4867</v>
      </c>
      <c r="J274" s="985">
        <v>4453</v>
      </c>
      <c r="K274" s="1064">
        <v>163</v>
      </c>
      <c r="L274" s="986">
        <v>4033887</v>
      </c>
      <c r="M274" s="986">
        <v>0</v>
      </c>
      <c r="N274" s="986">
        <v>0</v>
      </c>
      <c r="O274" s="986">
        <f t="shared" si="81"/>
        <v>4033887</v>
      </c>
      <c r="P274" s="993">
        <v>0</v>
      </c>
      <c r="Q274" s="986">
        <v>0</v>
      </c>
      <c r="R274" s="985">
        <f t="shared" si="82"/>
        <v>828.82412163550441</v>
      </c>
      <c r="S274" s="987">
        <v>2020</v>
      </c>
      <c r="T274" s="987">
        <v>2020</v>
      </c>
    </row>
    <row r="275" spans="1:20" s="992" customFormat="1" ht="42" customHeight="1">
      <c r="A275" s="1271">
        <v>219</v>
      </c>
      <c r="B275" s="1274" t="s">
        <v>1363</v>
      </c>
      <c r="C275" s="1271">
        <v>1957</v>
      </c>
      <c r="D275" s="1271"/>
      <c r="E275" s="1271" t="s">
        <v>218</v>
      </c>
      <c r="F275" s="1271">
        <v>2</v>
      </c>
      <c r="G275" s="1271">
        <v>2</v>
      </c>
      <c r="H275" s="985">
        <v>782.3</v>
      </c>
      <c r="I275" s="985">
        <v>782.3</v>
      </c>
      <c r="J275" s="985">
        <v>719.1</v>
      </c>
      <c r="K275" s="1064">
        <v>24</v>
      </c>
      <c r="L275" s="986">
        <v>2403067</v>
      </c>
      <c r="M275" s="986">
        <v>0</v>
      </c>
      <c r="N275" s="986">
        <v>0</v>
      </c>
      <c r="O275" s="986">
        <f t="shared" si="81"/>
        <v>2403067</v>
      </c>
      <c r="P275" s="993">
        <v>0</v>
      </c>
      <c r="Q275" s="986">
        <v>0</v>
      </c>
      <c r="R275" s="985">
        <f t="shared" si="82"/>
        <v>3071.7972644765437</v>
      </c>
      <c r="S275" s="987">
        <v>2020</v>
      </c>
      <c r="T275" s="987">
        <v>2020</v>
      </c>
    </row>
    <row r="276" spans="1:20" s="992" customFormat="1" ht="36" customHeight="1">
      <c r="A276" s="1271">
        <v>220</v>
      </c>
      <c r="B276" s="1274" t="s">
        <v>1134</v>
      </c>
      <c r="C276" s="1271">
        <v>1979</v>
      </c>
      <c r="D276" s="1271">
        <v>2007</v>
      </c>
      <c r="E276" s="1271" t="s">
        <v>219</v>
      </c>
      <c r="F276" s="1271">
        <v>5</v>
      </c>
      <c r="G276" s="1271">
        <v>4</v>
      </c>
      <c r="H276" s="985">
        <v>3286.5</v>
      </c>
      <c r="I276" s="985">
        <v>3286.5</v>
      </c>
      <c r="J276" s="985">
        <v>2996.7</v>
      </c>
      <c r="K276" s="1064">
        <v>107</v>
      </c>
      <c r="L276" s="986">
        <v>2418266</v>
      </c>
      <c r="M276" s="986">
        <v>0</v>
      </c>
      <c r="N276" s="986">
        <v>0</v>
      </c>
      <c r="O276" s="986">
        <f t="shared" si="81"/>
        <v>2418266</v>
      </c>
      <c r="P276" s="993">
        <v>0</v>
      </c>
      <c r="Q276" s="986">
        <v>0</v>
      </c>
      <c r="R276" s="985">
        <f t="shared" si="82"/>
        <v>735.81804351133428</v>
      </c>
      <c r="S276" s="987">
        <v>2020</v>
      </c>
      <c r="T276" s="987">
        <v>2020</v>
      </c>
    </row>
    <row r="277" spans="1:20" s="992" customFormat="1" ht="36" customHeight="1">
      <c r="A277" s="1271"/>
      <c r="B277" s="1391" t="s">
        <v>1652</v>
      </c>
      <c r="C277" s="1391"/>
      <c r="D277" s="1391"/>
      <c r="E277" s="1391"/>
      <c r="F277" s="1391"/>
      <c r="G277" s="1391"/>
      <c r="H277" s="985">
        <f>H278+H279+H280</f>
        <v>1162.2</v>
      </c>
      <c r="I277" s="985">
        <f t="shared" ref="I277:Q277" si="83">I278+I279+I280</f>
        <v>1056.9000000000001</v>
      </c>
      <c r="J277" s="985">
        <f t="shared" si="83"/>
        <v>705.5</v>
      </c>
      <c r="K277" s="1064">
        <f t="shared" si="83"/>
        <v>44</v>
      </c>
      <c r="L277" s="985">
        <f t="shared" si="83"/>
        <v>6973264.0800000001</v>
      </c>
      <c r="M277" s="985">
        <f t="shared" si="83"/>
        <v>0</v>
      </c>
      <c r="N277" s="985">
        <f t="shared" si="83"/>
        <v>0</v>
      </c>
      <c r="O277" s="985">
        <f t="shared" si="83"/>
        <v>6973264.0800000001</v>
      </c>
      <c r="P277" s="985">
        <f t="shared" si="83"/>
        <v>0</v>
      </c>
      <c r="Q277" s="985">
        <f t="shared" si="83"/>
        <v>0</v>
      </c>
      <c r="R277" s="991" t="s">
        <v>40</v>
      </c>
      <c r="S277" s="991" t="s">
        <v>40</v>
      </c>
      <c r="T277" s="991" t="s">
        <v>40</v>
      </c>
    </row>
    <row r="278" spans="1:20" s="992" customFormat="1" ht="40.9" customHeight="1">
      <c r="A278" s="1271">
        <v>221</v>
      </c>
      <c r="B278" s="1056" t="s">
        <v>2872</v>
      </c>
      <c r="C278" s="1015">
        <v>1965</v>
      </c>
      <c r="D278" s="1015"/>
      <c r="E278" s="1015" t="s">
        <v>218</v>
      </c>
      <c r="F278" s="1015">
        <v>2</v>
      </c>
      <c r="G278" s="1015">
        <v>2</v>
      </c>
      <c r="H278" s="985">
        <v>458.1</v>
      </c>
      <c r="I278" s="985">
        <v>457.2</v>
      </c>
      <c r="J278" s="985">
        <v>352.4</v>
      </c>
      <c r="K278" s="1064">
        <v>25</v>
      </c>
      <c r="L278" s="986">
        <v>3588646.46</v>
      </c>
      <c r="M278" s="986">
        <v>0</v>
      </c>
      <c r="N278" s="986">
        <v>0</v>
      </c>
      <c r="O278" s="986">
        <v>3588646.46</v>
      </c>
      <c r="P278" s="993">
        <v>0</v>
      </c>
      <c r="Q278" s="986">
        <v>0</v>
      </c>
      <c r="R278" s="1033">
        <f>L278/I278</f>
        <v>7849.182983377078</v>
      </c>
      <c r="S278" s="1054" t="s">
        <v>1190</v>
      </c>
      <c r="T278" s="1054" t="s">
        <v>1433</v>
      </c>
    </row>
    <row r="279" spans="1:20" s="992" customFormat="1" ht="37.15" customHeight="1">
      <c r="A279" s="1271">
        <v>222</v>
      </c>
      <c r="B279" s="1056" t="s">
        <v>2871</v>
      </c>
      <c r="C279" s="1015">
        <v>1964</v>
      </c>
      <c r="D279" s="1015"/>
      <c r="E279" s="1015" t="s">
        <v>221</v>
      </c>
      <c r="F279" s="1015">
        <v>2</v>
      </c>
      <c r="G279" s="1015">
        <v>2</v>
      </c>
      <c r="H279" s="985">
        <v>140.9</v>
      </c>
      <c r="I279" s="985">
        <v>124.7</v>
      </c>
      <c r="J279" s="985">
        <v>124.7</v>
      </c>
      <c r="K279" s="1064">
        <v>5</v>
      </c>
      <c r="L279" s="986">
        <v>904954.73</v>
      </c>
      <c r="M279" s="986">
        <v>0</v>
      </c>
      <c r="N279" s="986">
        <v>0</v>
      </c>
      <c r="O279" s="986">
        <v>904954.73</v>
      </c>
      <c r="P279" s="993">
        <v>0</v>
      </c>
      <c r="Q279" s="986">
        <v>0</v>
      </c>
      <c r="R279" s="1033">
        <f>L279/I279</f>
        <v>7257.0547714514832</v>
      </c>
      <c r="S279" s="1054" t="s">
        <v>1190</v>
      </c>
      <c r="T279" s="1054" t="s">
        <v>1433</v>
      </c>
    </row>
    <row r="280" spans="1:20" s="992" customFormat="1" ht="40.15" customHeight="1">
      <c r="A280" s="1271">
        <v>223</v>
      </c>
      <c r="B280" s="1274" t="s">
        <v>2873</v>
      </c>
      <c r="C280" s="1015">
        <v>1917</v>
      </c>
      <c r="D280" s="1015"/>
      <c r="E280" s="1015" t="s">
        <v>218</v>
      </c>
      <c r="F280" s="1015">
        <v>2</v>
      </c>
      <c r="G280" s="1015">
        <v>2</v>
      </c>
      <c r="H280" s="985">
        <v>563.20000000000005</v>
      </c>
      <c r="I280" s="985">
        <v>475</v>
      </c>
      <c r="J280" s="985">
        <v>228.4</v>
      </c>
      <c r="K280" s="1064">
        <v>14</v>
      </c>
      <c r="L280" s="986">
        <v>2479662.89</v>
      </c>
      <c r="M280" s="986">
        <v>0</v>
      </c>
      <c r="N280" s="986">
        <v>0</v>
      </c>
      <c r="O280" s="986">
        <v>2479662.89</v>
      </c>
      <c r="P280" s="993">
        <v>0</v>
      </c>
      <c r="Q280" s="986">
        <v>0</v>
      </c>
      <c r="R280" s="1033">
        <f>L280/I280</f>
        <v>5220.3429263157896</v>
      </c>
      <c r="S280" s="1054" t="s">
        <v>1190</v>
      </c>
      <c r="T280" s="1054" t="s">
        <v>1433</v>
      </c>
    </row>
    <row r="281" spans="1:20" s="992" customFormat="1" ht="36" customHeight="1">
      <c r="A281" s="1271"/>
      <c r="B281" s="1273" t="s">
        <v>55</v>
      </c>
      <c r="C281" s="1279"/>
      <c r="D281" s="1283"/>
      <c r="E281" s="1271"/>
      <c r="F281" s="1279"/>
      <c r="G281" s="1279"/>
      <c r="H281" s="985">
        <f>H282</f>
        <v>1415.1</v>
      </c>
      <c r="I281" s="985">
        <f t="shared" ref="I281:Q281" si="84">I282</f>
        <v>882.2</v>
      </c>
      <c r="J281" s="985">
        <f t="shared" si="84"/>
        <v>855.2</v>
      </c>
      <c r="K281" s="1064">
        <f t="shared" si="84"/>
        <v>49</v>
      </c>
      <c r="L281" s="985">
        <f t="shared" si="84"/>
        <v>2914163</v>
      </c>
      <c r="M281" s="985">
        <f t="shared" si="84"/>
        <v>0</v>
      </c>
      <c r="N281" s="985">
        <f t="shared" si="84"/>
        <v>0</v>
      </c>
      <c r="O281" s="985">
        <f t="shared" si="84"/>
        <v>2914163</v>
      </c>
      <c r="P281" s="985">
        <f t="shared" si="84"/>
        <v>0</v>
      </c>
      <c r="Q281" s="985">
        <f t="shared" si="84"/>
        <v>0</v>
      </c>
      <c r="R281" s="991" t="s">
        <v>40</v>
      </c>
      <c r="S281" s="991" t="s">
        <v>40</v>
      </c>
      <c r="T281" s="991" t="s">
        <v>40</v>
      </c>
    </row>
    <row r="282" spans="1:20" s="992" customFormat="1" ht="36" customHeight="1">
      <c r="A282" s="1271"/>
      <c r="B282" s="1273" t="s">
        <v>1076</v>
      </c>
      <c r="C282" s="1279"/>
      <c r="D282" s="1283"/>
      <c r="E282" s="1271"/>
      <c r="F282" s="1279"/>
      <c r="G282" s="1279"/>
      <c r="H282" s="985">
        <f>H283</f>
        <v>1415.1</v>
      </c>
      <c r="I282" s="985">
        <f t="shared" ref="I282:Q282" si="85">I283</f>
        <v>882.2</v>
      </c>
      <c r="J282" s="985">
        <f t="shared" si="85"/>
        <v>855.2</v>
      </c>
      <c r="K282" s="1064">
        <f t="shared" si="85"/>
        <v>49</v>
      </c>
      <c r="L282" s="985">
        <f t="shared" si="85"/>
        <v>2914163</v>
      </c>
      <c r="M282" s="985">
        <f t="shared" si="85"/>
        <v>0</v>
      </c>
      <c r="N282" s="985">
        <f t="shared" si="85"/>
        <v>0</v>
      </c>
      <c r="O282" s="985">
        <f t="shared" si="85"/>
        <v>2914163</v>
      </c>
      <c r="P282" s="985">
        <f t="shared" si="85"/>
        <v>0</v>
      </c>
      <c r="Q282" s="985">
        <f t="shared" si="85"/>
        <v>0</v>
      </c>
      <c r="R282" s="991" t="s">
        <v>40</v>
      </c>
      <c r="S282" s="991" t="s">
        <v>40</v>
      </c>
      <c r="T282" s="991" t="s">
        <v>40</v>
      </c>
    </row>
    <row r="283" spans="1:20" s="992" customFormat="1" ht="39.6" customHeight="1">
      <c r="A283" s="1271">
        <v>224</v>
      </c>
      <c r="B283" s="1273" t="s">
        <v>1322</v>
      </c>
      <c r="C283" s="1015">
        <v>1990</v>
      </c>
      <c r="D283" s="1015"/>
      <c r="E283" s="1015" t="s">
        <v>219</v>
      </c>
      <c r="F283" s="1015">
        <v>3</v>
      </c>
      <c r="G283" s="1015">
        <v>3</v>
      </c>
      <c r="H283" s="985">
        <v>1415.1</v>
      </c>
      <c r="I283" s="985">
        <v>882.2</v>
      </c>
      <c r="J283" s="985">
        <v>855.2</v>
      </c>
      <c r="K283" s="1064">
        <v>49</v>
      </c>
      <c r="L283" s="986">
        <v>2914163</v>
      </c>
      <c r="M283" s="986">
        <v>0</v>
      </c>
      <c r="N283" s="986">
        <v>0</v>
      </c>
      <c r="O283" s="986">
        <v>2914163</v>
      </c>
      <c r="P283" s="993">
        <v>0</v>
      </c>
      <c r="Q283" s="986">
        <v>0</v>
      </c>
      <c r="R283" s="1033">
        <f>L283/I283</f>
        <v>3303.290637043754</v>
      </c>
      <c r="S283" s="1054" t="s">
        <v>1190</v>
      </c>
      <c r="T283" s="1054" t="s">
        <v>1190</v>
      </c>
    </row>
    <row r="284" spans="1:20" s="992" customFormat="1" ht="36" customHeight="1">
      <c r="A284" s="1271"/>
      <c r="B284" s="1391" t="s">
        <v>1657</v>
      </c>
      <c r="C284" s="1391"/>
      <c r="D284" s="1391"/>
      <c r="E284" s="1391"/>
      <c r="F284" s="1391"/>
      <c r="G284" s="1391"/>
      <c r="H284" s="985">
        <f>H285+H286</f>
        <v>814.6</v>
      </c>
      <c r="I284" s="985">
        <f t="shared" ref="I284:Q284" si="86">I285+I286</f>
        <v>814.6</v>
      </c>
      <c r="J284" s="985">
        <f t="shared" si="86"/>
        <v>631.5</v>
      </c>
      <c r="K284" s="1064">
        <f t="shared" si="86"/>
        <v>38</v>
      </c>
      <c r="L284" s="985">
        <f t="shared" si="86"/>
        <v>2447067</v>
      </c>
      <c r="M284" s="985">
        <f t="shared" si="86"/>
        <v>0</v>
      </c>
      <c r="N284" s="985">
        <f t="shared" si="86"/>
        <v>298374.21999999997</v>
      </c>
      <c r="O284" s="985">
        <f t="shared" si="86"/>
        <v>2148692.7800000003</v>
      </c>
      <c r="P284" s="985">
        <f t="shared" si="86"/>
        <v>0</v>
      </c>
      <c r="Q284" s="985">
        <f t="shared" si="86"/>
        <v>0</v>
      </c>
      <c r="R284" s="991" t="s">
        <v>40</v>
      </c>
      <c r="S284" s="991" t="s">
        <v>40</v>
      </c>
      <c r="T284" s="991" t="s">
        <v>40</v>
      </c>
    </row>
    <row r="285" spans="1:20" s="1006" customFormat="1" ht="39.6" customHeight="1">
      <c r="A285" s="1271">
        <v>225</v>
      </c>
      <c r="B285" s="1273" t="s">
        <v>1536</v>
      </c>
      <c r="C285" s="1015">
        <v>1970</v>
      </c>
      <c r="D285" s="1274"/>
      <c r="E285" s="1271" t="s">
        <v>218</v>
      </c>
      <c r="F285" s="1271">
        <v>2</v>
      </c>
      <c r="G285" s="1271">
        <v>2</v>
      </c>
      <c r="H285" s="985">
        <v>433.6</v>
      </c>
      <c r="I285" s="985">
        <v>433.6</v>
      </c>
      <c r="J285" s="985">
        <v>384.5</v>
      </c>
      <c r="K285" s="1064">
        <v>20</v>
      </c>
      <c r="L285" s="986">
        <v>1198149</v>
      </c>
      <c r="M285" s="986">
        <v>0</v>
      </c>
      <c r="N285" s="986">
        <v>0</v>
      </c>
      <c r="O285" s="986">
        <v>1198149</v>
      </c>
      <c r="P285" s="993">
        <v>0</v>
      </c>
      <c r="Q285" s="986">
        <v>0</v>
      </c>
      <c r="R285" s="1033">
        <f>L285/I285</f>
        <v>2763.2587638376381</v>
      </c>
      <c r="S285" s="1054" t="s">
        <v>1190</v>
      </c>
      <c r="T285" s="1054" t="s">
        <v>1190</v>
      </c>
    </row>
    <row r="286" spans="1:20" s="1006" customFormat="1" ht="39.6" customHeight="1">
      <c r="A286" s="1271">
        <v>226</v>
      </c>
      <c r="B286" s="1273" t="s">
        <v>1218</v>
      </c>
      <c r="C286" s="1015">
        <v>1970</v>
      </c>
      <c r="D286" s="1015"/>
      <c r="E286" s="1015" t="s">
        <v>218</v>
      </c>
      <c r="F286" s="1015">
        <v>2</v>
      </c>
      <c r="G286" s="1015">
        <v>2</v>
      </c>
      <c r="H286" s="985">
        <v>381</v>
      </c>
      <c r="I286" s="985">
        <v>381</v>
      </c>
      <c r="J286" s="985">
        <v>247</v>
      </c>
      <c r="K286" s="1064">
        <v>18</v>
      </c>
      <c r="L286" s="986">
        <f>N286+O286</f>
        <v>1248918</v>
      </c>
      <c r="M286" s="986">
        <v>0</v>
      </c>
      <c r="N286" s="986">
        <v>298374.21999999997</v>
      </c>
      <c r="O286" s="986">
        <v>950543.78</v>
      </c>
      <c r="P286" s="993">
        <v>0</v>
      </c>
      <c r="Q286" s="986">
        <v>0</v>
      </c>
      <c r="R286" s="1033">
        <f>L286/I286</f>
        <v>3278</v>
      </c>
      <c r="S286" s="1054" t="s">
        <v>1190</v>
      </c>
      <c r="T286" s="1054" t="s">
        <v>1190</v>
      </c>
    </row>
    <row r="287" spans="1:20" s="1006" customFormat="1" ht="39.6" customHeight="1">
      <c r="A287" s="1271"/>
      <c r="B287" s="1391" t="s">
        <v>1989</v>
      </c>
      <c r="C287" s="1391"/>
      <c r="D287" s="1391"/>
      <c r="E287" s="1391"/>
      <c r="F287" s="1391"/>
      <c r="G287" s="1391"/>
      <c r="H287" s="985">
        <f>H302+H306+H288+H309</f>
        <v>25906.5</v>
      </c>
      <c r="I287" s="985">
        <f t="shared" ref="I287:Q287" si="87">I302+I306+I288+I309</f>
        <v>18567.599999999999</v>
      </c>
      <c r="J287" s="985">
        <f t="shared" si="87"/>
        <v>15746.3</v>
      </c>
      <c r="K287" s="1064">
        <f t="shared" si="87"/>
        <v>1014</v>
      </c>
      <c r="L287" s="985">
        <f t="shared" si="87"/>
        <v>54054963.460000001</v>
      </c>
      <c r="M287" s="985">
        <f t="shared" si="87"/>
        <v>0</v>
      </c>
      <c r="N287" s="985">
        <f t="shared" si="87"/>
        <v>0</v>
      </c>
      <c r="O287" s="985">
        <f t="shared" si="87"/>
        <v>54054963.460000001</v>
      </c>
      <c r="P287" s="985">
        <f t="shared" si="87"/>
        <v>0</v>
      </c>
      <c r="Q287" s="985">
        <f t="shared" si="87"/>
        <v>0</v>
      </c>
      <c r="R287" s="991" t="s">
        <v>40</v>
      </c>
      <c r="S287" s="991" t="s">
        <v>40</v>
      </c>
      <c r="T287" s="991" t="s">
        <v>40</v>
      </c>
    </row>
    <row r="288" spans="1:20" s="1006" customFormat="1" ht="39.6" customHeight="1">
      <c r="A288" s="1271"/>
      <c r="B288" s="1393" t="s">
        <v>2210</v>
      </c>
      <c r="C288" s="1393"/>
      <c r="D288" s="1393"/>
      <c r="E288" s="1393"/>
      <c r="F288" s="1393"/>
      <c r="G288" s="1393"/>
      <c r="H288" s="985">
        <f>SUM(H289:H301)</f>
        <v>16289.699999999999</v>
      </c>
      <c r="I288" s="985">
        <f t="shared" ref="I288:Q288" si="88">SUM(I289:I301)</f>
        <v>11292.299999999997</v>
      </c>
      <c r="J288" s="985">
        <f t="shared" si="88"/>
        <v>9929.9</v>
      </c>
      <c r="K288" s="1064">
        <f t="shared" si="88"/>
        <v>629</v>
      </c>
      <c r="L288" s="985">
        <f t="shared" si="88"/>
        <v>46056738.460000001</v>
      </c>
      <c r="M288" s="985">
        <f t="shared" si="88"/>
        <v>0</v>
      </c>
      <c r="N288" s="985">
        <f t="shared" si="88"/>
        <v>0</v>
      </c>
      <c r="O288" s="985">
        <f t="shared" si="88"/>
        <v>46056738.460000001</v>
      </c>
      <c r="P288" s="985">
        <f t="shared" si="88"/>
        <v>0</v>
      </c>
      <c r="Q288" s="985">
        <f t="shared" si="88"/>
        <v>0</v>
      </c>
      <c r="R288" s="991" t="s">
        <v>40</v>
      </c>
      <c r="S288" s="991" t="s">
        <v>40</v>
      </c>
      <c r="T288" s="991" t="s">
        <v>40</v>
      </c>
    </row>
    <row r="289" spans="1:20" s="1006" customFormat="1" ht="39.6" customHeight="1">
      <c r="A289" s="1271">
        <v>227</v>
      </c>
      <c r="B289" s="1056" t="s">
        <v>2085</v>
      </c>
      <c r="C289" s="1015">
        <v>1976</v>
      </c>
      <c r="D289" s="1015"/>
      <c r="E289" s="1015" t="s">
        <v>218</v>
      </c>
      <c r="F289" s="1015">
        <v>2</v>
      </c>
      <c r="G289" s="1015">
        <v>2</v>
      </c>
      <c r="H289" s="1033">
        <v>1011.9</v>
      </c>
      <c r="I289" s="1033">
        <v>686.6</v>
      </c>
      <c r="J289" s="1033">
        <v>603</v>
      </c>
      <c r="K289" s="1110">
        <v>62</v>
      </c>
      <c r="L289" s="1057">
        <v>2084014.67</v>
      </c>
      <c r="M289" s="1033">
        <v>0</v>
      </c>
      <c r="N289" s="1033">
        <v>0</v>
      </c>
      <c r="O289" s="1033">
        <f>L289</f>
        <v>2084014.67</v>
      </c>
      <c r="P289" s="1033">
        <v>0</v>
      </c>
      <c r="Q289" s="1033">
        <v>0</v>
      </c>
      <c r="R289" s="1033">
        <f>L289/I289</f>
        <v>3035.2675065540343</v>
      </c>
      <c r="S289" s="1054" t="s">
        <v>1190</v>
      </c>
      <c r="T289" s="1054" t="s">
        <v>1433</v>
      </c>
    </row>
    <row r="290" spans="1:20" s="1006" customFormat="1" ht="39.6" customHeight="1">
      <c r="A290" s="1031">
        <v>228</v>
      </c>
      <c r="B290" s="1014" t="s">
        <v>2874</v>
      </c>
      <c r="C290" s="1015">
        <v>1966</v>
      </c>
      <c r="D290" s="1015"/>
      <c r="E290" s="1015" t="s">
        <v>218</v>
      </c>
      <c r="F290" s="1015">
        <v>3</v>
      </c>
      <c r="G290" s="1015">
        <v>2</v>
      </c>
      <c r="H290" s="1033">
        <v>892.3</v>
      </c>
      <c r="I290" s="1033">
        <v>581.6</v>
      </c>
      <c r="J290" s="1033">
        <v>427.1</v>
      </c>
      <c r="K290" s="1110">
        <v>50</v>
      </c>
      <c r="L290" s="1057">
        <v>5534580.9800000004</v>
      </c>
      <c r="M290" s="1033">
        <v>0</v>
      </c>
      <c r="N290" s="1033">
        <v>0</v>
      </c>
      <c r="O290" s="1033">
        <f t="shared" ref="O290:O297" si="89">L290</f>
        <v>5534580.9800000004</v>
      </c>
      <c r="P290" s="1033">
        <v>0</v>
      </c>
      <c r="Q290" s="1033">
        <v>0</v>
      </c>
      <c r="R290" s="1033">
        <f t="shared" ref="R290:R301" si="90">L290/I290</f>
        <v>9516.1296079779913</v>
      </c>
      <c r="S290" s="1054" t="s">
        <v>1190</v>
      </c>
      <c r="T290" s="1054" t="s">
        <v>1433</v>
      </c>
    </row>
    <row r="291" spans="1:20" s="1006" customFormat="1" ht="39.6" customHeight="1">
      <c r="A291" s="1271">
        <v>229</v>
      </c>
      <c r="B291" s="1014" t="s">
        <v>2875</v>
      </c>
      <c r="C291" s="1015">
        <v>1974</v>
      </c>
      <c r="D291" s="1015"/>
      <c r="E291" s="1015" t="s">
        <v>218</v>
      </c>
      <c r="F291" s="1015">
        <v>5</v>
      </c>
      <c r="G291" s="1015">
        <v>1</v>
      </c>
      <c r="H291" s="1033">
        <v>3213.2</v>
      </c>
      <c r="I291" s="1033">
        <v>2128.6999999999998</v>
      </c>
      <c r="J291" s="1033">
        <v>1608.8</v>
      </c>
      <c r="K291" s="1110">
        <v>124</v>
      </c>
      <c r="L291" s="1057">
        <v>10334122.189999999</v>
      </c>
      <c r="M291" s="1033">
        <v>0</v>
      </c>
      <c r="N291" s="1033">
        <v>0</v>
      </c>
      <c r="O291" s="1033">
        <f t="shared" si="89"/>
        <v>10334122.189999999</v>
      </c>
      <c r="P291" s="1033">
        <v>0</v>
      </c>
      <c r="Q291" s="1033">
        <v>0</v>
      </c>
      <c r="R291" s="1033">
        <f t="shared" si="90"/>
        <v>4854.6634988490632</v>
      </c>
      <c r="S291" s="1054" t="s">
        <v>1190</v>
      </c>
      <c r="T291" s="1054" t="s">
        <v>1190</v>
      </c>
    </row>
    <row r="292" spans="1:20" s="1006" customFormat="1" ht="39.6" customHeight="1">
      <c r="A292" s="1031">
        <v>230</v>
      </c>
      <c r="B292" s="1014" t="s">
        <v>2086</v>
      </c>
      <c r="C292" s="1015">
        <v>1970</v>
      </c>
      <c r="D292" s="1015"/>
      <c r="E292" s="1015" t="s">
        <v>218</v>
      </c>
      <c r="F292" s="1015">
        <v>2</v>
      </c>
      <c r="G292" s="1015">
        <v>2</v>
      </c>
      <c r="H292" s="1033">
        <v>541.9</v>
      </c>
      <c r="I292" s="1033">
        <v>493.7</v>
      </c>
      <c r="J292" s="1033">
        <v>452.5</v>
      </c>
      <c r="K292" s="1110">
        <v>21</v>
      </c>
      <c r="L292" s="1033">
        <v>3827101.19</v>
      </c>
      <c r="M292" s="1033">
        <v>0</v>
      </c>
      <c r="N292" s="1033">
        <v>0</v>
      </c>
      <c r="O292" s="1033">
        <f t="shared" si="89"/>
        <v>3827101.19</v>
      </c>
      <c r="P292" s="1033">
        <v>0</v>
      </c>
      <c r="Q292" s="1033">
        <v>0</v>
      </c>
      <c r="R292" s="1033">
        <f t="shared" si="90"/>
        <v>7751.8760178245902</v>
      </c>
      <c r="S292" s="1054" t="s">
        <v>1190</v>
      </c>
      <c r="T292" s="1054" t="s">
        <v>1433</v>
      </c>
    </row>
    <row r="293" spans="1:20" s="1006" customFormat="1" ht="39.6" customHeight="1">
      <c r="A293" s="1271">
        <v>231</v>
      </c>
      <c r="B293" s="1014" t="s">
        <v>2087</v>
      </c>
      <c r="C293" s="1015">
        <v>1964</v>
      </c>
      <c r="D293" s="1015"/>
      <c r="E293" s="1015" t="s">
        <v>218</v>
      </c>
      <c r="F293" s="1015">
        <v>2</v>
      </c>
      <c r="G293" s="1015">
        <v>3</v>
      </c>
      <c r="H293" s="1033">
        <v>550.20000000000005</v>
      </c>
      <c r="I293" s="1033">
        <v>485.7</v>
      </c>
      <c r="J293" s="1033">
        <v>434.5</v>
      </c>
      <c r="K293" s="1110">
        <v>16</v>
      </c>
      <c r="L293" s="1033">
        <v>1863219.88</v>
      </c>
      <c r="M293" s="1033">
        <v>0</v>
      </c>
      <c r="N293" s="1033">
        <v>0</v>
      </c>
      <c r="O293" s="1033">
        <f t="shared" si="89"/>
        <v>1863219.88</v>
      </c>
      <c r="P293" s="1033">
        <v>0</v>
      </c>
      <c r="Q293" s="1033">
        <v>0</v>
      </c>
      <c r="R293" s="1033">
        <f t="shared" si="90"/>
        <v>3836.1537574634549</v>
      </c>
      <c r="S293" s="1054" t="s">
        <v>1190</v>
      </c>
      <c r="T293" s="1054" t="s">
        <v>1190</v>
      </c>
    </row>
    <row r="294" spans="1:20" s="1006" customFormat="1" ht="39.6" customHeight="1">
      <c r="A294" s="1031">
        <v>232</v>
      </c>
      <c r="B294" s="1014" t="s">
        <v>2088</v>
      </c>
      <c r="C294" s="1015">
        <v>1975</v>
      </c>
      <c r="D294" s="1015"/>
      <c r="E294" s="1015" t="s">
        <v>218</v>
      </c>
      <c r="F294" s="1015">
        <v>2</v>
      </c>
      <c r="G294" s="1015">
        <v>2</v>
      </c>
      <c r="H294" s="1033">
        <v>842.6</v>
      </c>
      <c r="I294" s="1033">
        <v>779.4</v>
      </c>
      <c r="J294" s="1033">
        <v>727.7</v>
      </c>
      <c r="K294" s="1110">
        <v>29</v>
      </c>
      <c r="L294" s="1033">
        <v>2200898.5499999998</v>
      </c>
      <c r="M294" s="1033">
        <v>0</v>
      </c>
      <c r="N294" s="1033">
        <v>0</v>
      </c>
      <c r="O294" s="1033">
        <f t="shared" si="89"/>
        <v>2200898.5499999998</v>
      </c>
      <c r="P294" s="1033">
        <v>0</v>
      </c>
      <c r="Q294" s="1033">
        <v>0</v>
      </c>
      <c r="R294" s="1033">
        <f t="shared" si="90"/>
        <v>2823.8369899923018</v>
      </c>
      <c r="S294" s="1054" t="s">
        <v>1190</v>
      </c>
      <c r="T294" s="1054" t="s">
        <v>1190</v>
      </c>
    </row>
    <row r="295" spans="1:20" s="1006" customFormat="1" ht="36" customHeight="1">
      <c r="A295" s="1271">
        <v>233</v>
      </c>
      <c r="B295" s="1014" t="s">
        <v>2089</v>
      </c>
      <c r="C295" s="1015">
        <v>1975</v>
      </c>
      <c r="D295" s="1015"/>
      <c r="E295" s="1015" t="s">
        <v>220</v>
      </c>
      <c r="F295" s="1015">
        <v>2</v>
      </c>
      <c r="G295" s="1015">
        <v>2</v>
      </c>
      <c r="H295" s="1033">
        <v>891.6</v>
      </c>
      <c r="I295" s="1033">
        <v>821.8</v>
      </c>
      <c r="J295" s="1033">
        <v>782</v>
      </c>
      <c r="K295" s="1110">
        <v>16</v>
      </c>
      <c r="L295" s="1033">
        <v>2089137.28</v>
      </c>
      <c r="M295" s="1033">
        <v>0</v>
      </c>
      <c r="N295" s="1033">
        <v>0</v>
      </c>
      <c r="O295" s="1033">
        <f t="shared" si="89"/>
        <v>2089137.28</v>
      </c>
      <c r="P295" s="1033">
        <v>0</v>
      </c>
      <c r="Q295" s="1033">
        <v>0</v>
      </c>
      <c r="R295" s="1033">
        <f t="shared" si="90"/>
        <v>2542.1480652226819</v>
      </c>
      <c r="S295" s="1054" t="s">
        <v>1190</v>
      </c>
      <c r="T295" s="1054" t="s">
        <v>1190</v>
      </c>
    </row>
    <row r="296" spans="1:20" s="1006" customFormat="1" ht="39.6" customHeight="1">
      <c r="A296" s="1031">
        <v>234</v>
      </c>
      <c r="B296" s="1014" t="s">
        <v>2090</v>
      </c>
      <c r="C296" s="1015">
        <v>1962</v>
      </c>
      <c r="D296" s="1015"/>
      <c r="E296" s="1015" t="s">
        <v>218</v>
      </c>
      <c r="F296" s="1015">
        <v>2</v>
      </c>
      <c r="G296" s="1015">
        <v>2</v>
      </c>
      <c r="H296" s="1033">
        <v>522.5</v>
      </c>
      <c r="I296" s="1033">
        <v>458.9</v>
      </c>
      <c r="J296" s="1033">
        <v>381</v>
      </c>
      <c r="K296" s="1110">
        <v>21</v>
      </c>
      <c r="L296" s="1033">
        <v>5109821.33</v>
      </c>
      <c r="M296" s="1033">
        <v>0</v>
      </c>
      <c r="N296" s="1033">
        <v>0</v>
      </c>
      <c r="O296" s="1033">
        <f t="shared" si="89"/>
        <v>5109821.33</v>
      </c>
      <c r="P296" s="1033">
        <v>0</v>
      </c>
      <c r="Q296" s="1033">
        <v>0</v>
      </c>
      <c r="R296" s="1033">
        <f t="shared" si="90"/>
        <v>11134.934255829157</v>
      </c>
      <c r="S296" s="1054" t="s">
        <v>1190</v>
      </c>
      <c r="T296" s="1054" t="s">
        <v>1433</v>
      </c>
    </row>
    <row r="297" spans="1:20" s="1006" customFormat="1" ht="39.6" customHeight="1">
      <c r="A297" s="1271">
        <v>235</v>
      </c>
      <c r="B297" s="1014" t="s">
        <v>2091</v>
      </c>
      <c r="C297" s="1015">
        <v>1918</v>
      </c>
      <c r="D297" s="1058"/>
      <c r="E297" s="1015" t="s">
        <v>218</v>
      </c>
      <c r="F297" s="1015">
        <v>2</v>
      </c>
      <c r="G297" s="1015">
        <v>1</v>
      </c>
      <c r="H297" s="1033">
        <v>496.4</v>
      </c>
      <c r="I297" s="1033">
        <v>286.2</v>
      </c>
      <c r="J297" s="1033">
        <v>286.2</v>
      </c>
      <c r="K297" s="1110">
        <v>10</v>
      </c>
      <c r="L297" s="1033">
        <v>1462875.34</v>
      </c>
      <c r="M297" s="1033">
        <v>0</v>
      </c>
      <c r="N297" s="1033">
        <v>0</v>
      </c>
      <c r="O297" s="1033">
        <f t="shared" si="89"/>
        <v>1462875.34</v>
      </c>
      <c r="P297" s="1033">
        <v>0</v>
      </c>
      <c r="Q297" s="1033">
        <v>0</v>
      </c>
      <c r="R297" s="1033">
        <f t="shared" si="90"/>
        <v>5111.3743535988824</v>
      </c>
      <c r="S297" s="1054" t="s">
        <v>1190</v>
      </c>
      <c r="T297" s="1054" t="s">
        <v>1433</v>
      </c>
    </row>
    <row r="298" spans="1:20" s="1006" customFormat="1" ht="40.9" customHeight="1">
      <c r="A298" s="1031">
        <v>236</v>
      </c>
      <c r="B298" s="1014" t="s">
        <v>2876</v>
      </c>
      <c r="C298" s="1015">
        <v>1962</v>
      </c>
      <c r="D298" s="1015"/>
      <c r="E298" s="1015" t="s">
        <v>220</v>
      </c>
      <c r="F298" s="1015">
        <v>4</v>
      </c>
      <c r="G298" s="1015">
        <v>2</v>
      </c>
      <c r="H298" s="1033">
        <v>1706.4</v>
      </c>
      <c r="I298" s="1033">
        <v>1263</v>
      </c>
      <c r="J298" s="1033">
        <v>1207.3</v>
      </c>
      <c r="K298" s="1110">
        <v>48</v>
      </c>
      <c r="L298" s="1033">
        <v>3114413.8</v>
      </c>
      <c r="M298" s="1033">
        <v>0</v>
      </c>
      <c r="N298" s="1033">
        <v>0</v>
      </c>
      <c r="O298" s="1033">
        <f>L298</f>
        <v>3114413.8</v>
      </c>
      <c r="P298" s="1033">
        <v>0</v>
      </c>
      <c r="Q298" s="1033">
        <v>0</v>
      </c>
      <c r="R298" s="1033">
        <f t="shared" si="90"/>
        <v>2465.8858273950909</v>
      </c>
      <c r="S298" s="1054" t="s">
        <v>1190</v>
      </c>
      <c r="T298" s="1054" t="s">
        <v>1190</v>
      </c>
    </row>
    <row r="299" spans="1:20" s="1006" customFormat="1" ht="39.6" customHeight="1">
      <c r="A299" s="1271">
        <v>237</v>
      </c>
      <c r="B299" s="1014" t="s">
        <v>2092</v>
      </c>
      <c r="C299" s="1031">
        <v>1993</v>
      </c>
      <c r="D299" s="1031"/>
      <c r="E299" s="1015" t="s">
        <v>218</v>
      </c>
      <c r="F299" s="1031">
        <v>3</v>
      </c>
      <c r="G299" s="1031">
        <v>2</v>
      </c>
      <c r="H299" s="1059">
        <v>1245.8</v>
      </c>
      <c r="I299" s="1059">
        <v>692.4</v>
      </c>
      <c r="J299" s="1059">
        <v>643.4</v>
      </c>
      <c r="K299" s="1266">
        <v>59</v>
      </c>
      <c r="L299" s="1033">
        <v>1646867</v>
      </c>
      <c r="M299" s="1033">
        <v>0</v>
      </c>
      <c r="N299" s="1033">
        <v>0</v>
      </c>
      <c r="O299" s="1059">
        <f>L299</f>
        <v>1646867</v>
      </c>
      <c r="P299" s="1033">
        <v>0</v>
      </c>
      <c r="Q299" s="1033">
        <v>0</v>
      </c>
      <c r="R299" s="1033">
        <f t="shared" si="90"/>
        <v>2378.4907567879841</v>
      </c>
      <c r="S299" s="1054" t="s">
        <v>1190</v>
      </c>
      <c r="T299" s="1054" t="s">
        <v>1190</v>
      </c>
    </row>
    <row r="300" spans="1:20" s="992" customFormat="1" ht="36" customHeight="1">
      <c r="A300" s="1031">
        <v>238</v>
      </c>
      <c r="B300" s="1014" t="s">
        <v>2877</v>
      </c>
      <c r="C300" s="1015">
        <v>1978</v>
      </c>
      <c r="D300" s="1015"/>
      <c r="E300" s="1015" t="s">
        <v>219</v>
      </c>
      <c r="F300" s="1015">
        <v>5</v>
      </c>
      <c r="G300" s="1015">
        <v>4</v>
      </c>
      <c r="H300" s="1033">
        <v>3049.3</v>
      </c>
      <c r="I300" s="1033">
        <v>1832.9</v>
      </c>
      <c r="J300" s="1033">
        <v>1682.3</v>
      </c>
      <c r="K300" s="1110">
        <v>122</v>
      </c>
      <c r="L300" s="1033">
        <v>6250068.7599999998</v>
      </c>
      <c r="M300" s="1033">
        <v>0</v>
      </c>
      <c r="N300" s="1033">
        <v>0</v>
      </c>
      <c r="O300" s="1033">
        <f>L300</f>
        <v>6250068.7599999998</v>
      </c>
      <c r="P300" s="1033">
        <v>0</v>
      </c>
      <c r="Q300" s="1033">
        <v>0</v>
      </c>
      <c r="R300" s="1033">
        <f t="shared" si="90"/>
        <v>3409.9343990397729</v>
      </c>
      <c r="S300" s="1054" t="s">
        <v>1190</v>
      </c>
      <c r="T300" s="1054" t="s">
        <v>1433</v>
      </c>
    </row>
    <row r="301" spans="1:20" s="992" customFormat="1" ht="40.15" customHeight="1">
      <c r="A301" s="1271">
        <v>239</v>
      </c>
      <c r="B301" s="1014" t="s">
        <v>2878</v>
      </c>
      <c r="C301" s="1031">
        <v>1983</v>
      </c>
      <c r="D301" s="1040"/>
      <c r="E301" s="1015" t="s">
        <v>218</v>
      </c>
      <c r="F301" s="1031">
        <v>2</v>
      </c>
      <c r="G301" s="1040">
        <v>2</v>
      </c>
      <c r="H301" s="1059">
        <v>1325.6</v>
      </c>
      <c r="I301" s="1059">
        <v>781.4</v>
      </c>
      <c r="J301" s="1059">
        <v>694.1</v>
      </c>
      <c r="K301" s="1266">
        <v>51</v>
      </c>
      <c r="L301" s="1059">
        <v>539617.49</v>
      </c>
      <c r="M301" s="1033">
        <v>0</v>
      </c>
      <c r="N301" s="1033">
        <v>0</v>
      </c>
      <c r="O301" s="1033">
        <f>L301</f>
        <v>539617.49</v>
      </c>
      <c r="P301" s="1033">
        <v>0</v>
      </c>
      <c r="Q301" s="1033">
        <v>0</v>
      </c>
      <c r="R301" s="1033">
        <f t="shared" si="90"/>
        <v>690.57779626311753</v>
      </c>
      <c r="S301" s="1054" t="s">
        <v>1190</v>
      </c>
      <c r="T301" s="1054" t="s">
        <v>1433</v>
      </c>
    </row>
    <row r="302" spans="1:20" s="992" customFormat="1" ht="36" customHeight="1">
      <c r="A302" s="1271"/>
      <c r="B302" s="1393" t="s">
        <v>2212</v>
      </c>
      <c r="C302" s="1393"/>
      <c r="D302" s="1393"/>
      <c r="E302" s="1393"/>
      <c r="F302" s="1393"/>
      <c r="G302" s="1393"/>
      <c r="H302" s="985">
        <f>H303+H304+H305</f>
        <v>5121.1000000000004</v>
      </c>
      <c r="I302" s="985">
        <f t="shared" ref="I302:Q302" si="91">I303+I304+I305</f>
        <v>3686.3</v>
      </c>
      <c r="J302" s="985">
        <f t="shared" si="91"/>
        <v>2260.6999999999998</v>
      </c>
      <c r="K302" s="1064">
        <f t="shared" si="91"/>
        <v>177</v>
      </c>
      <c r="L302" s="985">
        <f t="shared" si="91"/>
        <v>4455042</v>
      </c>
      <c r="M302" s="985">
        <f t="shared" si="91"/>
        <v>0</v>
      </c>
      <c r="N302" s="985">
        <f t="shared" si="91"/>
        <v>0</v>
      </c>
      <c r="O302" s="985">
        <f t="shared" si="91"/>
        <v>4455042</v>
      </c>
      <c r="P302" s="985">
        <f t="shared" si="91"/>
        <v>0</v>
      </c>
      <c r="Q302" s="985">
        <f t="shared" si="91"/>
        <v>0</v>
      </c>
      <c r="R302" s="991" t="s">
        <v>40</v>
      </c>
      <c r="S302" s="991" t="s">
        <v>40</v>
      </c>
      <c r="T302" s="991" t="s">
        <v>40</v>
      </c>
    </row>
    <row r="303" spans="1:20" s="992" customFormat="1" ht="40.15" customHeight="1">
      <c r="A303" s="1271">
        <v>240</v>
      </c>
      <c r="B303" s="1274" t="s">
        <v>2879</v>
      </c>
      <c r="C303" s="1271">
        <v>1967</v>
      </c>
      <c r="D303" s="1279"/>
      <c r="E303" s="1271" t="s">
        <v>218</v>
      </c>
      <c r="F303" s="1279">
        <v>2</v>
      </c>
      <c r="G303" s="1279">
        <v>2</v>
      </c>
      <c r="H303" s="985">
        <v>401.8</v>
      </c>
      <c r="I303" s="985">
        <v>227.9</v>
      </c>
      <c r="J303" s="985">
        <v>177.6</v>
      </c>
      <c r="K303" s="1064">
        <v>3</v>
      </c>
      <c r="L303" s="986">
        <v>1218456</v>
      </c>
      <c r="M303" s="986">
        <v>0</v>
      </c>
      <c r="N303" s="986">
        <v>0</v>
      </c>
      <c r="O303" s="986">
        <f>L303</f>
        <v>1218456</v>
      </c>
      <c r="P303" s="993">
        <f t="shared" si="73"/>
        <v>0</v>
      </c>
      <c r="Q303" s="986">
        <v>0</v>
      </c>
      <c r="R303" s="985">
        <f>L303/I303</f>
        <v>5346.450197455024</v>
      </c>
      <c r="S303" s="987">
        <v>2020</v>
      </c>
      <c r="T303" s="987">
        <v>2020</v>
      </c>
    </row>
    <row r="304" spans="1:20" s="992" customFormat="1" ht="46.9" customHeight="1">
      <c r="A304" s="1271">
        <v>241</v>
      </c>
      <c r="B304" s="1274" t="s">
        <v>2880</v>
      </c>
      <c r="C304" s="1271">
        <v>1982</v>
      </c>
      <c r="D304" s="1279"/>
      <c r="E304" s="1271" t="s">
        <v>220</v>
      </c>
      <c r="F304" s="1279">
        <v>4</v>
      </c>
      <c r="G304" s="1279">
        <v>1</v>
      </c>
      <c r="H304" s="985">
        <v>770.5</v>
      </c>
      <c r="I304" s="985">
        <v>770.5</v>
      </c>
      <c r="J304" s="985">
        <v>416</v>
      </c>
      <c r="K304" s="1064">
        <v>24</v>
      </c>
      <c r="L304" s="986">
        <v>764607</v>
      </c>
      <c r="M304" s="986">
        <v>0</v>
      </c>
      <c r="N304" s="986">
        <v>0</v>
      </c>
      <c r="O304" s="986">
        <v>764607</v>
      </c>
      <c r="P304" s="993">
        <v>0</v>
      </c>
      <c r="Q304" s="986">
        <v>0</v>
      </c>
      <c r="R304" s="985">
        <f>L304/I304</f>
        <v>992.35171966255677</v>
      </c>
      <c r="S304" s="987">
        <v>2020</v>
      </c>
      <c r="T304" s="987">
        <v>2020</v>
      </c>
    </row>
    <row r="305" spans="1:20" s="1060" customFormat="1" ht="37.9" customHeight="1">
      <c r="A305" s="1271">
        <v>242</v>
      </c>
      <c r="B305" s="1274" t="s">
        <v>2093</v>
      </c>
      <c r="C305" s="1271">
        <v>1984</v>
      </c>
      <c r="D305" s="1279">
        <v>2018</v>
      </c>
      <c r="E305" s="1271" t="s">
        <v>218</v>
      </c>
      <c r="F305" s="1279">
        <v>5</v>
      </c>
      <c r="G305" s="1279">
        <v>1</v>
      </c>
      <c r="H305" s="985">
        <v>3948.8</v>
      </c>
      <c r="I305" s="985">
        <v>2687.9</v>
      </c>
      <c r="J305" s="985">
        <v>1667.1</v>
      </c>
      <c r="K305" s="1064">
        <v>150</v>
      </c>
      <c r="L305" s="986">
        <v>2471979</v>
      </c>
      <c r="M305" s="986">
        <v>0</v>
      </c>
      <c r="N305" s="986">
        <v>0</v>
      </c>
      <c r="O305" s="986">
        <f>L305</f>
        <v>2471979</v>
      </c>
      <c r="P305" s="993">
        <f t="shared" ref="P305" si="92">Q305</f>
        <v>0</v>
      </c>
      <c r="Q305" s="986">
        <v>0</v>
      </c>
      <c r="R305" s="985">
        <f>L305/I305</f>
        <v>919.66925852896316</v>
      </c>
      <c r="S305" s="987">
        <v>2020</v>
      </c>
      <c r="T305" s="987">
        <v>2020</v>
      </c>
    </row>
    <row r="306" spans="1:20" s="1060" customFormat="1" ht="37.15" customHeight="1">
      <c r="A306" s="1271"/>
      <c r="B306" s="1393" t="s">
        <v>2211</v>
      </c>
      <c r="C306" s="1393"/>
      <c r="D306" s="1393"/>
      <c r="E306" s="1393"/>
      <c r="F306" s="1393"/>
      <c r="G306" s="1393"/>
      <c r="H306" s="985">
        <f>H307+H308</f>
        <v>3109</v>
      </c>
      <c r="I306" s="985">
        <f t="shared" ref="I306:Q306" si="93">I307+I308</f>
        <v>2757.3</v>
      </c>
      <c r="J306" s="985">
        <f t="shared" si="93"/>
        <v>2757.3</v>
      </c>
      <c r="K306" s="1064">
        <f t="shared" si="93"/>
        <v>135</v>
      </c>
      <c r="L306" s="985">
        <f t="shared" si="93"/>
        <v>3059516</v>
      </c>
      <c r="M306" s="985">
        <f t="shared" si="93"/>
        <v>0</v>
      </c>
      <c r="N306" s="985">
        <f t="shared" si="93"/>
        <v>0</v>
      </c>
      <c r="O306" s="985">
        <f t="shared" si="93"/>
        <v>3059516</v>
      </c>
      <c r="P306" s="985">
        <f t="shared" si="93"/>
        <v>0</v>
      </c>
      <c r="Q306" s="985">
        <f t="shared" si="93"/>
        <v>0</v>
      </c>
      <c r="R306" s="991" t="s">
        <v>40</v>
      </c>
      <c r="S306" s="991" t="s">
        <v>40</v>
      </c>
      <c r="T306" s="991" t="s">
        <v>40</v>
      </c>
    </row>
    <row r="307" spans="1:20" s="1060" customFormat="1" ht="37.15" customHeight="1">
      <c r="A307" s="1271">
        <v>243</v>
      </c>
      <c r="B307" s="1274" t="s">
        <v>1204</v>
      </c>
      <c r="C307" s="1271">
        <v>1979</v>
      </c>
      <c r="D307" s="1279"/>
      <c r="E307" s="1271" t="s">
        <v>219</v>
      </c>
      <c r="F307" s="1279">
        <v>3</v>
      </c>
      <c r="G307" s="1279">
        <v>3</v>
      </c>
      <c r="H307" s="985">
        <v>1554.5</v>
      </c>
      <c r="I307" s="985">
        <v>1381.3</v>
      </c>
      <c r="J307" s="985">
        <v>1381.3</v>
      </c>
      <c r="K307" s="1064">
        <v>63</v>
      </c>
      <c r="L307" s="986">
        <v>1529758</v>
      </c>
      <c r="M307" s="986">
        <v>0</v>
      </c>
      <c r="N307" s="986">
        <v>0</v>
      </c>
      <c r="O307" s="986">
        <v>1529758</v>
      </c>
      <c r="P307" s="993">
        <v>0</v>
      </c>
      <c r="Q307" s="986">
        <v>0</v>
      </c>
      <c r="R307" s="985">
        <f>L307/I307</f>
        <v>1107.4770144067184</v>
      </c>
      <c r="S307" s="987">
        <v>2020</v>
      </c>
      <c r="T307" s="987">
        <v>2020</v>
      </c>
    </row>
    <row r="308" spans="1:20" s="1060" customFormat="1" ht="37.15" customHeight="1">
      <c r="A308" s="1271">
        <v>244</v>
      </c>
      <c r="B308" s="1274" t="s">
        <v>1206</v>
      </c>
      <c r="C308" s="1271">
        <v>1980</v>
      </c>
      <c r="D308" s="1279"/>
      <c r="E308" s="1271" t="s">
        <v>219</v>
      </c>
      <c r="F308" s="1279">
        <v>3</v>
      </c>
      <c r="G308" s="1279">
        <v>3</v>
      </c>
      <c r="H308" s="985">
        <v>1554.5</v>
      </c>
      <c r="I308" s="985">
        <v>1376</v>
      </c>
      <c r="J308" s="985">
        <v>1376</v>
      </c>
      <c r="K308" s="1064">
        <v>72</v>
      </c>
      <c r="L308" s="986">
        <v>1529758</v>
      </c>
      <c r="M308" s="986">
        <v>0</v>
      </c>
      <c r="N308" s="986">
        <v>0</v>
      </c>
      <c r="O308" s="986">
        <v>1529758</v>
      </c>
      <c r="P308" s="993">
        <v>0</v>
      </c>
      <c r="Q308" s="986">
        <v>0</v>
      </c>
      <c r="R308" s="985">
        <f>L308/I308</f>
        <v>1111.7427325581396</v>
      </c>
      <c r="S308" s="987">
        <v>2020</v>
      </c>
      <c r="T308" s="987">
        <v>2020</v>
      </c>
    </row>
    <row r="309" spans="1:20" s="1060" customFormat="1" ht="37.15" customHeight="1">
      <c r="A309" s="1271"/>
      <c r="B309" s="1393" t="s">
        <v>2213</v>
      </c>
      <c r="C309" s="1393"/>
      <c r="D309" s="1393"/>
      <c r="E309" s="1393"/>
      <c r="F309" s="1393"/>
      <c r="G309" s="1393"/>
      <c r="H309" s="985">
        <f>H310</f>
        <v>1386.7</v>
      </c>
      <c r="I309" s="985">
        <f t="shared" ref="I309:Q309" si="94">I310</f>
        <v>831.7</v>
      </c>
      <c r="J309" s="985">
        <f t="shared" si="94"/>
        <v>798.4</v>
      </c>
      <c r="K309" s="1064">
        <f t="shared" si="94"/>
        <v>73</v>
      </c>
      <c r="L309" s="985">
        <f t="shared" si="94"/>
        <v>483667</v>
      </c>
      <c r="M309" s="985">
        <f t="shared" si="94"/>
        <v>0</v>
      </c>
      <c r="N309" s="985">
        <f t="shared" si="94"/>
        <v>0</v>
      </c>
      <c r="O309" s="985">
        <f t="shared" si="94"/>
        <v>483667</v>
      </c>
      <c r="P309" s="985">
        <f t="shared" si="94"/>
        <v>0</v>
      </c>
      <c r="Q309" s="985">
        <f t="shared" si="94"/>
        <v>0</v>
      </c>
      <c r="R309" s="991" t="s">
        <v>40</v>
      </c>
      <c r="S309" s="991" t="s">
        <v>40</v>
      </c>
      <c r="T309" s="991" t="s">
        <v>40</v>
      </c>
    </row>
    <row r="310" spans="1:20" s="1060" customFormat="1" ht="37.15" customHeight="1">
      <c r="A310" s="1271">
        <v>245</v>
      </c>
      <c r="B310" s="1274" t="s">
        <v>1231</v>
      </c>
      <c r="C310" s="1271">
        <v>1980</v>
      </c>
      <c r="D310" s="1279"/>
      <c r="E310" s="1271" t="s">
        <v>219</v>
      </c>
      <c r="F310" s="1279">
        <v>3</v>
      </c>
      <c r="G310" s="1279">
        <v>3</v>
      </c>
      <c r="H310" s="985">
        <v>1386.7</v>
      </c>
      <c r="I310" s="985">
        <v>831.7</v>
      </c>
      <c r="J310" s="985">
        <v>798.4</v>
      </c>
      <c r="K310" s="1064">
        <v>73</v>
      </c>
      <c r="L310" s="986">
        <v>483667</v>
      </c>
      <c r="M310" s="986">
        <v>0</v>
      </c>
      <c r="N310" s="986">
        <v>0</v>
      </c>
      <c r="O310" s="986">
        <v>483667</v>
      </c>
      <c r="P310" s="993">
        <v>0</v>
      </c>
      <c r="Q310" s="986">
        <v>0</v>
      </c>
      <c r="R310" s="985">
        <f>L310/I310</f>
        <v>581.54021882890459</v>
      </c>
      <c r="S310" s="987">
        <v>2020</v>
      </c>
      <c r="T310" s="987">
        <v>2020</v>
      </c>
    </row>
    <row r="311" spans="1:20" s="1060" customFormat="1" ht="37.15" customHeight="1">
      <c r="A311" s="1271"/>
      <c r="B311" s="1391" t="s">
        <v>2676</v>
      </c>
      <c r="C311" s="1391"/>
      <c r="D311" s="1391"/>
      <c r="E311" s="1391"/>
      <c r="F311" s="1391"/>
      <c r="G311" s="1391"/>
      <c r="H311" s="985">
        <f>H312+H313+H314+H315+H316+H317</f>
        <v>12754</v>
      </c>
      <c r="I311" s="985">
        <f t="shared" ref="I311:Q311" si="95">I312+I313+I314+I315+I316+I317</f>
        <v>11679.2</v>
      </c>
      <c r="J311" s="985">
        <f t="shared" si="95"/>
        <v>9940.9</v>
      </c>
      <c r="K311" s="1064">
        <f t="shared" si="95"/>
        <v>352</v>
      </c>
      <c r="L311" s="985">
        <f t="shared" si="95"/>
        <v>20227099</v>
      </c>
      <c r="M311" s="985">
        <f t="shared" si="95"/>
        <v>0</v>
      </c>
      <c r="N311" s="985">
        <f t="shared" si="95"/>
        <v>150000</v>
      </c>
      <c r="O311" s="985">
        <f t="shared" si="95"/>
        <v>20077099</v>
      </c>
      <c r="P311" s="985">
        <f t="shared" si="95"/>
        <v>0</v>
      </c>
      <c r="Q311" s="985">
        <f t="shared" si="95"/>
        <v>0</v>
      </c>
      <c r="R311" s="991" t="s">
        <v>40</v>
      </c>
      <c r="S311" s="991" t="s">
        <v>40</v>
      </c>
      <c r="T311" s="991" t="s">
        <v>40</v>
      </c>
    </row>
    <row r="312" spans="1:20" s="992" customFormat="1" ht="47.25" customHeight="1">
      <c r="A312" s="1271">
        <v>246</v>
      </c>
      <c r="B312" s="1012" t="s">
        <v>2678</v>
      </c>
      <c r="C312" s="1271">
        <v>1977</v>
      </c>
      <c r="D312" s="1032"/>
      <c r="E312" s="1032" t="s">
        <v>220</v>
      </c>
      <c r="F312" s="1032">
        <v>2</v>
      </c>
      <c r="G312" s="1032">
        <v>2</v>
      </c>
      <c r="H312" s="1037">
        <v>806.8</v>
      </c>
      <c r="I312" s="1037">
        <v>745</v>
      </c>
      <c r="J312" s="1037">
        <v>745</v>
      </c>
      <c r="K312" s="1068">
        <v>31</v>
      </c>
      <c r="L312" s="1057">
        <v>2881978</v>
      </c>
      <c r="M312" s="1024">
        <v>0</v>
      </c>
      <c r="N312" s="1024">
        <v>0</v>
      </c>
      <c r="O312" s="1057">
        <v>2881978</v>
      </c>
      <c r="P312" s="1024">
        <v>0</v>
      </c>
      <c r="Q312" s="1024">
        <v>0</v>
      </c>
      <c r="R312" s="985">
        <f>L312/I312</f>
        <v>3868.4268456375839</v>
      </c>
      <c r="S312" s="987">
        <v>2020</v>
      </c>
      <c r="T312" s="987">
        <v>2020</v>
      </c>
    </row>
    <row r="313" spans="1:20" s="992" customFormat="1" ht="36" customHeight="1">
      <c r="A313" s="1271">
        <v>247</v>
      </c>
      <c r="B313" s="1274" t="s">
        <v>2679</v>
      </c>
      <c r="C313" s="1271">
        <v>1985</v>
      </c>
      <c r="D313" s="1279"/>
      <c r="E313" s="1271" t="s">
        <v>219</v>
      </c>
      <c r="F313" s="1279">
        <v>5</v>
      </c>
      <c r="G313" s="1279">
        <v>8</v>
      </c>
      <c r="H313" s="985">
        <v>6276</v>
      </c>
      <c r="I313" s="985">
        <v>5558</v>
      </c>
      <c r="J313" s="985">
        <v>5416</v>
      </c>
      <c r="K313" s="1064">
        <v>157</v>
      </c>
      <c r="L313" s="986">
        <f>O313+Q313</f>
        <v>9314012</v>
      </c>
      <c r="M313" s="986">
        <v>0</v>
      </c>
      <c r="N313" s="986">
        <v>0</v>
      </c>
      <c r="O313" s="986">
        <v>9314012</v>
      </c>
      <c r="P313" s="993">
        <v>0</v>
      </c>
      <c r="Q313" s="986">
        <v>0</v>
      </c>
      <c r="R313" s="985">
        <f>L313/I313</f>
        <v>1675.7848146815402</v>
      </c>
      <c r="S313" s="987">
        <v>2020</v>
      </c>
      <c r="T313" s="987">
        <v>2020</v>
      </c>
    </row>
    <row r="314" spans="1:20" s="992" customFormat="1" ht="36" customHeight="1">
      <c r="A314" s="1271">
        <v>248</v>
      </c>
      <c r="B314" s="1274" t="s">
        <v>2680</v>
      </c>
      <c r="C314" s="1271">
        <v>1995</v>
      </c>
      <c r="D314" s="1279"/>
      <c r="E314" s="1271" t="s">
        <v>219</v>
      </c>
      <c r="F314" s="1279">
        <v>3</v>
      </c>
      <c r="G314" s="1279">
        <v>3</v>
      </c>
      <c r="H314" s="985">
        <v>1413</v>
      </c>
      <c r="I314" s="985">
        <v>1249</v>
      </c>
      <c r="J314" s="985">
        <v>1188</v>
      </c>
      <c r="K314" s="1064">
        <v>25</v>
      </c>
      <c r="L314" s="986">
        <v>2470759</v>
      </c>
      <c r="M314" s="986">
        <v>0</v>
      </c>
      <c r="N314" s="986">
        <v>0</v>
      </c>
      <c r="O314" s="986">
        <v>2470759</v>
      </c>
      <c r="P314" s="993">
        <v>0</v>
      </c>
      <c r="Q314" s="986">
        <v>0</v>
      </c>
      <c r="R314" s="985">
        <f>L314/I314</f>
        <v>1978.1897518014412</v>
      </c>
      <c r="S314" s="987">
        <v>2020</v>
      </c>
      <c r="T314" s="987">
        <v>2020</v>
      </c>
    </row>
    <row r="315" spans="1:20" s="992" customFormat="1" ht="40.15" customHeight="1">
      <c r="A315" s="1271">
        <v>249</v>
      </c>
      <c r="B315" s="1274" t="s">
        <v>2681</v>
      </c>
      <c r="C315" s="1271">
        <v>1975</v>
      </c>
      <c r="D315" s="1279"/>
      <c r="E315" s="1271" t="s">
        <v>218</v>
      </c>
      <c r="F315" s="1279">
        <v>2</v>
      </c>
      <c r="G315" s="1279">
        <v>2</v>
      </c>
      <c r="H315" s="985">
        <v>526</v>
      </c>
      <c r="I315" s="985">
        <v>395</v>
      </c>
      <c r="J315" s="985">
        <v>302</v>
      </c>
      <c r="K315" s="1064">
        <v>23</v>
      </c>
      <c r="L315" s="986">
        <v>2393507</v>
      </c>
      <c r="M315" s="986">
        <v>0</v>
      </c>
      <c r="N315" s="986">
        <v>0</v>
      </c>
      <c r="O315" s="986">
        <v>2393507</v>
      </c>
      <c r="P315" s="993">
        <v>0</v>
      </c>
      <c r="Q315" s="986">
        <v>0</v>
      </c>
      <c r="R315" s="985">
        <f t="shared" ref="R315" si="96">L315/I315</f>
        <v>6059.5113924050629</v>
      </c>
      <c r="S315" s="987">
        <v>2020</v>
      </c>
      <c r="T315" s="987">
        <v>2020</v>
      </c>
    </row>
    <row r="316" spans="1:20" s="992" customFormat="1" ht="36" customHeight="1">
      <c r="A316" s="1271">
        <v>250</v>
      </c>
      <c r="B316" s="1272" t="s">
        <v>1537</v>
      </c>
      <c r="C316" s="1271">
        <v>1987</v>
      </c>
      <c r="D316" s="1279"/>
      <c r="E316" s="1271" t="s">
        <v>219</v>
      </c>
      <c r="F316" s="1279">
        <v>3</v>
      </c>
      <c r="G316" s="1279">
        <v>3</v>
      </c>
      <c r="H316" s="985">
        <v>1362.1</v>
      </c>
      <c r="I316" s="985">
        <v>1362.1</v>
      </c>
      <c r="J316" s="985">
        <v>480.1</v>
      </c>
      <c r="K316" s="1064">
        <v>47</v>
      </c>
      <c r="L316" s="986">
        <v>1630292</v>
      </c>
      <c r="M316" s="986">
        <v>0</v>
      </c>
      <c r="N316" s="986">
        <v>0</v>
      </c>
      <c r="O316" s="986">
        <v>1630292</v>
      </c>
      <c r="P316" s="993">
        <v>0</v>
      </c>
      <c r="Q316" s="986">
        <v>0</v>
      </c>
      <c r="R316" s="985">
        <f t="shared" ref="R316" si="97">L316/I316</f>
        <v>1196.8959694589239</v>
      </c>
      <c r="S316" s="987">
        <v>2020</v>
      </c>
      <c r="T316" s="987">
        <v>2020</v>
      </c>
    </row>
    <row r="317" spans="1:20" s="992" customFormat="1" ht="36" customHeight="1">
      <c r="A317" s="1271">
        <v>251</v>
      </c>
      <c r="B317" s="1272" t="s">
        <v>2292</v>
      </c>
      <c r="C317" s="1271">
        <v>1980</v>
      </c>
      <c r="D317" s="1279"/>
      <c r="E317" s="1271" t="s">
        <v>219</v>
      </c>
      <c r="F317" s="1279">
        <v>5</v>
      </c>
      <c r="G317" s="1279">
        <v>2</v>
      </c>
      <c r="H317" s="985">
        <v>2370.1</v>
      </c>
      <c r="I317" s="985">
        <v>2370.1</v>
      </c>
      <c r="J317" s="985">
        <v>1809.8</v>
      </c>
      <c r="K317" s="1064">
        <v>69</v>
      </c>
      <c r="L317" s="986">
        <v>1536551</v>
      </c>
      <c r="M317" s="986">
        <v>0</v>
      </c>
      <c r="N317" s="986">
        <v>150000</v>
      </c>
      <c r="O317" s="986">
        <v>1386551</v>
      </c>
      <c r="P317" s="993">
        <v>0</v>
      </c>
      <c r="Q317" s="986">
        <v>0</v>
      </c>
      <c r="R317" s="985">
        <f t="shared" ref="R317" si="98">L317/I317</f>
        <v>648.30640057381549</v>
      </c>
      <c r="S317" s="987">
        <v>2020</v>
      </c>
      <c r="T317" s="987">
        <v>2020</v>
      </c>
    </row>
    <row r="318" spans="1:20" s="992" customFormat="1" ht="36" customHeight="1">
      <c r="A318" s="1271"/>
      <c r="B318" s="1391" t="s">
        <v>1990</v>
      </c>
      <c r="C318" s="1391"/>
      <c r="D318" s="1391"/>
      <c r="E318" s="1391"/>
      <c r="F318" s="1391"/>
      <c r="G318" s="1391"/>
      <c r="H318" s="985">
        <f>H319</f>
        <v>845.64</v>
      </c>
      <c r="I318" s="985">
        <f t="shared" ref="I318:Q318" si="99">I319</f>
        <v>799.5</v>
      </c>
      <c r="J318" s="985">
        <f t="shared" si="99"/>
        <v>596.79999999999995</v>
      </c>
      <c r="K318" s="1064">
        <f t="shared" si="99"/>
        <v>30</v>
      </c>
      <c r="L318" s="985">
        <f t="shared" si="99"/>
        <v>2106783.25</v>
      </c>
      <c r="M318" s="985">
        <f t="shared" si="99"/>
        <v>0</v>
      </c>
      <c r="N318" s="985">
        <f t="shared" si="99"/>
        <v>0</v>
      </c>
      <c r="O318" s="985">
        <f t="shared" si="99"/>
        <v>2106783.25</v>
      </c>
      <c r="P318" s="985">
        <f t="shared" si="99"/>
        <v>0</v>
      </c>
      <c r="Q318" s="985">
        <f t="shared" si="99"/>
        <v>0</v>
      </c>
      <c r="R318" s="991" t="s">
        <v>40</v>
      </c>
      <c r="S318" s="991" t="s">
        <v>40</v>
      </c>
      <c r="T318" s="991" t="s">
        <v>40</v>
      </c>
    </row>
    <row r="319" spans="1:20" s="992" customFormat="1" ht="36" customHeight="1">
      <c r="A319" s="1271"/>
      <c r="B319" s="1393" t="s">
        <v>2029</v>
      </c>
      <c r="C319" s="1391"/>
      <c r="D319" s="1391"/>
      <c r="E319" s="1391"/>
      <c r="F319" s="1391"/>
      <c r="G319" s="1391"/>
      <c r="H319" s="985">
        <f>H320</f>
        <v>845.64</v>
      </c>
      <c r="I319" s="985">
        <f t="shared" ref="I319:Q319" si="100">I320</f>
        <v>799.5</v>
      </c>
      <c r="J319" s="985">
        <f t="shared" si="100"/>
        <v>596.79999999999995</v>
      </c>
      <c r="K319" s="1064">
        <f t="shared" si="100"/>
        <v>30</v>
      </c>
      <c r="L319" s="985">
        <f t="shared" si="100"/>
        <v>2106783.25</v>
      </c>
      <c r="M319" s="985">
        <f t="shared" si="100"/>
        <v>0</v>
      </c>
      <c r="N319" s="985">
        <f t="shared" si="100"/>
        <v>0</v>
      </c>
      <c r="O319" s="985">
        <f t="shared" si="100"/>
        <v>2106783.25</v>
      </c>
      <c r="P319" s="985">
        <f t="shared" si="100"/>
        <v>0</v>
      </c>
      <c r="Q319" s="985">
        <f t="shared" si="100"/>
        <v>0</v>
      </c>
      <c r="R319" s="991" t="s">
        <v>40</v>
      </c>
      <c r="S319" s="991" t="s">
        <v>40</v>
      </c>
      <c r="T319" s="991" t="s">
        <v>40</v>
      </c>
    </row>
    <row r="320" spans="1:20" s="992" customFormat="1" ht="36" customHeight="1">
      <c r="A320" s="1271">
        <v>252</v>
      </c>
      <c r="B320" s="1274" t="s">
        <v>2094</v>
      </c>
      <c r="C320" s="1271">
        <v>1975</v>
      </c>
      <c r="D320" s="1279"/>
      <c r="E320" s="1271" t="s">
        <v>219</v>
      </c>
      <c r="F320" s="1279">
        <v>2</v>
      </c>
      <c r="G320" s="1279">
        <v>2</v>
      </c>
      <c r="H320" s="985">
        <v>845.64</v>
      </c>
      <c r="I320" s="985">
        <v>799.5</v>
      </c>
      <c r="J320" s="985">
        <v>596.79999999999995</v>
      </c>
      <c r="K320" s="1064">
        <v>30</v>
      </c>
      <c r="L320" s="986">
        <v>2106783.25</v>
      </c>
      <c r="M320" s="986">
        <v>0</v>
      </c>
      <c r="N320" s="986">
        <v>0</v>
      </c>
      <c r="O320" s="986">
        <v>2106783.25</v>
      </c>
      <c r="P320" s="993">
        <v>0</v>
      </c>
      <c r="Q320" s="986">
        <v>0</v>
      </c>
      <c r="R320" s="985">
        <f>L320/I320</f>
        <v>2635.1260162601625</v>
      </c>
      <c r="S320" s="987">
        <v>2020</v>
      </c>
      <c r="T320" s="987">
        <v>2022</v>
      </c>
    </row>
    <row r="321" spans="1:20" s="992" customFormat="1" ht="36" customHeight="1">
      <c r="A321" s="1271"/>
      <c r="B321" s="1391" t="s">
        <v>1168</v>
      </c>
      <c r="C321" s="1391"/>
      <c r="D321" s="1391"/>
      <c r="E321" s="1391"/>
      <c r="F321" s="1391"/>
      <c r="G321" s="1391"/>
      <c r="H321" s="985">
        <f>H322+H323+H324</f>
        <v>2540.6999999999998</v>
      </c>
      <c r="I321" s="985">
        <f t="shared" ref="I321:Q321" si="101">I322+I323+I324</f>
        <v>2342.1</v>
      </c>
      <c r="J321" s="985">
        <f t="shared" si="101"/>
        <v>1960.4999999999998</v>
      </c>
      <c r="K321" s="1064">
        <f t="shared" si="101"/>
        <v>78</v>
      </c>
      <c r="L321" s="985">
        <f t="shared" si="101"/>
        <v>6684613</v>
      </c>
      <c r="M321" s="985">
        <f t="shared" si="101"/>
        <v>0</v>
      </c>
      <c r="N321" s="985">
        <f t="shared" si="101"/>
        <v>0</v>
      </c>
      <c r="O321" s="985">
        <f t="shared" si="101"/>
        <v>6684613</v>
      </c>
      <c r="P321" s="985">
        <f t="shared" si="101"/>
        <v>0</v>
      </c>
      <c r="Q321" s="985">
        <f t="shared" si="101"/>
        <v>0</v>
      </c>
      <c r="R321" s="991" t="s">
        <v>40</v>
      </c>
      <c r="S321" s="991" t="s">
        <v>40</v>
      </c>
      <c r="T321" s="991" t="s">
        <v>40</v>
      </c>
    </row>
    <row r="322" spans="1:20" s="992" customFormat="1" ht="40.9" customHeight="1">
      <c r="A322" s="1271">
        <v>253</v>
      </c>
      <c r="B322" s="1274" t="s">
        <v>2095</v>
      </c>
      <c r="C322" s="1271">
        <v>1955</v>
      </c>
      <c r="D322" s="1274"/>
      <c r="E322" s="1271" t="s">
        <v>218</v>
      </c>
      <c r="F322" s="1279">
        <v>2</v>
      </c>
      <c r="G322" s="1279">
        <v>2</v>
      </c>
      <c r="H322" s="1037">
        <v>794.4</v>
      </c>
      <c r="I322" s="1037">
        <v>725.9</v>
      </c>
      <c r="J322" s="1037">
        <v>725.9</v>
      </c>
      <c r="K322" s="1068">
        <v>30</v>
      </c>
      <c r="L322" s="1037">
        <v>2416606</v>
      </c>
      <c r="M322" s="1037">
        <v>0</v>
      </c>
      <c r="N322" s="1037">
        <v>0</v>
      </c>
      <c r="O322" s="1037">
        <f>L322</f>
        <v>2416606</v>
      </c>
      <c r="P322" s="1037">
        <v>0</v>
      </c>
      <c r="Q322" s="1037">
        <v>0</v>
      </c>
      <c r="R322" s="985">
        <f t="shared" ref="R322:R324" si="102">L322/I322</f>
        <v>3329.1169582587136</v>
      </c>
      <c r="S322" s="987">
        <v>2020</v>
      </c>
      <c r="T322" s="987">
        <v>2020</v>
      </c>
    </row>
    <row r="323" spans="1:20" s="992" customFormat="1" ht="40.9" customHeight="1">
      <c r="A323" s="1271">
        <v>254</v>
      </c>
      <c r="B323" s="1274" t="s">
        <v>2096</v>
      </c>
      <c r="C323" s="1271">
        <v>1955</v>
      </c>
      <c r="D323" s="1274"/>
      <c r="E323" s="1271" t="s">
        <v>218</v>
      </c>
      <c r="F323" s="1279">
        <v>3</v>
      </c>
      <c r="G323" s="1279">
        <v>2</v>
      </c>
      <c r="H323" s="1037">
        <v>1059.7</v>
      </c>
      <c r="I323" s="1037">
        <v>978.7</v>
      </c>
      <c r="J323" s="1037">
        <v>640.29999999999995</v>
      </c>
      <c r="K323" s="1068">
        <v>16</v>
      </c>
      <c r="L323" s="1037">
        <v>2064607</v>
      </c>
      <c r="M323" s="1037">
        <v>0</v>
      </c>
      <c r="N323" s="1037">
        <v>0</v>
      </c>
      <c r="O323" s="1037">
        <f t="shared" ref="O323:O324" si="103">L323</f>
        <v>2064607</v>
      </c>
      <c r="P323" s="1037">
        <v>0</v>
      </c>
      <c r="Q323" s="1037">
        <v>0</v>
      </c>
      <c r="R323" s="985">
        <f t="shared" si="102"/>
        <v>2109.5402063962397</v>
      </c>
      <c r="S323" s="987">
        <v>2020</v>
      </c>
      <c r="T323" s="987">
        <v>2020</v>
      </c>
    </row>
    <row r="324" spans="1:20" s="992" customFormat="1" ht="40.15" customHeight="1">
      <c r="A324" s="1271">
        <v>255</v>
      </c>
      <c r="B324" s="1274" t="s">
        <v>2097</v>
      </c>
      <c r="C324" s="1271">
        <v>1959</v>
      </c>
      <c r="D324" s="1274"/>
      <c r="E324" s="1271" t="s">
        <v>218</v>
      </c>
      <c r="F324" s="1279">
        <v>2</v>
      </c>
      <c r="G324" s="1279">
        <v>2</v>
      </c>
      <c r="H324" s="1037">
        <v>686.6</v>
      </c>
      <c r="I324" s="1037">
        <v>637.5</v>
      </c>
      <c r="J324" s="1037">
        <v>594.29999999999995</v>
      </c>
      <c r="K324" s="1068">
        <v>32</v>
      </c>
      <c r="L324" s="1037">
        <v>2203400</v>
      </c>
      <c r="M324" s="1037">
        <v>0</v>
      </c>
      <c r="N324" s="1037">
        <v>0</v>
      </c>
      <c r="O324" s="1037">
        <f t="shared" si="103"/>
        <v>2203400</v>
      </c>
      <c r="P324" s="1037">
        <v>0</v>
      </c>
      <c r="Q324" s="1037">
        <v>0</v>
      </c>
      <c r="R324" s="985">
        <f t="shared" si="102"/>
        <v>3456.3137254901962</v>
      </c>
      <c r="S324" s="987">
        <v>2020</v>
      </c>
      <c r="T324" s="987">
        <v>2020</v>
      </c>
    </row>
    <row r="325" spans="1:20" ht="36" customHeight="1">
      <c r="A325" s="1271"/>
      <c r="B325" s="1391" t="s">
        <v>1119</v>
      </c>
      <c r="C325" s="1391"/>
      <c r="D325" s="1391"/>
      <c r="E325" s="1391"/>
      <c r="F325" s="1391"/>
      <c r="G325" s="1391"/>
      <c r="H325" s="985">
        <f>SUM(H326:H333)</f>
        <v>26605.250000000004</v>
      </c>
      <c r="I325" s="985">
        <f t="shared" ref="I325:Q325" si="104">SUM(I326:I333)</f>
        <v>26605.250000000004</v>
      </c>
      <c r="J325" s="985">
        <f t="shared" si="104"/>
        <v>20510.149999999998</v>
      </c>
      <c r="K325" s="1064">
        <f t="shared" si="104"/>
        <v>989</v>
      </c>
      <c r="L325" s="985">
        <f t="shared" si="104"/>
        <v>33753455</v>
      </c>
      <c r="M325" s="985">
        <f t="shared" si="104"/>
        <v>0</v>
      </c>
      <c r="N325" s="985">
        <f t="shared" si="104"/>
        <v>0</v>
      </c>
      <c r="O325" s="985">
        <f t="shared" si="104"/>
        <v>33753455</v>
      </c>
      <c r="P325" s="985">
        <f t="shared" si="104"/>
        <v>0</v>
      </c>
      <c r="Q325" s="985">
        <f t="shared" si="104"/>
        <v>0</v>
      </c>
      <c r="R325" s="991" t="s">
        <v>40</v>
      </c>
      <c r="S325" s="991" t="s">
        <v>40</v>
      </c>
      <c r="T325" s="991" t="s">
        <v>40</v>
      </c>
    </row>
    <row r="326" spans="1:20" s="992" customFormat="1" ht="40.9" customHeight="1">
      <c r="A326" s="1271">
        <v>256</v>
      </c>
      <c r="B326" s="1272" t="s">
        <v>2049</v>
      </c>
      <c r="C326" s="1279">
        <v>1937</v>
      </c>
      <c r="D326" s="1279"/>
      <c r="E326" s="1271" t="s">
        <v>218</v>
      </c>
      <c r="F326" s="1279">
        <v>4</v>
      </c>
      <c r="G326" s="1279">
        <v>3</v>
      </c>
      <c r="H326" s="985">
        <v>1985.8</v>
      </c>
      <c r="I326" s="985">
        <v>1985.8</v>
      </c>
      <c r="J326" s="985">
        <v>1327.8</v>
      </c>
      <c r="K326" s="1064">
        <v>42</v>
      </c>
      <c r="L326" s="993">
        <v>5976862</v>
      </c>
      <c r="M326" s="985">
        <v>0</v>
      </c>
      <c r="N326" s="985">
        <v>0</v>
      </c>
      <c r="O326" s="993">
        <v>5976862</v>
      </c>
      <c r="P326" s="1035">
        <v>0</v>
      </c>
      <c r="Q326" s="985">
        <v>0</v>
      </c>
      <c r="R326" s="985">
        <f>L326/I326</f>
        <v>3009.8005841474469</v>
      </c>
      <c r="S326" s="1279">
        <v>2020</v>
      </c>
      <c r="T326" s="1279">
        <v>2020</v>
      </c>
    </row>
    <row r="327" spans="1:20" s="992" customFormat="1" ht="42" customHeight="1">
      <c r="A327" s="1271">
        <v>257</v>
      </c>
      <c r="B327" s="1272" t="s">
        <v>2050</v>
      </c>
      <c r="C327" s="1279">
        <v>1984</v>
      </c>
      <c r="D327" s="1279">
        <v>2013</v>
      </c>
      <c r="E327" s="1271" t="s">
        <v>218</v>
      </c>
      <c r="F327" s="1279">
        <v>5</v>
      </c>
      <c r="G327" s="1279">
        <v>12</v>
      </c>
      <c r="H327" s="985">
        <v>9023.4</v>
      </c>
      <c r="I327" s="985">
        <v>9023.4</v>
      </c>
      <c r="J327" s="985">
        <v>8242.4</v>
      </c>
      <c r="K327" s="1064">
        <v>340</v>
      </c>
      <c r="L327" s="993">
        <v>13814493</v>
      </c>
      <c r="M327" s="985">
        <v>0</v>
      </c>
      <c r="N327" s="985">
        <v>0</v>
      </c>
      <c r="O327" s="993">
        <v>13814493</v>
      </c>
      <c r="P327" s="1035">
        <v>0</v>
      </c>
      <c r="Q327" s="985">
        <v>0</v>
      </c>
      <c r="R327" s="985">
        <f t="shared" ref="R327:R331" si="105">L327/I327</f>
        <v>1530.9631624443116</v>
      </c>
      <c r="S327" s="1279">
        <v>2020</v>
      </c>
      <c r="T327" s="1279">
        <v>2020</v>
      </c>
    </row>
    <row r="328" spans="1:20" s="992" customFormat="1" ht="42" customHeight="1">
      <c r="A328" s="1271">
        <v>258</v>
      </c>
      <c r="B328" s="1272" t="s">
        <v>2051</v>
      </c>
      <c r="C328" s="1279">
        <v>1995</v>
      </c>
      <c r="D328" s="1279"/>
      <c r="E328" s="1271" t="s">
        <v>218</v>
      </c>
      <c r="F328" s="1279">
        <v>4</v>
      </c>
      <c r="G328" s="1279">
        <v>3</v>
      </c>
      <c r="H328" s="985">
        <v>2673.8</v>
      </c>
      <c r="I328" s="985">
        <v>2673.8</v>
      </c>
      <c r="J328" s="985">
        <v>2294.6999999999998</v>
      </c>
      <c r="K328" s="1064">
        <v>87</v>
      </c>
      <c r="L328" s="1061">
        <v>1543343</v>
      </c>
      <c r="M328" s="985">
        <v>0</v>
      </c>
      <c r="N328" s="985">
        <v>0</v>
      </c>
      <c r="O328" s="1061">
        <v>1543343</v>
      </c>
      <c r="P328" s="1035">
        <v>0</v>
      </c>
      <c r="Q328" s="985">
        <v>0</v>
      </c>
      <c r="R328" s="985">
        <f t="shared" si="105"/>
        <v>577.20958934849273</v>
      </c>
      <c r="S328" s="1279">
        <v>2020</v>
      </c>
      <c r="T328" s="1279">
        <v>2020</v>
      </c>
    </row>
    <row r="329" spans="1:20" s="992" customFormat="1" ht="40.15" customHeight="1">
      <c r="A329" s="1271">
        <v>259</v>
      </c>
      <c r="B329" s="1272" t="s">
        <v>2052</v>
      </c>
      <c r="C329" s="1279">
        <v>1981</v>
      </c>
      <c r="D329" s="1279"/>
      <c r="E329" s="1271" t="s">
        <v>218</v>
      </c>
      <c r="F329" s="1279">
        <v>5</v>
      </c>
      <c r="G329" s="1279">
        <v>1</v>
      </c>
      <c r="H329" s="985">
        <v>3240.4</v>
      </c>
      <c r="I329" s="985">
        <v>3240.4</v>
      </c>
      <c r="J329" s="985">
        <v>2485.4</v>
      </c>
      <c r="K329" s="1064">
        <v>186</v>
      </c>
      <c r="L329" s="1035">
        <v>2445438</v>
      </c>
      <c r="M329" s="985">
        <v>0</v>
      </c>
      <c r="N329" s="985">
        <v>0</v>
      </c>
      <c r="O329" s="1035">
        <v>2445438</v>
      </c>
      <c r="P329" s="1035">
        <v>0</v>
      </c>
      <c r="Q329" s="985">
        <v>0</v>
      </c>
      <c r="R329" s="985">
        <f t="shared" si="105"/>
        <v>754.67164547586719</v>
      </c>
      <c r="S329" s="1279">
        <v>2020</v>
      </c>
      <c r="T329" s="1279">
        <v>2020</v>
      </c>
    </row>
    <row r="330" spans="1:20" s="992" customFormat="1" ht="40.15" customHeight="1">
      <c r="A330" s="1271">
        <v>260</v>
      </c>
      <c r="B330" s="1272" t="s">
        <v>2053</v>
      </c>
      <c r="C330" s="1279">
        <v>1917</v>
      </c>
      <c r="D330" s="1279"/>
      <c r="E330" s="1271" t="s">
        <v>218</v>
      </c>
      <c r="F330" s="1279">
        <v>2</v>
      </c>
      <c r="G330" s="1279">
        <v>1</v>
      </c>
      <c r="H330" s="985">
        <v>323</v>
      </c>
      <c r="I330" s="985">
        <v>323</v>
      </c>
      <c r="J330" s="985">
        <v>320.8</v>
      </c>
      <c r="K330" s="1064">
        <v>9</v>
      </c>
      <c r="L330" s="1062">
        <v>710766</v>
      </c>
      <c r="M330" s="985">
        <v>0</v>
      </c>
      <c r="N330" s="985">
        <v>0</v>
      </c>
      <c r="O330" s="1062">
        <v>710766</v>
      </c>
      <c r="P330" s="1035">
        <v>0</v>
      </c>
      <c r="Q330" s="985">
        <v>0</v>
      </c>
      <c r="R330" s="985">
        <f t="shared" si="105"/>
        <v>2200.5139318885449</v>
      </c>
      <c r="S330" s="1279">
        <v>2020</v>
      </c>
      <c r="T330" s="1279">
        <v>2020</v>
      </c>
    </row>
    <row r="331" spans="1:20" s="992" customFormat="1" ht="42" customHeight="1">
      <c r="A331" s="1271">
        <v>261</v>
      </c>
      <c r="B331" s="1272" t="s">
        <v>2054</v>
      </c>
      <c r="C331" s="1279">
        <v>1991</v>
      </c>
      <c r="D331" s="1279"/>
      <c r="E331" s="1271" t="s">
        <v>218</v>
      </c>
      <c r="F331" s="1279">
        <v>5</v>
      </c>
      <c r="G331" s="1279">
        <v>8</v>
      </c>
      <c r="H331" s="985">
        <v>6367.2</v>
      </c>
      <c r="I331" s="985">
        <v>6367.2</v>
      </c>
      <c r="J331" s="985">
        <v>3538.3</v>
      </c>
      <c r="K331" s="1064">
        <v>236</v>
      </c>
      <c r="L331" s="985">
        <v>5434850</v>
      </c>
      <c r="M331" s="985">
        <v>0</v>
      </c>
      <c r="N331" s="985">
        <v>0</v>
      </c>
      <c r="O331" s="985">
        <v>5434850</v>
      </c>
      <c r="P331" s="985">
        <v>0</v>
      </c>
      <c r="Q331" s="985">
        <v>0</v>
      </c>
      <c r="R331" s="985">
        <f t="shared" si="105"/>
        <v>853.56985802236466</v>
      </c>
      <c r="S331" s="1279">
        <v>2020</v>
      </c>
      <c r="T331" s="1279">
        <v>2020</v>
      </c>
    </row>
    <row r="332" spans="1:20" s="992" customFormat="1" ht="44.45" customHeight="1">
      <c r="A332" s="1271">
        <v>262</v>
      </c>
      <c r="B332" s="1272" t="s">
        <v>2881</v>
      </c>
      <c r="C332" s="1279">
        <v>1983</v>
      </c>
      <c r="D332" s="1279"/>
      <c r="E332" s="1271" t="s">
        <v>219</v>
      </c>
      <c r="F332" s="1279">
        <v>5</v>
      </c>
      <c r="G332" s="1279">
        <v>3</v>
      </c>
      <c r="H332" s="985">
        <v>2505.6999999999998</v>
      </c>
      <c r="I332" s="985">
        <v>2505.6999999999998</v>
      </c>
      <c r="J332" s="985">
        <v>1923.8</v>
      </c>
      <c r="K332" s="1064">
        <v>73</v>
      </c>
      <c r="L332" s="985">
        <v>2079438</v>
      </c>
      <c r="M332" s="985">
        <v>0</v>
      </c>
      <c r="N332" s="985">
        <v>0</v>
      </c>
      <c r="O332" s="985">
        <v>2079438</v>
      </c>
      <c r="P332" s="985">
        <v>0</v>
      </c>
      <c r="Q332" s="985">
        <v>0</v>
      </c>
      <c r="R332" s="985">
        <f t="shared" ref="R332:R333" si="106">L332/I332</f>
        <v>829.8830666081335</v>
      </c>
      <c r="S332" s="1279">
        <v>2020</v>
      </c>
      <c r="T332" s="1279">
        <v>2020</v>
      </c>
    </row>
    <row r="333" spans="1:20" s="992" customFormat="1" ht="42" customHeight="1">
      <c r="A333" s="1271">
        <v>263</v>
      </c>
      <c r="B333" s="1272" t="s">
        <v>2055</v>
      </c>
      <c r="C333" s="1279">
        <v>1925</v>
      </c>
      <c r="D333" s="1279">
        <v>2017</v>
      </c>
      <c r="E333" s="1271" t="s">
        <v>218</v>
      </c>
      <c r="F333" s="1279">
        <v>2</v>
      </c>
      <c r="G333" s="1279">
        <v>2</v>
      </c>
      <c r="H333" s="985">
        <v>485.95</v>
      </c>
      <c r="I333" s="985">
        <v>485.95</v>
      </c>
      <c r="J333" s="985">
        <v>376.95</v>
      </c>
      <c r="K333" s="1064">
        <v>16</v>
      </c>
      <c r="L333" s="985">
        <v>1748265</v>
      </c>
      <c r="M333" s="985">
        <v>0</v>
      </c>
      <c r="N333" s="985">
        <v>0</v>
      </c>
      <c r="O333" s="985">
        <v>1748265</v>
      </c>
      <c r="P333" s="985">
        <v>0</v>
      </c>
      <c r="Q333" s="985">
        <v>0</v>
      </c>
      <c r="R333" s="985">
        <f t="shared" si="106"/>
        <v>3597.6232122646365</v>
      </c>
      <c r="S333" s="1279">
        <v>2020</v>
      </c>
      <c r="T333" s="1279">
        <v>2020</v>
      </c>
    </row>
    <row r="334" spans="1:20" s="992" customFormat="1" ht="36" customHeight="1">
      <c r="A334" s="1271"/>
      <c r="B334" s="1392" t="s">
        <v>1650</v>
      </c>
      <c r="C334" s="1392"/>
      <c r="D334" s="1392"/>
      <c r="E334" s="1392"/>
      <c r="F334" s="1392"/>
      <c r="G334" s="1392"/>
      <c r="H334" s="985">
        <f>H335</f>
        <v>413.7</v>
      </c>
      <c r="I334" s="985">
        <f t="shared" ref="I334:Q334" si="107">I335</f>
        <v>371.1</v>
      </c>
      <c r="J334" s="985">
        <f t="shared" si="107"/>
        <v>277.8</v>
      </c>
      <c r="K334" s="1064">
        <f t="shared" si="107"/>
        <v>20</v>
      </c>
      <c r="L334" s="985">
        <f t="shared" si="107"/>
        <v>4069317</v>
      </c>
      <c r="M334" s="985">
        <f t="shared" si="107"/>
        <v>0</v>
      </c>
      <c r="N334" s="985">
        <f t="shared" si="107"/>
        <v>0</v>
      </c>
      <c r="O334" s="985">
        <f t="shared" si="107"/>
        <v>4069317</v>
      </c>
      <c r="P334" s="985">
        <f t="shared" si="107"/>
        <v>0</v>
      </c>
      <c r="Q334" s="985">
        <f t="shared" si="107"/>
        <v>0</v>
      </c>
      <c r="R334" s="991" t="s">
        <v>40</v>
      </c>
      <c r="S334" s="991" t="s">
        <v>40</v>
      </c>
      <c r="T334" s="991" t="s">
        <v>40</v>
      </c>
    </row>
    <row r="335" spans="1:20" s="992" customFormat="1" ht="40.15" customHeight="1">
      <c r="A335" s="1271">
        <v>264</v>
      </c>
      <c r="B335" s="1276" t="s">
        <v>2056</v>
      </c>
      <c r="C335" s="1279">
        <v>1954</v>
      </c>
      <c r="D335" s="1279"/>
      <c r="E335" s="1271" t="s">
        <v>218</v>
      </c>
      <c r="F335" s="1279">
        <v>2</v>
      </c>
      <c r="G335" s="1279">
        <v>2</v>
      </c>
      <c r="H335" s="985">
        <v>413.7</v>
      </c>
      <c r="I335" s="985">
        <v>371.1</v>
      </c>
      <c r="J335" s="985">
        <v>277.8</v>
      </c>
      <c r="K335" s="1064">
        <v>20</v>
      </c>
      <c r="L335" s="985">
        <v>4069317</v>
      </c>
      <c r="M335" s="985">
        <v>0</v>
      </c>
      <c r="N335" s="985">
        <v>0</v>
      </c>
      <c r="O335" s="985">
        <v>4069317</v>
      </c>
      <c r="P335" s="985">
        <v>0</v>
      </c>
      <c r="Q335" s="985">
        <v>0</v>
      </c>
      <c r="R335" s="985">
        <f t="shared" ref="R335" si="108">L335/I335</f>
        <v>10965.553759094582</v>
      </c>
      <c r="S335" s="1279">
        <v>2020</v>
      </c>
      <c r="T335" s="1279">
        <v>2020</v>
      </c>
    </row>
    <row r="336" spans="1:20" s="992" customFormat="1" ht="36" customHeight="1">
      <c r="A336" s="1271"/>
      <c r="B336" s="1391" t="s">
        <v>1988</v>
      </c>
      <c r="C336" s="1391"/>
      <c r="D336" s="1391"/>
      <c r="E336" s="1391"/>
      <c r="F336" s="1391"/>
      <c r="G336" s="1391"/>
      <c r="H336" s="985">
        <f>H337</f>
        <v>1710.6999999999998</v>
      </c>
      <c r="I336" s="985">
        <f t="shared" ref="I336:Q336" si="109">I337</f>
        <v>1622.3</v>
      </c>
      <c r="J336" s="985">
        <f t="shared" si="109"/>
        <v>1622.3</v>
      </c>
      <c r="K336" s="1064">
        <f t="shared" si="109"/>
        <v>77</v>
      </c>
      <c r="L336" s="986">
        <f t="shared" si="109"/>
        <v>4302891.0199999996</v>
      </c>
      <c r="M336" s="986">
        <f t="shared" si="109"/>
        <v>0</v>
      </c>
      <c r="N336" s="986">
        <f t="shared" si="109"/>
        <v>0</v>
      </c>
      <c r="O336" s="986">
        <f t="shared" si="109"/>
        <v>4302891.0199999996</v>
      </c>
      <c r="P336" s="993">
        <f t="shared" si="73"/>
        <v>0</v>
      </c>
      <c r="Q336" s="986">
        <f t="shared" si="109"/>
        <v>0</v>
      </c>
      <c r="R336" s="991" t="s">
        <v>40</v>
      </c>
      <c r="S336" s="991" t="s">
        <v>40</v>
      </c>
      <c r="T336" s="991" t="s">
        <v>40</v>
      </c>
    </row>
    <row r="337" spans="1:20" s="992" customFormat="1" ht="36" customHeight="1">
      <c r="A337" s="1271"/>
      <c r="B337" s="1391" t="s">
        <v>2027</v>
      </c>
      <c r="C337" s="1391"/>
      <c r="D337" s="1391"/>
      <c r="E337" s="1391"/>
      <c r="F337" s="1391"/>
      <c r="G337" s="1391"/>
      <c r="H337" s="985">
        <f>H338+H339</f>
        <v>1710.6999999999998</v>
      </c>
      <c r="I337" s="985">
        <f t="shared" ref="I337:Q337" si="110">I338+I339</f>
        <v>1622.3</v>
      </c>
      <c r="J337" s="985">
        <f t="shared" si="110"/>
        <v>1622.3</v>
      </c>
      <c r="K337" s="1064">
        <f t="shared" si="110"/>
        <v>77</v>
      </c>
      <c r="L337" s="985">
        <f t="shared" si="110"/>
        <v>4302891.0199999996</v>
      </c>
      <c r="M337" s="985">
        <f t="shared" si="110"/>
        <v>0</v>
      </c>
      <c r="N337" s="985">
        <f t="shared" si="110"/>
        <v>0</v>
      </c>
      <c r="O337" s="985">
        <f t="shared" si="110"/>
        <v>4302891.0199999996</v>
      </c>
      <c r="P337" s="993">
        <f t="shared" si="73"/>
        <v>0</v>
      </c>
      <c r="Q337" s="985">
        <f t="shared" si="110"/>
        <v>0</v>
      </c>
      <c r="R337" s="991" t="s">
        <v>40</v>
      </c>
      <c r="S337" s="991" t="s">
        <v>40</v>
      </c>
      <c r="T337" s="991" t="s">
        <v>40</v>
      </c>
    </row>
    <row r="338" spans="1:20" s="992" customFormat="1" ht="40.9" customHeight="1">
      <c r="A338" s="1271">
        <v>265</v>
      </c>
      <c r="B338" s="1273" t="s">
        <v>2057</v>
      </c>
      <c r="C338" s="1279">
        <v>1973</v>
      </c>
      <c r="D338" s="1273"/>
      <c r="E338" s="1271" t="s">
        <v>218</v>
      </c>
      <c r="F338" s="1279">
        <v>2</v>
      </c>
      <c r="G338" s="1279">
        <v>2</v>
      </c>
      <c r="H338" s="985">
        <v>366.6</v>
      </c>
      <c r="I338" s="985">
        <v>338.2</v>
      </c>
      <c r="J338" s="985">
        <v>338.2</v>
      </c>
      <c r="K338" s="1064">
        <v>16</v>
      </c>
      <c r="L338" s="986">
        <v>1299688</v>
      </c>
      <c r="M338" s="986">
        <v>0</v>
      </c>
      <c r="N338" s="986">
        <v>0</v>
      </c>
      <c r="O338" s="986">
        <v>1299688</v>
      </c>
      <c r="P338" s="993">
        <v>0</v>
      </c>
      <c r="Q338" s="986">
        <v>0</v>
      </c>
      <c r="R338" s="985">
        <f t="shared" ref="R338" si="111">L338/I338</f>
        <v>3842.9568302779421</v>
      </c>
      <c r="S338" s="987">
        <v>2020</v>
      </c>
      <c r="T338" s="987">
        <v>2020</v>
      </c>
    </row>
    <row r="339" spans="1:20" s="992" customFormat="1" ht="36" customHeight="1">
      <c r="A339" s="1271">
        <v>266</v>
      </c>
      <c r="B339" s="1273" t="s">
        <v>2058</v>
      </c>
      <c r="C339" s="1279">
        <v>1990</v>
      </c>
      <c r="D339" s="1279"/>
      <c r="E339" s="1271" t="s">
        <v>219</v>
      </c>
      <c r="F339" s="1279">
        <v>3</v>
      </c>
      <c r="G339" s="1279">
        <v>3</v>
      </c>
      <c r="H339" s="985">
        <v>1344.1</v>
      </c>
      <c r="I339" s="985">
        <v>1284.0999999999999</v>
      </c>
      <c r="J339" s="985">
        <v>1284.0999999999999</v>
      </c>
      <c r="K339" s="1064">
        <v>61</v>
      </c>
      <c r="L339" s="986">
        <v>3003203.02</v>
      </c>
      <c r="M339" s="986">
        <v>0</v>
      </c>
      <c r="N339" s="986">
        <v>0</v>
      </c>
      <c r="O339" s="986">
        <v>3003203.02</v>
      </c>
      <c r="P339" s="993">
        <f t="shared" si="73"/>
        <v>0</v>
      </c>
      <c r="Q339" s="986">
        <v>0</v>
      </c>
      <c r="R339" s="985">
        <f>L339/I339</f>
        <v>2338.7610154972358</v>
      </c>
      <c r="S339" s="987">
        <v>2020</v>
      </c>
      <c r="T339" s="987">
        <v>2020</v>
      </c>
    </row>
    <row r="340" spans="1:20" s="992" customFormat="1" ht="36" customHeight="1">
      <c r="A340" s="1271"/>
      <c r="B340" s="1273" t="s">
        <v>2703</v>
      </c>
      <c r="C340" s="1279"/>
      <c r="D340" s="1283"/>
      <c r="E340" s="1271"/>
      <c r="F340" s="1279"/>
      <c r="G340" s="1279"/>
      <c r="H340" s="985">
        <f>H341+H363+H365</f>
        <v>51910.799999999988</v>
      </c>
      <c r="I340" s="985">
        <f t="shared" ref="I340:Q340" si="112">I341+I363+I365</f>
        <v>41790.6</v>
      </c>
      <c r="J340" s="985">
        <f t="shared" si="112"/>
        <v>40634.099999999991</v>
      </c>
      <c r="K340" s="1064">
        <f t="shared" si="112"/>
        <v>1745</v>
      </c>
      <c r="L340" s="985">
        <f t="shared" si="112"/>
        <v>78205882.540000007</v>
      </c>
      <c r="M340" s="985">
        <f t="shared" si="112"/>
        <v>0</v>
      </c>
      <c r="N340" s="985">
        <f t="shared" si="112"/>
        <v>0</v>
      </c>
      <c r="O340" s="985">
        <f t="shared" si="112"/>
        <v>78205882.540000007</v>
      </c>
      <c r="P340" s="985">
        <f t="shared" si="112"/>
        <v>0</v>
      </c>
      <c r="Q340" s="985">
        <f t="shared" si="112"/>
        <v>0</v>
      </c>
      <c r="R340" s="991" t="s">
        <v>40</v>
      </c>
      <c r="S340" s="991" t="s">
        <v>40</v>
      </c>
      <c r="T340" s="991" t="s">
        <v>40</v>
      </c>
    </row>
    <row r="341" spans="1:20" s="2" customFormat="1" ht="33.75" customHeight="1">
      <c r="A341" s="1271"/>
      <c r="B341" s="1392" t="s">
        <v>1061</v>
      </c>
      <c r="C341" s="1391"/>
      <c r="D341" s="1391"/>
      <c r="E341" s="1391"/>
      <c r="F341" s="1391"/>
      <c r="G341" s="1391"/>
      <c r="H341" s="985">
        <f t="shared" ref="H341:Q341" si="113">SUM(H342:H362)</f>
        <v>50121.099999999991</v>
      </c>
      <c r="I341" s="985">
        <f t="shared" si="113"/>
        <v>40000.9</v>
      </c>
      <c r="J341" s="985">
        <f t="shared" si="113"/>
        <v>39590.299999999996</v>
      </c>
      <c r="K341" s="1064">
        <f t="shared" si="113"/>
        <v>1674</v>
      </c>
      <c r="L341" s="985">
        <f t="shared" si="113"/>
        <v>70617731.540000007</v>
      </c>
      <c r="M341" s="985">
        <f t="shared" si="113"/>
        <v>0</v>
      </c>
      <c r="N341" s="985">
        <f t="shared" si="113"/>
        <v>0</v>
      </c>
      <c r="O341" s="985">
        <f t="shared" si="113"/>
        <v>70617731.540000007</v>
      </c>
      <c r="P341" s="985">
        <f t="shared" si="113"/>
        <v>0</v>
      </c>
      <c r="Q341" s="985">
        <f t="shared" si="113"/>
        <v>0</v>
      </c>
      <c r="R341" s="991" t="s">
        <v>40</v>
      </c>
      <c r="S341" s="991" t="s">
        <v>40</v>
      </c>
      <c r="T341" s="991" t="s">
        <v>40</v>
      </c>
    </row>
    <row r="342" spans="1:20" s="2" customFormat="1" ht="43.15" customHeight="1">
      <c r="A342" s="1271">
        <v>267</v>
      </c>
      <c r="B342" s="1010" t="s">
        <v>1395</v>
      </c>
      <c r="C342" s="1271">
        <v>1957</v>
      </c>
      <c r="D342" s="1271"/>
      <c r="E342" s="1271" t="s">
        <v>218</v>
      </c>
      <c r="F342" s="1271">
        <v>4</v>
      </c>
      <c r="G342" s="1271">
        <v>4</v>
      </c>
      <c r="H342" s="993">
        <v>3664.2</v>
      </c>
      <c r="I342" s="993">
        <v>2904.4</v>
      </c>
      <c r="J342" s="993">
        <v>2904.4</v>
      </c>
      <c r="K342" s="987">
        <v>80</v>
      </c>
      <c r="L342" s="993">
        <v>6254362.6799999997</v>
      </c>
      <c r="M342" s="985">
        <v>0</v>
      </c>
      <c r="N342" s="985">
        <v>0</v>
      </c>
      <c r="O342" s="993">
        <v>6254362.6799999997</v>
      </c>
      <c r="P342" s="993">
        <f t="shared" ref="P342:P343" si="114">Q342</f>
        <v>0</v>
      </c>
      <c r="Q342" s="985">
        <v>0</v>
      </c>
      <c r="R342" s="985">
        <f t="shared" ref="R342:R343" si="115">L342/I342</f>
        <v>2153.4095441399254</v>
      </c>
      <c r="S342" s="987">
        <v>2020</v>
      </c>
      <c r="T342" s="987">
        <v>2020</v>
      </c>
    </row>
    <row r="343" spans="1:20" s="2" customFormat="1" ht="42" customHeight="1">
      <c r="A343" s="1271">
        <v>268</v>
      </c>
      <c r="B343" s="1010" t="s">
        <v>1396</v>
      </c>
      <c r="C343" s="1271">
        <v>1960</v>
      </c>
      <c r="D343" s="1271"/>
      <c r="E343" s="1271" t="s">
        <v>218</v>
      </c>
      <c r="F343" s="1271">
        <v>3</v>
      </c>
      <c r="G343" s="1271">
        <v>4</v>
      </c>
      <c r="H343" s="993">
        <v>1945.1</v>
      </c>
      <c r="I343" s="993">
        <v>1648.4</v>
      </c>
      <c r="J343" s="993">
        <v>1648.4</v>
      </c>
      <c r="K343" s="987">
        <v>39</v>
      </c>
      <c r="L343" s="993">
        <v>3709524.01</v>
      </c>
      <c r="M343" s="985">
        <v>0</v>
      </c>
      <c r="N343" s="985">
        <v>0</v>
      </c>
      <c r="O343" s="993">
        <v>3709524.01</v>
      </c>
      <c r="P343" s="993">
        <f t="shared" si="114"/>
        <v>0</v>
      </c>
      <c r="Q343" s="985">
        <v>0</v>
      </c>
      <c r="R343" s="985">
        <f t="shared" si="115"/>
        <v>2250.3785549623876</v>
      </c>
      <c r="S343" s="987">
        <v>2020</v>
      </c>
      <c r="T343" s="987">
        <v>2020</v>
      </c>
    </row>
    <row r="344" spans="1:20" s="2" customFormat="1" ht="38.450000000000003" customHeight="1">
      <c r="A344" s="1271">
        <v>269</v>
      </c>
      <c r="B344" s="1010" t="s">
        <v>1397</v>
      </c>
      <c r="C344" s="1271">
        <v>1961</v>
      </c>
      <c r="D344" s="1271"/>
      <c r="E344" s="1271" t="s">
        <v>218</v>
      </c>
      <c r="F344" s="1271">
        <v>4</v>
      </c>
      <c r="G344" s="1271">
        <v>3</v>
      </c>
      <c r="H344" s="993">
        <v>2834.9</v>
      </c>
      <c r="I344" s="993">
        <v>2162</v>
      </c>
      <c r="J344" s="993">
        <v>2162</v>
      </c>
      <c r="K344" s="987">
        <v>66</v>
      </c>
      <c r="L344" s="993">
        <v>2903988.69</v>
      </c>
      <c r="M344" s="985">
        <v>0</v>
      </c>
      <c r="N344" s="985">
        <v>0</v>
      </c>
      <c r="O344" s="993">
        <v>2903988.69</v>
      </c>
      <c r="P344" s="993">
        <f t="shared" ref="P344:P356" si="116">Q344</f>
        <v>0</v>
      </c>
      <c r="Q344" s="985">
        <v>0</v>
      </c>
      <c r="R344" s="985">
        <f t="shared" ref="R344:R362" si="117">L344/I344</f>
        <v>1343.195508788159</v>
      </c>
      <c r="S344" s="987">
        <v>2020</v>
      </c>
      <c r="T344" s="987">
        <v>2020</v>
      </c>
    </row>
    <row r="345" spans="1:20" s="2" customFormat="1" ht="38.450000000000003" customHeight="1">
      <c r="A345" s="1271">
        <v>270</v>
      </c>
      <c r="B345" s="1010" t="s">
        <v>1398</v>
      </c>
      <c r="C345" s="1271">
        <v>1964</v>
      </c>
      <c r="D345" s="1271"/>
      <c r="E345" s="1271" t="s">
        <v>218</v>
      </c>
      <c r="F345" s="1271">
        <v>4</v>
      </c>
      <c r="G345" s="1271">
        <v>3</v>
      </c>
      <c r="H345" s="993">
        <v>2135.4</v>
      </c>
      <c r="I345" s="993">
        <v>1792.2</v>
      </c>
      <c r="J345" s="993">
        <v>1792</v>
      </c>
      <c r="K345" s="987">
        <v>41</v>
      </c>
      <c r="L345" s="993">
        <v>1868300.41</v>
      </c>
      <c r="M345" s="985">
        <v>0</v>
      </c>
      <c r="N345" s="985">
        <v>0</v>
      </c>
      <c r="O345" s="993">
        <v>1868300.41</v>
      </c>
      <c r="P345" s="993">
        <f t="shared" si="116"/>
        <v>0</v>
      </c>
      <c r="Q345" s="985">
        <v>0</v>
      </c>
      <c r="R345" s="985">
        <f t="shared" si="117"/>
        <v>1042.4620075884386</v>
      </c>
      <c r="S345" s="987">
        <v>2020</v>
      </c>
      <c r="T345" s="987">
        <v>2020</v>
      </c>
    </row>
    <row r="346" spans="1:20" s="2" customFormat="1" ht="38.450000000000003" customHeight="1">
      <c r="A346" s="1271">
        <v>271</v>
      </c>
      <c r="B346" s="1010" t="s">
        <v>1399</v>
      </c>
      <c r="C346" s="1271">
        <v>1964</v>
      </c>
      <c r="D346" s="1271"/>
      <c r="E346" s="1271" t="s">
        <v>218</v>
      </c>
      <c r="F346" s="1271">
        <v>4</v>
      </c>
      <c r="G346" s="1271">
        <v>3</v>
      </c>
      <c r="H346" s="993">
        <v>2240.1</v>
      </c>
      <c r="I346" s="993">
        <v>2095.8000000000002</v>
      </c>
      <c r="J346" s="993">
        <v>2095.8000000000002</v>
      </c>
      <c r="K346" s="987">
        <v>54</v>
      </c>
      <c r="L346" s="993">
        <v>2903988.69</v>
      </c>
      <c r="M346" s="985">
        <v>0</v>
      </c>
      <c r="N346" s="985">
        <v>0</v>
      </c>
      <c r="O346" s="993">
        <v>2903988.69</v>
      </c>
      <c r="P346" s="993">
        <f t="shared" si="116"/>
        <v>0</v>
      </c>
      <c r="Q346" s="985">
        <v>0</v>
      </c>
      <c r="R346" s="985">
        <f t="shared" si="117"/>
        <v>1385.6230031491552</v>
      </c>
      <c r="S346" s="987">
        <v>2020</v>
      </c>
      <c r="T346" s="987">
        <v>2020</v>
      </c>
    </row>
    <row r="347" spans="1:20" s="2" customFormat="1" ht="38.450000000000003" customHeight="1">
      <c r="A347" s="1271">
        <v>272</v>
      </c>
      <c r="B347" s="1010" t="s">
        <v>1504</v>
      </c>
      <c r="C347" s="1271">
        <v>1977</v>
      </c>
      <c r="D347" s="1271"/>
      <c r="E347" s="1271" t="s">
        <v>218</v>
      </c>
      <c r="F347" s="1271">
        <v>5</v>
      </c>
      <c r="G347" s="1271">
        <v>2</v>
      </c>
      <c r="H347" s="993">
        <v>3231.3</v>
      </c>
      <c r="I347" s="993">
        <v>2623</v>
      </c>
      <c r="J347" s="993">
        <v>2623</v>
      </c>
      <c r="K347" s="987">
        <v>200</v>
      </c>
      <c r="L347" s="993">
        <v>3937669</v>
      </c>
      <c r="M347" s="985">
        <v>0</v>
      </c>
      <c r="N347" s="985">
        <v>0</v>
      </c>
      <c r="O347" s="993">
        <v>3937669</v>
      </c>
      <c r="P347" s="993">
        <f t="shared" si="116"/>
        <v>0</v>
      </c>
      <c r="Q347" s="985">
        <v>0</v>
      </c>
      <c r="R347" s="985">
        <f t="shared" si="117"/>
        <v>1501.2081585970263</v>
      </c>
      <c r="S347" s="987">
        <v>2020</v>
      </c>
      <c r="T347" s="987">
        <v>2020</v>
      </c>
    </row>
    <row r="348" spans="1:20" s="2" customFormat="1" ht="38.450000000000003" customHeight="1">
      <c r="A348" s="1271">
        <v>273</v>
      </c>
      <c r="B348" s="1010" t="s">
        <v>1400</v>
      </c>
      <c r="C348" s="1271">
        <v>1972</v>
      </c>
      <c r="D348" s="1271"/>
      <c r="E348" s="1271" t="s">
        <v>218</v>
      </c>
      <c r="F348" s="1271">
        <v>5</v>
      </c>
      <c r="G348" s="1271">
        <v>1</v>
      </c>
      <c r="H348" s="993">
        <v>3999.2</v>
      </c>
      <c r="I348" s="993">
        <v>2344.5</v>
      </c>
      <c r="J348" s="993">
        <v>2344.5</v>
      </c>
      <c r="K348" s="987">
        <v>231</v>
      </c>
      <c r="L348" s="993">
        <v>3519584</v>
      </c>
      <c r="M348" s="985">
        <v>0</v>
      </c>
      <c r="N348" s="985">
        <v>0</v>
      </c>
      <c r="O348" s="993">
        <v>3519584</v>
      </c>
      <c r="P348" s="993">
        <f t="shared" si="116"/>
        <v>0</v>
      </c>
      <c r="Q348" s="985">
        <v>0</v>
      </c>
      <c r="R348" s="985">
        <f t="shared" si="117"/>
        <v>1501.2087865216465</v>
      </c>
      <c r="S348" s="987">
        <v>2020</v>
      </c>
      <c r="T348" s="987">
        <v>2020</v>
      </c>
    </row>
    <row r="349" spans="1:20" s="2" customFormat="1" ht="42.6" customHeight="1">
      <c r="A349" s="1271">
        <v>274</v>
      </c>
      <c r="B349" s="1010" t="s">
        <v>1401</v>
      </c>
      <c r="C349" s="1271">
        <v>1968</v>
      </c>
      <c r="D349" s="1271"/>
      <c r="E349" s="1271" t="s">
        <v>218</v>
      </c>
      <c r="F349" s="1271">
        <v>5</v>
      </c>
      <c r="G349" s="1271">
        <v>4</v>
      </c>
      <c r="H349" s="993">
        <v>4185.8</v>
      </c>
      <c r="I349" s="993">
        <v>4155.1000000000004</v>
      </c>
      <c r="J349" s="993">
        <v>4155.1000000000004</v>
      </c>
      <c r="K349" s="987">
        <v>125</v>
      </c>
      <c r="L349" s="993">
        <v>2274801</v>
      </c>
      <c r="M349" s="985">
        <v>0</v>
      </c>
      <c r="N349" s="985">
        <v>0</v>
      </c>
      <c r="O349" s="993">
        <v>2274801</v>
      </c>
      <c r="P349" s="993">
        <f t="shared" si="116"/>
        <v>0</v>
      </c>
      <c r="Q349" s="985">
        <v>0</v>
      </c>
      <c r="R349" s="985">
        <f t="shared" si="117"/>
        <v>547.47202233399912</v>
      </c>
      <c r="S349" s="987">
        <v>2020</v>
      </c>
      <c r="T349" s="987">
        <v>2020</v>
      </c>
    </row>
    <row r="350" spans="1:20" s="2" customFormat="1" ht="37.9" customHeight="1">
      <c r="A350" s="1271">
        <v>275</v>
      </c>
      <c r="B350" s="1010" t="s">
        <v>1402</v>
      </c>
      <c r="C350" s="1271">
        <v>1974</v>
      </c>
      <c r="D350" s="1271"/>
      <c r="E350" s="1023" t="s">
        <v>219</v>
      </c>
      <c r="F350" s="1271">
        <v>5</v>
      </c>
      <c r="G350" s="1271">
        <v>5</v>
      </c>
      <c r="H350" s="993">
        <v>3470.6</v>
      </c>
      <c r="I350" s="993">
        <v>3440.6</v>
      </c>
      <c r="J350" s="993">
        <v>3440.6</v>
      </c>
      <c r="K350" s="987">
        <v>119</v>
      </c>
      <c r="L350" s="993">
        <v>2000844</v>
      </c>
      <c r="M350" s="985">
        <v>0</v>
      </c>
      <c r="N350" s="985">
        <v>0</v>
      </c>
      <c r="O350" s="993">
        <v>2000844</v>
      </c>
      <c r="P350" s="993">
        <f t="shared" si="116"/>
        <v>0</v>
      </c>
      <c r="Q350" s="985">
        <v>0</v>
      </c>
      <c r="R350" s="985">
        <f t="shared" si="117"/>
        <v>581.53926640702207</v>
      </c>
      <c r="S350" s="987">
        <v>2020</v>
      </c>
      <c r="T350" s="987">
        <v>2020</v>
      </c>
    </row>
    <row r="351" spans="1:20" s="2" customFormat="1" ht="36" customHeight="1">
      <c r="A351" s="1271">
        <v>276</v>
      </c>
      <c r="B351" s="1010" t="s">
        <v>1403</v>
      </c>
      <c r="C351" s="1271">
        <v>1973</v>
      </c>
      <c r="D351" s="1271"/>
      <c r="E351" s="1271" t="s">
        <v>220</v>
      </c>
      <c r="F351" s="1271">
        <v>5</v>
      </c>
      <c r="G351" s="1271">
        <v>6</v>
      </c>
      <c r="H351" s="993">
        <v>5548.2</v>
      </c>
      <c r="I351" s="993">
        <v>4627.2</v>
      </c>
      <c r="J351" s="993">
        <v>4627</v>
      </c>
      <c r="K351" s="987">
        <v>199</v>
      </c>
      <c r="L351" s="993">
        <v>4255492</v>
      </c>
      <c r="M351" s="985">
        <v>0</v>
      </c>
      <c r="N351" s="985">
        <v>0</v>
      </c>
      <c r="O351" s="993">
        <v>4255492</v>
      </c>
      <c r="P351" s="993">
        <f t="shared" si="116"/>
        <v>0</v>
      </c>
      <c r="Q351" s="985">
        <v>0</v>
      </c>
      <c r="R351" s="985">
        <f t="shared" si="117"/>
        <v>919.66891424619644</v>
      </c>
      <c r="S351" s="987">
        <v>2020</v>
      </c>
      <c r="T351" s="987">
        <v>2020</v>
      </c>
    </row>
    <row r="352" spans="1:20" s="2" customFormat="1" ht="42.6" customHeight="1">
      <c r="A352" s="1271">
        <v>277</v>
      </c>
      <c r="B352" s="1010" t="s">
        <v>1505</v>
      </c>
      <c r="C352" s="1271">
        <v>1963</v>
      </c>
      <c r="D352" s="1271"/>
      <c r="E352" s="1271" t="s">
        <v>218</v>
      </c>
      <c r="F352" s="1271">
        <v>2</v>
      </c>
      <c r="G352" s="1271">
        <v>1</v>
      </c>
      <c r="H352" s="993">
        <v>395</v>
      </c>
      <c r="I352" s="993">
        <v>374.9</v>
      </c>
      <c r="J352" s="993">
        <v>374.9</v>
      </c>
      <c r="K352" s="987">
        <v>15</v>
      </c>
      <c r="L352" s="993">
        <v>1245533</v>
      </c>
      <c r="M352" s="985">
        <v>0</v>
      </c>
      <c r="N352" s="985">
        <v>0</v>
      </c>
      <c r="O352" s="993">
        <v>1245533</v>
      </c>
      <c r="P352" s="993">
        <f t="shared" si="116"/>
        <v>0</v>
      </c>
      <c r="Q352" s="985">
        <v>0</v>
      </c>
      <c r="R352" s="985">
        <f t="shared" si="117"/>
        <v>3322.3072819418512</v>
      </c>
      <c r="S352" s="987">
        <v>2020</v>
      </c>
      <c r="T352" s="987">
        <v>2020</v>
      </c>
    </row>
    <row r="353" spans="1:20" s="992" customFormat="1" ht="40.9" customHeight="1">
      <c r="A353" s="1271">
        <v>278</v>
      </c>
      <c r="B353" s="1010" t="s">
        <v>1101</v>
      </c>
      <c r="C353" s="1271">
        <v>1957</v>
      </c>
      <c r="D353" s="1271"/>
      <c r="E353" s="1271" t="s">
        <v>218</v>
      </c>
      <c r="F353" s="1271">
        <v>3</v>
      </c>
      <c r="G353" s="1271">
        <v>3</v>
      </c>
      <c r="H353" s="993">
        <v>1373.3</v>
      </c>
      <c r="I353" s="993">
        <v>1155.3</v>
      </c>
      <c r="J353" s="993">
        <v>1155.3</v>
      </c>
      <c r="K353" s="987">
        <v>40</v>
      </c>
      <c r="L353" s="993">
        <v>2910757</v>
      </c>
      <c r="M353" s="985">
        <v>0</v>
      </c>
      <c r="N353" s="985">
        <v>0</v>
      </c>
      <c r="O353" s="993">
        <v>2910757</v>
      </c>
      <c r="P353" s="993">
        <f t="shared" si="116"/>
        <v>0</v>
      </c>
      <c r="Q353" s="985">
        <v>0</v>
      </c>
      <c r="R353" s="985">
        <f t="shared" si="117"/>
        <v>2519.4815199515278</v>
      </c>
      <c r="S353" s="987">
        <v>2020</v>
      </c>
      <c r="T353" s="987">
        <v>2022</v>
      </c>
    </row>
    <row r="354" spans="1:20" s="992" customFormat="1" ht="39.6" customHeight="1">
      <c r="A354" s="1271">
        <v>279</v>
      </c>
      <c r="B354" s="1010" t="s">
        <v>1506</v>
      </c>
      <c r="C354" s="1271">
        <v>1951</v>
      </c>
      <c r="D354" s="1271"/>
      <c r="E354" s="1271" t="s">
        <v>218</v>
      </c>
      <c r="F354" s="1271">
        <v>2</v>
      </c>
      <c r="G354" s="1271">
        <v>1</v>
      </c>
      <c r="H354" s="993">
        <v>799.7</v>
      </c>
      <c r="I354" s="993">
        <v>518.6</v>
      </c>
      <c r="J354" s="993">
        <v>418.4</v>
      </c>
      <c r="K354" s="987">
        <v>32</v>
      </c>
      <c r="L354" s="993">
        <v>2014364</v>
      </c>
      <c r="M354" s="985">
        <v>0</v>
      </c>
      <c r="N354" s="985">
        <v>0</v>
      </c>
      <c r="O354" s="993">
        <v>2014364</v>
      </c>
      <c r="P354" s="993">
        <f t="shared" si="116"/>
        <v>0</v>
      </c>
      <c r="Q354" s="985">
        <v>0</v>
      </c>
      <c r="R354" s="985">
        <f t="shared" si="117"/>
        <v>3884.2344774392595</v>
      </c>
      <c r="S354" s="987">
        <v>2020</v>
      </c>
      <c r="T354" s="987">
        <v>2020</v>
      </c>
    </row>
    <row r="355" spans="1:20" s="992" customFormat="1" ht="36" customHeight="1">
      <c r="A355" s="1271">
        <v>280</v>
      </c>
      <c r="B355" s="1010" t="s">
        <v>1404</v>
      </c>
      <c r="C355" s="1271">
        <v>1961</v>
      </c>
      <c r="D355" s="1271"/>
      <c r="E355" s="1023" t="s">
        <v>823</v>
      </c>
      <c r="F355" s="1271">
        <v>1</v>
      </c>
      <c r="G355" s="1271">
        <v>1</v>
      </c>
      <c r="H355" s="993">
        <v>145.4</v>
      </c>
      <c r="I355" s="993">
        <v>145.4</v>
      </c>
      <c r="J355" s="993">
        <v>145.4</v>
      </c>
      <c r="K355" s="987">
        <v>15</v>
      </c>
      <c r="L355" s="993">
        <v>791997</v>
      </c>
      <c r="M355" s="985">
        <v>0</v>
      </c>
      <c r="N355" s="985">
        <v>0</v>
      </c>
      <c r="O355" s="993">
        <v>791997</v>
      </c>
      <c r="P355" s="993">
        <f t="shared" si="116"/>
        <v>0</v>
      </c>
      <c r="Q355" s="985">
        <v>0</v>
      </c>
      <c r="R355" s="985">
        <f t="shared" si="117"/>
        <v>5447.022008253095</v>
      </c>
      <c r="S355" s="987">
        <v>2020</v>
      </c>
      <c r="T355" s="987">
        <v>2022</v>
      </c>
    </row>
    <row r="356" spans="1:20" s="992" customFormat="1" ht="36" customHeight="1">
      <c r="A356" s="1271">
        <v>281</v>
      </c>
      <c r="B356" s="1010" t="s">
        <v>1507</v>
      </c>
      <c r="C356" s="1271">
        <v>1951</v>
      </c>
      <c r="D356" s="1271"/>
      <c r="E356" s="1023" t="s">
        <v>823</v>
      </c>
      <c r="F356" s="1271">
        <v>2</v>
      </c>
      <c r="G356" s="1271">
        <v>1</v>
      </c>
      <c r="H356" s="993">
        <v>680.7</v>
      </c>
      <c r="I356" s="993">
        <v>256.2</v>
      </c>
      <c r="J356" s="993">
        <v>256.2</v>
      </c>
      <c r="K356" s="987">
        <v>16</v>
      </c>
      <c r="L356" s="993">
        <v>1200103.06</v>
      </c>
      <c r="M356" s="985">
        <v>0</v>
      </c>
      <c r="N356" s="985">
        <v>0</v>
      </c>
      <c r="O356" s="993">
        <v>1200103.06</v>
      </c>
      <c r="P356" s="993">
        <f t="shared" si="116"/>
        <v>0</v>
      </c>
      <c r="Q356" s="985">
        <v>0</v>
      </c>
      <c r="R356" s="985">
        <f t="shared" si="117"/>
        <v>4684.2430132708823</v>
      </c>
      <c r="S356" s="987">
        <v>2020</v>
      </c>
      <c r="T356" s="987">
        <v>2020</v>
      </c>
    </row>
    <row r="357" spans="1:20" s="992" customFormat="1" ht="39.6" customHeight="1">
      <c r="A357" s="1271">
        <v>282</v>
      </c>
      <c r="B357" s="1010" t="s">
        <v>1654</v>
      </c>
      <c r="C357" s="1271">
        <v>1965</v>
      </c>
      <c r="D357" s="1271"/>
      <c r="E357" s="1271" t="s">
        <v>218</v>
      </c>
      <c r="F357" s="1271">
        <v>5</v>
      </c>
      <c r="G357" s="1271">
        <v>2</v>
      </c>
      <c r="H357" s="993">
        <v>2033.7</v>
      </c>
      <c r="I357" s="993">
        <v>1364</v>
      </c>
      <c r="J357" s="993">
        <v>1364</v>
      </c>
      <c r="K357" s="987">
        <v>65</v>
      </c>
      <c r="L357" s="993">
        <v>4257572</v>
      </c>
      <c r="M357" s="985">
        <v>0</v>
      </c>
      <c r="N357" s="985">
        <v>0</v>
      </c>
      <c r="O357" s="993">
        <v>4257572</v>
      </c>
      <c r="P357" s="993">
        <f t="shared" ref="P357:P361" si="118">Q357</f>
        <v>0</v>
      </c>
      <c r="Q357" s="985">
        <v>0</v>
      </c>
      <c r="R357" s="985">
        <f t="shared" si="117"/>
        <v>3121.3870967741937</v>
      </c>
      <c r="S357" s="987">
        <v>2020</v>
      </c>
      <c r="T357" s="987">
        <v>2020</v>
      </c>
    </row>
    <row r="358" spans="1:20" s="992" customFormat="1" ht="40.15" customHeight="1">
      <c r="A358" s="1271">
        <v>283</v>
      </c>
      <c r="B358" s="1010" t="s">
        <v>990</v>
      </c>
      <c r="C358" s="1271">
        <v>1970</v>
      </c>
      <c r="D358" s="1271"/>
      <c r="E358" s="1271" t="s">
        <v>218</v>
      </c>
      <c r="F358" s="1271">
        <v>5</v>
      </c>
      <c r="G358" s="1271">
        <v>4</v>
      </c>
      <c r="H358" s="993">
        <v>2545.4</v>
      </c>
      <c r="I358" s="993">
        <v>1628</v>
      </c>
      <c r="J358" s="993">
        <v>1628</v>
      </c>
      <c r="K358" s="987">
        <v>57</v>
      </c>
      <c r="L358" s="993">
        <v>6854690</v>
      </c>
      <c r="M358" s="985">
        <v>0</v>
      </c>
      <c r="N358" s="985">
        <v>0</v>
      </c>
      <c r="O358" s="993">
        <v>6854690</v>
      </c>
      <c r="P358" s="993">
        <f t="shared" si="118"/>
        <v>0</v>
      </c>
      <c r="Q358" s="985">
        <v>0</v>
      </c>
      <c r="R358" s="985">
        <f t="shared" si="117"/>
        <v>4210.497542997543</v>
      </c>
      <c r="S358" s="987">
        <v>2020</v>
      </c>
      <c r="T358" s="987">
        <v>2020</v>
      </c>
    </row>
    <row r="359" spans="1:20" s="992" customFormat="1" ht="40.9" customHeight="1">
      <c r="A359" s="1271">
        <v>284</v>
      </c>
      <c r="B359" s="1010" t="s">
        <v>892</v>
      </c>
      <c r="C359" s="1271">
        <v>1967</v>
      </c>
      <c r="D359" s="1271"/>
      <c r="E359" s="1271" t="s">
        <v>218</v>
      </c>
      <c r="F359" s="1271">
        <v>3</v>
      </c>
      <c r="G359" s="1271">
        <v>3</v>
      </c>
      <c r="H359" s="993">
        <v>3257.6</v>
      </c>
      <c r="I359" s="993">
        <v>2014.6</v>
      </c>
      <c r="J359" s="993">
        <v>2014.6</v>
      </c>
      <c r="K359" s="987">
        <v>86</v>
      </c>
      <c r="L359" s="993">
        <v>5577419</v>
      </c>
      <c r="M359" s="985">
        <v>0</v>
      </c>
      <c r="N359" s="985">
        <v>0</v>
      </c>
      <c r="O359" s="993">
        <v>5577419</v>
      </c>
      <c r="P359" s="993">
        <f t="shared" si="118"/>
        <v>0</v>
      </c>
      <c r="Q359" s="985">
        <v>0</v>
      </c>
      <c r="R359" s="985">
        <f t="shared" si="117"/>
        <v>2768.4994539859031</v>
      </c>
      <c r="S359" s="987">
        <v>2020</v>
      </c>
      <c r="T359" s="987">
        <v>2020</v>
      </c>
    </row>
    <row r="360" spans="1:20" s="992" customFormat="1" ht="40.15" customHeight="1">
      <c r="A360" s="1271">
        <v>285</v>
      </c>
      <c r="B360" s="1010" t="s">
        <v>1161</v>
      </c>
      <c r="C360" s="1271">
        <v>1950</v>
      </c>
      <c r="D360" s="1271"/>
      <c r="E360" s="1271" t="s">
        <v>218</v>
      </c>
      <c r="F360" s="1271">
        <v>2</v>
      </c>
      <c r="G360" s="1271">
        <v>1</v>
      </c>
      <c r="H360" s="993">
        <v>441.6</v>
      </c>
      <c r="I360" s="993">
        <v>354</v>
      </c>
      <c r="J360" s="993">
        <v>354</v>
      </c>
      <c r="K360" s="987">
        <v>15</v>
      </c>
      <c r="L360" s="993">
        <v>1995737</v>
      </c>
      <c r="M360" s="985">
        <v>0</v>
      </c>
      <c r="N360" s="985">
        <v>0</v>
      </c>
      <c r="O360" s="993">
        <v>1995737</v>
      </c>
      <c r="P360" s="993">
        <f t="shared" si="118"/>
        <v>0</v>
      </c>
      <c r="Q360" s="985">
        <v>0</v>
      </c>
      <c r="R360" s="985">
        <f t="shared" si="117"/>
        <v>5637.6751412429376</v>
      </c>
      <c r="S360" s="987">
        <v>2020</v>
      </c>
      <c r="T360" s="987">
        <v>2020</v>
      </c>
    </row>
    <row r="361" spans="1:20" s="992" customFormat="1" ht="40.9" customHeight="1">
      <c r="A361" s="1271">
        <v>286</v>
      </c>
      <c r="B361" s="1010" t="s">
        <v>894</v>
      </c>
      <c r="C361" s="1271">
        <v>1964</v>
      </c>
      <c r="D361" s="1271"/>
      <c r="E361" s="1271" t="s">
        <v>218</v>
      </c>
      <c r="F361" s="1271">
        <v>4</v>
      </c>
      <c r="G361" s="1271">
        <v>2</v>
      </c>
      <c r="H361" s="993">
        <v>1759.4</v>
      </c>
      <c r="I361" s="993">
        <v>962.2</v>
      </c>
      <c r="J361" s="993">
        <v>962.2</v>
      </c>
      <c r="K361" s="987">
        <v>34</v>
      </c>
      <c r="L361" s="993">
        <v>3531124</v>
      </c>
      <c r="M361" s="985">
        <v>0</v>
      </c>
      <c r="N361" s="985">
        <v>0</v>
      </c>
      <c r="O361" s="993">
        <v>3531124</v>
      </c>
      <c r="P361" s="993">
        <f t="shared" si="118"/>
        <v>0</v>
      </c>
      <c r="Q361" s="985">
        <v>0</v>
      </c>
      <c r="R361" s="985">
        <f t="shared" si="117"/>
        <v>3669.8441072542091</v>
      </c>
      <c r="S361" s="987">
        <v>2020</v>
      </c>
      <c r="T361" s="987">
        <v>2020</v>
      </c>
    </row>
    <row r="362" spans="1:20" s="992" customFormat="1" ht="40.9" customHeight="1">
      <c r="A362" s="1271">
        <v>287</v>
      </c>
      <c r="B362" s="1010" t="s">
        <v>1405</v>
      </c>
      <c r="C362" s="1271">
        <v>1976</v>
      </c>
      <c r="D362" s="1271"/>
      <c r="E362" s="1271" t="s">
        <v>218</v>
      </c>
      <c r="F362" s="1271">
        <v>5</v>
      </c>
      <c r="G362" s="1271">
        <v>4</v>
      </c>
      <c r="H362" s="993">
        <v>3434.5</v>
      </c>
      <c r="I362" s="993">
        <v>3434.5</v>
      </c>
      <c r="J362" s="993">
        <v>3124.5</v>
      </c>
      <c r="K362" s="987">
        <v>145</v>
      </c>
      <c r="L362" s="993">
        <v>6609881</v>
      </c>
      <c r="M362" s="985">
        <v>0</v>
      </c>
      <c r="N362" s="985">
        <v>0</v>
      </c>
      <c r="O362" s="993">
        <v>6609881</v>
      </c>
      <c r="P362" s="985">
        <v>0</v>
      </c>
      <c r="Q362" s="993">
        <v>0</v>
      </c>
      <c r="R362" s="985">
        <f t="shared" si="117"/>
        <v>1924.5540835638376</v>
      </c>
      <c r="S362" s="987">
        <v>2020</v>
      </c>
      <c r="T362" s="987">
        <v>2020</v>
      </c>
    </row>
    <row r="363" spans="1:20" s="992" customFormat="1" ht="36" customHeight="1">
      <c r="A363" s="1271"/>
      <c r="B363" s="1273" t="s">
        <v>1118</v>
      </c>
      <c r="C363" s="1279"/>
      <c r="D363" s="1283"/>
      <c r="E363" s="1271"/>
      <c r="F363" s="1279"/>
      <c r="G363" s="1279"/>
      <c r="H363" s="985">
        <f>H364</f>
        <v>726.2</v>
      </c>
      <c r="I363" s="985">
        <f t="shared" ref="I363:Q363" si="119">I364</f>
        <v>726.2</v>
      </c>
      <c r="J363" s="985">
        <f t="shared" si="119"/>
        <v>445.2</v>
      </c>
      <c r="K363" s="1064">
        <f t="shared" si="119"/>
        <v>26</v>
      </c>
      <c r="L363" s="985">
        <f t="shared" si="119"/>
        <v>1420529</v>
      </c>
      <c r="M363" s="985">
        <f t="shared" si="119"/>
        <v>0</v>
      </c>
      <c r="N363" s="985">
        <f t="shared" si="119"/>
        <v>0</v>
      </c>
      <c r="O363" s="985">
        <f t="shared" si="119"/>
        <v>1420529</v>
      </c>
      <c r="P363" s="985">
        <f t="shared" si="73"/>
        <v>0</v>
      </c>
      <c r="Q363" s="985">
        <f t="shared" si="119"/>
        <v>0</v>
      </c>
      <c r="R363" s="991" t="s">
        <v>40</v>
      </c>
      <c r="S363" s="991" t="s">
        <v>40</v>
      </c>
      <c r="T363" s="991" t="s">
        <v>40</v>
      </c>
    </row>
    <row r="364" spans="1:20" s="992" customFormat="1" ht="42.6" customHeight="1">
      <c r="A364" s="1271">
        <v>288</v>
      </c>
      <c r="B364" s="1273" t="s">
        <v>1182</v>
      </c>
      <c r="C364" s="1279">
        <v>1981</v>
      </c>
      <c r="D364" s="1279"/>
      <c r="E364" s="1271" t="s">
        <v>218</v>
      </c>
      <c r="F364" s="1279">
        <v>2</v>
      </c>
      <c r="G364" s="1279">
        <v>2</v>
      </c>
      <c r="H364" s="985">
        <v>726.2</v>
      </c>
      <c r="I364" s="985">
        <v>726.2</v>
      </c>
      <c r="J364" s="985">
        <v>445.2</v>
      </c>
      <c r="K364" s="1064">
        <v>26</v>
      </c>
      <c r="L364" s="986">
        <v>1420529</v>
      </c>
      <c r="M364" s="986">
        <v>0</v>
      </c>
      <c r="N364" s="986">
        <v>0</v>
      </c>
      <c r="O364" s="986">
        <v>1420529</v>
      </c>
      <c r="P364" s="993">
        <f t="shared" si="73"/>
        <v>0</v>
      </c>
      <c r="Q364" s="986">
        <v>0</v>
      </c>
      <c r="R364" s="985">
        <f t="shared" ref="R364" si="120">L364/I364</f>
        <v>1956.1126411456898</v>
      </c>
      <c r="S364" s="987">
        <v>2020</v>
      </c>
      <c r="T364" s="987">
        <v>2020</v>
      </c>
    </row>
    <row r="365" spans="1:20" s="992" customFormat="1" ht="36" customHeight="1">
      <c r="A365" s="1271"/>
      <c r="B365" s="1393" t="s">
        <v>1241</v>
      </c>
      <c r="C365" s="1391"/>
      <c r="D365" s="1391"/>
      <c r="E365" s="1391"/>
      <c r="F365" s="1391"/>
      <c r="G365" s="1391"/>
      <c r="H365" s="985">
        <f>H366+H367</f>
        <v>1063.5</v>
      </c>
      <c r="I365" s="985">
        <f t="shared" ref="I365:Q365" si="121">I366+I367</f>
        <v>1063.5</v>
      </c>
      <c r="J365" s="985">
        <f t="shared" si="121"/>
        <v>598.6</v>
      </c>
      <c r="K365" s="1064">
        <f t="shared" si="121"/>
        <v>45</v>
      </c>
      <c r="L365" s="985">
        <f t="shared" si="121"/>
        <v>6167622</v>
      </c>
      <c r="M365" s="985">
        <f t="shared" si="121"/>
        <v>0</v>
      </c>
      <c r="N365" s="985">
        <f t="shared" si="121"/>
        <v>0</v>
      </c>
      <c r="O365" s="985">
        <f t="shared" si="121"/>
        <v>6167622</v>
      </c>
      <c r="P365" s="985">
        <f t="shared" si="121"/>
        <v>0</v>
      </c>
      <c r="Q365" s="985">
        <f t="shared" si="121"/>
        <v>0</v>
      </c>
      <c r="R365" s="991" t="s">
        <v>40</v>
      </c>
      <c r="S365" s="991" t="s">
        <v>40</v>
      </c>
      <c r="T365" s="991" t="s">
        <v>40</v>
      </c>
    </row>
    <row r="366" spans="1:20" s="992" customFormat="1" ht="36" customHeight="1">
      <c r="A366" s="1271">
        <v>289</v>
      </c>
      <c r="B366" s="1273" t="s">
        <v>1242</v>
      </c>
      <c r="C366" s="1279">
        <v>1972</v>
      </c>
      <c r="D366" s="1279">
        <v>2009</v>
      </c>
      <c r="E366" s="1271" t="s">
        <v>220</v>
      </c>
      <c r="F366" s="1279">
        <v>2</v>
      </c>
      <c r="G366" s="1279">
        <v>2</v>
      </c>
      <c r="H366" s="985">
        <v>531.6</v>
      </c>
      <c r="I366" s="985">
        <v>531.6</v>
      </c>
      <c r="J366" s="985">
        <v>298.10000000000002</v>
      </c>
      <c r="K366" s="1064">
        <v>18</v>
      </c>
      <c r="L366" s="986">
        <v>3083811</v>
      </c>
      <c r="M366" s="986">
        <v>0</v>
      </c>
      <c r="N366" s="986">
        <v>0</v>
      </c>
      <c r="O366" s="986">
        <v>3083811</v>
      </c>
      <c r="P366" s="993">
        <v>0</v>
      </c>
      <c r="Q366" s="986">
        <v>0</v>
      </c>
      <c r="R366" s="985">
        <f t="shared" ref="R366" si="122">L366/I366</f>
        <v>5800.998871331828</v>
      </c>
      <c r="S366" s="987">
        <v>2020</v>
      </c>
      <c r="T366" s="987">
        <v>2020</v>
      </c>
    </row>
    <row r="367" spans="1:20" s="992" customFormat="1" ht="36" customHeight="1">
      <c r="A367" s="1271">
        <v>290</v>
      </c>
      <c r="B367" s="1273" t="s">
        <v>1243</v>
      </c>
      <c r="C367" s="1279">
        <v>1972</v>
      </c>
      <c r="D367" s="1279">
        <v>2009</v>
      </c>
      <c r="E367" s="1271" t="s">
        <v>220</v>
      </c>
      <c r="F367" s="1279">
        <v>2</v>
      </c>
      <c r="G367" s="1279">
        <v>2</v>
      </c>
      <c r="H367" s="985">
        <v>531.9</v>
      </c>
      <c r="I367" s="985">
        <v>531.9</v>
      </c>
      <c r="J367" s="985">
        <v>300.5</v>
      </c>
      <c r="K367" s="1064">
        <v>27</v>
      </c>
      <c r="L367" s="986">
        <v>3083811</v>
      </c>
      <c r="M367" s="986">
        <v>0</v>
      </c>
      <c r="N367" s="986">
        <v>0</v>
      </c>
      <c r="O367" s="986">
        <v>3083811</v>
      </c>
      <c r="P367" s="993">
        <v>0</v>
      </c>
      <c r="Q367" s="986">
        <v>0</v>
      </c>
      <c r="R367" s="985">
        <f t="shared" ref="R367" si="123">L367/I367</f>
        <v>5797.7270163564581</v>
      </c>
      <c r="S367" s="987">
        <v>2020</v>
      </c>
      <c r="T367" s="987">
        <v>2020</v>
      </c>
    </row>
    <row r="368" spans="1:20" s="1003" customFormat="1" ht="36" customHeight="1">
      <c r="A368" s="1271"/>
      <c r="B368" s="1273" t="s">
        <v>1651</v>
      </c>
      <c r="C368" s="1279"/>
      <c r="D368" s="1283"/>
      <c r="E368" s="1271"/>
      <c r="F368" s="1279"/>
      <c r="G368" s="1279"/>
      <c r="H368" s="985">
        <f>H369</f>
        <v>345.2</v>
      </c>
      <c r="I368" s="985">
        <f t="shared" ref="I368:Q368" si="124">I369</f>
        <v>320.39999999999998</v>
      </c>
      <c r="J368" s="985">
        <f t="shared" si="124"/>
        <v>320.39999999999998</v>
      </c>
      <c r="K368" s="1064">
        <f t="shared" si="124"/>
        <v>9</v>
      </c>
      <c r="L368" s="985">
        <f t="shared" si="124"/>
        <v>1252303</v>
      </c>
      <c r="M368" s="985">
        <f t="shared" si="124"/>
        <v>0</v>
      </c>
      <c r="N368" s="985">
        <f t="shared" si="124"/>
        <v>0</v>
      </c>
      <c r="O368" s="985">
        <f t="shared" si="124"/>
        <v>1252303</v>
      </c>
      <c r="P368" s="985">
        <f t="shared" si="124"/>
        <v>0</v>
      </c>
      <c r="Q368" s="985">
        <f t="shared" si="124"/>
        <v>0</v>
      </c>
      <c r="R368" s="991" t="s">
        <v>40</v>
      </c>
      <c r="S368" s="991" t="s">
        <v>40</v>
      </c>
      <c r="T368" s="991" t="s">
        <v>40</v>
      </c>
    </row>
    <row r="369" spans="1:20" s="1126" customFormat="1" ht="39.6" customHeight="1">
      <c r="A369" s="1271">
        <v>291</v>
      </c>
      <c r="B369" s="1273" t="s">
        <v>2059</v>
      </c>
      <c r="C369" s="1279">
        <v>1970</v>
      </c>
      <c r="D369" s="1279"/>
      <c r="E369" s="1271" t="s">
        <v>218</v>
      </c>
      <c r="F369" s="1279">
        <v>2</v>
      </c>
      <c r="G369" s="1279">
        <v>2</v>
      </c>
      <c r="H369" s="985">
        <v>345.2</v>
      </c>
      <c r="I369" s="985">
        <v>320.39999999999998</v>
      </c>
      <c r="J369" s="985">
        <v>320.39999999999998</v>
      </c>
      <c r="K369" s="1064">
        <v>9</v>
      </c>
      <c r="L369" s="986">
        <v>1252303</v>
      </c>
      <c r="M369" s="986">
        <v>0</v>
      </c>
      <c r="N369" s="986">
        <v>0</v>
      </c>
      <c r="O369" s="986">
        <v>1252303</v>
      </c>
      <c r="P369" s="993">
        <v>0</v>
      </c>
      <c r="Q369" s="986">
        <v>0</v>
      </c>
      <c r="R369" s="993">
        <f>L369/I369</f>
        <v>3908.561173533084</v>
      </c>
      <c r="S369" s="987">
        <v>2020</v>
      </c>
      <c r="T369" s="987">
        <v>2020</v>
      </c>
    </row>
    <row r="370" spans="1:20" s="1126" customFormat="1" ht="36" customHeight="1">
      <c r="A370" s="1271"/>
      <c r="B370" s="1391" t="s">
        <v>1653</v>
      </c>
      <c r="C370" s="1391"/>
      <c r="D370" s="1391"/>
      <c r="E370" s="1391"/>
      <c r="F370" s="1391"/>
      <c r="G370" s="1391"/>
      <c r="H370" s="985">
        <f>H371+H372</f>
        <v>1495.6</v>
      </c>
      <c r="I370" s="985">
        <f t="shared" ref="I370:Q370" si="125">I371+I372</f>
        <v>1367.4</v>
      </c>
      <c r="J370" s="985">
        <f t="shared" si="125"/>
        <v>1367.4</v>
      </c>
      <c r="K370" s="1064">
        <f t="shared" si="125"/>
        <v>63</v>
      </c>
      <c r="L370" s="985">
        <f t="shared" si="125"/>
        <v>4399305</v>
      </c>
      <c r="M370" s="985">
        <f t="shared" si="125"/>
        <v>0</v>
      </c>
      <c r="N370" s="985">
        <f t="shared" si="125"/>
        <v>0</v>
      </c>
      <c r="O370" s="985">
        <f t="shared" si="125"/>
        <v>4399305</v>
      </c>
      <c r="P370" s="985">
        <f t="shared" si="125"/>
        <v>0</v>
      </c>
      <c r="Q370" s="985">
        <f t="shared" si="125"/>
        <v>0</v>
      </c>
      <c r="R370" s="991" t="s">
        <v>40</v>
      </c>
      <c r="S370" s="991" t="s">
        <v>40</v>
      </c>
      <c r="T370" s="991" t="s">
        <v>40</v>
      </c>
    </row>
    <row r="371" spans="1:20" s="1026" customFormat="1" ht="36" customHeight="1">
      <c r="A371" s="1271">
        <v>292</v>
      </c>
      <c r="B371" s="1063" t="s">
        <v>2060</v>
      </c>
      <c r="C371" s="1064">
        <v>1981</v>
      </c>
      <c r="D371" s="1065"/>
      <c r="E371" s="1271" t="s">
        <v>220</v>
      </c>
      <c r="F371" s="987">
        <v>2</v>
      </c>
      <c r="G371" s="987">
        <v>3</v>
      </c>
      <c r="H371" s="993">
        <v>925.3</v>
      </c>
      <c r="I371" s="993">
        <v>846.3</v>
      </c>
      <c r="J371" s="993">
        <v>846.3</v>
      </c>
      <c r="K371" s="987">
        <v>36</v>
      </c>
      <c r="L371" s="986">
        <v>2625774</v>
      </c>
      <c r="M371" s="986">
        <v>0</v>
      </c>
      <c r="N371" s="986">
        <v>0</v>
      </c>
      <c r="O371" s="986">
        <v>2625774</v>
      </c>
      <c r="P371" s="993">
        <v>0</v>
      </c>
      <c r="Q371" s="986">
        <v>0</v>
      </c>
      <c r="R371" s="993">
        <f>L371/I371</f>
        <v>3102.6515420063811</v>
      </c>
      <c r="S371" s="987">
        <v>2020</v>
      </c>
      <c r="T371" s="987">
        <v>2020</v>
      </c>
    </row>
    <row r="372" spans="1:20" s="1026" customFormat="1" ht="40.15" customHeight="1">
      <c r="A372" s="1271">
        <v>293</v>
      </c>
      <c r="B372" s="1273" t="s">
        <v>2061</v>
      </c>
      <c r="C372" s="1279">
        <v>1967</v>
      </c>
      <c r="D372" s="1279"/>
      <c r="E372" s="1271" t="s">
        <v>218</v>
      </c>
      <c r="F372" s="1279">
        <v>2</v>
      </c>
      <c r="G372" s="1279">
        <v>2</v>
      </c>
      <c r="H372" s="985">
        <v>570.29999999999995</v>
      </c>
      <c r="I372" s="985">
        <v>521.1</v>
      </c>
      <c r="J372" s="985">
        <v>521.1</v>
      </c>
      <c r="K372" s="1064">
        <v>27</v>
      </c>
      <c r="L372" s="986">
        <v>1773531</v>
      </c>
      <c r="M372" s="986">
        <v>0</v>
      </c>
      <c r="N372" s="986">
        <v>0</v>
      </c>
      <c r="O372" s="986">
        <v>1773531</v>
      </c>
      <c r="P372" s="993">
        <v>0</v>
      </c>
      <c r="Q372" s="986">
        <v>0</v>
      </c>
      <c r="R372" s="993">
        <f>L372/I372</f>
        <v>3403.4369602763381</v>
      </c>
      <c r="S372" s="987">
        <v>2020</v>
      </c>
      <c r="T372" s="987">
        <v>2020</v>
      </c>
    </row>
    <row r="373" spans="1:20" s="1026" customFormat="1" ht="36" customHeight="1">
      <c r="A373" s="1271"/>
      <c r="B373" s="1063" t="s">
        <v>2675</v>
      </c>
      <c r="C373" s="1064"/>
      <c r="D373" s="1065"/>
      <c r="E373" s="1271"/>
      <c r="F373" s="987"/>
      <c r="G373" s="987"/>
      <c r="H373" s="985">
        <f>H374</f>
        <v>583.29999999999995</v>
      </c>
      <c r="I373" s="985">
        <f t="shared" ref="I373:Q373" si="126">I374</f>
        <v>534.70000000000005</v>
      </c>
      <c r="J373" s="985">
        <f t="shared" si="126"/>
        <v>534.70000000000005</v>
      </c>
      <c r="K373" s="1064">
        <f t="shared" si="126"/>
        <v>24</v>
      </c>
      <c r="L373" s="985">
        <f t="shared" si="126"/>
        <v>1932241.86</v>
      </c>
      <c r="M373" s="985">
        <f t="shared" si="126"/>
        <v>0</v>
      </c>
      <c r="N373" s="985">
        <f t="shared" si="126"/>
        <v>0</v>
      </c>
      <c r="O373" s="985">
        <f t="shared" si="126"/>
        <v>1932241.86</v>
      </c>
      <c r="P373" s="985">
        <f t="shared" si="126"/>
        <v>0</v>
      </c>
      <c r="Q373" s="985">
        <f t="shared" si="126"/>
        <v>0</v>
      </c>
      <c r="R373" s="991" t="s">
        <v>40</v>
      </c>
      <c r="S373" s="991" t="s">
        <v>40</v>
      </c>
      <c r="T373" s="991" t="s">
        <v>40</v>
      </c>
    </row>
    <row r="374" spans="1:20" s="1026" customFormat="1" ht="36" customHeight="1">
      <c r="A374" s="1271">
        <v>294</v>
      </c>
      <c r="B374" s="1273" t="s">
        <v>2062</v>
      </c>
      <c r="C374" s="1279">
        <v>1973</v>
      </c>
      <c r="D374" s="1279"/>
      <c r="E374" s="1271" t="s">
        <v>219</v>
      </c>
      <c r="F374" s="1279">
        <v>2</v>
      </c>
      <c r="G374" s="1279">
        <v>2</v>
      </c>
      <c r="H374" s="985">
        <v>583.29999999999995</v>
      </c>
      <c r="I374" s="985">
        <v>534.70000000000005</v>
      </c>
      <c r="J374" s="985">
        <v>534.70000000000005</v>
      </c>
      <c r="K374" s="1064">
        <v>24</v>
      </c>
      <c r="L374" s="986">
        <v>1932241.86</v>
      </c>
      <c r="M374" s="986">
        <v>0</v>
      </c>
      <c r="N374" s="986">
        <v>0</v>
      </c>
      <c r="O374" s="986">
        <v>1932241.86</v>
      </c>
      <c r="P374" s="993">
        <v>0</v>
      </c>
      <c r="Q374" s="986">
        <v>0</v>
      </c>
      <c r="R374" s="993">
        <f>L374/I374</f>
        <v>3613.6933981671964</v>
      </c>
      <c r="S374" s="987">
        <v>2020</v>
      </c>
      <c r="T374" s="987">
        <v>2022</v>
      </c>
    </row>
    <row r="375" spans="1:20" s="1026" customFormat="1" ht="36" customHeight="1">
      <c r="A375" s="1271"/>
      <c r="B375" s="1063" t="s">
        <v>1987</v>
      </c>
      <c r="C375" s="1064"/>
      <c r="D375" s="1065"/>
      <c r="E375" s="1271"/>
      <c r="F375" s="987"/>
      <c r="G375" s="987"/>
      <c r="H375" s="985">
        <f>H376</f>
        <v>3901</v>
      </c>
      <c r="I375" s="985">
        <f t="shared" ref="I375:Q375" si="127">I376</f>
        <v>3406.5</v>
      </c>
      <c r="J375" s="985">
        <f t="shared" si="127"/>
        <v>3341.2</v>
      </c>
      <c r="K375" s="1064">
        <f t="shared" si="127"/>
        <v>110</v>
      </c>
      <c r="L375" s="985">
        <f t="shared" si="127"/>
        <v>4151691</v>
      </c>
      <c r="M375" s="985">
        <f t="shared" si="127"/>
        <v>0</v>
      </c>
      <c r="N375" s="985">
        <f t="shared" si="127"/>
        <v>0</v>
      </c>
      <c r="O375" s="985">
        <f t="shared" si="127"/>
        <v>4151691</v>
      </c>
      <c r="P375" s="985">
        <f t="shared" si="127"/>
        <v>0</v>
      </c>
      <c r="Q375" s="985">
        <f t="shared" si="127"/>
        <v>0</v>
      </c>
      <c r="R375" s="991" t="s">
        <v>40</v>
      </c>
      <c r="S375" s="991" t="s">
        <v>40</v>
      </c>
      <c r="T375" s="991" t="s">
        <v>40</v>
      </c>
    </row>
    <row r="376" spans="1:20" s="1026" customFormat="1" ht="36" customHeight="1">
      <c r="A376" s="1271"/>
      <c r="B376" s="1391" t="s">
        <v>2028</v>
      </c>
      <c r="C376" s="1391"/>
      <c r="D376" s="1391"/>
      <c r="E376" s="1391"/>
      <c r="F376" s="1391"/>
      <c r="G376" s="1391"/>
      <c r="H376" s="985">
        <f>H377+H378</f>
        <v>3901</v>
      </c>
      <c r="I376" s="985">
        <f t="shared" ref="I376:Q376" si="128">I377+I378</f>
        <v>3406.5</v>
      </c>
      <c r="J376" s="985">
        <f t="shared" si="128"/>
        <v>3341.2</v>
      </c>
      <c r="K376" s="1064">
        <f t="shared" si="128"/>
        <v>110</v>
      </c>
      <c r="L376" s="985">
        <f t="shared" si="128"/>
        <v>4151691</v>
      </c>
      <c r="M376" s="985">
        <f t="shared" si="128"/>
        <v>0</v>
      </c>
      <c r="N376" s="985">
        <f t="shared" si="128"/>
        <v>0</v>
      </c>
      <c r="O376" s="985">
        <f t="shared" si="128"/>
        <v>4151691</v>
      </c>
      <c r="P376" s="985">
        <f t="shared" si="128"/>
        <v>0</v>
      </c>
      <c r="Q376" s="985">
        <f t="shared" si="128"/>
        <v>0</v>
      </c>
      <c r="R376" s="991" t="s">
        <v>40</v>
      </c>
      <c r="S376" s="991" t="s">
        <v>40</v>
      </c>
      <c r="T376" s="991" t="s">
        <v>40</v>
      </c>
    </row>
    <row r="377" spans="1:20" s="1026" customFormat="1" ht="42" customHeight="1">
      <c r="A377" s="1271">
        <v>295</v>
      </c>
      <c r="B377" s="1273" t="s">
        <v>2063</v>
      </c>
      <c r="C377" s="1279">
        <v>1971</v>
      </c>
      <c r="D377" s="1279"/>
      <c r="E377" s="1271" t="s">
        <v>218</v>
      </c>
      <c r="F377" s="1279">
        <v>2</v>
      </c>
      <c r="G377" s="1279">
        <v>2</v>
      </c>
      <c r="H377" s="985">
        <v>377.1</v>
      </c>
      <c r="I377" s="985">
        <v>377.1</v>
      </c>
      <c r="J377" s="985">
        <v>377.1</v>
      </c>
      <c r="K377" s="1064">
        <v>18</v>
      </c>
      <c r="L377" s="986">
        <v>1218456</v>
      </c>
      <c r="M377" s="986">
        <v>0</v>
      </c>
      <c r="N377" s="986">
        <v>0</v>
      </c>
      <c r="O377" s="986">
        <v>1218456</v>
      </c>
      <c r="P377" s="993">
        <v>0</v>
      </c>
      <c r="Q377" s="986">
        <v>0</v>
      </c>
      <c r="R377" s="993">
        <f>L377/I377</f>
        <v>3231.1217183770882</v>
      </c>
      <c r="S377" s="987">
        <v>2020</v>
      </c>
      <c r="T377" s="987">
        <v>2020</v>
      </c>
    </row>
    <row r="378" spans="1:20" s="1026" customFormat="1" ht="36" customHeight="1">
      <c r="A378" s="1271">
        <v>296</v>
      </c>
      <c r="B378" s="1273" t="s">
        <v>2064</v>
      </c>
      <c r="C378" s="1279">
        <v>1983</v>
      </c>
      <c r="D378" s="1279"/>
      <c r="E378" s="1271" t="s">
        <v>222</v>
      </c>
      <c r="F378" s="1279">
        <v>5</v>
      </c>
      <c r="G378" s="1279">
        <v>4</v>
      </c>
      <c r="H378" s="985">
        <v>3523.9</v>
      </c>
      <c r="I378" s="985">
        <v>3029.4</v>
      </c>
      <c r="J378" s="985">
        <v>2964.1</v>
      </c>
      <c r="K378" s="1064">
        <v>92</v>
      </c>
      <c r="L378" s="986">
        <v>2933235</v>
      </c>
      <c r="M378" s="986">
        <v>0</v>
      </c>
      <c r="N378" s="986">
        <v>0</v>
      </c>
      <c r="O378" s="986">
        <v>2933235</v>
      </c>
      <c r="P378" s="993">
        <v>0</v>
      </c>
      <c r="Q378" s="986">
        <v>0</v>
      </c>
      <c r="R378" s="993">
        <f>L378/I378</f>
        <v>968.25609031491376</v>
      </c>
      <c r="S378" s="987">
        <v>2020</v>
      </c>
      <c r="T378" s="987">
        <v>2022</v>
      </c>
    </row>
    <row r="379" spans="1:20" s="1026" customFormat="1" ht="36" customHeight="1">
      <c r="A379" s="1271"/>
      <c r="B379" s="1391" t="s">
        <v>2704</v>
      </c>
      <c r="C379" s="1391"/>
      <c r="D379" s="1391"/>
      <c r="E379" s="1391"/>
      <c r="F379" s="1391"/>
      <c r="G379" s="1391"/>
      <c r="H379" s="985">
        <f>H380+H386</f>
        <v>11702.09</v>
      </c>
      <c r="I379" s="985">
        <f t="shared" ref="I379:Q379" si="129">I380+I386</f>
        <v>9377.4</v>
      </c>
      <c r="J379" s="985">
        <f t="shared" si="129"/>
        <v>9377.4</v>
      </c>
      <c r="K379" s="1064">
        <f t="shared" si="129"/>
        <v>419</v>
      </c>
      <c r="L379" s="985">
        <f t="shared" si="129"/>
        <v>28620753.960000001</v>
      </c>
      <c r="M379" s="985">
        <f t="shared" si="129"/>
        <v>0</v>
      </c>
      <c r="N379" s="985">
        <f t="shared" si="129"/>
        <v>0</v>
      </c>
      <c r="O379" s="985">
        <f t="shared" si="129"/>
        <v>28620753.960000001</v>
      </c>
      <c r="P379" s="985">
        <f t="shared" si="129"/>
        <v>0</v>
      </c>
      <c r="Q379" s="985">
        <f t="shared" si="129"/>
        <v>0</v>
      </c>
      <c r="R379" s="991" t="s">
        <v>40</v>
      </c>
      <c r="S379" s="991" t="s">
        <v>40</v>
      </c>
      <c r="T379" s="991" t="s">
        <v>40</v>
      </c>
    </row>
    <row r="380" spans="1:20" s="1026" customFormat="1" ht="36" customHeight="1">
      <c r="A380" s="1271"/>
      <c r="B380" s="1391" t="s">
        <v>1077</v>
      </c>
      <c r="C380" s="1391"/>
      <c r="D380" s="1391"/>
      <c r="E380" s="1391"/>
      <c r="F380" s="1391"/>
      <c r="G380" s="1391"/>
      <c r="H380" s="985">
        <f>SUM(H381:H385)</f>
        <v>7201.99</v>
      </c>
      <c r="I380" s="985">
        <f t="shared" ref="I380:Q380" si="130">SUM(I381:I385)</f>
        <v>6077.5</v>
      </c>
      <c r="J380" s="985">
        <f t="shared" si="130"/>
        <v>6077.5</v>
      </c>
      <c r="K380" s="1064">
        <f t="shared" si="130"/>
        <v>258</v>
      </c>
      <c r="L380" s="985">
        <f t="shared" si="130"/>
        <v>18050502.960000001</v>
      </c>
      <c r="M380" s="985">
        <f t="shared" si="130"/>
        <v>0</v>
      </c>
      <c r="N380" s="985">
        <f t="shared" si="130"/>
        <v>0</v>
      </c>
      <c r="O380" s="985">
        <f t="shared" si="130"/>
        <v>18050502.960000001</v>
      </c>
      <c r="P380" s="985">
        <f t="shared" si="130"/>
        <v>0</v>
      </c>
      <c r="Q380" s="985">
        <f t="shared" si="130"/>
        <v>0</v>
      </c>
      <c r="R380" s="991" t="s">
        <v>40</v>
      </c>
      <c r="S380" s="991" t="s">
        <v>40</v>
      </c>
      <c r="T380" s="991" t="s">
        <v>40</v>
      </c>
    </row>
    <row r="381" spans="1:20" s="1026" customFormat="1" ht="40.9" customHeight="1">
      <c r="A381" s="1031">
        <v>297</v>
      </c>
      <c r="B381" s="1012" t="s">
        <v>1221</v>
      </c>
      <c r="C381" s="1023">
        <v>1961</v>
      </c>
      <c r="D381" s="1036"/>
      <c r="E381" s="1271" t="s">
        <v>218</v>
      </c>
      <c r="F381" s="1023">
        <v>2</v>
      </c>
      <c r="G381" s="1023">
        <v>1</v>
      </c>
      <c r="H381" s="1033">
        <v>335.2</v>
      </c>
      <c r="I381" s="1024">
        <v>310</v>
      </c>
      <c r="J381" s="1024">
        <v>310</v>
      </c>
      <c r="K381" s="1011">
        <v>12</v>
      </c>
      <c r="L381" s="1024">
        <v>1032303</v>
      </c>
      <c r="M381" s="1024">
        <v>0</v>
      </c>
      <c r="N381" s="1024">
        <v>0</v>
      </c>
      <c r="O381" s="1024">
        <v>1032303</v>
      </c>
      <c r="P381" s="1024">
        <v>0</v>
      </c>
      <c r="Q381" s="1024">
        <v>0</v>
      </c>
      <c r="R381" s="1024">
        <f>L381/I381</f>
        <v>3330.0096774193548</v>
      </c>
      <c r="S381" s="1032">
        <v>2020</v>
      </c>
      <c r="T381" s="1032">
        <v>2020</v>
      </c>
    </row>
    <row r="382" spans="1:20" s="1026" customFormat="1" ht="43.9" customHeight="1">
      <c r="A382" s="1031">
        <v>298</v>
      </c>
      <c r="B382" s="1012" t="s">
        <v>1219</v>
      </c>
      <c r="C382" s="1023" t="s">
        <v>190</v>
      </c>
      <c r="D382" s="1036"/>
      <c r="E382" s="1271" t="s">
        <v>218</v>
      </c>
      <c r="F382" s="1023">
        <v>1</v>
      </c>
      <c r="G382" s="1023">
        <v>3</v>
      </c>
      <c r="H382" s="1033">
        <v>657.7</v>
      </c>
      <c r="I382" s="1024">
        <v>438.5</v>
      </c>
      <c r="J382" s="1024">
        <v>438.5</v>
      </c>
      <c r="K382" s="1011">
        <v>38</v>
      </c>
      <c r="L382" s="1024">
        <v>2226132.06</v>
      </c>
      <c r="M382" s="1024">
        <v>0</v>
      </c>
      <c r="N382" s="1024">
        <v>0</v>
      </c>
      <c r="O382" s="1024">
        <v>2226132.06</v>
      </c>
      <c r="P382" s="1024">
        <v>0</v>
      </c>
      <c r="Q382" s="1024">
        <v>0</v>
      </c>
      <c r="R382" s="1024">
        <f>L382/I382</f>
        <v>5076.697970353478</v>
      </c>
      <c r="S382" s="1032">
        <v>2020</v>
      </c>
      <c r="T382" s="1032">
        <v>2020</v>
      </c>
    </row>
    <row r="383" spans="1:20" s="1026" customFormat="1" ht="42" customHeight="1">
      <c r="A383" s="1031">
        <v>299</v>
      </c>
      <c r="B383" s="1012" t="s">
        <v>1220</v>
      </c>
      <c r="C383" s="1023">
        <v>1960</v>
      </c>
      <c r="D383" s="1036"/>
      <c r="E383" s="1271" t="s">
        <v>218</v>
      </c>
      <c r="F383" s="1023">
        <v>2</v>
      </c>
      <c r="G383" s="1023">
        <v>1</v>
      </c>
      <c r="H383" s="1033">
        <v>345.3</v>
      </c>
      <c r="I383" s="1024">
        <v>313.89999999999998</v>
      </c>
      <c r="J383" s="1024">
        <v>313.89999999999998</v>
      </c>
      <c r="K383" s="1011">
        <v>13</v>
      </c>
      <c r="L383" s="1024">
        <v>1001843</v>
      </c>
      <c r="M383" s="1024">
        <v>0</v>
      </c>
      <c r="N383" s="1024">
        <v>0</v>
      </c>
      <c r="O383" s="1024">
        <v>1001843</v>
      </c>
      <c r="P383" s="1024">
        <v>0</v>
      </c>
      <c r="Q383" s="1024">
        <v>0</v>
      </c>
      <c r="R383" s="1024">
        <f>L383/I383</f>
        <v>3191.5992354252949</v>
      </c>
      <c r="S383" s="1032">
        <v>2020</v>
      </c>
      <c r="T383" s="1032">
        <v>2020</v>
      </c>
    </row>
    <row r="384" spans="1:20" s="1026" customFormat="1" ht="39.6" customHeight="1">
      <c r="A384" s="1031">
        <v>300</v>
      </c>
      <c r="B384" s="1012" t="s">
        <v>1222</v>
      </c>
      <c r="C384" s="1023">
        <v>1961</v>
      </c>
      <c r="D384" s="1036"/>
      <c r="E384" s="1271" t="s">
        <v>218</v>
      </c>
      <c r="F384" s="1023">
        <v>2</v>
      </c>
      <c r="G384" s="1023">
        <v>4</v>
      </c>
      <c r="H384" s="1033">
        <v>1260.8900000000001</v>
      </c>
      <c r="I384" s="1024">
        <v>887</v>
      </c>
      <c r="J384" s="1024">
        <v>887</v>
      </c>
      <c r="K384" s="1011">
        <v>39</v>
      </c>
      <c r="L384" s="1024">
        <v>10458994.9</v>
      </c>
      <c r="M384" s="1024">
        <v>0</v>
      </c>
      <c r="N384" s="1024">
        <v>0</v>
      </c>
      <c r="O384" s="1024">
        <v>10458994.9</v>
      </c>
      <c r="P384" s="1024">
        <v>0</v>
      </c>
      <c r="Q384" s="1024">
        <v>0</v>
      </c>
      <c r="R384" s="1024">
        <f>L384/I384</f>
        <v>11791.426042841038</v>
      </c>
      <c r="S384" s="1032">
        <v>2020</v>
      </c>
      <c r="T384" s="1032">
        <v>2020</v>
      </c>
    </row>
    <row r="385" spans="1:20" s="1026" customFormat="1" ht="40.15" customHeight="1">
      <c r="A385" s="1031">
        <v>301</v>
      </c>
      <c r="B385" s="1041" t="s">
        <v>1223</v>
      </c>
      <c r="C385" s="1054" t="s">
        <v>1189</v>
      </c>
      <c r="D385" s="1032"/>
      <c r="E385" s="1271" t="s">
        <v>218</v>
      </c>
      <c r="F385" s="1032">
        <v>5</v>
      </c>
      <c r="G385" s="1032">
        <v>6</v>
      </c>
      <c r="H385" s="1059">
        <v>4602.8999999999996</v>
      </c>
      <c r="I385" s="1037">
        <v>4128.1000000000004</v>
      </c>
      <c r="J385" s="1037">
        <v>4128.1000000000004</v>
      </c>
      <c r="K385" s="1068">
        <v>156</v>
      </c>
      <c r="L385" s="1037">
        <v>3331230</v>
      </c>
      <c r="M385" s="1024">
        <v>0</v>
      </c>
      <c r="N385" s="1024">
        <v>0</v>
      </c>
      <c r="O385" s="1037">
        <v>3331230</v>
      </c>
      <c r="P385" s="1024">
        <v>0</v>
      </c>
      <c r="Q385" s="1024">
        <v>0</v>
      </c>
      <c r="R385" s="1024">
        <f>L385/I385</f>
        <v>806.96446307017754</v>
      </c>
      <c r="S385" s="1032">
        <v>2020</v>
      </c>
      <c r="T385" s="1032">
        <v>2020</v>
      </c>
    </row>
    <row r="386" spans="1:20" s="1026" customFormat="1" ht="35.450000000000003" customHeight="1">
      <c r="A386" s="1271"/>
      <c r="B386" s="1393" t="s">
        <v>1236</v>
      </c>
      <c r="C386" s="1391"/>
      <c r="D386" s="1391"/>
      <c r="E386" s="1391"/>
      <c r="F386" s="1391"/>
      <c r="G386" s="1391"/>
      <c r="H386" s="985">
        <f>SUM(H387:H390)</f>
        <v>4500.0999999999995</v>
      </c>
      <c r="I386" s="985">
        <f t="shared" ref="I386:Q386" si="131">SUM(I387:I390)</f>
        <v>3299.9</v>
      </c>
      <c r="J386" s="985">
        <f t="shared" si="131"/>
        <v>3299.9</v>
      </c>
      <c r="K386" s="1064">
        <f t="shared" si="131"/>
        <v>161</v>
      </c>
      <c r="L386" s="985">
        <f t="shared" si="131"/>
        <v>10570251</v>
      </c>
      <c r="M386" s="985">
        <f t="shared" si="131"/>
        <v>0</v>
      </c>
      <c r="N386" s="985">
        <f t="shared" si="131"/>
        <v>0</v>
      </c>
      <c r="O386" s="985">
        <f t="shared" si="131"/>
        <v>10570251</v>
      </c>
      <c r="P386" s="985">
        <f t="shared" si="131"/>
        <v>0</v>
      </c>
      <c r="Q386" s="985">
        <f t="shared" si="131"/>
        <v>0</v>
      </c>
      <c r="R386" s="991" t="s">
        <v>40</v>
      </c>
      <c r="S386" s="991" t="s">
        <v>40</v>
      </c>
      <c r="T386" s="991" t="s">
        <v>40</v>
      </c>
    </row>
    <row r="387" spans="1:20" s="1026" customFormat="1" ht="40.9" customHeight="1">
      <c r="A387" s="1271">
        <v>302</v>
      </c>
      <c r="B387" s="1274" t="s">
        <v>1237</v>
      </c>
      <c r="C387" s="1279">
        <v>1984</v>
      </c>
      <c r="D387" s="1273"/>
      <c r="E387" s="1271" t="s">
        <v>218</v>
      </c>
      <c r="F387" s="1279">
        <v>3</v>
      </c>
      <c r="G387" s="1279">
        <v>2</v>
      </c>
      <c r="H387" s="1059">
        <v>1292.3</v>
      </c>
      <c r="I387" s="1037">
        <v>788.8</v>
      </c>
      <c r="J387" s="1037">
        <v>788.8</v>
      </c>
      <c r="K387" s="1068">
        <v>39</v>
      </c>
      <c r="L387" s="1037">
        <v>4124758</v>
      </c>
      <c r="M387" s="1024">
        <v>0</v>
      </c>
      <c r="N387" s="1024">
        <v>0</v>
      </c>
      <c r="O387" s="1037">
        <v>4124758</v>
      </c>
      <c r="P387" s="1024">
        <v>0</v>
      </c>
      <c r="Q387" s="1024">
        <v>0</v>
      </c>
      <c r="R387" s="1024">
        <f>L387/I387</f>
        <v>5229.1556795131846</v>
      </c>
      <c r="S387" s="1032">
        <v>2020</v>
      </c>
      <c r="T387" s="1032">
        <v>2020</v>
      </c>
    </row>
    <row r="388" spans="1:20" s="1026" customFormat="1" ht="40.15" customHeight="1">
      <c r="A388" s="1271">
        <v>303</v>
      </c>
      <c r="B388" s="1274" t="s">
        <v>1238</v>
      </c>
      <c r="C388" s="1279">
        <v>1984</v>
      </c>
      <c r="D388" s="1273"/>
      <c r="E388" s="1271" t="s">
        <v>218</v>
      </c>
      <c r="F388" s="1279">
        <v>3</v>
      </c>
      <c r="G388" s="1279">
        <v>2</v>
      </c>
      <c r="H388" s="1059">
        <v>1292.3</v>
      </c>
      <c r="I388" s="1037">
        <v>759</v>
      </c>
      <c r="J388" s="1037">
        <v>759</v>
      </c>
      <c r="K388" s="1068">
        <v>30</v>
      </c>
      <c r="L388" s="1037">
        <v>4124758</v>
      </c>
      <c r="M388" s="1024">
        <v>0</v>
      </c>
      <c r="N388" s="1024">
        <v>0</v>
      </c>
      <c r="O388" s="1037">
        <v>4124758</v>
      </c>
      <c r="P388" s="1024">
        <v>0</v>
      </c>
      <c r="Q388" s="1024">
        <v>0</v>
      </c>
      <c r="R388" s="1024">
        <f t="shared" ref="R388:R390" si="132">L388/I388</f>
        <v>5434.463768115942</v>
      </c>
      <c r="S388" s="1032">
        <v>2020</v>
      </c>
      <c r="T388" s="1032">
        <v>2020</v>
      </c>
    </row>
    <row r="389" spans="1:20" s="1126" customFormat="1" ht="42" customHeight="1">
      <c r="A389" s="1271">
        <v>304</v>
      </c>
      <c r="B389" s="1274" t="s">
        <v>1239</v>
      </c>
      <c r="C389" s="1279">
        <v>1986</v>
      </c>
      <c r="D389" s="1273"/>
      <c r="E389" s="1271" t="s">
        <v>219</v>
      </c>
      <c r="F389" s="1279">
        <v>2</v>
      </c>
      <c r="G389" s="1279">
        <v>3</v>
      </c>
      <c r="H389" s="1059">
        <v>955.3</v>
      </c>
      <c r="I389" s="1037">
        <v>870.5</v>
      </c>
      <c r="J389" s="1037">
        <v>870.5</v>
      </c>
      <c r="K389" s="1068">
        <v>51</v>
      </c>
      <c r="L389" s="1037">
        <v>1157140</v>
      </c>
      <c r="M389" s="1024">
        <v>0</v>
      </c>
      <c r="N389" s="1024">
        <v>0</v>
      </c>
      <c r="O389" s="1037">
        <v>1157140</v>
      </c>
      <c r="P389" s="1024">
        <v>0</v>
      </c>
      <c r="Q389" s="1024">
        <v>0</v>
      </c>
      <c r="R389" s="1024">
        <f t="shared" si="132"/>
        <v>1329.2820218265365</v>
      </c>
      <c r="S389" s="1032">
        <v>2020</v>
      </c>
      <c r="T389" s="1032">
        <v>2020</v>
      </c>
    </row>
    <row r="390" spans="1:20" s="1126" customFormat="1" ht="43.15" customHeight="1">
      <c r="A390" s="1271">
        <v>305</v>
      </c>
      <c r="B390" s="1274" t="s">
        <v>1240</v>
      </c>
      <c r="C390" s="1279">
        <v>1983</v>
      </c>
      <c r="D390" s="1273"/>
      <c r="E390" s="1271" t="s">
        <v>219</v>
      </c>
      <c r="F390" s="1279">
        <v>2</v>
      </c>
      <c r="G390" s="1279">
        <v>3</v>
      </c>
      <c r="H390" s="1059">
        <v>960.2</v>
      </c>
      <c r="I390" s="1037">
        <v>881.6</v>
      </c>
      <c r="J390" s="1037">
        <v>881.6</v>
      </c>
      <c r="K390" s="1068">
        <v>41</v>
      </c>
      <c r="L390" s="1037">
        <v>1163595</v>
      </c>
      <c r="M390" s="1024">
        <v>0</v>
      </c>
      <c r="N390" s="1024">
        <v>0</v>
      </c>
      <c r="O390" s="1037">
        <v>1163595</v>
      </c>
      <c r="P390" s="1024">
        <v>0</v>
      </c>
      <c r="Q390" s="1024">
        <v>0</v>
      </c>
      <c r="R390" s="1024">
        <f t="shared" si="132"/>
        <v>1319.8672867513612</v>
      </c>
      <c r="S390" s="1032">
        <v>2020</v>
      </c>
      <c r="T390" s="1032">
        <v>2020</v>
      </c>
    </row>
    <row r="391" spans="1:20" s="1009" customFormat="1" ht="40.15" customHeight="1">
      <c r="A391" s="1271"/>
      <c r="B391" s="1391" t="s">
        <v>211</v>
      </c>
      <c r="C391" s="1391"/>
      <c r="D391" s="1391"/>
      <c r="E391" s="1391"/>
      <c r="F391" s="1391"/>
      <c r="G391" s="1391"/>
      <c r="H391" s="1059">
        <f>H392</f>
        <v>1161.0999999999999</v>
      </c>
      <c r="I391" s="1059">
        <f t="shared" ref="I391:Q391" si="133">I392</f>
        <v>1161.0999999999999</v>
      </c>
      <c r="J391" s="1059">
        <f t="shared" si="133"/>
        <v>646.09999999999991</v>
      </c>
      <c r="K391" s="1266">
        <f t="shared" si="133"/>
        <v>48</v>
      </c>
      <c r="L391" s="1059">
        <f t="shared" si="133"/>
        <v>3337271.52</v>
      </c>
      <c r="M391" s="1059">
        <f t="shared" si="133"/>
        <v>0</v>
      </c>
      <c r="N391" s="1059">
        <f t="shared" si="133"/>
        <v>0</v>
      </c>
      <c r="O391" s="1059">
        <f t="shared" si="133"/>
        <v>3337271.52</v>
      </c>
      <c r="P391" s="1059">
        <f t="shared" si="133"/>
        <v>0</v>
      </c>
      <c r="Q391" s="1059">
        <f t="shared" si="133"/>
        <v>0</v>
      </c>
      <c r="R391" s="991" t="s">
        <v>40</v>
      </c>
      <c r="S391" s="991" t="s">
        <v>40</v>
      </c>
      <c r="T391" s="991" t="s">
        <v>40</v>
      </c>
    </row>
    <row r="392" spans="1:20" s="1009" customFormat="1" ht="40.15" customHeight="1">
      <c r="A392" s="1271"/>
      <c r="B392" s="1393" t="s">
        <v>1159</v>
      </c>
      <c r="C392" s="1391"/>
      <c r="D392" s="1391"/>
      <c r="E392" s="1391"/>
      <c r="F392" s="1391"/>
      <c r="G392" s="1391"/>
      <c r="H392" s="1059">
        <f>H393+H394</f>
        <v>1161.0999999999999</v>
      </c>
      <c r="I392" s="1059">
        <f t="shared" ref="I392:Q392" si="134">I393+I394</f>
        <v>1161.0999999999999</v>
      </c>
      <c r="J392" s="1059">
        <f t="shared" si="134"/>
        <v>646.09999999999991</v>
      </c>
      <c r="K392" s="1266">
        <f t="shared" si="134"/>
        <v>48</v>
      </c>
      <c r="L392" s="1059">
        <f t="shared" si="134"/>
        <v>3337271.52</v>
      </c>
      <c r="M392" s="1059">
        <f t="shared" si="134"/>
        <v>0</v>
      </c>
      <c r="N392" s="1059">
        <f t="shared" si="134"/>
        <v>0</v>
      </c>
      <c r="O392" s="1059">
        <f t="shared" si="134"/>
        <v>3337271.52</v>
      </c>
      <c r="P392" s="1059">
        <f t="shared" si="134"/>
        <v>0</v>
      </c>
      <c r="Q392" s="1059">
        <f t="shared" si="134"/>
        <v>0</v>
      </c>
      <c r="R392" s="991" t="s">
        <v>40</v>
      </c>
      <c r="S392" s="991" t="s">
        <v>40</v>
      </c>
      <c r="T392" s="991" t="s">
        <v>40</v>
      </c>
    </row>
    <row r="393" spans="1:20" s="1009" customFormat="1" ht="40.15" customHeight="1">
      <c r="A393" s="1271">
        <v>306</v>
      </c>
      <c r="B393" s="1274" t="s">
        <v>1268</v>
      </c>
      <c r="C393" s="1279">
        <v>1984</v>
      </c>
      <c r="D393" s="1273"/>
      <c r="E393" s="1271" t="s">
        <v>218</v>
      </c>
      <c r="F393" s="1279">
        <v>2</v>
      </c>
      <c r="G393" s="1279">
        <v>2</v>
      </c>
      <c r="H393" s="1059">
        <v>581.6</v>
      </c>
      <c r="I393" s="1037">
        <v>581.6</v>
      </c>
      <c r="J393" s="1037">
        <v>343.2</v>
      </c>
      <c r="K393" s="1068">
        <v>19</v>
      </c>
      <c r="L393" s="1037">
        <v>1682254.56</v>
      </c>
      <c r="M393" s="1024">
        <v>0</v>
      </c>
      <c r="N393" s="1024">
        <v>0</v>
      </c>
      <c r="O393" s="1037">
        <v>1682254.56</v>
      </c>
      <c r="P393" s="1024">
        <v>0</v>
      </c>
      <c r="Q393" s="1024">
        <v>0</v>
      </c>
      <c r="R393" s="1024">
        <f t="shared" ref="R393" si="135">L393/I393</f>
        <v>2892.45969738652</v>
      </c>
      <c r="S393" s="1032">
        <v>2020</v>
      </c>
      <c r="T393" s="1032">
        <v>2020</v>
      </c>
    </row>
    <row r="394" spans="1:20" s="1009" customFormat="1" ht="40.15" customHeight="1">
      <c r="A394" s="1271">
        <v>307</v>
      </c>
      <c r="B394" s="1274" t="s">
        <v>1538</v>
      </c>
      <c r="C394" s="1279">
        <v>1969</v>
      </c>
      <c r="D394" s="1273"/>
      <c r="E394" s="1271" t="s">
        <v>218</v>
      </c>
      <c r="F394" s="1279">
        <v>2</v>
      </c>
      <c r="G394" s="1279">
        <v>2</v>
      </c>
      <c r="H394" s="1059">
        <v>579.5</v>
      </c>
      <c r="I394" s="1037">
        <v>579.5</v>
      </c>
      <c r="J394" s="1037">
        <v>302.89999999999998</v>
      </c>
      <c r="K394" s="1068">
        <v>29</v>
      </c>
      <c r="L394" s="1037">
        <v>1655016.96</v>
      </c>
      <c r="M394" s="1024">
        <v>0</v>
      </c>
      <c r="N394" s="1024">
        <v>0</v>
      </c>
      <c r="O394" s="1037">
        <v>1655016.96</v>
      </c>
      <c r="P394" s="1024">
        <v>0</v>
      </c>
      <c r="Q394" s="1024">
        <v>0</v>
      </c>
      <c r="R394" s="1024">
        <f t="shared" ref="R394" si="136">L394/I394</f>
        <v>2855.9395340811043</v>
      </c>
      <c r="S394" s="1032">
        <v>2020</v>
      </c>
      <c r="T394" s="1032">
        <v>2020</v>
      </c>
    </row>
    <row r="395" spans="1:20" s="1009" customFormat="1" ht="40.15" customHeight="1">
      <c r="A395" s="1271"/>
      <c r="B395" s="1391" t="s">
        <v>66</v>
      </c>
      <c r="C395" s="1391"/>
      <c r="D395" s="1391"/>
      <c r="E395" s="1391"/>
      <c r="F395" s="1391"/>
      <c r="G395" s="1391"/>
      <c r="H395" s="985">
        <f>H396</f>
        <v>1128.9000000000001</v>
      </c>
      <c r="I395" s="985">
        <f t="shared" ref="I395:Q395" si="137">I396</f>
        <v>801.59999999999991</v>
      </c>
      <c r="J395" s="985">
        <f t="shared" si="137"/>
        <v>801.59999999999991</v>
      </c>
      <c r="K395" s="1064">
        <f t="shared" si="137"/>
        <v>45</v>
      </c>
      <c r="L395" s="985">
        <f t="shared" si="137"/>
        <v>3342802</v>
      </c>
      <c r="M395" s="985">
        <f t="shared" si="137"/>
        <v>0</v>
      </c>
      <c r="N395" s="985">
        <f t="shared" si="137"/>
        <v>0</v>
      </c>
      <c r="O395" s="985">
        <f t="shared" si="137"/>
        <v>3342802</v>
      </c>
      <c r="P395" s="985">
        <f t="shared" si="137"/>
        <v>0</v>
      </c>
      <c r="Q395" s="985">
        <f t="shared" si="137"/>
        <v>0</v>
      </c>
      <c r="R395" s="991" t="s">
        <v>40</v>
      </c>
      <c r="S395" s="991" t="s">
        <v>40</v>
      </c>
      <c r="T395" s="991" t="s">
        <v>40</v>
      </c>
    </row>
    <row r="396" spans="1:20" s="1009" customFormat="1" ht="40.15" customHeight="1">
      <c r="A396" s="1271"/>
      <c r="B396" s="1391" t="s">
        <v>1081</v>
      </c>
      <c r="C396" s="1391"/>
      <c r="D396" s="1391"/>
      <c r="E396" s="1391"/>
      <c r="F396" s="1391"/>
      <c r="G396" s="1391"/>
      <c r="H396" s="985">
        <f>H397+H398</f>
        <v>1128.9000000000001</v>
      </c>
      <c r="I396" s="985">
        <f t="shared" ref="I396:Q396" si="138">I397+I398</f>
        <v>801.59999999999991</v>
      </c>
      <c r="J396" s="985">
        <f t="shared" si="138"/>
        <v>801.59999999999991</v>
      </c>
      <c r="K396" s="1064">
        <f t="shared" si="138"/>
        <v>45</v>
      </c>
      <c r="L396" s="985">
        <f t="shared" si="138"/>
        <v>3342802</v>
      </c>
      <c r="M396" s="985">
        <f t="shared" si="138"/>
        <v>0</v>
      </c>
      <c r="N396" s="985">
        <f t="shared" si="138"/>
        <v>0</v>
      </c>
      <c r="O396" s="985">
        <f t="shared" si="138"/>
        <v>3342802</v>
      </c>
      <c r="P396" s="985">
        <f t="shared" si="138"/>
        <v>0</v>
      </c>
      <c r="Q396" s="985">
        <f t="shared" si="138"/>
        <v>0</v>
      </c>
      <c r="R396" s="991" t="s">
        <v>40</v>
      </c>
      <c r="S396" s="991" t="s">
        <v>40</v>
      </c>
      <c r="T396" s="991" t="s">
        <v>40</v>
      </c>
    </row>
    <row r="397" spans="1:20" s="992" customFormat="1" ht="38.450000000000003" customHeight="1">
      <c r="A397" s="1271">
        <v>308</v>
      </c>
      <c r="B397" s="1273" t="s">
        <v>1195</v>
      </c>
      <c r="C397" s="1279">
        <v>1870</v>
      </c>
      <c r="D397" s="1279">
        <v>2002</v>
      </c>
      <c r="E397" s="1271" t="s">
        <v>218</v>
      </c>
      <c r="F397" s="1279">
        <v>2</v>
      </c>
      <c r="G397" s="1279">
        <v>2</v>
      </c>
      <c r="H397" s="985">
        <v>294</v>
      </c>
      <c r="I397" s="985">
        <v>248.8</v>
      </c>
      <c r="J397" s="985">
        <v>248.8</v>
      </c>
      <c r="K397" s="1064">
        <v>15</v>
      </c>
      <c r="L397" s="985">
        <v>824658</v>
      </c>
      <c r="M397" s="985">
        <v>0</v>
      </c>
      <c r="N397" s="985">
        <v>0</v>
      </c>
      <c r="O397" s="985">
        <v>824658</v>
      </c>
      <c r="P397" s="985">
        <v>0</v>
      </c>
      <c r="Q397" s="985">
        <v>0</v>
      </c>
      <c r="R397" s="985">
        <f>L397/I397</f>
        <v>3314.5418006430868</v>
      </c>
      <c r="S397" s="987">
        <v>2020</v>
      </c>
      <c r="T397" s="987">
        <v>2020</v>
      </c>
    </row>
    <row r="398" spans="1:20" s="1030" customFormat="1" ht="42.6" customHeight="1">
      <c r="A398" s="1271">
        <v>309</v>
      </c>
      <c r="B398" s="1273" t="s">
        <v>1196</v>
      </c>
      <c r="C398" s="1279">
        <v>1973</v>
      </c>
      <c r="D398" s="1279"/>
      <c r="E398" s="1271" t="s">
        <v>218</v>
      </c>
      <c r="F398" s="1279">
        <v>2</v>
      </c>
      <c r="G398" s="1279">
        <v>1</v>
      </c>
      <c r="H398" s="985">
        <v>834.9</v>
      </c>
      <c r="I398" s="985">
        <v>552.79999999999995</v>
      </c>
      <c r="J398" s="985">
        <v>552.79999999999995</v>
      </c>
      <c r="K398" s="1064">
        <v>30</v>
      </c>
      <c r="L398" s="986">
        <v>2518144</v>
      </c>
      <c r="M398" s="986">
        <v>0</v>
      </c>
      <c r="N398" s="986">
        <v>0</v>
      </c>
      <c r="O398" s="986">
        <v>2518144</v>
      </c>
      <c r="P398" s="993">
        <f t="shared" ref="P398" si="139">Q398</f>
        <v>0</v>
      </c>
      <c r="Q398" s="986">
        <v>0</v>
      </c>
      <c r="R398" s="985">
        <f>L398/I398</f>
        <v>4555.2532561505068</v>
      </c>
      <c r="S398" s="987">
        <v>2020</v>
      </c>
      <c r="T398" s="987">
        <v>2020</v>
      </c>
    </row>
    <row r="399" spans="1:20" s="1030" customFormat="1" ht="36" customHeight="1">
      <c r="A399" s="1271"/>
      <c r="B399" s="1391" t="s">
        <v>1122</v>
      </c>
      <c r="C399" s="1391"/>
      <c r="D399" s="1391"/>
      <c r="E399" s="1391"/>
      <c r="F399" s="1391"/>
      <c r="G399" s="1391"/>
      <c r="H399" s="985">
        <f>SUM(H400:H405)</f>
        <v>37943.800000000003</v>
      </c>
      <c r="I399" s="985">
        <f t="shared" ref="I399:Q399" si="140">SUM(I400:I405)</f>
        <v>30961.5</v>
      </c>
      <c r="J399" s="985">
        <f t="shared" si="140"/>
        <v>30961.5</v>
      </c>
      <c r="K399" s="1064">
        <f t="shared" si="140"/>
        <v>1530</v>
      </c>
      <c r="L399" s="985">
        <f t="shared" si="140"/>
        <v>30817012</v>
      </c>
      <c r="M399" s="985">
        <f t="shared" si="140"/>
        <v>0</v>
      </c>
      <c r="N399" s="985">
        <f t="shared" si="140"/>
        <v>0</v>
      </c>
      <c r="O399" s="985">
        <f t="shared" si="140"/>
        <v>30817012</v>
      </c>
      <c r="P399" s="985">
        <f t="shared" si="140"/>
        <v>0</v>
      </c>
      <c r="Q399" s="985">
        <f t="shared" si="140"/>
        <v>0</v>
      </c>
      <c r="R399" s="991" t="s">
        <v>40</v>
      </c>
      <c r="S399" s="991" t="s">
        <v>40</v>
      </c>
      <c r="T399" s="991" t="s">
        <v>40</v>
      </c>
    </row>
    <row r="400" spans="1:20" s="1030" customFormat="1" ht="40.9" customHeight="1">
      <c r="A400" s="1032">
        <v>310</v>
      </c>
      <c r="B400" s="1039" t="s">
        <v>2065</v>
      </c>
      <c r="C400" s="1032">
        <v>1980</v>
      </c>
      <c r="D400" s="1066"/>
      <c r="E400" s="1271" t="s">
        <v>219</v>
      </c>
      <c r="F400" s="1032">
        <v>5</v>
      </c>
      <c r="G400" s="1032">
        <v>8</v>
      </c>
      <c r="H400" s="1037">
        <v>4391</v>
      </c>
      <c r="I400" s="1037">
        <v>3850</v>
      </c>
      <c r="J400" s="1037">
        <v>3850</v>
      </c>
      <c r="K400" s="1266">
        <v>186</v>
      </c>
      <c r="L400" s="1059">
        <v>2866597</v>
      </c>
      <c r="M400" s="1059">
        <v>0</v>
      </c>
      <c r="N400" s="1059">
        <v>0</v>
      </c>
      <c r="O400" s="1037">
        <f>L400</f>
        <v>2866597</v>
      </c>
      <c r="P400" s="1059">
        <v>0</v>
      </c>
      <c r="Q400" s="1059">
        <v>0</v>
      </c>
      <c r="R400" s="1037">
        <f t="shared" ref="R400" si="141">L400/I400</f>
        <v>744.57064935064932</v>
      </c>
      <c r="S400" s="987">
        <v>2020</v>
      </c>
      <c r="T400" s="987">
        <v>2020</v>
      </c>
    </row>
    <row r="401" spans="1:20" s="1030" customFormat="1" ht="40.9" customHeight="1">
      <c r="A401" s="1032">
        <v>311</v>
      </c>
      <c r="B401" s="1039" t="s">
        <v>2066</v>
      </c>
      <c r="C401" s="1032">
        <v>1992</v>
      </c>
      <c r="D401" s="1066"/>
      <c r="E401" s="1271" t="s">
        <v>219</v>
      </c>
      <c r="F401" s="1032">
        <v>5</v>
      </c>
      <c r="G401" s="1032">
        <v>8</v>
      </c>
      <c r="H401" s="1037">
        <v>9623</v>
      </c>
      <c r="I401" s="1037">
        <v>8616.6</v>
      </c>
      <c r="J401" s="1037">
        <v>8616.6</v>
      </c>
      <c r="K401" s="1266">
        <v>356</v>
      </c>
      <c r="L401" s="1037">
        <v>10503750</v>
      </c>
      <c r="M401" s="1059">
        <v>0</v>
      </c>
      <c r="N401" s="1059">
        <v>0</v>
      </c>
      <c r="O401" s="1037">
        <f>L401</f>
        <v>10503750</v>
      </c>
      <c r="P401" s="1059">
        <v>0</v>
      </c>
      <c r="Q401" s="1059">
        <v>0</v>
      </c>
      <c r="R401" s="1037">
        <f>L401/I401</f>
        <v>1219.0132999094769</v>
      </c>
      <c r="S401" s="987">
        <v>2020</v>
      </c>
      <c r="T401" s="987">
        <v>2020</v>
      </c>
    </row>
    <row r="402" spans="1:20" s="1030" customFormat="1" ht="40.9" customHeight="1">
      <c r="A402" s="1032">
        <v>312</v>
      </c>
      <c r="B402" s="1039" t="s">
        <v>2067</v>
      </c>
      <c r="C402" s="1032">
        <v>1977</v>
      </c>
      <c r="D402" s="1066"/>
      <c r="E402" s="1271" t="s">
        <v>219</v>
      </c>
      <c r="F402" s="1032">
        <v>5</v>
      </c>
      <c r="G402" s="1032">
        <v>15</v>
      </c>
      <c r="H402" s="1037">
        <v>11429.2</v>
      </c>
      <c r="I402" s="1037">
        <v>8711.4</v>
      </c>
      <c r="J402" s="1037">
        <v>8711.4</v>
      </c>
      <c r="K402" s="1266">
        <v>474</v>
      </c>
      <c r="L402" s="1037">
        <v>5665266</v>
      </c>
      <c r="M402" s="1059">
        <v>0</v>
      </c>
      <c r="N402" s="1059">
        <v>0</v>
      </c>
      <c r="O402" s="1037">
        <f t="shared" ref="O402" si="142">L402</f>
        <v>5665266</v>
      </c>
      <c r="P402" s="1059">
        <v>0</v>
      </c>
      <c r="Q402" s="1059">
        <v>0</v>
      </c>
      <c r="R402" s="1037">
        <f>L402/I402</f>
        <v>650.32784627040428</v>
      </c>
      <c r="S402" s="987">
        <v>2020</v>
      </c>
      <c r="T402" s="987">
        <v>2020</v>
      </c>
    </row>
    <row r="403" spans="1:20" s="1030" customFormat="1" ht="44.45" customHeight="1">
      <c r="A403" s="1032">
        <v>313</v>
      </c>
      <c r="B403" s="1039" t="s">
        <v>2068</v>
      </c>
      <c r="C403" s="1032">
        <v>1985</v>
      </c>
      <c r="D403" s="1066"/>
      <c r="E403" s="1271" t="s">
        <v>219</v>
      </c>
      <c r="F403" s="1032">
        <v>5</v>
      </c>
      <c r="G403" s="1032">
        <v>5</v>
      </c>
      <c r="H403" s="1037">
        <v>3509.1</v>
      </c>
      <c r="I403" s="1037">
        <v>2031.4</v>
      </c>
      <c r="J403" s="1037">
        <v>2031.4</v>
      </c>
      <c r="K403" s="1266">
        <v>157</v>
      </c>
      <c r="L403" s="1037">
        <v>4046318</v>
      </c>
      <c r="M403" s="1059">
        <v>0</v>
      </c>
      <c r="N403" s="1059">
        <v>0</v>
      </c>
      <c r="O403" s="1037">
        <f t="shared" ref="O403" si="143">L403</f>
        <v>4046318</v>
      </c>
      <c r="P403" s="1059">
        <v>0</v>
      </c>
      <c r="Q403" s="1059">
        <v>0</v>
      </c>
      <c r="R403" s="1037">
        <f t="shared" ref="R403:R404" si="144">L403/I403</f>
        <v>1991.8863837747365</v>
      </c>
      <c r="S403" s="987">
        <v>2020</v>
      </c>
      <c r="T403" s="987">
        <v>2020</v>
      </c>
    </row>
    <row r="404" spans="1:20" s="1030" customFormat="1" ht="44.45" customHeight="1">
      <c r="A404" s="1032">
        <v>314</v>
      </c>
      <c r="B404" s="1039" t="s">
        <v>2069</v>
      </c>
      <c r="C404" s="1032">
        <v>1988</v>
      </c>
      <c r="D404" s="1066"/>
      <c r="E404" s="1271" t="s">
        <v>219</v>
      </c>
      <c r="F404" s="1032">
        <v>5</v>
      </c>
      <c r="G404" s="1032">
        <v>3</v>
      </c>
      <c r="H404" s="1037">
        <v>3865.5</v>
      </c>
      <c r="I404" s="1037">
        <v>3301</v>
      </c>
      <c r="J404" s="1037">
        <v>3301</v>
      </c>
      <c r="K404" s="1266">
        <v>151</v>
      </c>
      <c r="L404" s="985">
        <v>2872032</v>
      </c>
      <c r="M404" s="1059">
        <v>0</v>
      </c>
      <c r="N404" s="1059">
        <v>0</v>
      </c>
      <c r="O404" s="1037">
        <v>2872032</v>
      </c>
      <c r="P404" s="1059">
        <v>0</v>
      </c>
      <c r="Q404" s="1059">
        <v>0</v>
      </c>
      <c r="R404" s="1037">
        <f t="shared" si="144"/>
        <v>870.04907603756442</v>
      </c>
      <c r="S404" s="987">
        <v>2020</v>
      </c>
      <c r="T404" s="987">
        <v>2020</v>
      </c>
    </row>
    <row r="405" spans="1:20" s="1030" customFormat="1" ht="40.9" customHeight="1">
      <c r="A405" s="1032">
        <v>315</v>
      </c>
      <c r="B405" s="1039" t="s">
        <v>2070</v>
      </c>
      <c r="C405" s="1032">
        <v>1988</v>
      </c>
      <c r="D405" s="1066"/>
      <c r="E405" s="1271" t="s">
        <v>219</v>
      </c>
      <c r="F405" s="1032">
        <v>9</v>
      </c>
      <c r="G405" s="1032">
        <v>2</v>
      </c>
      <c r="H405" s="1037">
        <v>5126</v>
      </c>
      <c r="I405" s="1037">
        <v>4451.1000000000004</v>
      </c>
      <c r="J405" s="1037">
        <v>4451.1000000000004</v>
      </c>
      <c r="K405" s="1266">
        <v>206</v>
      </c>
      <c r="L405" s="1037">
        <v>4863049</v>
      </c>
      <c r="M405" s="1059">
        <v>0</v>
      </c>
      <c r="N405" s="1059">
        <v>0</v>
      </c>
      <c r="O405" s="1037">
        <f>L405</f>
        <v>4863049</v>
      </c>
      <c r="P405" s="1059">
        <v>0</v>
      </c>
      <c r="Q405" s="1059">
        <v>0</v>
      </c>
      <c r="R405" s="1037">
        <f>L405/I405</f>
        <v>1092.5499314776123</v>
      </c>
      <c r="S405" s="987">
        <v>2020</v>
      </c>
      <c r="T405" s="987">
        <v>2020</v>
      </c>
    </row>
    <row r="406" spans="1:20" s="1030" customFormat="1" ht="43.15" customHeight="1">
      <c r="A406" s="1271"/>
      <c r="B406" s="1391" t="s">
        <v>67</v>
      </c>
      <c r="C406" s="1391"/>
      <c r="D406" s="1391"/>
      <c r="E406" s="1391"/>
      <c r="F406" s="1391"/>
      <c r="G406" s="1391"/>
      <c r="H406" s="985">
        <f>H409+H412+H407</f>
        <v>6611.5</v>
      </c>
      <c r="I406" s="985">
        <f t="shared" ref="I406:Q406" si="145">I409+I412+I407</f>
        <v>6611.5</v>
      </c>
      <c r="J406" s="985">
        <f t="shared" si="145"/>
        <v>5762.7999999999993</v>
      </c>
      <c r="K406" s="1064">
        <f t="shared" si="145"/>
        <v>233</v>
      </c>
      <c r="L406" s="985">
        <f t="shared" si="145"/>
        <v>6965293.8899999997</v>
      </c>
      <c r="M406" s="985">
        <f t="shared" si="145"/>
        <v>0</v>
      </c>
      <c r="N406" s="985">
        <f t="shared" si="145"/>
        <v>0</v>
      </c>
      <c r="O406" s="985">
        <f t="shared" si="145"/>
        <v>6965293.8899999997</v>
      </c>
      <c r="P406" s="985">
        <f t="shared" si="145"/>
        <v>0</v>
      </c>
      <c r="Q406" s="985">
        <f t="shared" si="145"/>
        <v>0</v>
      </c>
      <c r="R406" s="991" t="s">
        <v>40</v>
      </c>
      <c r="S406" s="991" t="s">
        <v>40</v>
      </c>
      <c r="T406" s="991" t="s">
        <v>40</v>
      </c>
    </row>
    <row r="407" spans="1:20" s="1030" customFormat="1" ht="42" customHeight="1">
      <c r="A407" s="1271"/>
      <c r="B407" s="1273" t="s">
        <v>1082</v>
      </c>
      <c r="C407" s="1279"/>
      <c r="D407" s="1283"/>
      <c r="E407" s="1271"/>
      <c r="F407" s="1279"/>
      <c r="G407" s="1279"/>
      <c r="H407" s="985">
        <f>H408</f>
        <v>1488.6</v>
      </c>
      <c r="I407" s="985">
        <f t="shared" ref="I407:Q407" si="146">I408</f>
        <v>1488.6</v>
      </c>
      <c r="J407" s="985">
        <f t="shared" si="146"/>
        <v>1379.4</v>
      </c>
      <c r="K407" s="1064">
        <f t="shared" si="146"/>
        <v>44</v>
      </c>
      <c r="L407" s="985">
        <f t="shared" si="146"/>
        <v>1695504</v>
      </c>
      <c r="M407" s="985">
        <f t="shared" si="146"/>
        <v>0</v>
      </c>
      <c r="N407" s="985">
        <f t="shared" si="146"/>
        <v>0</v>
      </c>
      <c r="O407" s="985">
        <f t="shared" si="146"/>
        <v>1695504</v>
      </c>
      <c r="P407" s="985">
        <f t="shared" si="146"/>
        <v>0</v>
      </c>
      <c r="Q407" s="985">
        <f t="shared" si="146"/>
        <v>0</v>
      </c>
      <c r="R407" s="991" t="s">
        <v>40</v>
      </c>
      <c r="S407" s="991" t="s">
        <v>40</v>
      </c>
      <c r="T407" s="991" t="s">
        <v>40</v>
      </c>
    </row>
    <row r="408" spans="1:20" s="1030" customFormat="1" ht="42" customHeight="1">
      <c r="A408" s="1271">
        <v>316</v>
      </c>
      <c r="B408" s="1274" t="s">
        <v>1321</v>
      </c>
      <c r="C408" s="1271">
        <v>1986</v>
      </c>
      <c r="D408" s="1271"/>
      <c r="E408" s="1271" t="s">
        <v>220</v>
      </c>
      <c r="F408" s="1271">
        <v>3</v>
      </c>
      <c r="G408" s="1271">
        <v>3</v>
      </c>
      <c r="H408" s="985">
        <v>1488.6</v>
      </c>
      <c r="I408" s="985">
        <v>1488.6</v>
      </c>
      <c r="J408" s="985">
        <v>1379.4</v>
      </c>
      <c r="K408" s="1064">
        <v>44</v>
      </c>
      <c r="L408" s="985">
        <v>1695504</v>
      </c>
      <c r="M408" s="985">
        <v>0</v>
      </c>
      <c r="N408" s="985">
        <v>0</v>
      </c>
      <c r="O408" s="985">
        <v>1695504</v>
      </c>
      <c r="P408" s="985">
        <v>0</v>
      </c>
      <c r="Q408" s="985">
        <v>0</v>
      </c>
      <c r="R408" s="985">
        <f>L408/I408</f>
        <v>1138.9923417976622</v>
      </c>
      <c r="S408" s="987">
        <v>2020</v>
      </c>
      <c r="T408" s="987">
        <v>2020</v>
      </c>
    </row>
    <row r="409" spans="1:20" s="1030" customFormat="1" ht="43.15" customHeight="1">
      <c r="A409" s="1271"/>
      <c r="B409" s="1276" t="s">
        <v>1233</v>
      </c>
      <c r="C409" s="1279"/>
      <c r="D409" s="1283"/>
      <c r="E409" s="1271"/>
      <c r="F409" s="1279"/>
      <c r="G409" s="1279"/>
      <c r="H409" s="985">
        <f>H410+H411</f>
        <v>4037</v>
      </c>
      <c r="I409" s="985">
        <f t="shared" ref="I409:Q409" si="147">I410+I411</f>
        <v>4037</v>
      </c>
      <c r="J409" s="985">
        <f t="shared" si="147"/>
        <v>3431</v>
      </c>
      <c r="K409" s="1064">
        <f t="shared" si="147"/>
        <v>153</v>
      </c>
      <c r="L409" s="985">
        <f t="shared" si="147"/>
        <v>4249593.1399999997</v>
      </c>
      <c r="M409" s="985">
        <f t="shared" si="147"/>
        <v>0</v>
      </c>
      <c r="N409" s="985">
        <f t="shared" si="147"/>
        <v>0</v>
      </c>
      <c r="O409" s="985">
        <f t="shared" si="147"/>
        <v>4249593.1399999997</v>
      </c>
      <c r="P409" s="985">
        <f t="shared" si="147"/>
        <v>0</v>
      </c>
      <c r="Q409" s="985">
        <f t="shared" si="147"/>
        <v>0</v>
      </c>
      <c r="R409" s="991" t="s">
        <v>40</v>
      </c>
      <c r="S409" s="991" t="s">
        <v>40</v>
      </c>
      <c r="T409" s="991" t="s">
        <v>40</v>
      </c>
    </row>
    <row r="410" spans="1:20" s="1030" customFormat="1" ht="45.6" customHeight="1">
      <c r="A410" s="1271">
        <v>317</v>
      </c>
      <c r="B410" s="1274" t="s">
        <v>2882</v>
      </c>
      <c r="C410" s="1279">
        <v>1986</v>
      </c>
      <c r="D410" s="1279"/>
      <c r="E410" s="1271" t="s">
        <v>219</v>
      </c>
      <c r="F410" s="1279">
        <v>5</v>
      </c>
      <c r="G410" s="1279">
        <v>4</v>
      </c>
      <c r="H410" s="985">
        <v>3623</v>
      </c>
      <c r="I410" s="985">
        <v>3623</v>
      </c>
      <c r="J410" s="985">
        <v>3056</v>
      </c>
      <c r="K410" s="1064">
        <v>130</v>
      </c>
      <c r="L410" s="986">
        <v>2696748</v>
      </c>
      <c r="M410" s="986">
        <v>0</v>
      </c>
      <c r="N410" s="986">
        <v>0</v>
      </c>
      <c r="O410" s="986">
        <v>2696748</v>
      </c>
      <c r="P410" s="993">
        <v>0</v>
      </c>
      <c r="Q410" s="986">
        <v>0</v>
      </c>
      <c r="R410" s="985">
        <f>L410/I410</f>
        <v>744.34115373999452</v>
      </c>
      <c r="S410" s="987">
        <v>2020</v>
      </c>
      <c r="T410" s="987">
        <v>2020</v>
      </c>
    </row>
    <row r="411" spans="1:20" s="1030" customFormat="1" ht="43.9" customHeight="1">
      <c r="A411" s="1271">
        <v>318</v>
      </c>
      <c r="B411" s="1274" t="s">
        <v>1539</v>
      </c>
      <c r="C411" s="1279">
        <v>1957</v>
      </c>
      <c r="D411" s="1279"/>
      <c r="E411" s="1271" t="s">
        <v>218</v>
      </c>
      <c r="F411" s="1279">
        <v>2</v>
      </c>
      <c r="G411" s="1279">
        <v>2</v>
      </c>
      <c r="H411" s="985">
        <v>414</v>
      </c>
      <c r="I411" s="985">
        <v>414</v>
      </c>
      <c r="J411" s="985">
        <v>375</v>
      </c>
      <c r="K411" s="1064">
        <v>23</v>
      </c>
      <c r="L411" s="986">
        <v>1552845.14</v>
      </c>
      <c r="M411" s="986">
        <v>0</v>
      </c>
      <c r="N411" s="986">
        <v>0</v>
      </c>
      <c r="O411" s="986">
        <v>1552845.14</v>
      </c>
      <c r="P411" s="993">
        <v>0</v>
      </c>
      <c r="Q411" s="986">
        <v>0</v>
      </c>
      <c r="R411" s="985">
        <f>L411/I411</f>
        <v>3750.8336714975844</v>
      </c>
      <c r="S411" s="987">
        <v>2020</v>
      </c>
      <c r="T411" s="987">
        <v>2020</v>
      </c>
    </row>
    <row r="412" spans="1:20" s="992" customFormat="1" ht="38.450000000000003" customHeight="1">
      <c r="A412" s="1271"/>
      <c r="B412" s="1390" t="s">
        <v>1167</v>
      </c>
      <c r="C412" s="1390"/>
      <c r="D412" s="1390"/>
      <c r="E412" s="1390"/>
      <c r="F412" s="1390"/>
      <c r="G412" s="1390"/>
      <c r="H412" s="985">
        <f>H413+H414</f>
        <v>1085.9000000000001</v>
      </c>
      <c r="I412" s="985">
        <f t="shared" ref="I412:Q412" si="148">I413+I414</f>
        <v>1085.9000000000001</v>
      </c>
      <c r="J412" s="985">
        <f t="shared" si="148"/>
        <v>952.40000000000009</v>
      </c>
      <c r="K412" s="1064">
        <f t="shared" si="148"/>
        <v>36</v>
      </c>
      <c r="L412" s="985">
        <f t="shared" si="148"/>
        <v>1020196.75</v>
      </c>
      <c r="M412" s="985">
        <f t="shared" si="148"/>
        <v>0</v>
      </c>
      <c r="N412" s="985">
        <f t="shared" si="148"/>
        <v>0</v>
      </c>
      <c r="O412" s="985">
        <f t="shared" si="148"/>
        <v>1020196.75</v>
      </c>
      <c r="P412" s="985">
        <f t="shared" si="148"/>
        <v>0</v>
      </c>
      <c r="Q412" s="985">
        <f t="shared" si="148"/>
        <v>0</v>
      </c>
      <c r="R412" s="991" t="s">
        <v>40</v>
      </c>
      <c r="S412" s="991" t="s">
        <v>40</v>
      </c>
      <c r="T412" s="991" t="s">
        <v>40</v>
      </c>
    </row>
    <row r="413" spans="1:20" s="992" customFormat="1" ht="46.15" customHeight="1">
      <c r="A413" s="1271">
        <v>319</v>
      </c>
      <c r="B413" s="1274" t="s">
        <v>1264</v>
      </c>
      <c r="C413" s="1279">
        <v>1972</v>
      </c>
      <c r="D413" s="1279"/>
      <c r="E413" s="1271" t="s">
        <v>218</v>
      </c>
      <c r="F413" s="1279">
        <v>2</v>
      </c>
      <c r="G413" s="1279">
        <v>2</v>
      </c>
      <c r="H413" s="985">
        <v>520.20000000000005</v>
      </c>
      <c r="I413" s="985">
        <v>520.20000000000005</v>
      </c>
      <c r="J413" s="985">
        <v>520.20000000000005</v>
      </c>
      <c r="K413" s="1064">
        <v>18</v>
      </c>
      <c r="L413" s="986">
        <v>488724.88</v>
      </c>
      <c r="M413" s="986">
        <v>0</v>
      </c>
      <c r="N413" s="986">
        <v>0</v>
      </c>
      <c r="O413" s="986">
        <v>488724.88</v>
      </c>
      <c r="P413" s="993">
        <v>0</v>
      </c>
      <c r="Q413" s="986">
        <v>0</v>
      </c>
      <c r="R413" s="985">
        <f>L413/I413</f>
        <v>939.49419454056124</v>
      </c>
      <c r="S413" s="987">
        <v>2020</v>
      </c>
      <c r="T413" s="987">
        <v>2022</v>
      </c>
    </row>
    <row r="414" spans="1:20" s="992" customFormat="1" ht="40.9" customHeight="1">
      <c r="A414" s="1271">
        <v>320</v>
      </c>
      <c r="B414" s="1274" t="s">
        <v>1265</v>
      </c>
      <c r="C414" s="1279">
        <v>1974</v>
      </c>
      <c r="D414" s="1279"/>
      <c r="E414" s="1271" t="s">
        <v>218</v>
      </c>
      <c r="F414" s="1279">
        <v>2</v>
      </c>
      <c r="G414" s="1279">
        <v>2</v>
      </c>
      <c r="H414" s="985">
        <v>565.70000000000005</v>
      </c>
      <c r="I414" s="985">
        <v>565.70000000000005</v>
      </c>
      <c r="J414" s="985">
        <v>432.2</v>
      </c>
      <c r="K414" s="1064">
        <v>18</v>
      </c>
      <c r="L414" s="986">
        <v>531471.87</v>
      </c>
      <c r="M414" s="986">
        <v>0</v>
      </c>
      <c r="N414" s="986">
        <v>0</v>
      </c>
      <c r="O414" s="986">
        <v>531471.87</v>
      </c>
      <c r="P414" s="993">
        <v>0</v>
      </c>
      <c r="Q414" s="986">
        <v>0</v>
      </c>
      <c r="R414" s="985">
        <f>L414/I414</f>
        <v>939.49420187378462</v>
      </c>
      <c r="S414" s="987">
        <v>2020</v>
      </c>
      <c r="T414" s="987">
        <v>2022</v>
      </c>
    </row>
    <row r="415" spans="1:20" s="992" customFormat="1" ht="38.450000000000003" customHeight="1">
      <c r="A415" s="1399" t="s">
        <v>35</v>
      </c>
      <c r="B415" s="1399"/>
      <c r="C415" s="1399"/>
      <c r="D415" s="1399"/>
      <c r="E415" s="1399"/>
      <c r="F415" s="1399"/>
      <c r="G415" s="1399"/>
      <c r="H415" s="1399"/>
      <c r="I415" s="1399"/>
      <c r="J415" s="1399"/>
      <c r="K415" s="1399"/>
      <c r="L415" s="1399"/>
      <c r="M415" s="1399"/>
      <c r="N415" s="1399"/>
      <c r="O415" s="1399"/>
      <c r="P415" s="1399"/>
      <c r="Q415" s="1399"/>
      <c r="R415" s="1399"/>
      <c r="S415" s="1399"/>
      <c r="T415" s="1399"/>
    </row>
    <row r="416" spans="1:20" s="992" customFormat="1" ht="38.450000000000003" customHeight="1">
      <c r="A416" s="1271"/>
      <c r="B416" s="1392" t="s">
        <v>42</v>
      </c>
      <c r="C416" s="1392"/>
      <c r="D416" s="1392"/>
      <c r="E416" s="1392"/>
      <c r="F416" s="1392"/>
      <c r="G416" s="1392"/>
      <c r="H416" s="985">
        <v>0</v>
      </c>
      <c r="I416" s="985">
        <v>0</v>
      </c>
      <c r="J416" s="985">
        <v>0</v>
      </c>
      <c r="K416" s="1064">
        <v>0</v>
      </c>
      <c r="L416" s="985">
        <v>0</v>
      </c>
      <c r="M416" s="985">
        <v>0</v>
      </c>
      <c r="N416" s="985">
        <v>0</v>
      </c>
      <c r="O416" s="985">
        <v>0</v>
      </c>
      <c r="P416" s="985">
        <v>0</v>
      </c>
      <c r="Q416" s="985">
        <v>0</v>
      </c>
      <c r="R416" s="991" t="s">
        <v>40</v>
      </c>
      <c r="S416" s="991" t="s">
        <v>40</v>
      </c>
      <c r="T416" s="1279" t="s">
        <v>40</v>
      </c>
    </row>
    <row r="417" spans="1:20" s="992" customFormat="1" ht="50.45" customHeight="1">
      <c r="A417" s="1399" t="s">
        <v>1120</v>
      </c>
      <c r="B417" s="1399"/>
      <c r="C417" s="1399"/>
      <c r="D417" s="1399"/>
      <c r="E417" s="1399"/>
      <c r="F417" s="1399"/>
      <c r="G417" s="1399"/>
      <c r="H417" s="1399"/>
      <c r="I417" s="1399"/>
      <c r="J417" s="1399"/>
      <c r="K417" s="1399"/>
      <c r="L417" s="1399"/>
      <c r="M417" s="1399"/>
      <c r="N417" s="1399"/>
      <c r="O417" s="1399"/>
      <c r="P417" s="1399"/>
      <c r="Q417" s="1399"/>
      <c r="R417" s="1399"/>
      <c r="S417" s="1399"/>
      <c r="T417" s="1399"/>
    </row>
    <row r="418" spans="1:20" s="992" customFormat="1" ht="42" customHeight="1">
      <c r="A418" s="1271"/>
      <c r="B418" s="1392" t="s">
        <v>42</v>
      </c>
      <c r="C418" s="1392"/>
      <c r="D418" s="1392"/>
      <c r="E418" s="1392"/>
      <c r="F418" s="1392"/>
      <c r="G418" s="1392"/>
      <c r="H418" s="985">
        <f>H419+H436+H444</f>
        <v>69749</v>
      </c>
      <c r="I418" s="985">
        <f t="shared" ref="I418:Q418" si="149">I419+I436+I444</f>
        <v>59876.2</v>
      </c>
      <c r="J418" s="985">
        <f t="shared" si="149"/>
        <v>56094.1</v>
      </c>
      <c r="K418" s="1064">
        <f t="shared" si="149"/>
        <v>2357</v>
      </c>
      <c r="L418" s="985">
        <f t="shared" si="149"/>
        <v>8743483.2200000007</v>
      </c>
      <c r="M418" s="985">
        <f t="shared" si="149"/>
        <v>0</v>
      </c>
      <c r="N418" s="985">
        <f t="shared" si="149"/>
        <v>823466</v>
      </c>
      <c r="O418" s="985">
        <f t="shared" si="149"/>
        <v>7920017.2200000007</v>
      </c>
      <c r="P418" s="985">
        <f t="shared" si="149"/>
        <v>0</v>
      </c>
      <c r="Q418" s="985">
        <f t="shared" si="149"/>
        <v>0</v>
      </c>
      <c r="R418" s="991" t="s">
        <v>40</v>
      </c>
      <c r="S418" s="991" t="s">
        <v>40</v>
      </c>
      <c r="T418" s="1279" t="s">
        <v>40</v>
      </c>
    </row>
    <row r="419" spans="1:20" s="2" customFormat="1" ht="39.6" customHeight="1">
      <c r="A419" s="1271"/>
      <c r="B419" s="1392" t="s">
        <v>1658</v>
      </c>
      <c r="C419" s="1392"/>
      <c r="D419" s="1392"/>
      <c r="E419" s="1392"/>
      <c r="F419" s="1392"/>
      <c r="G419" s="1392"/>
      <c r="H419" s="985">
        <f>H420+H421+H422+H423+H424+H425+H426+H427+H428+H429+H430+H431+H432+H433+H434+H435</f>
        <v>13479.699999999999</v>
      </c>
      <c r="I419" s="985">
        <f t="shared" ref="I419:Q419" si="150">I420+I421+I422+I423+I424+I425+I426+I427+I428+I429+I430+I431+I432+I433+I434+I435</f>
        <v>12809</v>
      </c>
      <c r="J419" s="985">
        <f t="shared" si="150"/>
        <v>12627.4</v>
      </c>
      <c r="K419" s="1064">
        <f t="shared" si="150"/>
        <v>512</v>
      </c>
      <c r="L419" s="985">
        <f t="shared" si="150"/>
        <v>2744879</v>
      </c>
      <c r="M419" s="985">
        <f t="shared" si="150"/>
        <v>0</v>
      </c>
      <c r="N419" s="985">
        <f t="shared" si="150"/>
        <v>823466</v>
      </c>
      <c r="O419" s="985">
        <f t="shared" si="150"/>
        <v>1921413</v>
      </c>
      <c r="P419" s="985">
        <f t="shared" si="150"/>
        <v>0</v>
      </c>
      <c r="Q419" s="985">
        <f t="shared" si="150"/>
        <v>0</v>
      </c>
      <c r="R419" s="1277" t="s">
        <v>40</v>
      </c>
      <c r="S419" s="1277" t="s">
        <v>40</v>
      </c>
      <c r="T419" s="1277" t="s">
        <v>40</v>
      </c>
    </row>
    <row r="420" spans="1:20" s="2" customFormat="1" ht="43.9" customHeight="1">
      <c r="A420" s="1031">
        <v>321</v>
      </c>
      <c r="B420" s="1274" t="s">
        <v>1968</v>
      </c>
      <c r="C420" s="1032">
        <v>1989</v>
      </c>
      <c r="D420" s="1279">
        <v>2018</v>
      </c>
      <c r="E420" s="1271" t="s">
        <v>218</v>
      </c>
      <c r="F420" s="1032">
        <v>5</v>
      </c>
      <c r="G420" s="1032">
        <v>6</v>
      </c>
      <c r="H420" s="985">
        <v>4131.5</v>
      </c>
      <c r="I420" s="985">
        <v>3994.5</v>
      </c>
      <c r="J420" s="1032">
        <v>3994.5</v>
      </c>
      <c r="K420" s="1068">
        <v>178</v>
      </c>
      <c r="L420" s="985">
        <v>96439</v>
      </c>
      <c r="M420" s="1067">
        <v>0</v>
      </c>
      <c r="N420" s="985">
        <v>28932</v>
      </c>
      <c r="O420" s="985">
        <v>67507</v>
      </c>
      <c r="P420" s="1067">
        <v>0</v>
      </c>
      <c r="Q420" s="985">
        <v>0</v>
      </c>
      <c r="R420" s="1042">
        <f>L420/I420</f>
        <v>24.142946551508324</v>
      </c>
      <c r="S420" s="1032">
        <v>2020</v>
      </c>
      <c r="T420" s="1068">
        <v>2020</v>
      </c>
    </row>
    <row r="421" spans="1:20" s="2" customFormat="1" ht="42.6" customHeight="1">
      <c r="A421" s="1031">
        <v>322</v>
      </c>
      <c r="B421" s="1274" t="s">
        <v>2214</v>
      </c>
      <c r="C421" s="1032">
        <v>1975</v>
      </c>
      <c r="D421" s="1068">
        <v>2016</v>
      </c>
      <c r="E421" s="1271" t="s">
        <v>218</v>
      </c>
      <c r="F421" s="1032">
        <v>2</v>
      </c>
      <c r="G421" s="1032">
        <v>2</v>
      </c>
      <c r="H421" s="985">
        <v>756.3</v>
      </c>
      <c r="I421" s="985">
        <v>738.7</v>
      </c>
      <c r="J421" s="1032">
        <v>738.7</v>
      </c>
      <c r="K421" s="1068">
        <v>31</v>
      </c>
      <c r="L421" s="985">
        <v>139050</v>
      </c>
      <c r="M421" s="1067">
        <v>0</v>
      </c>
      <c r="N421" s="985">
        <v>41715</v>
      </c>
      <c r="O421" s="985">
        <v>97335</v>
      </c>
      <c r="P421" s="1067">
        <v>0</v>
      </c>
      <c r="Q421" s="985">
        <v>0</v>
      </c>
      <c r="R421" s="1042">
        <f t="shared" ref="R421:R427" si="151">L421/I421</f>
        <v>188.23609042913225</v>
      </c>
      <c r="S421" s="1032">
        <v>2020</v>
      </c>
      <c r="T421" s="1068">
        <v>2020</v>
      </c>
    </row>
    <row r="422" spans="1:20" s="2" customFormat="1" ht="43.15" customHeight="1">
      <c r="A422" s="1031">
        <v>323</v>
      </c>
      <c r="B422" s="1274" t="s">
        <v>1801</v>
      </c>
      <c r="C422" s="1032">
        <v>1980</v>
      </c>
      <c r="D422" s="1068">
        <v>2016</v>
      </c>
      <c r="E422" s="1032" t="s">
        <v>220</v>
      </c>
      <c r="F422" s="1032">
        <v>2</v>
      </c>
      <c r="G422" s="1032">
        <v>2</v>
      </c>
      <c r="H422" s="985">
        <v>760.5</v>
      </c>
      <c r="I422" s="985">
        <v>742.9</v>
      </c>
      <c r="J422" s="1032">
        <v>742.9</v>
      </c>
      <c r="K422" s="1068">
        <v>22</v>
      </c>
      <c r="L422" s="985">
        <v>171392</v>
      </c>
      <c r="M422" s="1067">
        <v>0</v>
      </c>
      <c r="N422" s="985">
        <v>51418</v>
      </c>
      <c r="O422" s="985">
        <v>119974</v>
      </c>
      <c r="P422" s="1067">
        <v>0</v>
      </c>
      <c r="Q422" s="985">
        <v>0</v>
      </c>
      <c r="R422" s="1042">
        <f t="shared" si="151"/>
        <v>230.70668999865393</v>
      </c>
      <c r="S422" s="1032">
        <v>2020</v>
      </c>
      <c r="T422" s="1068">
        <v>2020</v>
      </c>
    </row>
    <row r="423" spans="1:20" s="2" customFormat="1" ht="40.15" customHeight="1">
      <c r="A423" s="1031">
        <v>324</v>
      </c>
      <c r="B423" s="1274" t="s">
        <v>1802</v>
      </c>
      <c r="C423" s="1032">
        <v>1973</v>
      </c>
      <c r="D423" s="1068">
        <v>2016</v>
      </c>
      <c r="E423" s="1032" t="s">
        <v>220</v>
      </c>
      <c r="F423" s="1032">
        <v>2</v>
      </c>
      <c r="G423" s="1032">
        <v>2</v>
      </c>
      <c r="H423" s="985">
        <v>534.29999999999995</v>
      </c>
      <c r="I423" s="985">
        <v>516.70000000000005</v>
      </c>
      <c r="J423" s="1032">
        <v>502</v>
      </c>
      <c r="K423" s="1068">
        <v>19</v>
      </c>
      <c r="L423" s="985">
        <v>193859</v>
      </c>
      <c r="M423" s="1067">
        <v>0</v>
      </c>
      <c r="N423" s="985">
        <v>58158</v>
      </c>
      <c r="O423" s="985">
        <v>135701</v>
      </c>
      <c r="P423" s="1067">
        <v>0</v>
      </c>
      <c r="Q423" s="985">
        <v>0</v>
      </c>
      <c r="R423" s="1042">
        <f t="shared" si="151"/>
        <v>375.18676214437772</v>
      </c>
      <c r="S423" s="1032">
        <v>2020</v>
      </c>
      <c r="T423" s="1068">
        <v>2020</v>
      </c>
    </row>
    <row r="424" spans="1:20" s="988" customFormat="1" ht="41.45" customHeight="1">
      <c r="A424" s="1031">
        <v>325</v>
      </c>
      <c r="B424" s="1274" t="s">
        <v>1804</v>
      </c>
      <c r="C424" s="1032">
        <v>1962</v>
      </c>
      <c r="D424" s="1068">
        <v>2016</v>
      </c>
      <c r="E424" s="1271" t="s">
        <v>218</v>
      </c>
      <c r="F424" s="1032">
        <v>2</v>
      </c>
      <c r="G424" s="1032">
        <v>1</v>
      </c>
      <c r="H424" s="985">
        <v>307.60000000000002</v>
      </c>
      <c r="I424" s="985">
        <v>298.8</v>
      </c>
      <c r="J424" s="1032">
        <v>298.8</v>
      </c>
      <c r="K424" s="1068">
        <v>19</v>
      </c>
      <c r="L424" s="985">
        <v>89206</v>
      </c>
      <c r="M424" s="1067">
        <v>0</v>
      </c>
      <c r="N424" s="985">
        <v>26762</v>
      </c>
      <c r="O424" s="985">
        <v>62444</v>
      </c>
      <c r="P424" s="1067">
        <v>0</v>
      </c>
      <c r="Q424" s="985">
        <v>0</v>
      </c>
      <c r="R424" s="1042">
        <f t="shared" si="151"/>
        <v>298.54752342704148</v>
      </c>
      <c r="S424" s="1032">
        <v>2020</v>
      </c>
      <c r="T424" s="1068">
        <v>2020</v>
      </c>
    </row>
    <row r="425" spans="1:20" s="988" customFormat="1" ht="42" customHeight="1">
      <c r="A425" s="1031">
        <v>326</v>
      </c>
      <c r="B425" s="1274" t="s">
        <v>1803</v>
      </c>
      <c r="C425" s="1032">
        <v>1961</v>
      </c>
      <c r="D425" s="1068">
        <v>2016</v>
      </c>
      <c r="E425" s="1271" t="s">
        <v>218</v>
      </c>
      <c r="F425" s="1032">
        <v>2</v>
      </c>
      <c r="G425" s="1032">
        <v>1</v>
      </c>
      <c r="H425" s="985">
        <v>294.3</v>
      </c>
      <c r="I425" s="985">
        <v>285.5</v>
      </c>
      <c r="J425" s="1032">
        <v>285.5</v>
      </c>
      <c r="K425" s="1068">
        <v>21</v>
      </c>
      <c r="L425" s="985">
        <v>129580</v>
      </c>
      <c r="M425" s="1067">
        <v>0</v>
      </c>
      <c r="N425" s="985">
        <v>38874</v>
      </c>
      <c r="O425" s="985">
        <v>90706</v>
      </c>
      <c r="P425" s="1067">
        <v>0</v>
      </c>
      <c r="Q425" s="985">
        <v>0</v>
      </c>
      <c r="R425" s="1042">
        <f t="shared" si="151"/>
        <v>453.87040280210158</v>
      </c>
      <c r="S425" s="1032">
        <v>2020</v>
      </c>
      <c r="T425" s="1068">
        <v>2020</v>
      </c>
    </row>
    <row r="426" spans="1:20" s="988" customFormat="1" ht="42" customHeight="1">
      <c r="A426" s="1031">
        <v>327</v>
      </c>
      <c r="B426" s="1274" t="s">
        <v>1805</v>
      </c>
      <c r="C426" s="1032">
        <v>1974</v>
      </c>
      <c r="D426" s="1068">
        <v>2016</v>
      </c>
      <c r="E426" s="1032" t="s">
        <v>219</v>
      </c>
      <c r="F426" s="1032">
        <v>2</v>
      </c>
      <c r="G426" s="1032">
        <v>2</v>
      </c>
      <c r="H426" s="985">
        <v>753.3</v>
      </c>
      <c r="I426" s="985">
        <v>735.7</v>
      </c>
      <c r="J426" s="1032">
        <v>735.7</v>
      </c>
      <c r="K426" s="1068">
        <v>26</v>
      </c>
      <c r="L426" s="985">
        <v>267023</v>
      </c>
      <c r="M426" s="1067">
        <v>0</v>
      </c>
      <c r="N426" s="985">
        <v>80107</v>
      </c>
      <c r="O426" s="985">
        <v>186916</v>
      </c>
      <c r="P426" s="1067">
        <v>0</v>
      </c>
      <c r="Q426" s="985">
        <v>0</v>
      </c>
      <c r="R426" s="1042">
        <f t="shared" si="151"/>
        <v>362.9509310860405</v>
      </c>
      <c r="S426" s="1032">
        <v>2020</v>
      </c>
      <c r="T426" s="1068">
        <v>2020</v>
      </c>
    </row>
    <row r="427" spans="1:20" s="2" customFormat="1" ht="42" customHeight="1">
      <c r="A427" s="1031">
        <v>328</v>
      </c>
      <c r="B427" s="1274" t="s">
        <v>1806</v>
      </c>
      <c r="C427" s="1032">
        <v>1972</v>
      </c>
      <c r="D427" s="1068">
        <v>2016</v>
      </c>
      <c r="E427" s="1271" t="s">
        <v>218</v>
      </c>
      <c r="F427" s="1032">
        <v>2</v>
      </c>
      <c r="G427" s="1032">
        <v>2</v>
      </c>
      <c r="H427" s="985">
        <v>517.20000000000005</v>
      </c>
      <c r="I427" s="985">
        <v>499.6</v>
      </c>
      <c r="J427" s="1032">
        <v>499.6</v>
      </c>
      <c r="K427" s="1068">
        <v>27</v>
      </c>
      <c r="L427" s="985">
        <v>183424</v>
      </c>
      <c r="M427" s="1067">
        <v>0</v>
      </c>
      <c r="N427" s="985">
        <v>55027</v>
      </c>
      <c r="O427" s="985">
        <v>128397</v>
      </c>
      <c r="P427" s="1067">
        <v>0</v>
      </c>
      <c r="Q427" s="985">
        <v>0</v>
      </c>
      <c r="R427" s="1042">
        <f t="shared" si="151"/>
        <v>367.14171337069655</v>
      </c>
      <c r="S427" s="1032">
        <v>2020</v>
      </c>
      <c r="T427" s="1068">
        <v>2020</v>
      </c>
    </row>
    <row r="428" spans="1:20" s="992" customFormat="1" ht="39.6" customHeight="1">
      <c r="A428" s="1031">
        <v>329</v>
      </c>
      <c r="B428" s="1274" t="s">
        <v>1807</v>
      </c>
      <c r="C428" s="1032">
        <v>1975</v>
      </c>
      <c r="D428" s="1068">
        <v>2016</v>
      </c>
      <c r="E428" s="1271" t="s">
        <v>218</v>
      </c>
      <c r="F428" s="1032">
        <v>2</v>
      </c>
      <c r="G428" s="1032">
        <v>2</v>
      </c>
      <c r="H428" s="985">
        <v>774.5</v>
      </c>
      <c r="I428" s="985">
        <v>716.2</v>
      </c>
      <c r="J428" s="1032">
        <v>716.2</v>
      </c>
      <c r="K428" s="1068">
        <v>23</v>
      </c>
      <c r="L428" s="985">
        <v>162090</v>
      </c>
      <c r="M428" s="1067">
        <v>0</v>
      </c>
      <c r="N428" s="985">
        <v>48627</v>
      </c>
      <c r="O428" s="985">
        <v>113463</v>
      </c>
      <c r="P428" s="1067">
        <v>0</v>
      </c>
      <c r="Q428" s="985">
        <v>0</v>
      </c>
      <c r="R428" s="1042">
        <f>L428/I428</f>
        <v>226.31946383691704</v>
      </c>
      <c r="S428" s="1032">
        <v>2020</v>
      </c>
      <c r="T428" s="1032">
        <v>2020</v>
      </c>
    </row>
    <row r="429" spans="1:20" s="992" customFormat="1" ht="40.9" customHeight="1">
      <c r="A429" s="1031">
        <v>330</v>
      </c>
      <c r="B429" s="1274" t="s">
        <v>2215</v>
      </c>
      <c r="C429" s="1032">
        <v>1969</v>
      </c>
      <c r="D429" s="1068">
        <v>2019</v>
      </c>
      <c r="E429" s="1271" t="s">
        <v>218</v>
      </c>
      <c r="F429" s="1032">
        <v>2</v>
      </c>
      <c r="G429" s="1032">
        <v>2</v>
      </c>
      <c r="H429" s="985">
        <v>524.70000000000005</v>
      </c>
      <c r="I429" s="985">
        <v>473.9</v>
      </c>
      <c r="J429" s="1032">
        <v>437.3</v>
      </c>
      <c r="K429" s="1068">
        <v>18</v>
      </c>
      <c r="L429" s="985">
        <v>162090</v>
      </c>
      <c r="M429" s="1067">
        <v>0</v>
      </c>
      <c r="N429" s="985">
        <v>48627</v>
      </c>
      <c r="O429" s="985">
        <v>113463</v>
      </c>
      <c r="P429" s="1067">
        <v>0</v>
      </c>
      <c r="Q429" s="985">
        <v>0</v>
      </c>
      <c r="R429" s="1042">
        <f t="shared" ref="R429:R448" si="152">L429/I429</f>
        <v>342.03418442709432</v>
      </c>
      <c r="S429" s="1032">
        <v>2020</v>
      </c>
      <c r="T429" s="1032">
        <v>2020</v>
      </c>
    </row>
    <row r="430" spans="1:20" s="992" customFormat="1" ht="39.6" customHeight="1">
      <c r="A430" s="1031">
        <v>331</v>
      </c>
      <c r="B430" s="1274" t="s">
        <v>1808</v>
      </c>
      <c r="C430" s="1032">
        <v>1973</v>
      </c>
      <c r="D430" s="1068">
        <v>2017</v>
      </c>
      <c r="E430" s="1271" t="s">
        <v>218</v>
      </c>
      <c r="F430" s="1032">
        <v>2</v>
      </c>
      <c r="G430" s="1032">
        <v>2</v>
      </c>
      <c r="H430" s="985">
        <v>772.5</v>
      </c>
      <c r="I430" s="985">
        <v>713.3</v>
      </c>
      <c r="J430" s="1032">
        <v>668.6</v>
      </c>
      <c r="K430" s="1068">
        <v>19</v>
      </c>
      <c r="L430" s="985">
        <v>245114</v>
      </c>
      <c r="M430" s="1067">
        <v>0</v>
      </c>
      <c r="N430" s="985">
        <v>73534</v>
      </c>
      <c r="O430" s="985">
        <v>171580</v>
      </c>
      <c r="P430" s="1067">
        <v>0</v>
      </c>
      <c r="Q430" s="985">
        <v>0</v>
      </c>
      <c r="R430" s="1042">
        <f t="shared" si="152"/>
        <v>343.6338146642367</v>
      </c>
      <c r="S430" s="1032">
        <v>2020</v>
      </c>
      <c r="T430" s="1032">
        <v>2020</v>
      </c>
    </row>
    <row r="431" spans="1:20" s="992" customFormat="1" ht="40.9" customHeight="1">
      <c r="A431" s="1031">
        <v>332</v>
      </c>
      <c r="B431" s="1274" t="s">
        <v>1809</v>
      </c>
      <c r="C431" s="1032">
        <v>1974</v>
      </c>
      <c r="D431" s="1068">
        <v>2017</v>
      </c>
      <c r="E431" s="1271" t="s">
        <v>218</v>
      </c>
      <c r="F431" s="1032">
        <v>2</v>
      </c>
      <c r="G431" s="1032">
        <v>2</v>
      </c>
      <c r="H431" s="985">
        <v>765</v>
      </c>
      <c r="I431" s="985">
        <v>707.5</v>
      </c>
      <c r="J431" s="1032">
        <v>707.5</v>
      </c>
      <c r="K431" s="1068">
        <v>20</v>
      </c>
      <c r="L431" s="985">
        <v>162090</v>
      </c>
      <c r="M431" s="1067">
        <v>0</v>
      </c>
      <c r="N431" s="985">
        <v>48627</v>
      </c>
      <c r="O431" s="985">
        <v>113463</v>
      </c>
      <c r="P431" s="1067">
        <v>0</v>
      </c>
      <c r="Q431" s="985">
        <v>0</v>
      </c>
      <c r="R431" s="1042">
        <f t="shared" si="152"/>
        <v>229.10247349823322</v>
      </c>
      <c r="S431" s="1032">
        <v>2020</v>
      </c>
      <c r="T431" s="1032">
        <v>2020</v>
      </c>
    </row>
    <row r="432" spans="1:20" s="1069" customFormat="1" ht="39.6" customHeight="1">
      <c r="A432" s="1031">
        <v>333</v>
      </c>
      <c r="B432" s="1274" t="s">
        <v>1810</v>
      </c>
      <c r="C432" s="1032">
        <v>1969</v>
      </c>
      <c r="D432" s="1068">
        <v>2019</v>
      </c>
      <c r="E432" s="1271" t="s">
        <v>218</v>
      </c>
      <c r="F432" s="1032">
        <v>2</v>
      </c>
      <c r="G432" s="1032">
        <v>2</v>
      </c>
      <c r="H432" s="985">
        <v>520.79999999999995</v>
      </c>
      <c r="I432" s="985">
        <v>477.6</v>
      </c>
      <c r="J432" s="1032">
        <v>392</v>
      </c>
      <c r="K432" s="1068">
        <v>17</v>
      </c>
      <c r="L432" s="985">
        <v>158909</v>
      </c>
      <c r="M432" s="1067">
        <v>0</v>
      </c>
      <c r="N432" s="985">
        <v>47673</v>
      </c>
      <c r="O432" s="985">
        <v>111236</v>
      </c>
      <c r="P432" s="1067">
        <v>0</v>
      </c>
      <c r="Q432" s="985">
        <v>0</v>
      </c>
      <c r="R432" s="1042">
        <f t="shared" si="152"/>
        <v>332.72403685092127</v>
      </c>
      <c r="S432" s="1032">
        <v>2020</v>
      </c>
      <c r="T432" s="1032">
        <v>2020</v>
      </c>
    </row>
    <row r="433" spans="1:20" s="1069" customFormat="1" ht="40.15" customHeight="1">
      <c r="A433" s="1031">
        <v>334</v>
      </c>
      <c r="B433" s="1274" t="s">
        <v>1811</v>
      </c>
      <c r="C433" s="1032">
        <v>1980</v>
      </c>
      <c r="D433" s="1068">
        <v>2018</v>
      </c>
      <c r="E433" s="1271" t="s">
        <v>218</v>
      </c>
      <c r="F433" s="1032">
        <v>2</v>
      </c>
      <c r="G433" s="1032">
        <v>3</v>
      </c>
      <c r="H433" s="985">
        <v>1055</v>
      </c>
      <c r="I433" s="985">
        <v>957.4</v>
      </c>
      <c r="J433" s="1032">
        <v>957.4</v>
      </c>
      <c r="K433" s="1068">
        <v>42</v>
      </c>
      <c r="L433" s="985">
        <v>307139</v>
      </c>
      <c r="M433" s="1067">
        <v>0</v>
      </c>
      <c r="N433" s="985">
        <v>92142</v>
      </c>
      <c r="O433" s="985">
        <v>214997</v>
      </c>
      <c r="P433" s="1067">
        <v>0</v>
      </c>
      <c r="Q433" s="985">
        <v>0</v>
      </c>
      <c r="R433" s="1042">
        <f t="shared" si="152"/>
        <v>320.80530603718404</v>
      </c>
      <c r="S433" s="1032">
        <v>2020</v>
      </c>
      <c r="T433" s="1032">
        <v>2020</v>
      </c>
    </row>
    <row r="434" spans="1:20" s="2" customFormat="1" ht="40.15" customHeight="1">
      <c r="A434" s="1031">
        <v>335</v>
      </c>
      <c r="B434" s="1274" t="s">
        <v>1812</v>
      </c>
      <c r="C434" s="1032">
        <v>1981</v>
      </c>
      <c r="D434" s="1068">
        <v>2017</v>
      </c>
      <c r="E434" s="1271" t="s">
        <v>218</v>
      </c>
      <c r="F434" s="1032">
        <v>2</v>
      </c>
      <c r="G434" s="1032">
        <v>1</v>
      </c>
      <c r="H434" s="985">
        <v>371.8</v>
      </c>
      <c r="I434" s="985">
        <v>346</v>
      </c>
      <c r="J434" s="1032">
        <v>346</v>
      </c>
      <c r="K434" s="1068">
        <v>11</v>
      </c>
      <c r="L434" s="985">
        <v>118565</v>
      </c>
      <c r="M434" s="1067">
        <v>0</v>
      </c>
      <c r="N434" s="985">
        <v>35570</v>
      </c>
      <c r="O434" s="985">
        <v>82995</v>
      </c>
      <c r="P434" s="1067">
        <v>0</v>
      </c>
      <c r="Q434" s="985">
        <v>0</v>
      </c>
      <c r="R434" s="1042">
        <f t="shared" si="152"/>
        <v>342.67341040462429</v>
      </c>
      <c r="S434" s="1032">
        <v>2020</v>
      </c>
      <c r="T434" s="1032">
        <v>2020</v>
      </c>
    </row>
    <row r="435" spans="1:20" s="2" customFormat="1" ht="42.6" customHeight="1">
      <c r="A435" s="1031">
        <v>336</v>
      </c>
      <c r="B435" s="1274" t="s">
        <v>1813</v>
      </c>
      <c r="C435" s="1032">
        <v>1991</v>
      </c>
      <c r="D435" s="1068">
        <v>2017</v>
      </c>
      <c r="E435" s="1271" t="s">
        <v>218</v>
      </c>
      <c r="F435" s="1032">
        <v>2</v>
      </c>
      <c r="G435" s="1032">
        <v>2</v>
      </c>
      <c r="H435" s="985">
        <v>640.4</v>
      </c>
      <c r="I435" s="985">
        <v>604.70000000000005</v>
      </c>
      <c r="J435" s="1032">
        <v>604.70000000000005</v>
      </c>
      <c r="K435" s="1068">
        <v>19</v>
      </c>
      <c r="L435" s="985">
        <v>158909</v>
      </c>
      <c r="M435" s="1067">
        <v>0</v>
      </c>
      <c r="N435" s="985">
        <v>47673</v>
      </c>
      <c r="O435" s="985">
        <v>111236</v>
      </c>
      <c r="P435" s="1067">
        <v>0</v>
      </c>
      <c r="Q435" s="985">
        <v>0</v>
      </c>
      <c r="R435" s="1042">
        <f t="shared" si="152"/>
        <v>262.78981313047791</v>
      </c>
      <c r="S435" s="1032">
        <v>2020</v>
      </c>
      <c r="T435" s="1032">
        <v>2020</v>
      </c>
    </row>
    <row r="436" spans="1:20" s="2" customFormat="1" ht="42.6" customHeight="1">
      <c r="A436" s="1031"/>
      <c r="B436" s="1392" t="s">
        <v>1083</v>
      </c>
      <c r="C436" s="1392"/>
      <c r="D436" s="1392"/>
      <c r="E436" s="1392"/>
      <c r="F436" s="1392"/>
      <c r="G436" s="1392"/>
      <c r="H436" s="985">
        <f>H437+H438+H439+H440+H441+H442+H443</f>
        <v>40903</v>
      </c>
      <c r="I436" s="985">
        <f t="shared" ref="I436:Q436" si="153">I437+I438+I439+I440+I441+I442+I443</f>
        <v>37089.699999999997</v>
      </c>
      <c r="J436" s="985">
        <f t="shared" si="153"/>
        <v>33489.199999999997</v>
      </c>
      <c r="K436" s="1064">
        <f t="shared" si="153"/>
        <v>1331</v>
      </c>
      <c r="L436" s="985">
        <f t="shared" si="153"/>
        <v>4452683.3900000006</v>
      </c>
      <c r="M436" s="985">
        <f t="shared" si="153"/>
        <v>0</v>
      </c>
      <c r="N436" s="985">
        <f t="shared" si="153"/>
        <v>0</v>
      </c>
      <c r="O436" s="985">
        <f t="shared" si="153"/>
        <v>4452683.3900000006</v>
      </c>
      <c r="P436" s="985">
        <f t="shared" si="153"/>
        <v>0</v>
      </c>
      <c r="Q436" s="985">
        <f t="shared" si="153"/>
        <v>0</v>
      </c>
      <c r="R436" s="1277" t="s">
        <v>40</v>
      </c>
      <c r="S436" s="1277" t="s">
        <v>40</v>
      </c>
      <c r="T436" s="1277" t="s">
        <v>40</v>
      </c>
    </row>
    <row r="437" spans="1:20" s="2" customFormat="1" ht="42.6" customHeight="1">
      <c r="A437" s="1279">
        <v>337</v>
      </c>
      <c r="B437" s="1276" t="s">
        <v>1980</v>
      </c>
      <c r="C437" s="1279">
        <v>2000</v>
      </c>
      <c r="D437" s="1276"/>
      <c r="E437" s="1271" t="s">
        <v>218</v>
      </c>
      <c r="F437" s="1022" t="s">
        <v>74</v>
      </c>
      <c r="G437" s="1279">
        <v>11</v>
      </c>
      <c r="H437" s="1008">
        <v>11302</v>
      </c>
      <c r="I437" s="1008">
        <v>10577</v>
      </c>
      <c r="J437" s="1008">
        <v>7894</v>
      </c>
      <c r="K437" s="1064">
        <v>224</v>
      </c>
      <c r="L437" s="1217">
        <v>896482</v>
      </c>
      <c r="M437" s="1218">
        <v>0</v>
      </c>
      <c r="N437" s="1218">
        <v>0</v>
      </c>
      <c r="O437" s="1217">
        <v>896482</v>
      </c>
      <c r="P437" s="1218">
        <v>0</v>
      </c>
      <c r="Q437" s="1218">
        <v>0</v>
      </c>
      <c r="R437" s="1008">
        <f t="shared" si="152"/>
        <v>84.757681762314462</v>
      </c>
      <c r="S437" s="1032">
        <v>2020</v>
      </c>
      <c r="T437" s="1032">
        <v>2020</v>
      </c>
    </row>
    <row r="438" spans="1:20" s="2" customFormat="1" ht="34.5" customHeight="1">
      <c r="A438" s="1031">
        <v>338</v>
      </c>
      <c r="B438" s="1276" t="s">
        <v>1981</v>
      </c>
      <c r="C438" s="1271">
        <v>1978</v>
      </c>
      <c r="D438" s="1219"/>
      <c r="E438" s="1032" t="s">
        <v>220</v>
      </c>
      <c r="F438" s="1279">
        <v>5</v>
      </c>
      <c r="G438" s="1279">
        <v>4</v>
      </c>
      <c r="H438" s="991">
        <v>3748.3</v>
      </c>
      <c r="I438" s="991">
        <v>3471.3</v>
      </c>
      <c r="J438" s="991">
        <v>3574.5</v>
      </c>
      <c r="K438" s="987">
        <v>136</v>
      </c>
      <c r="L438" s="1217">
        <v>444035.39</v>
      </c>
      <c r="M438" s="1218">
        <v>0</v>
      </c>
      <c r="N438" s="1218">
        <v>0</v>
      </c>
      <c r="O438" s="1217">
        <v>444035.39</v>
      </c>
      <c r="P438" s="1218">
        <v>0</v>
      </c>
      <c r="Q438" s="1218">
        <v>0</v>
      </c>
      <c r="R438" s="1008">
        <f t="shared" si="152"/>
        <v>127.91616685391639</v>
      </c>
      <c r="S438" s="1032">
        <v>2020</v>
      </c>
      <c r="T438" s="1032">
        <v>2020</v>
      </c>
    </row>
    <row r="439" spans="1:20" s="2" customFormat="1" ht="42.6" customHeight="1">
      <c r="A439" s="1279">
        <v>339</v>
      </c>
      <c r="B439" s="1276" t="s">
        <v>1982</v>
      </c>
      <c r="C439" s="1271">
        <v>1971</v>
      </c>
      <c r="D439" s="1219"/>
      <c r="E439" s="1031" t="s">
        <v>219</v>
      </c>
      <c r="F439" s="1279">
        <v>5</v>
      </c>
      <c r="G439" s="1279">
        <v>4</v>
      </c>
      <c r="H439" s="991">
        <v>2765.8</v>
      </c>
      <c r="I439" s="991">
        <v>2702.2</v>
      </c>
      <c r="J439" s="991">
        <v>2702.2</v>
      </c>
      <c r="K439" s="987">
        <v>123</v>
      </c>
      <c r="L439" s="1217">
        <v>169435</v>
      </c>
      <c r="M439" s="1218">
        <v>0</v>
      </c>
      <c r="N439" s="1218">
        <v>0</v>
      </c>
      <c r="O439" s="1217">
        <v>169435</v>
      </c>
      <c r="P439" s="1218">
        <v>0</v>
      </c>
      <c r="Q439" s="1218">
        <v>0</v>
      </c>
      <c r="R439" s="1008">
        <f t="shared" si="152"/>
        <v>62.702612685959593</v>
      </c>
      <c r="S439" s="1032">
        <v>2020</v>
      </c>
      <c r="T439" s="1032">
        <v>2020</v>
      </c>
    </row>
    <row r="440" spans="1:20" s="2" customFormat="1" ht="42.6" customHeight="1">
      <c r="A440" s="1031">
        <v>340</v>
      </c>
      <c r="B440" s="1276" t="s">
        <v>1983</v>
      </c>
      <c r="C440" s="1271">
        <v>1970</v>
      </c>
      <c r="D440" s="1219"/>
      <c r="E440" s="1271" t="s">
        <v>218</v>
      </c>
      <c r="F440" s="1279">
        <v>5</v>
      </c>
      <c r="G440" s="1279">
        <v>6</v>
      </c>
      <c r="H440" s="991">
        <v>4556.3</v>
      </c>
      <c r="I440" s="991">
        <v>4518.3</v>
      </c>
      <c r="J440" s="991">
        <v>4250.8999999999996</v>
      </c>
      <c r="K440" s="987">
        <v>147</v>
      </c>
      <c r="L440" s="1217">
        <v>922493</v>
      </c>
      <c r="M440" s="1218">
        <v>0</v>
      </c>
      <c r="N440" s="1218">
        <v>0</v>
      </c>
      <c r="O440" s="1217">
        <f>L440</f>
        <v>922493</v>
      </c>
      <c r="P440" s="1218">
        <v>0</v>
      </c>
      <c r="Q440" s="1218">
        <v>0</v>
      </c>
      <c r="R440" s="1008">
        <f t="shared" si="152"/>
        <v>204.16816059137287</v>
      </c>
      <c r="S440" s="1032">
        <v>2020</v>
      </c>
      <c r="T440" s="1032">
        <v>2020</v>
      </c>
    </row>
    <row r="441" spans="1:20" s="2" customFormat="1" ht="37.9" customHeight="1">
      <c r="A441" s="1279">
        <v>341</v>
      </c>
      <c r="B441" s="1276" t="s">
        <v>1984</v>
      </c>
      <c r="C441" s="1271">
        <v>1974</v>
      </c>
      <c r="D441" s="1219"/>
      <c r="E441" s="1031" t="s">
        <v>219</v>
      </c>
      <c r="F441" s="1279">
        <v>5</v>
      </c>
      <c r="G441" s="1279">
        <v>2</v>
      </c>
      <c r="H441" s="991">
        <v>1953.5</v>
      </c>
      <c r="I441" s="991">
        <v>1803.7</v>
      </c>
      <c r="J441" s="991">
        <v>1803.7</v>
      </c>
      <c r="K441" s="987">
        <v>121</v>
      </c>
      <c r="L441" s="1217">
        <v>143313</v>
      </c>
      <c r="M441" s="1218">
        <v>0</v>
      </c>
      <c r="N441" s="1218">
        <v>0</v>
      </c>
      <c r="O441" s="1217">
        <v>143313</v>
      </c>
      <c r="P441" s="1218">
        <v>0</v>
      </c>
      <c r="Q441" s="1218">
        <v>0</v>
      </c>
      <c r="R441" s="1008">
        <f t="shared" si="152"/>
        <v>79.455009147862725</v>
      </c>
      <c r="S441" s="1032">
        <v>2020</v>
      </c>
      <c r="T441" s="1032">
        <v>2020</v>
      </c>
    </row>
    <row r="442" spans="1:20" s="2" customFormat="1" ht="40.15" customHeight="1">
      <c r="A442" s="1031">
        <v>342</v>
      </c>
      <c r="B442" s="1276" t="s">
        <v>1985</v>
      </c>
      <c r="C442" s="1271">
        <v>2010</v>
      </c>
      <c r="D442" s="1219"/>
      <c r="E442" s="1031" t="s">
        <v>219</v>
      </c>
      <c r="F442" s="1279">
        <v>10</v>
      </c>
      <c r="G442" s="1279">
        <v>3</v>
      </c>
      <c r="H442" s="991">
        <v>7618.8</v>
      </c>
      <c r="I442" s="991">
        <v>6418.5</v>
      </c>
      <c r="J442" s="991">
        <v>6418.5</v>
      </c>
      <c r="K442" s="987">
        <v>244</v>
      </c>
      <c r="L442" s="1217">
        <v>792914</v>
      </c>
      <c r="M442" s="1218">
        <v>0</v>
      </c>
      <c r="N442" s="1218">
        <v>0</v>
      </c>
      <c r="O442" s="1217">
        <f>L442</f>
        <v>792914</v>
      </c>
      <c r="P442" s="1218">
        <v>0</v>
      </c>
      <c r="Q442" s="1218">
        <v>0</v>
      </c>
      <c r="R442" s="1008">
        <f t="shared" si="152"/>
        <v>123.53571706785074</v>
      </c>
      <c r="S442" s="1032">
        <v>2020</v>
      </c>
      <c r="T442" s="1032">
        <v>2020</v>
      </c>
    </row>
    <row r="443" spans="1:20" s="2" customFormat="1" ht="40.15" customHeight="1">
      <c r="A443" s="1279">
        <v>343</v>
      </c>
      <c r="B443" s="1276" t="s">
        <v>2001</v>
      </c>
      <c r="C443" s="1271">
        <v>1993</v>
      </c>
      <c r="D443" s="1219"/>
      <c r="E443" s="1031" t="s">
        <v>219</v>
      </c>
      <c r="F443" s="1279">
        <v>9</v>
      </c>
      <c r="G443" s="1279">
        <v>3</v>
      </c>
      <c r="H443" s="991">
        <v>8958.2999999999993</v>
      </c>
      <c r="I443" s="991">
        <v>7598.7</v>
      </c>
      <c r="J443" s="991">
        <v>6845.4</v>
      </c>
      <c r="K443" s="987">
        <v>336</v>
      </c>
      <c r="L443" s="1217">
        <v>1084011</v>
      </c>
      <c r="M443" s="1218">
        <v>0</v>
      </c>
      <c r="N443" s="1218">
        <v>0</v>
      </c>
      <c r="O443" s="1217">
        <v>1084011</v>
      </c>
      <c r="P443" s="1218">
        <v>0</v>
      </c>
      <c r="Q443" s="1218">
        <v>0</v>
      </c>
      <c r="R443" s="1008">
        <f t="shared" si="152"/>
        <v>142.65742824430495</v>
      </c>
      <c r="S443" s="1032">
        <v>2020</v>
      </c>
      <c r="T443" s="1032">
        <v>2020</v>
      </c>
    </row>
    <row r="444" spans="1:20" s="2" customFormat="1" ht="40.15" customHeight="1">
      <c r="A444" s="1031"/>
      <c r="B444" s="1392" t="s">
        <v>1069</v>
      </c>
      <c r="C444" s="1392"/>
      <c r="D444" s="1392"/>
      <c r="E444" s="1392"/>
      <c r="F444" s="1392"/>
      <c r="G444" s="1392"/>
      <c r="H444" s="991">
        <f>H445+H446+H447+H448</f>
        <v>15366.3</v>
      </c>
      <c r="I444" s="991">
        <f t="shared" ref="I444:Q444" si="154">I445+I446+I447+I448</f>
        <v>9977.5</v>
      </c>
      <c r="J444" s="991">
        <f t="shared" si="154"/>
        <v>9977.5</v>
      </c>
      <c r="K444" s="1064">
        <f t="shared" si="154"/>
        <v>514</v>
      </c>
      <c r="L444" s="991">
        <f t="shared" si="154"/>
        <v>1545920.83</v>
      </c>
      <c r="M444" s="991">
        <f t="shared" si="154"/>
        <v>0</v>
      </c>
      <c r="N444" s="991">
        <f t="shared" si="154"/>
        <v>0</v>
      </c>
      <c r="O444" s="991">
        <f t="shared" si="154"/>
        <v>1545920.83</v>
      </c>
      <c r="P444" s="991">
        <f t="shared" si="154"/>
        <v>0</v>
      </c>
      <c r="Q444" s="991">
        <f t="shared" si="154"/>
        <v>0</v>
      </c>
      <c r="R444" s="1277" t="s">
        <v>40</v>
      </c>
      <c r="S444" s="1277" t="s">
        <v>40</v>
      </c>
      <c r="T444" s="1277" t="s">
        <v>40</v>
      </c>
    </row>
    <row r="445" spans="1:20" s="2" customFormat="1" ht="40.15" customHeight="1">
      <c r="A445" s="1031">
        <v>344</v>
      </c>
      <c r="B445" s="1272" t="s">
        <v>2016</v>
      </c>
      <c r="C445" s="1271">
        <v>1980</v>
      </c>
      <c r="D445" s="1272"/>
      <c r="E445" s="1032" t="s">
        <v>219</v>
      </c>
      <c r="F445" s="1271">
        <v>5</v>
      </c>
      <c r="G445" s="1271">
        <v>6</v>
      </c>
      <c r="H445" s="991">
        <v>4644.3</v>
      </c>
      <c r="I445" s="991">
        <v>2774.3</v>
      </c>
      <c r="J445" s="991">
        <v>2774.3</v>
      </c>
      <c r="K445" s="987">
        <v>176</v>
      </c>
      <c r="L445" s="1217">
        <v>799696</v>
      </c>
      <c r="M445" s="1218">
        <v>0</v>
      </c>
      <c r="N445" s="1218">
        <v>0</v>
      </c>
      <c r="O445" s="1217">
        <v>799696</v>
      </c>
      <c r="P445" s="1218">
        <v>0</v>
      </c>
      <c r="Q445" s="1218">
        <v>0</v>
      </c>
      <c r="R445" s="1008">
        <f t="shared" si="152"/>
        <v>288.25145081642216</v>
      </c>
      <c r="S445" s="1032">
        <v>2020</v>
      </c>
      <c r="T445" s="1032">
        <v>2020</v>
      </c>
    </row>
    <row r="446" spans="1:20" s="2" customFormat="1" ht="40.15" customHeight="1">
      <c r="A446" s="1031">
        <v>345</v>
      </c>
      <c r="B446" s="1272" t="s">
        <v>2017</v>
      </c>
      <c r="C446" s="1271">
        <v>2004</v>
      </c>
      <c r="D446" s="1272"/>
      <c r="E446" s="1032" t="s">
        <v>219</v>
      </c>
      <c r="F446" s="1271">
        <v>9</v>
      </c>
      <c r="G446" s="1271">
        <v>4</v>
      </c>
      <c r="H446" s="991">
        <v>8318.4</v>
      </c>
      <c r="I446" s="991">
        <v>4794.2</v>
      </c>
      <c r="J446" s="991">
        <v>4794.2</v>
      </c>
      <c r="K446" s="987">
        <v>268</v>
      </c>
      <c r="L446" s="1217">
        <v>224142.83</v>
      </c>
      <c r="M446" s="1218">
        <v>0</v>
      </c>
      <c r="N446" s="1218">
        <v>0</v>
      </c>
      <c r="O446" s="1217">
        <v>224142.83</v>
      </c>
      <c r="P446" s="1218">
        <v>0</v>
      </c>
      <c r="Q446" s="1218">
        <v>0</v>
      </c>
      <c r="R446" s="1008">
        <f t="shared" si="152"/>
        <v>46.752916023528428</v>
      </c>
      <c r="S446" s="1032">
        <v>2020</v>
      </c>
      <c r="T446" s="1032">
        <v>2020</v>
      </c>
    </row>
    <row r="447" spans="1:20" s="2" customFormat="1" ht="40.15" customHeight="1">
      <c r="A447" s="1031">
        <v>346</v>
      </c>
      <c r="B447" s="1272" t="s">
        <v>2018</v>
      </c>
      <c r="C447" s="1271">
        <v>1967</v>
      </c>
      <c r="D447" s="1272"/>
      <c r="E447" s="1271" t="s">
        <v>218</v>
      </c>
      <c r="F447" s="1271">
        <v>4</v>
      </c>
      <c r="G447" s="1271">
        <v>2</v>
      </c>
      <c r="H447" s="991">
        <v>1274.3</v>
      </c>
      <c r="I447" s="991">
        <v>1268.2</v>
      </c>
      <c r="J447" s="991">
        <v>1268.2</v>
      </c>
      <c r="K447" s="987">
        <v>41</v>
      </c>
      <c r="L447" s="1217">
        <v>369432</v>
      </c>
      <c r="M447" s="1218">
        <v>0</v>
      </c>
      <c r="N447" s="1218">
        <v>0</v>
      </c>
      <c r="O447" s="1217">
        <v>369432</v>
      </c>
      <c r="P447" s="1218">
        <v>0</v>
      </c>
      <c r="Q447" s="1218">
        <v>0</v>
      </c>
      <c r="R447" s="1008">
        <f t="shared" si="152"/>
        <v>291.30421069231983</v>
      </c>
      <c r="S447" s="1032">
        <v>2020</v>
      </c>
      <c r="T447" s="1032">
        <v>2020</v>
      </c>
    </row>
    <row r="448" spans="1:20" s="2" customFormat="1" ht="40.15" customHeight="1">
      <c r="A448" s="1271">
        <v>347</v>
      </c>
      <c r="B448" s="1276" t="s">
        <v>2019</v>
      </c>
      <c r="C448" s="1271">
        <v>1976</v>
      </c>
      <c r="D448" s="1219"/>
      <c r="E448" s="1032" t="s">
        <v>220</v>
      </c>
      <c r="F448" s="1279">
        <v>5</v>
      </c>
      <c r="G448" s="1279">
        <v>2</v>
      </c>
      <c r="H448" s="991">
        <v>1129.3</v>
      </c>
      <c r="I448" s="991">
        <v>1140.8</v>
      </c>
      <c r="J448" s="991">
        <v>1140.8</v>
      </c>
      <c r="K448" s="987">
        <v>29</v>
      </c>
      <c r="L448" s="1217">
        <v>152650</v>
      </c>
      <c r="M448" s="1218">
        <v>0</v>
      </c>
      <c r="N448" s="1218">
        <v>0</v>
      </c>
      <c r="O448" s="1217">
        <v>152650</v>
      </c>
      <c r="P448" s="1218">
        <v>0</v>
      </c>
      <c r="Q448" s="1218">
        <v>0</v>
      </c>
      <c r="R448" s="1008">
        <f t="shared" si="152"/>
        <v>133.80960729312764</v>
      </c>
      <c r="S448" s="1032">
        <v>2020</v>
      </c>
      <c r="T448" s="1032">
        <v>2020</v>
      </c>
    </row>
    <row r="449" spans="1:179" s="2" customFormat="1" ht="39.6" customHeight="1">
      <c r="A449" s="1399" t="s">
        <v>2791</v>
      </c>
      <c r="B449" s="1391"/>
      <c r="C449" s="1391"/>
      <c r="D449" s="1391"/>
      <c r="E449" s="1391"/>
      <c r="F449" s="1391"/>
      <c r="G449" s="1391"/>
      <c r="H449" s="1391"/>
      <c r="I449" s="1391"/>
      <c r="J449" s="1391"/>
      <c r="K449" s="1391"/>
      <c r="L449" s="1391"/>
      <c r="M449" s="1391"/>
      <c r="N449" s="1391"/>
      <c r="O449" s="1391"/>
      <c r="P449" s="1391"/>
      <c r="Q449" s="1391"/>
      <c r="R449" s="1391"/>
      <c r="S449" s="1391"/>
      <c r="T449" s="1391"/>
    </row>
    <row r="450" spans="1:179" s="992" customFormat="1" ht="43.9" customHeight="1">
      <c r="A450" s="1399" t="s">
        <v>1091</v>
      </c>
      <c r="B450" s="1399"/>
      <c r="C450" s="1399"/>
      <c r="D450" s="1399"/>
      <c r="E450" s="1399"/>
      <c r="F450" s="1399"/>
      <c r="G450" s="1399"/>
      <c r="H450" s="1399"/>
      <c r="I450" s="1399"/>
      <c r="J450" s="1399"/>
      <c r="K450" s="1399"/>
      <c r="L450" s="1399"/>
      <c r="M450" s="1399"/>
      <c r="N450" s="1399"/>
      <c r="O450" s="1399"/>
      <c r="P450" s="1399"/>
      <c r="Q450" s="1399"/>
      <c r="R450" s="1399"/>
      <c r="S450" s="1399"/>
      <c r="T450" s="1399"/>
    </row>
    <row r="451" spans="1:179" s="992" customFormat="1" ht="40.9" customHeight="1">
      <c r="A451" s="1271"/>
      <c r="B451" s="1392" t="s">
        <v>42</v>
      </c>
      <c r="C451" s="1392"/>
      <c r="D451" s="1392"/>
      <c r="E451" s="1392"/>
      <c r="F451" s="1392"/>
      <c r="G451" s="1392"/>
      <c r="H451" s="993">
        <f>H452+H518+H539+H547+H562+H568+H571+H579+H581+H589+H592+H597+H600+H614+H620+H627+H632+H656+H659+H662+H670+H675+H679+H688+H690+H693+H696+H700+H709+H712+H715+H720+H728+H595+H724</f>
        <v>583087.11</v>
      </c>
      <c r="I451" s="993">
        <f t="shared" ref="I451:Q451" si="155">I452+I518+I539+I547+I562+I568+I571+I579+I581+I589+I592+I597+I600+I614+I620+I627+I632+I656+I659+I662+I670+I675+I679+I688+I690+I693+I696+I700+I709+I712+I715+I720+I728+I595+I724</f>
        <v>521893.53999999992</v>
      </c>
      <c r="J451" s="993">
        <f t="shared" si="155"/>
        <v>461486.59999999992</v>
      </c>
      <c r="K451" s="987">
        <f t="shared" si="155"/>
        <v>20237</v>
      </c>
      <c r="L451" s="993">
        <f t="shared" si="155"/>
        <v>889620559.30000007</v>
      </c>
      <c r="M451" s="993">
        <f t="shared" si="155"/>
        <v>0</v>
      </c>
      <c r="N451" s="993">
        <f t="shared" si="155"/>
        <v>2118640.96</v>
      </c>
      <c r="O451" s="993">
        <f t="shared" si="155"/>
        <v>887501918.34000003</v>
      </c>
      <c r="P451" s="993">
        <f t="shared" si="155"/>
        <v>0</v>
      </c>
      <c r="Q451" s="993">
        <f t="shared" si="155"/>
        <v>0</v>
      </c>
      <c r="R451" s="991" t="s">
        <v>40</v>
      </c>
      <c r="S451" s="991" t="s">
        <v>40</v>
      </c>
      <c r="T451" s="991" t="s">
        <v>40</v>
      </c>
    </row>
    <row r="452" spans="1:179" s="992" customFormat="1" ht="39.6" customHeight="1">
      <c r="A452" s="1271"/>
      <c r="B452" s="1392" t="s">
        <v>1083</v>
      </c>
      <c r="C452" s="1392"/>
      <c r="D452" s="1392"/>
      <c r="E452" s="1392"/>
      <c r="F452" s="1392"/>
      <c r="G452" s="1392"/>
      <c r="H452" s="985">
        <f>SUM(H453:H517)</f>
        <v>197031.69999999995</v>
      </c>
      <c r="I452" s="985">
        <f t="shared" ref="I452:Q452" si="156">SUM(I453:I517)</f>
        <v>180041.9</v>
      </c>
      <c r="J452" s="985">
        <f t="shared" si="156"/>
        <v>162926.86000000002</v>
      </c>
      <c r="K452" s="1064">
        <f t="shared" si="156"/>
        <v>7587</v>
      </c>
      <c r="L452" s="985">
        <f t="shared" si="156"/>
        <v>405116298.82999998</v>
      </c>
      <c r="M452" s="985">
        <f t="shared" si="156"/>
        <v>0</v>
      </c>
      <c r="N452" s="985">
        <f t="shared" si="156"/>
        <v>0</v>
      </c>
      <c r="O452" s="985">
        <f t="shared" si="156"/>
        <v>405116298.82999998</v>
      </c>
      <c r="P452" s="985">
        <f t="shared" si="156"/>
        <v>0</v>
      </c>
      <c r="Q452" s="985">
        <f t="shared" si="156"/>
        <v>0</v>
      </c>
      <c r="R452" s="991" t="s">
        <v>40</v>
      </c>
      <c r="S452" s="991" t="s">
        <v>40</v>
      </c>
      <c r="T452" s="991" t="s">
        <v>40</v>
      </c>
    </row>
    <row r="453" spans="1:179" s="992" customFormat="1" ht="39.6" customHeight="1">
      <c r="A453" s="1271">
        <v>1</v>
      </c>
      <c r="B453" s="1014" t="s">
        <v>1540</v>
      </c>
      <c r="C453" s="1015">
        <v>1960</v>
      </c>
      <c r="D453" s="1015"/>
      <c r="E453" s="1271" t="s">
        <v>218</v>
      </c>
      <c r="F453" s="1015">
        <v>2</v>
      </c>
      <c r="G453" s="1015">
        <v>1</v>
      </c>
      <c r="H453" s="1033">
        <v>304.60000000000002</v>
      </c>
      <c r="I453" s="1033">
        <v>281.89999999999998</v>
      </c>
      <c r="J453" s="1033">
        <v>173.1</v>
      </c>
      <c r="K453" s="1110">
        <v>11</v>
      </c>
      <c r="L453" s="1070">
        <v>1911448</v>
      </c>
      <c r="M453" s="1070">
        <v>0</v>
      </c>
      <c r="N453" s="1070">
        <v>0</v>
      </c>
      <c r="O453" s="1070">
        <v>1911448</v>
      </c>
      <c r="P453" s="1070">
        <v>0</v>
      </c>
      <c r="Q453" s="1070">
        <v>0</v>
      </c>
      <c r="R453" s="1033">
        <f t="shared" ref="R453:R516" si="157">L453/I453</f>
        <v>6780.5888612983335</v>
      </c>
      <c r="S453" s="1271">
        <v>2021</v>
      </c>
      <c r="T453" s="1071" t="s">
        <v>1194</v>
      </c>
    </row>
    <row r="454" spans="1:179" s="992" customFormat="1" ht="40.9" customHeight="1">
      <c r="A454" s="1271">
        <v>2</v>
      </c>
      <c r="B454" s="1014" t="s">
        <v>1541</v>
      </c>
      <c r="C454" s="1271">
        <v>1959</v>
      </c>
      <c r="D454" s="1271"/>
      <c r="E454" s="1271" t="s">
        <v>218</v>
      </c>
      <c r="F454" s="1271">
        <v>4</v>
      </c>
      <c r="G454" s="1271">
        <v>4</v>
      </c>
      <c r="H454" s="1033">
        <v>2725.6</v>
      </c>
      <c r="I454" s="1033">
        <v>2500.5</v>
      </c>
      <c r="J454" s="1033">
        <v>2344.8000000000002</v>
      </c>
      <c r="K454" s="987">
        <v>154</v>
      </c>
      <c r="L454" s="1070">
        <v>3800009</v>
      </c>
      <c r="M454" s="1070">
        <v>0</v>
      </c>
      <c r="N454" s="1070">
        <v>0</v>
      </c>
      <c r="O454" s="1070">
        <v>3800009</v>
      </c>
      <c r="P454" s="1070">
        <v>0</v>
      </c>
      <c r="Q454" s="1070">
        <v>0</v>
      </c>
      <c r="R454" s="1033">
        <f t="shared" si="157"/>
        <v>1519.6996600679863</v>
      </c>
      <c r="S454" s="1271">
        <v>2021</v>
      </c>
      <c r="T454" s="1071" t="s">
        <v>1194</v>
      </c>
    </row>
    <row r="455" spans="1:179" s="992" customFormat="1" ht="37.9" customHeight="1">
      <c r="A455" s="1271">
        <v>3</v>
      </c>
      <c r="B455" s="1014" t="s">
        <v>292</v>
      </c>
      <c r="C455" s="1015">
        <v>1961</v>
      </c>
      <c r="D455" s="1015"/>
      <c r="E455" s="1015" t="s">
        <v>823</v>
      </c>
      <c r="F455" s="1015">
        <v>2</v>
      </c>
      <c r="G455" s="1015">
        <v>3</v>
      </c>
      <c r="H455" s="1033">
        <v>1452.7</v>
      </c>
      <c r="I455" s="1033">
        <v>1395.9</v>
      </c>
      <c r="J455" s="1033">
        <f>I455-184.8</f>
        <v>1211.1000000000001</v>
      </c>
      <c r="K455" s="1110">
        <v>78</v>
      </c>
      <c r="L455" s="1070">
        <v>5793390</v>
      </c>
      <c r="M455" s="1070">
        <v>0</v>
      </c>
      <c r="N455" s="1070">
        <v>0</v>
      </c>
      <c r="O455" s="1070">
        <v>5793390</v>
      </c>
      <c r="P455" s="1070">
        <v>0</v>
      </c>
      <c r="Q455" s="1070">
        <v>0</v>
      </c>
      <c r="R455" s="1033">
        <f t="shared" si="157"/>
        <v>4150.2901353965181</v>
      </c>
      <c r="S455" s="1271">
        <v>2021</v>
      </c>
      <c r="T455" s="1071" t="s">
        <v>1194</v>
      </c>
    </row>
    <row r="456" spans="1:179" s="992" customFormat="1" ht="39.6" customHeight="1">
      <c r="A456" s="1271">
        <v>4</v>
      </c>
      <c r="B456" s="1014" t="s">
        <v>1542</v>
      </c>
      <c r="C456" s="1271">
        <v>1955</v>
      </c>
      <c r="D456" s="1271"/>
      <c r="E456" s="1271" t="s">
        <v>218</v>
      </c>
      <c r="F456" s="1271">
        <v>2</v>
      </c>
      <c r="G456" s="1271">
        <v>2</v>
      </c>
      <c r="H456" s="1033">
        <v>933.4</v>
      </c>
      <c r="I456" s="1033">
        <v>864.5</v>
      </c>
      <c r="J456" s="1033">
        <v>720.4</v>
      </c>
      <c r="K456" s="987">
        <v>24</v>
      </c>
      <c r="L456" s="1070">
        <v>4332444</v>
      </c>
      <c r="M456" s="1070">
        <v>0</v>
      </c>
      <c r="N456" s="1070">
        <v>0</v>
      </c>
      <c r="O456" s="1070">
        <v>4332444</v>
      </c>
      <c r="P456" s="1070">
        <v>0</v>
      </c>
      <c r="Q456" s="1070">
        <v>0</v>
      </c>
      <c r="R456" s="1033">
        <f t="shared" si="157"/>
        <v>5011.5026026604974</v>
      </c>
      <c r="S456" s="1271">
        <v>2021</v>
      </c>
      <c r="T456" s="1071" t="s">
        <v>1194</v>
      </c>
    </row>
    <row r="457" spans="1:179" s="999" customFormat="1" ht="42" customHeight="1">
      <c r="A457" s="1271">
        <v>5</v>
      </c>
      <c r="B457" s="1014" t="s">
        <v>1543</v>
      </c>
      <c r="C457" s="1271">
        <v>1961</v>
      </c>
      <c r="D457" s="1271"/>
      <c r="E457" s="1271" t="s">
        <v>218</v>
      </c>
      <c r="F457" s="1271">
        <v>4</v>
      </c>
      <c r="G457" s="1271">
        <v>2</v>
      </c>
      <c r="H457" s="1033">
        <v>1360</v>
      </c>
      <c r="I457" s="1033">
        <v>1265.2</v>
      </c>
      <c r="J457" s="1033">
        <v>1104.8</v>
      </c>
      <c r="K457" s="987">
        <v>47</v>
      </c>
      <c r="L457" s="1070">
        <v>3062894</v>
      </c>
      <c r="M457" s="1070">
        <v>0</v>
      </c>
      <c r="N457" s="1070">
        <v>0</v>
      </c>
      <c r="O457" s="1070">
        <v>3062894</v>
      </c>
      <c r="P457" s="1070">
        <v>0</v>
      </c>
      <c r="Q457" s="1070">
        <v>0</v>
      </c>
      <c r="R457" s="1033">
        <f t="shared" si="157"/>
        <v>2420.8773316471702</v>
      </c>
      <c r="S457" s="1271">
        <v>2021</v>
      </c>
      <c r="T457" s="1071" t="s">
        <v>1194</v>
      </c>
    </row>
    <row r="458" spans="1:179" s="1000" customFormat="1" ht="44.45" customHeight="1">
      <c r="A458" s="1271">
        <v>6</v>
      </c>
      <c r="B458" s="1014" t="s">
        <v>1544</v>
      </c>
      <c r="C458" s="1271">
        <v>1982</v>
      </c>
      <c r="D458" s="1271"/>
      <c r="E458" s="1271" t="s">
        <v>218</v>
      </c>
      <c r="F458" s="1271">
        <v>9</v>
      </c>
      <c r="G458" s="1271">
        <v>2</v>
      </c>
      <c r="H458" s="1033">
        <v>5162.1000000000004</v>
      </c>
      <c r="I458" s="1033">
        <v>4586.8</v>
      </c>
      <c r="J458" s="1033">
        <v>4389.7</v>
      </c>
      <c r="K458" s="987">
        <v>221</v>
      </c>
      <c r="L458" s="1070">
        <v>8729014</v>
      </c>
      <c r="M458" s="1070">
        <v>0</v>
      </c>
      <c r="N458" s="1070">
        <v>0</v>
      </c>
      <c r="O458" s="1070">
        <v>8729014</v>
      </c>
      <c r="P458" s="1070">
        <v>0</v>
      </c>
      <c r="Q458" s="1070">
        <v>0</v>
      </c>
      <c r="R458" s="1033">
        <f t="shared" si="157"/>
        <v>1903.0727304438824</v>
      </c>
      <c r="S458" s="1271">
        <v>2021</v>
      </c>
      <c r="T458" s="1071" t="s">
        <v>1194</v>
      </c>
    </row>
    <row r="459" spans="1:179" s="1006" customFormat="1" ht="44.45" customHeight="1">
      <c r="A459" s="1271">
        <v>7</v>
      </c>
      <c r="B459" s="1014" t="s">
        <v>1545</v>
      </c>
      <c r="C459" s="1271">
        <v>1950</v>
      </c>
      <c r="D459" s="1271"/>
      <c r="E459" s="1271" t="s">
        <v>823</v>
      </c>
      <c r="F459" s="1271">
        <v>2</v>
      </c>
      <c r="G459" s="1271">
        <v>2</v>
      </c>
      <c r="H459" s="1033">
        <v>794.3</v>
      </c>
      <c r="I459" s="1033">
        <v>722.3</v>
      </c>
      <c r="J459" s="1033">
        <v>651.29999999999995</v>
      </c>
      <c r="K459" s="987">
        <v>34</v>
      </c>
      <c r="L459" s="1070">
        <v>3370042</v>
      </c>
      <c r="M459" s="1070">
        <v>0</v>
      </c>
      <c r="N459" s="1070">
        <v>0</v>
      </c>
      <c r="O459" s="1070">
        <v>3370042</v>
      </c>
      <c r="P459" s="1070">
        <v>0</v>
      </c>
      <c r="Q459" s="1070">
        <v>0</v>
      </c>
      <c r="R459" s="1033">
        <f t="shared" si="157"/>
        <v>4665.7095389727265</v>
      </c>
      <c r="S459" s="1271">
        <v>2021</v>
      </c>
      <c r="T459" s="1071" t="s">
        <v>1194</v>
      </c>
    </row>
    <row r="460" spans="1:179" s="1006" customFormat="1" ht="44.45" customHeight="1">
      <c r="A460" s="1271">
        <v>8</v>
      </c>
      <c r="B460" s="1014" t="s">
        <v>1546</v>
      </c>
      <c r="C460" s="1271">
        <v>1961</v>
      </c>
      <c r="D460" s="1072"/>
      <c r="E460" s="1271" t="s">
        <v>218</v>
      </c>
      <c r="F460" s="1271">
        <v>4</v>
      </c>
      <c r="G460" s="1271">
        <v>3</v>
      </c>
      <c r="H460" s="1033">
        <v>2187.5</v>
      </c>
      <c r="I460" s="1033">
        <v>2040.3</v>
      </c>
      <c r="J460" s="1033">
        <v>856.1</v>
      </c>
      <c r="K460" s="987">
        <v>97</v>
      </c>
      <c r="L460" s="1070">
        <v>4939316</v>
      </c>
      <c r="M460" s="1070">
        <v>0</v>
      </c>
      <c r="N460" s="1070">
        <v>0</v>
      </c>
      <c r="O460" s="1070">
        <v>4939316</v>
      </c>
      <c r="P460" s="1070">
        <v>0</v>
      </c>
      <c r="Q460" s="1070">
        <v>0</v>
      </c>
      <c r="R460" s="1033">
        <f t="shared" si="157"/>
        <v>2420.8773219624563</v>
      </c>
      <c r="S460" s="1271">
        <v>2021</v>
      </c>
      <c r="T460" s="1071" t="s">
        <v>1194</v>
      </c>
    </row>
    <row r="461" spans="1:179" s="1006" customFormat="1" ht="44.45" customHeight="1">
      <c r="A461" s="1271">
        <v>9</v>
      </c>
      <c r="B461" s="1014" t="s">
        <v>1547</v>
      </c>
      <c r="C461" s="1271">
        <v>1959</v>
      </c>
      <c r="D461" s="1271"/>
      <c r="E461" s="1271" t="s">
        <v>218</v>
      </c>
      <c r="F461" s="1271">
        <v>4</v>
      </c>
      <c r="G461" s="1271">
        <v>4</v>
      </c>
      <c r="H461" s="1033">
        <v>3092.6</v>
      </c>
      <c r="I461" s="1033">
        <v>2791.8</v>
      </c>
      <c r="J461" s="1033">
        <v>1883.62</v>
      </c>
      <c r="K461" s="987">
        <v>87</v>
      </c>
      <c r="L461" s="1070">
        <v>2207770</v>
      </c>
      <c r="M461" s="1070">
        <v>0</v>
      </c>
      <c r="N461" s="1070">
        <v>0</v>
      </c>
      <c r="O461" s="1070">
        <v>2207770</v>
      </c>
      <c r="P461" s="1070">
        <v>0</v>
      </c>
      <c r="Q461" s="1070">
        <v>0</v>
      </c>
      <c r="R461" s="1033">
        <f t="shared" si="157"/>
        <v>790.80521527330029</v>
      </c>
      <c r="S461" s="1271">
        <v>2021</v>
      </c>
      <c r="T461" s="1071" t="s">
        <v>1194</v>
      </c>
    </row>
    <row r="462" spans="1:179" s="1006" customFormat="1" ht="44.45" customHeight="1">
      <c r="A462" s="1271">
        <v>10</v>
      </c>
      <c r="B462" s="1014" t="s">
        <v>1548</v>
      </c>
      <c r="C462" s="1271">
        <v>1955</v>
      </c>
      <c r="D462" s="1271"/>
      <c r="E462" s="1271" t="s">
        <v>218</v>
      </c>
      <c r="F462" s="1271">
        <v>2</v>
      </c>
      <c r="G462" s="1271">
        <v>2</v>
      </c>
      <c r="H462" s="1033">
        <v>512</v>
      </c>
      <c r="I462" s="1033">
        <v>468.9</v>
      </c>
      <c r="J462" s="1033">
        <v>413.7</v>
      </c>
      <c r="K462" s="987">
        <v>29</v>
      </c>
      <c r="L462" s="1070">
        <v>975050</v>
      </c>
      <c r="M462" s="1070">
        <v>0</v>
      </c>
      <c r="N462" s="1070">
        <v>0</v>
      </c>
      <c r="O462" s="1070">
        <v>975050</v>
      </c>
      <c r="P462" s="1070">
        <v>0</v>
      </c>
      <c r="Q462" s="1070">
        <v>0</v>
      </c>
      <c r="R462" s="1033">
        <f t="shared" si="157"/>
        <v>2079.4412454681169</v>
      </c>
      <c r="S462" s="1271">
        <v>2021</v>
      </c>
      <c r="T462" s="1071" t="s">
        <v>1194</v>
      </c>
    </row>
    <row r="463" spans="1:179" s="1001" customFormat="1" ht="44.45" customHeight="1">
      <c r="A463" s="1271">
        <v>11</v>
      </c>
      <c r="B463" s="1014" t="s">
        <v>1549</v>
      </c>
      <c r="C463" s="1271">
        <v>1962</v>
      </c>
      <c r="D463" s="1271"/>
      <c r="E463" s="1271" t="s">
        <v>218</v>
      </c>
      <c r="F463" s="1271">
        <v>2</v>
      </c>
      <c r="G463" s="1271">
        <v>2</v>
      </c>
      <c r="H463" s="1033">
        <v>708.6</v>
      </c>
      <c r="I463" s="1033">
        <v>648.29999999999995</v>
      </c>
      <c r="J463" s="1033">
        <v>615.1</v>
      </c>
      <c r="K463" s="987">
        <v>18</v>
      </c>
      <c r="L463" s="1070">
        <v>1727509</v>
      </c>
      <c r="M463" s="1070">
        <v>0</v>
      </c>
      <c r="N463" s="1070">
        <v>0</v>
      </c>
      <c r="O463" s="1070">
        <v>1727509</v>
      </c>
      <c r="P463" s="1070">
        <v>0</v>
      </c>
      <c r="Q463" s="1070">
        <v>0</v>
      </c>
      <c r="R463" s="1033">
        <f t="shared" si="157"/>
        <v>2664.6753046429126</v>
      </c>
      <c r="S463" s="1271">
        <v>2021</v>
      </c>
      <c r="T463" s="1071" t="s">
        <v>1194</v>
      </c>
    </row>
    <row r="464" spans="1:179" s="1006" customFormat="1" ht="39.6" customHeight="1">
      <c r="A464" s="1271">
        <v>12</v>
      </c>
      <c r="B464" s="1014" t="s">
        <v>1550</v>
      </c>
      <c r="C464" s="1015">
        <v>1995</v>
      </c>
      <c r="D464" s="1015"/>
      <c r="E464" s="1015" t="s">
        <v>219</v>
      </c>
      <c r="F464" s="1015">
        <v>5</v>
      </c>
      <c r="G464" s="1015">
        <v>3</v>
      </c>
      <c r="H464" s="1033">
        <v>2526.8000000000002</v>
      </c>
      <c r="I464" s="1033">
        <v>2314.1999999999998</v>
      </c>
      <c r="J464" s="1033">
        <v>2115.6</v>
      </c>
      <c r="K464" s="1110">
        <v>91</v>
      </c>
      <c r="L464" s="1070">
        <v>2302244</v>
      </c>
      <c r="M464" s="1070">
        <v>0</v>
      </c>
      <c r="N464" s="1070">
        <v>0</v>
      </c>
      <c r="O464" s="1070">
        <v>2302244</v>
      </c>
      <c r="P464" s="1070">
        <v>0</v>
      </c>
      <c r="Q464" s="1070">
        <v>0</v>
      </c>
      <c r="R464" s="1033">
        <f t="shared" si="157"/>
        <v>994.83363581367223</v>
      </c>
      <c r="S464" s="1271">
        <v>2021</v>
      </c>
      <c r="T464" s="1071" t="s">
        <v>1194</v>
      </c>
      <c r="U464" s="1073"/>
      <c r="V464" s="1073"/>
      <c r="W464" s="1073"/>
      <c r="X464" s="1073"/>
      <c r="Y464" s="1073"/>
      <c r="Z464" s="1073"/>
      <c r="AA464" s="1073"/>
      <c r="AB464" s="1073"/>
      <c r="AC464" s="1073"/>
      <c r="AD464" s="1073"/>
      <c r="AE464" s="1073"/>
      <c r="AF464" s="1073"/>
      <c r="AG464" s="1073"/>
      <c r="AH464" s="1073"/>
      <c r="AI464" s="1073"/>
      <c r="AJ464" s="1073"/>
      <c r="AK464" s="1073"/>
      <c r="AL464" s="1073"/>
      <c r="AM464" s="1073"/>
      <c r="AN464" s="1073"/>
      <c r="AO464" s="1073"/>
      <c r="AP464" s="1073"/>
      <c r="AQ464" s="1073"/>
      <c r="AR464" s="1073"/>
      <c r="AS464" s="1073"/>
      <c r="AT464" s="1073"/>
      <c r="AU464" s="1073"/>
      <c r="AV464" s="1073"/>
      <c r="AW464" s="1073"/>
      <c r="AX464" s="1073"/>
      <c r="AY464" s="1073"/>
      <c r="AZ464" s="1073"/>
      <c r="BA464" s="1073"/>
      <c r="BB464" s="1073"/>
      <c r="BC464" s="1073"/>
      <c r="BD464" s="1073"/>
      <c r="BE464" s="1073"/>
      <c r="BF464" s="1073"/>
      <c r="BG464" s="1073"/>
      <c r="BH464" s="1073"/>
      <c r="BI464" s="1073"/>
      <c r="BJ464" s="1073"/>
      <c r="BK464" s="1073"/>
      <c r="BL464" s="1073"/>
      <c r="BM464" s="1073"/>
      <c r="BN464" s="1073"/>
      <c r="BO464" s="1073"/>
      <c r="BP464" s="1073"/>
      <c r="BQ464" s="1073"/>
      <c r="BR464" s="1073"/>
      <c r="BS464" s="1073"/>
      <c r="BT464" s="1073"/>
      <c r="BU464" s="1073"/>
      <c r="BV464" s="1073"/>
      <c r="BW464" s="1073"/>
      <c r="BX464" s="1073"/>
      <c r="BY464" s="1073"/>
      <c r="BZ464" s="1073"/>
      <c r="CA464" s="1073"/>
      <c r="CB464" s="1073"/>
      <c r="CC464" s="1073"/>
      <c r="CD464" s="1073"/>
      <c r="CE464" s="1073"/>
      <c r="CF464" s="1073"/>
      <c r="CG464" s="1073"/>
      <c r="CH464" s="1073"/>
      <c r="CI464" s="1073"/>
      <c r="CJ464" s="1073"/>
      <c r="CK464" s="1073"/>
      <c r="CL464" s="1073"/>
      <c r="CM464" s="1073"/>
      <c r="CN464" s="1073"/>
      <c r="CO464" s="1073"/>
      <c r="CP464" s="1073"/>
      <c r="CQ464" s="1073"/>
      <c r="CR464" s="1073"/>
      <c r="CS464" s="1073"/>
      <c r="CT464" s="1073"/>
      <c r="CU464" s="1073"/>
      <c r="CV464" s="1073"/>
      <c r="CW464" s="1073"/>
      <c r="CX464" s="1073"/>
      <c r="CY464" s="1073"/>
      <c r="CZ464" s="1073"/>
      <c r="DA464" s="1073"/>
      <c r="DB464" s="1073"/>
      <c r="DC464" s="1073"/>
      <c r="DD464" s="1073"/>
      <c r="DE464" s="1073"/>
      <c r="DF464" s="1073"/>
      <c r="DG464" s="1073"/>
      <c r="DH464" s="1073"/>
      <c r="DI464" s="1073"/>
      <c r="DJ464" s="1073"/>
      <c r="DK464" s="1073"/>
      <c r="DL464" s="1073"/>
      <c r="DM464" s="1073"/>
      <c r="DN464" s="1073"/>
      <c r="DO464" s="1073"/>
      <c r="DP464" s="1073"/>
      <c r="DQ464" s="1073"/>
      <c r="DR464" s="1073"/>
      <c r="DS464" s="1073"/>
      <c r="DT464" s="1073"/>
      <c r="DU464" s="1073"/>
      <c r="DV464" s="1073"/>
      <c r="DW464" s="1073"/>
      <c r="DX464" s="1073"/>
      <c r="DY464" s="1073"/>
      <c r="DZ464" s="1073"/>
      <c r="EA464" s="1073"/>
      <c r="EB464" s="1073"/>
      <c r="EC464" s="1073"/>
      <c r="ED464" s="1073"/>
      <c r="EE464" s="1073"/>
      <c r="EF464" s="1073"/>
      <c r="EG464" s="1073"/>
      <c r="EH464" s="1073"/>
      <c r="EI464" s="1073"/>
      <c r="EJ464" s="1073"/>
      <c r="EK464" s="1073"/>
      <c r="EL464" s="1073"/>
      <c r="EM464" s="1073"/>
      <c r="EN464" s="1073"/>
      <c r="EO464" s="1073"/>
      <c r="EP464" s="1073"/>
      <c r="EQ464" s="1073"/>
      <c r="ER464" s="1073"/>
      <c r="ES464" s="1073"/>
      <c r="ET464" s="1073"/>
      <c r="EU464" s="1073"/>
      <c r="EV464" s="1073"/>
      <c r="EW464" s="1073"/>
      <c r="EX464" s="1073"/>
      <c r="EY464" s="1073"/>
      <c r="EZ464" s="1073"/>
      <c r="FA464" s="1073"/>
      <c r="FB464" s="1073"/>
      <c r="FC464" s="1073"/>
      <c r="FD464" s="1073"/>
      <c r="FE464" s="1073"/>
      <c r="FF464" s="1073"/>
      <c r="FG464" s="1073"/>
      <c r="FH464" s="1073"/>
      <c r="FI464" s="1073"/>
      <c r="FJ464" s="1073"/>
      <c r="FK464" s="1073"/>
      <c r="FL464" s="1073"/>
      <c r="FM464" s="1073"/>
      <c r="FN464" s="1073"/>
      <c r="FO464" s="1073"/>
      <c r="FP464" s="1073"/>
      <c r="FQ464" s="1073"/>
      <c r="FR464" s="1073"/>
      <c r="FS464" s="1073"/>
      <c r="FT464" s="1073"/>
      <c r="FU464" s="1073"/>
      <c r="FV464" s="1073"/>
      <c r="FW464" s="1073"/>
    </row>
    <row r="465" spans="1:20" s="1006" customFormat="1" ht="39.6" customHeight="1">
      <c r="A465" s="1271">
        <v>13</v>
      </c>
      <c r="B465" s="1014" t="s">
        <v>1551</v>
      </c>
      <c r="C465" s="1271">
        <v>1973</v>
      </c>
      <c r="D465" s="1271"/>
      <c r="E465" s="1271" t="s">
        <v>218</v>
      </c>
      <c r="F465" s="1271">
        <v>5</v>
      </c>
      <c r="G465" s="1271">
        <v>1</v>
      </c>
      <c r="H465" s="1033">
        <v>2502.3000000000002</v>
      </c>
      <c r="I465" s="1033">
        <v>1954.5</v>
      </c>
      <c r="J465" s="1033">
        <f>I465-194.2</f>
        <v>1760.3</v>
      </c>
      <c r="K465" s="987">
        <v>143</v>
      </c>
      <c r="L465" s="1070">
        <v>3343122</v>
      </c>
      <c r="M465" s="1070">
        <v>0</v>
      </c>
      <c r="N465" s="1070">
        <v>0</v>
      </c>
      <c r="O465" s="1070">
        <v>3343122</v>
      </c>
      <c r="P465" s="1070">
        <v>0</v>
      </c>
      <c r="Q465" s="1070">
        <v>0</v>
      </c>
      <c r="R465" s="1033">
        <f t="shared" si="157"/>
        <v>1710.4742900997699</v>
      </c>
      <c r="S465" s="1271">
        <v>2021</v>
      </c>
      <c r="T465" s="1071" t="s">
        <v>1194</v>
      </c>
    </row>
    <row r="466" spans="1:20" s="1006" customFormat="1" ht="40.9" customHeight="1">
      <c r="A466" s="1271">
        <v>14</v>
      </c>
      <c r="B466" s="1014" t="s">
        <v>1552</v>
      </c>
      <c r="C466" s="1271">
        <v>1965</v>
      </c>
      <c r="D466" s="1271"/>
      <c r="E466" s="1271" t="s">
        <v>218</v>
      </c>
      <c r="F466" s="1271">
        <v>5</v>
      </c>
      <c r="G466" s="1271">
        <v>4</v>
      </c>
      <c r="H466" s="1033">
        <v>3549.1</v>
      </c>
      <c r="I466" s="1033">
        <v>3242.1</v>
      </c>
      <c r="J466" s="1033">
        <v>3019.8</v>
      </c>
      <c r="K466" s="987">
        <v>153</v>
      </c>
      <c r="L466" s="1070">
        <v>11865039</v>
      </c>
      <c r="M466" s="1070">
        <v>0</v>
      </c>
      <c r="N466" s="1070">
        <v>0</v>
      </c>
      <c r="O466" s="1070">
        <v>11865039</v>
      </c>
      <c r="P466" s="1070">
        <v>0</v>
      </c>
      <c r="Q466" s="1070">
        <v>0</v>
      </c>
      <c r="R466" s="1033">
        <f t="shared" si="157"/>
        <v>3659.6770611640604</v>
      </c>
      <c r="S466" s="1271">
        <v>2021</v>
      </c>
      <c r="T466" s="1071" t="s">
        <v>1194</v>
      </c>
    </row>
    <row r="467" spans="1:20" s="1006" customFormat="1" ht="40.9" customHeight="1">
      <c r="A467" s="1271">
        <v>15</v>
      </c>
      <c r="B467" s="1014" t="s">
        <v>1553</v>
      </c>
      <c r="C467" s="1271">
        <v>1962</v>
      </c>
      <c r="D467" s="1271"/>
      <c r="E467" s="1271" t="s">
        <v>218</v>
      </c>
      <c r="F467" s="1271">
        <v>4</v>
      </c>
      <c r="G467" s="1271">
        <v>2</v>
      </c>
      <c r="H467" s="1033">
        <v>1385</v>
      </c>
      <c r="I467" s="1033">
        <v>1269.2</v>
      </c>
      <c r="J467" s="1033">
        <v>1141.0999999999999</v>
      </c>
      <c r="K467" s="987">
        <v>52</v>
      </c>
      <c r="L467" s="1070">
        <v>1905334</v>
      </c>
      <c r="M467" s="1070">
        <v>0</v>
      </c>
      <c r="N467" s="1070">
        <v>0</v>
      </c>
      <c r="O467" s="1070">
        <v>1905334</v>
      </c>
      <c r="P467" s="1070">
        <v>0</v>
      </c>
      <c r="Q467" s="1070">
        <v>0</v>
      </c>
      <c r="R467" s="1033">
        <f t="shared" si="157"/>
        <v>1501.2086353608572</v>
      </c>
      <c r="S467" s="1271">
        <v>2021</v>
      </c>
      <c r="T467" s="1071" t="s">
        <v>1194</v>
      </c>
    </row>
    <row r="468" spans="1:20" s="1006" customFormat="1" ht="43.15" customHeight="1">
      <c r="A468" s="1271">
        <v>16</v>
      </c>
      <c r="B468" s="1014" t="s">
        <v>1554</v>
      </c>
      <c r="C468" s="1271">
        <v>1959</v>
      </c>
      <c r="D468" s="1271"/>
      <c r="E468" s="1271" t="s">
        <v>218</v>
      </c>
      <c r="F468" s="1271">
        <v>2</v>
      </c>
      <c r="G468" s="1271">
        <v>1</v>
      </c>
      <c r="H468" s="1033">
        <v>496.9</v>
      </c>
      <c r="I468" s="1033">
        <v>452.2</v>
      </c>
      <c r="J468" s="1033">
        <v>421.9</v>
      </c>
      <c r="K468" s="987">
        <v>32</v>
      </c>
      <c r="L468" s="1070">
        <v>1410585</v>
      </c>
      <c r="M468" s="1070">
        <v>0</v>
      </c>
      <c r="N468" s="1070">
        <v>0</v>
      </c>
      <c r="O468" s="1070">
        <v>1410585</v>
      </c>
      <c r="P468" s="1070">
        <v>0</v>
      </c>
      <c r="Q468" s="1070">
        <v>0</v>
      </c>
      <c r="R468" s="1033">
        <f t="shared" si="157"/>
        <v>3119.3830163644407</v>
      </c>
      <c r="S468" s="1271">
        <v>2021</v>
      </c>
      <c r="T468" s="1071" t="s">
        <v>1194</v>
      </c>
    </row>
    <row r="469" spans="1:20" s="1006" customFormat="1" ht="39.6" customHeight="1">
      <c r="A469" s="1271">
        <v>17</v>
      </c>
      <c r="B469" s="1014" t="s">
        <v>1555</v>
      </c>
      <c r="C469" s="1271">
        <v>1969</v>
      </c>
      <c r="D469" s="1271"/>
      <c r="E469" s="1271" t="s">
        <v>219</v>
      </c>
      <c r="F469" s="1271">
        <v>5</v>
      </c>
      <c r="G469" s="1271">
        <v>8</v>
      </c>
      <c r="H469" s="1033">
        <v>6276</v>
      </c>
      <c r="I469" s="1033">
        <v>5727.5</v>
      </c>
      <c r="J469" s="1033">
        <v>5251.47</v>
      </c>
      <c r="K469" s="987">
        <v>259</v>
      </c>
      <c r="L469" s="1070">
        <v>18458139</v>
      </c>
      <c r="M469" s="1070">
        <v>0</v>
      </c>
      <c r="N469" s="1070">
        <v>0</v>
      </c>
      <c r="O469" s="1070">
        <v>18458139</v>
      </c>
      <c r="P469" s="1070">
        <v>0</v>
      </c>
      <c r="Q469" s="1070">
        <v>0</v>
      </c>
      <c r="R469" s="1033">
        <f t="shared" si="157"/>
        <v>3222.7217808817109</v>
      </c>
      <c r="S469" s="1271">
        <v>2021</v>
      </c>
      <c r="T469" s="1071" t="s">
        <v>1194</v>
      </c>
    </row>
    <row r="470" spans="1:20" s="1006" customFormat="1" ht="42" customHeight="1">
      <c r="A470" s="1271">
        <v>18</v>
      </c>
      <c r="B470" s="1014" t="s">
        <v>1556</v>
      </c>
      <c r="C470" s="1271">
        <v>1960</v>
      </c>
      <c r="D470" s="1271"/>
      <c r="E470" s="1271" t="s">
        <v>218</v>
      </c>
      <c r="F470" s="1271">
        <v>3</v>
      </c>
      <c r="G470" s="1271">
        <v>2</v>
      </c>
      <c r="H470" s="1033">
        <v>1035.3</v>
      </c>
      <c r="I470" s="1033">
        <v>963.2</v>
      </c>
      <c r="J470" s="1033">
        <v>963.2</v>
      </c>
      <c r="K470" s="987">
        <v>36</v>
      </c>
      <c r="L470" s="1070">
        <v>4360359</v>
      </c>
      <c r="M470" s="1070">
        <v>0</v>
      </c>
      <c r="N470" s="1070">
        <v>0</v>
      </c>
      <c r="O470" s="1070">
        <v>4360359</v>
      </c>
      <c r="P470" s="1070">
        <v>0</v>
      </c>
      <c r="Q470" s="1070">
        <v>0</v>
      </c>
      <c r="R470" s="1033">
        <f t="shared" si="157"/>
        <v>4526.9507890365448</v>
      </c>
      <c r="S470" s="1271">
        <v>2021</v>
      </c>
      <c r="T470" s="1071" t="s">
        <v>1194</v>
      </c>
    </row>
    <row r="471" spans="1:20" s="992" customFormat="1" ht="42" customHeight="1">
      <c r="A471" s="1271">
        <v>19</v>
      </c>
      <c r="B471" s="1014" t="s">
        <v>1557</v>
      </c>
      <c r="C471" s="1271">
        <v>1971</v>
      </c>
      <c r="D471" s="1271"/>
      <c r="E471" s="1271" t="s">
        <v>218</v>
      </c>
      <c r="F471" s="1271">
        <v>5</v>
      </c>
      <c r="G471" s="1271">
        <v>4</v>
      </c>
      <c r="H471" s="1033">
        <v>3419</v>
      </c>
      <c r="I471" s="1033">
        <v>3133.4</v>
      </c>
      <c r="J471" s="1033">
        <v>2798.7</v>
      </c>
      <c r="K471" s="987">
        <v>178</v>
      </c>
      <c r="L471" s="1070">
        <v>5781783</v>
      </c>
      <c r="M471" s="1070">
        <v>0</v>
      </c>
      <c r="N471" s="1070">
        <v>0</v>
      </c>
      <c r="O471" s="1070">
        <v>5781783</v>
      </c>
      <c r="P471" s="1070">
        <v>0</v>
      </c>
      <c r="Q471" s="1070">
        <v>0</v>
      </c>
      <c r="R471" s="1033">
        <f t="shared" si="157"/>
        <v>1845.2106338163017</v>
      </c>
      <c r="S471" s="1271">
        <v>2021</v>
      </c>
      <c r="T471" s="1071" t="s">
        <v>1194</v>
      </c>
    </row>
    <row r="472" spans="1:20" s="992" customFormat="1" ht="42.6" customHeight="1">
      <c r="A472" s="1271">
        <v>20</v>
      </c>
      <c r="B472" s="1014" t="s">
        <v>2002</v>
      </c>
      <c r="C472" s="1271">
        <v>1968</v>
      </c>
      <c r="D472" s="1271"/>
      <c r="E472" s="1271" t="s">
        <v>219</v>
      </c>
      <c r="F472" s="1271">
        <v>5</v>
      </c>
      <c r="G472" s="1271">
        <v>4</v>
      </c>
      <c r="H472" s="1033">
        <v>2989</v>
      </c>
      <c r="I472" s="1033">
        <v>2698.6</v>
      </c>
      <c r="J472" s="1033">
        <v>2567.1999999999998</v>
      </c>
      <c r="K472" s="987">
        <v>143</v>
      </c>
      <c r="L472" s="1070">
        <v>5396300</v>
      </c>
      <c r="M472" s="1070">
        <v>0</v>
      </c>
      <c r="N472" s="1070">
        <v>0</v>
      </c>
      <c r="O472" s="1070">
        <v>5396300</v>
      </c>
      <c r="P472" s="1070">
        <v>0</v>
      </c>
      <c r="Q472" s="1070">
        <v>0</v>
      </c>
      <c r="R472" s="1033">
        <f t="shared" si="157"/>
        <v>1999.6664937374935</v>
      </c>
      <c r="S472" s="1271">
        <v>2021</v>
      </c>
      <c r="T472" s="1071" t="s">
        <v>1194</v>
      </c>
    </row>
    <row r="473" spans="1:20" s="1006" customFormat="1" ht="39" customHeight="1">
      <c r="A473" s="1271">
        <v>21</v>
      </c>
      <c r="B473" s="1014" t="s">
        <v>1558</v>
      </c>
      <c r="C473" s="1271">
        <v>1976</v>
      </c>
      <c r="D473" s="1271"/>
      <c r="E473" s="1271" t="s">
        <v>219</v>
      </c>
      <c r="F473" s="1271">
        <v>5</v>
      </c>
      <c r="G473" s="1271">
        <v>6</v>
      </c>
      <c r="H473" s="1033">
        <v>5031.3999999999996</v>
      </c>
      <c r="I473" s="1033">
        <v>4520.1000000000004</v>
      </c>
      <c r="J473" s="1033">
        <v>4341</v>
      </c>
      <c r="K473" s="987">
        <v>191</v>
      </c>
      <c r="L473" s="1070">
        <v>9804606</v>
      </c>
      <c r="M473" s="1070">
        <v>0</v>
      </c>
      <c r="N473" s="1070">
        <v>0</v>
      </c>
      <c r="O473" s="1070">
        <v>9804606</v>
      </c>
      <c r="P473" s="1070">
        <v>0</v>
      </c>
      <c r="Q473" s="1070">
        <v>0</v>
      </c>
      <c r="R473" s="1033">
        <f t="shared" si="157"/>
        <v>2169.1126302515431</v>
      </c>
      <c r="S473" s="1271">
        <v>2021</v>
      </c>
      <c r="T473" s="1071" t="s">
        <v>1194</v>
      </c>
    </row>
    <row r="474" spans="1:20" s="1006" customFormat="1" ht="42" customHeight="1">
      <c r="A474" s="1271">
        <v>22</v>
      </c>
      <c r="B474" s="1014" t="s">
        <v>1559</v>
      </c>
      <c r="C474" s="1271">
        <v>1951</v>
      </c>
      <c r="D474" s="1272"/>
      <c r="E474" s="1271" t="s">
        <v>218</v>
      </c>
      <c r="F474" s="1271">
        <v>2</v>
      </c>
      <c r="G474" s="1271">
        <v>2</v>
      </c>
      <c r="H474" s="1033">
        <v>766.6</v>
      </c>
      <c r="I474" s="1033">
        <v>691.3</v>
      </c>
      <c r="J474" s="1033">
        <v>656.7</v>
      </c>
      <c r="K474" s="987">
        <v>37</v>
      </c>
      <c r="L474" s="1070">
        <v>3487152</v>
      </c>
      <c r="M474" s="1070">
        <v>0</v>
      </c>
      <c r="N474" s="1070">
        <v>0</v>
      </c>
      <c r="O474" s="1070">
        <v>3487152</v>
      </c>
      <c r="P474" s="1070">
        <v>0</v>
      </c>
      <c r="Q474" s="1070">
        <v>0</v>
      </c>
      <c r="R474" s="1033">
        <f t="shared" si="157"/>
        <v>5044.3396499349055</v>
      </c>
      <c r="S474" s="1271">
        <v>2021</v>
      </c>
      <c r="T474" s="1071" t="s">
        <v>1194</v>
      </c>
    </row>
    <row r="475" spans="1:20" s="1006" customFormat="1" ht="44.45" customHeight="1">
      <c r="A475" s="1271">
        <v>23</v>
      </c>
      <c r="B475" s="1014" t="s">
        <v>1560</v>
      </c>
      <c r="C475" s="1271">
        <v>1965</v>
      </c>
      <c r="D475" s="1271"/>
      <c r="E475" s="1271" t="s">
        <v>219</v>
      </c>
      <c r="F475" s="1271">
        <v>5</v>
      </c>
      <c r="G475" s="1271">
        <v>4</v>
      </c>
      <c r="H475" s="1033">
        <v>3829.5</v>
      </c>
      <c r="I475" s="1033">
        <v>3553.7</v>
      </c>
      <c r="J475" s="1033">
        <v>3422.7</v>
      </c>
      <c r="K475" s="987">
        <v>182</v>
      </c>
      <c r="L475" s="1070">
        <v>12448294</v>
      </c>
      <c r="M475" s="1070">
        <v>0</v>
      </c>
      <c r="N475" s="1070">
        <v>0</v>
      </c>
      <c r="O475" s="1070">
        <v>12448294</v>
      </c>
      <c r="P475" s="1070">
        <v>0</v>
      </c>
      <c r="Q475" s="1070">
        <v>0</v>
      </c>
      <c r="R475" s="1033">
        <f t="shared" si="157"/>
        <v>3502.910769057602</v>
      </c>
      <c r="S475" s="1271">
        <v>2021</v>
      </c>
      <c r="T475" s="1071" t="s">
        <v>1194</v>
      </c>
    </row>
    <row r="476" spans="1:20" s="1006" customFormat="1" ht="44.45" customHeight="1">
      <c r="A476" s="1271">
        <v>24</v>
      </c>
      <c r="B476" s="1272" t="s">
        <v>257</v>
      </c>
      <c r="C476" s="1271">
        <v>1959</v>
      </c>
      <c r="D476" s="1271"/>
      <c r="E476" s="1271" t="s">
        <v>218</v>
      </c>
      <c r="F476" s="1271">
        <v>2</v>
      </c>
      <c r="G476" s="1271">
        <v>2</v>
      </c>
      <c r="H476" s="1033">
        <v>688.5</v>
      </c>
      <c r="I476" s="1033">
        <v>639.6</v>
      </c>
      <c r="J476" s="1033">
        <v>639.6</v>
      </c>
      <c r="K476" s="987">
        <v>34</v>
      </c>
      <c r="L476" s="1070">
        <v>2070699</v>
      </c>
      <c r="M476" s="1070">
        <v>0</v>
      </c>
      <c r="N476" s="1070">
        <v>0</v>
      </c>
      <c r="O476" s="1070">
        <v>2070699</v>
      </c>
      <c r="P476" s="1070">
        <v>0</v>
      </c>
      <c r="Q476" s="1070">
        <v>0</v>
      </c>
      <c r="R476" s="1033">
        <f t="shared" si="157"/>
        <v>3237.4906191369605</v>
      </c>
      <c r="S476" s="1271">
        <v>2021</v>
      </c>
      <c r="T476" s="1071" t="s">
        <v>1194</v>
      </c>
    </row>
    <row r="477" spans="1:20" s="992" customFormat="1" ht="43.9" customHeight="1">
      <c r="A477" s="1271">
        <v>25</v>
      </c>
      <c r="B477" s="1014" t="s">
        <v>1561</v>
      </c>
      <c r="C477" s="1271">
        <v>1959</v>
      </c>
      <c r="D477" s="1271"/>
      <c r="E477" s="1271" t="s">
        <v>218</v>
      </c>
      <c r="F477" s="1271">
        <v>2</v>
      </c>
      <c r="G477" s="1271">
        <v>2</v>
      </c>
      <c r="H477" s="1033">
        <v>675.3</v>
      </c>
      <c r="I477" s="1033">
        <v>628.20000000000005</v>
      </c>
      <c r="J477" s="1033">
        <v>585.79999999999995</v>
      </c>
      <c r="K477" s="987">
        <v>32</v>
      </c>
      <c r="L477" s="1070">
        <v>2137862</v>
      </c>
      <c r="M477" s="1070">
        <v>0</v>
      </c>
      <c r="N477" s="1070">
        <v>0</v>
      </c>
      <c r="O477" s="1070">
        <v>2137862</v>
      </c>
      <c r="P477" s="1070">
        <v>0</v>
      </c>
      <c r="Q477" s="1070">
        <v>0</v>
      </c>
      <c r="R477" s="1033">
        <f t="shared" si="157"/>
        <v>3403.1550461636421</v>
      </c>
      <c r="S477" s="1271">
        <v>2021</v>
      </c>
      <c r="T477" s="1071" t="s">
        <v>1194</v>
      </c>
    </row>
    <row r="478" spans="1:20" s="992" customFormat="1" ht="40.9" customHeight="1">
      <c r="A478" s="1271">
        <v>26</v>
      </c>
      <c r="B478" s="1014" t="s">
        <v>1562</v>
      </c>
      <c r="C478" s="1271">
        <v>1974</v>
      </c>
      <c r="D478" s="1271"/>
      <c r="E478" s="1271" t="s">
        <v>218</v>
      </c>
      <c r="F478" s="1271">
        <v>2</v>
      </c>
      <c r="G478" s="1271">
        <v>2</v>
      </c>
      <c r="H478" s="1033">
        <v>800.9</v>
      </c>
      <c r="I478" s="1033">
        <v>741.8</v>
      </c>
      <c r="J478" s="1033">
        <v>445.1</v>
      </c>
      <c r="K478" s="987">
        <v>43</v>
      </c>
      <c r="L478" s="1070">
        <v>1709415</v>
      </c>
      <c r="M478" s="1070">
        <v>0</v>
      </c>
      <c r="N478" s="1070">
        <v>0</v>
      </c>
      <c r="O478" s="1070">
        <v>1709415</v>
      </c>
      <c r="P478" s="1070">
        <v>0</v>
      </c>
      <c r="Q478" s="1070">
        <v>0</v>
      </c>
      <c r="R478" s="1033">
        <f t="shared" si="157"/>
        <v>2304.4149366406041</v>
      </c>
      <c r="S478" s="1271">
        <v>2021</v>
      </c>
      <c r="T478" s="1071" t="s">
        <v>1194</v>
      </c>
    </row>
    <row r="479" spans="1:20" s="992" customFormat="1" ht="37.9" customHeight="1">
      <c r="A479" s="1271">
        <v>27</v>
      </c>
      <c r="B479" s="1014" t="s">
        <v>1563</v>
      </c>
      <c r="C479" s="1271">
        <v>1971</v>
      </c>
      <c r="D479" s="1271"/>
      <c r="E479" s="1271" t="s">
        <v>219</v>
      </c>
      <c r="F479" s="1271">
        <v>5</v>
      </c>
      <c r="G479" s="1271">
        <v>4</v>
      </c>
      <c r="H479" s="1033">
        <v>2727.6</v>
      </c>
      <c r="I479" s="1033">
        <v>2699.8</v>
      </c>
      <c r="J479" s="1033">
        <v>2594.6</v>
      </c>
      <c r="K479" s="987">
        <v>125</v>
      </c>
      <c r="L479" s="1070">
        <v>9767666</v>
      </c>
      <c r="M479" s="1070">
        <v>0</v>
      </c>
      <c r="N479" s="1070">
        <v>0</v>
      </c>
      <c r="O479" s="1070">
        <v>9767666</v>
      </c>
      <c r="P479" s="1070">
        <v>0</v>
      </c>
      <c r="Q479" s="1070">
        <v>0</v>
      </c>
      <c r="R479" s="1033">
        <f t="shared" si="157"/>
        <v>3617.9220683013555</v>
      </c>
      <c r="S479" s="1271">
        <v>2021</v>
      </c>
      <c r="T479" s="1071" t="s">
        <v>1194</v>
      </c>
    </row>
    <row r="480" spans="1:20" s="992" customFormat="1" ht="39.6" customHeight="1">
      <c r="A480" s="1271">
        <v>28</v>
      </c>
      <c r="B480" s="1014" t="s">
        <v>1564</v>
      </c>
      <c r="C480" s="1271">
        <v>1970</v>
      </c>
      <c r="D480" s="1271"/>
      <c r="E480" s="1271" t="s">
        <v>219</v>
      </c>
      <c r="F480" s="1271">
        <v>5</v>
      </c>
      <c r="G480" s="1271">
        <v>4</v>
      </c>
      <c r="H480" s="1033">
        <v>3016.1</v>
      </c>
      <c r="I480" s="1033">
        <v>2705.5</v>
      </c>
      <c r="J480" s="1033">
        <v>2600.1999999999998</v>
      </c>
      <c r="K480" s="987">
        <v>118</v>
      </c>
      <c r="L480" s="1070">
        <v>9801988</v>
      </c>
      <c r="M480" s="1070">
        <v>0</v>
      </c>
      <c r="N480" s="1070">
        <v>0</v>
      </c>
      <c r="O480" s="1070">
        <v>9801988</v>
      </c>
      <c r="P480" s="1070">
        <v>0</v>
      </c>
      <c r="Q480" s="1070">
        <v>0</v>
      </c>
      <c r="R480" s="1033">
        <f t="shared" si="157"/>
        <v>3622.985769728331</v>
      </c>
      <c r="S480" s="1271">
        <v>2021</v>
      </c>
      <c r="T480" s="1071" t="s">
        <v>1194</v>
      </c>
    </row>
    <row r="481" spans="1:20" s="992" customFormat="1" ht="43.9" customHeight="1">
      <c r="A481" s="1271">
        <v>29</v>
      </c>
      <c r="B481" s="1014" t="s">
        <v>1565</v>
      </c>
      <c r="C481" s="1271">
        <v>1961</v>
      </c>
      <c r="D481" s="1271"/>
      <c r="E481" s="1271" t="s">
        <v>218</v>
      </c>
      <c r="F481" s="1271">
        <v>4</v>
      </c>
      <c r="G481" s="1271">
        <v>2</v>
      </c>
      <c r="H481" s="1033">
        <v>1379.1</v>
      </c>
      <c r="I481" s="1033">
        <v>1277.7</v>
      </c>
      <c r="J481" s="1033">
        <v>1245.2</v>
      </c>
      <c r="K481" s="987">
        <v>54</v>
      </c>
      <c r="L481" s="1070">
        <v>2704640</v>
      </c>
      <c r="M481" s="1070">
        <v>0</v>
      </c>
      <c r="N481" s="1070">
        <v>0</v>
      </c>
      <c r="O481" s="1070">
        <v>2704640</v>
      </c>
      <c r="P481" s="1070">
        <v>0</v>
      </c>
      <c r="Q481" s="1070">
        <v>0</v>
      </c>
      <c r="R481" s="1033">
        <f t="shared" si="157"/>
        <v>2116.8036315253971</v>
      </c>
      <c r="S481" s="1271">
        <v>2021</v>
      </c>
      <c r="T481" s="1071" t="s">
        <v>1194</v>
      </c>
    </row>
    <row r="482" spans="1:20" s="992" customFormat="1" ht="43.9" customHeight="1">
      <c r="A482" s="1271">
        <v>30</v>
      </c>
      <c r="B482" s="1014" t="s">
        <v>1566</v>
      </c>
      <c r="C482" s="1271">
        <v>1960</v>
      </c>
      <c r="D482" s="1271"/>
      <c r="E482" s="1271" t="s">
        <v>218</v>
      </c>
      <c r="F482" s="1271">
        <v>4</v>
      </c>
      <c r="G482" s="1271">
        <v>2</v>
      </c>
      <c r="H482" s="1033">
        <v>1376.7</v>
      </c>
      <c r="I482" s="1033">
        <v>1289.2</v>
      </c>
      <c r="J482" s="1033">
        <v>1213.8</v>
      </c>
      <c r="K482" s="987">
        <v>53</v>
      </c>
      <c r="L482" s="1070">
        <v>6099267</v>
      </c>
      <c r="M482" s="1070">
        <v>0</v>
      </c>
      <c r="N482" s="1070">
        <v>0</v>
      </c>
      <c r="O482" s="1070">
        <v>6099267</v>
      </c>
      <c r="P482" s="1070">
        <v>0</v>
      </c>
      <c r="Q482" s="1070">
        <v>0</v>
      </c>
      <c r="R482" s="1033">
        <f t="shared" si="157"/>
        <v>4731.0479367049329</v>
      </c>
      <c r="S482" s="1271">
        <v>2021</v>
      </c>
      <c r="T482" s="1071" t="s">
        <v>1194</v>
      </c>
    </row>
    <row r="483" spans="1:20" s="992" customFormat="1" ht="41.45" customHeight="1">
      <c r="A483" s="1271">
        <v>31</v>
      </c>
      <c r="B483" s="1014" t="s">
        <v>340</v>
      </c>
      <c r="C483" s="1271">
        <v>1968</v>
      </c>
      <c r="D483" s="1271"/>
      <c r="E483" s="1271" t="s">
        <v>219</v>
      </c>
      <c r="F483" s="1271">
        <v>5</v>
      </c>
      <c r="G483" s="1271">
        <v>5</v>
      </c>
      <c r="H483" s="1033">
        <v>3421.8</v>
      </c>
      <c r="I483" s="1033">
        <v>3086.4</v>
      </c>
      <c r="J483" s="1033">
        <v>3045</v>
      </c>
      <c r="K483" s="987">
        <v>144</v>
      </c>
      <c r="L483" s="1070">
        <v>13068971</v>
      </c>
      <c r="M483" s="1070">
        <v>0</v>
      </c>
      <c r="N483" s="1070">
        <v>0</v>
      </c>
      <c r="O483" s="1070">
        <v>13068971</v>
      </c>
      <c r="P483" s="1070">
        <v>0</v>
      </c>
      <c r="Q483" s="1070">
        <v>0</v>
      </c>
      <c r="R483" s="1033">
        <f t="shared" si="157"/>
        <v>4234.373703991705</v>
      </c>
      <c r="S483" s="1271">
        <v>2021</v>
      </c>
      <c r="T483" s="1071" t="s">
        <v>1194</v>
      </c>
    </row>
    <row r="484" spans="1:20" s="992" customFormat="1" ht="43.9" customHeight="1">
      <c r="A484" s="1271">
        <v>32</v>
      </c>
      <c r="B484" s="1014" t="s">
        <v>1567</v>
      </c>
      <c r="C484" s="1271">
        <v>1960</v>
      </c>
      <c r="D484" s="1271"/>
      <c r="E484" s="1271" t="s">
        <v>823</v>
      </c>
      <c r="F484" s="1271">
        <v>3</v>
      </c>
      <c r="G484" s="1271">
        <v>2</v>
      </c>
      <c r="H484" s="1033">
        <v>830.8</v>
      </c>
      <c r="I484" s="1033">
        <v>756.5</v>
      </c>
      <c r="J484" s="1033">
        <v>714.7</v>
      </c>
      <c r="K484" s="987">
        <v>26</v>
      </c>
      <c r="L484" s="1070">
        <v>4088256</v>
      </c>
      <c r="M484" s="1070">
        <v>0</v>
      </c>
      <c r="N484" s="1070">
        <v>0</v>
      </c>
      <c r="O484" s="1070">
        <v>4088256</v>
      </c>
      <c r="P484" s="1070">
        <v>0</v>
      </c>
      <c r="Q484" s="1070">
        <v>0</v>
      </c>
      <c r="R484" s="1033">
        <f t="shared" si="157"/>
        <v>5404.1718440185059</v>
      </c>
      <c r="S484" s="1271">
        <v>2021</v>
      </c>
      <c r="T484" s="1071" t="s">
        <v>1194</v>
      </c>
    </row>
    <row r="485" spans="1:20" s="992" customFormat="1" ht="39" customHeight="1">
      <c r="A485" s="1271">
        <v>33</v>
      </c>
      <c r="B485" s="1014" t="s">
        <v>1762</v>
      </c>
      <c r="C485" s="1271">
        <v>1964</v>
      </c>
      <c r="D485" s="1271"/>
      <c r="E485" s="1271" t="s">
        <v>219</v>
      </c>
      <c r="F485" s="1271">
        <v>5</v>
      </c>
      <c r="G485" s="1271">
        <v>4</v>
      </c>
      <c r="H485" s="1033">
        <v>3836.8</v>
      </c>
      <c r="I485" s="1033">
        <v>3559.3</v>
      </c>
      <c r="J485" s="1033">
        <v>3559.3</v>
      </c>
      <c r="K485" s="987">
        <v>150</v>
      </c>
      <c r="L485" s="1070">
        <v>13770490</v>
      </c>
      <c r="M485" s="1070">
        <v>0</v>
      </c>
      <c r="N485" s="1070">
        <v>0</v>
      </c>
      <c r="O485" s="1070">
        <v>13770490</v>
      </c>
      <c r="P485" s="1070">
        <v>0</v>
      </c>
      <c r="Q485" s="1070">
        <v>0</v>
      </c>
      <c r="R485" s="1033">
        <f t="shared" si="157"/>
        <v>3868.8759025651111</v>
      </c>
      <c r="S485" s="1271">
        <v>2021</v>
      </c>
      <c r="T485" s="1071" t="s">
        <v>1194</v>
      </c>
    </row>
    <row r="486" spans="1:20" s="992" customFormat="1" ht="43.9" customHeight="1">
      <c r="A486" s="1271">
        <v>34</v>
      </c>
      <c r="B486" s="1014" t="s">
        <v>1568</v>
      </c>
      <c r="C486" s="1271">
        <v>1959</v>
      </c>
      <c r="D486" s="1271"/>
      <c r="E486" s="1271" t="s">
        <v>218</v>
      </c>
      <c r="F486" s="1271">
        <v>4</v>
      </c>
      <c r="G486" s="1271">
        <v>5</v>
      </c>
      <c r="H486" s="1033">
        <v>3483.7</v>
      </c>
      <c r="I486" s="1033">
        <v>3080.3</v>
      </c>
      <c r="J486" s="1033">
        <v>2956.7</v>
      </c>
      <c r="K486" s="987">
        <v>89</v>
      </c>
      <c r="L486" s="1070">
        <v>4624233</v>
      </c>
      <c r="M486" s="1070">
        <v>0</v>
      </c>
      <c r="N486" s="1070">
        <v>0</v>
      </c>
      <c r="O486" s="1070">
        <v>4624233</v>
      </c>
      <c r="P486" s="1070">
        <v>0</v>
      </c>
      <c r="Q486" s="1070">
        <v>0</v>
      </c>
      <c r="R486" s="1033">
        <f t="shared" si="157"/>
        <v>1501.2281271304741</v>
      </c>
      <c r="S486" s="1271">
        <v>2021</v>
      </c>
      <c r="T486" s="1071" t="s">
        <v>1194</v>
      </c>
    </row>
    <row r="487" spans="1:20" s="992" customFormat="1" ht="42.75" customHeight="1">
      <c r="A487" s="1271">
        <v>35</v>
      </c>
      <c r="B487" s="1014" t="s">
        <v>1569</v>
      </c>
      <c r="C487" s="1271">
        <v>1958</v>
      </c>
      <c r="D487" s="1271"/>
      <c r="E487" s="1271" t="s">
        <v>218</v>
      </c>
      <c r="F487" s="1271">
        <v>2</v>
      </c>
      <c r="G487" s="1271">
        <v>1</v>
      </c>
      <c r="H487" s="1033">
        <v>452.3</v>
      </c>
      <c r="I487" s="1033">
        <v>411.1</v>
      </c>
      <c r="J487" s="1033">
        <v>411.1</v>
      </c>
      <c r="K487" s="987">
        <v>27</v>
      </c>
      <c r="L487" s="1070">
        <v>2635698</v>
      </c>
      <c r="M487" s="1070">
        <v>0</v>
      </c>
      <c r="N487" s="1070">
        <v>0</v>
      </c>
      <c r="O487" s="1070">
        <v>2635698</v>
      </c>
      <c r="P487" s="1070">
        <v>0</v>
      </c>
      <c r="Q487" s="1070">
        <v>0</v>
      </c>
      <c r="R487" s="1033">
        <f t="shared" si="157"/>
        <v>6411.3305765020668</v>
      </c>
      <c r="S487" s="1271">
        <v>2021</v>
      </c>
      <c r="T487" s="1071" t="s">
        <v>1194</v>
      </c>
    </row>
    <row r="488" spans="1:20" s="992" customFormat="1" ht="39" customHeight="1">
      <c r="A488" s="1271">
        <v>36</v>
      </c>
      <c r="B488" s="1014" t="s">
        <v>1667</v>
      </c>
      <c r="C488" s="1271">
        <v>1978</v>
      </c>
      <c r="D488" s="1271"/>
      <c r="E488" s="1271" t="s">
        <v>219</v>
      </c>
      <c r="F488" s="1271">
        <v>9</v>
      </c>
      <c r="G488" s="1271">
        <v>3</v>
      </c>
      <c r="H488" s="1033">
        <v>6422.5</v>
      </c>
      <c r="I488" s="1033">
        <v>5763.5</v>
      </c>
      <c r="J488" s="1033">
        <v>5489.6</v>
      </c>
      <c r="K488" s="987">
        <v>256</v>
      </c>
      <c r="L488" s="1070">
        <v>12613056</v>
      </c>
      <c r="M488" s="1070">
        <v>0</v>
      </c>
      <c r="N488" s="1070">
        <v>0</v>
      </c>
      <c r="O488" s="1070">
        <v>12613056</v>
      </c>
      <c r="P488" s="1070">
        <v>0</v>
      </c>
      <c r="Q488" s="1070">
        <v>0</v>
      </c>
      <c r="R488" s="1033">
        <f t="shared" si="157"/>
        <v>2188.4368873080593</v>
      </c>
      <c r="S488" s="1271">
        <v>2021</v>
      </c>
      <c r="T488" s="1071" t="s">
        <v>1194</v>
      </c>
    </row>
    <row r="489" spans="1:20" s="992" customFormat="1" ht="40.9" customHeight="1">
      <c r="A489" s="1271">
        <v>37</v>
      </c>
      <c r="B489" s="1014" t="s">
        <v>320</v>
      </c>
      <c r="C489" s="1271">
        <v>1982</v>
      </c>
      <c r="D489" s="1271"/>
      <c r="E489" s="1271" t="s">
        <v>219</v>
      </c>
      <c r="F489" s="1271">
        <v>9</v>
      </c>
      <c r="G489" s="1271">
        <v>2</v>
      </c>
      <c r="H489" s="1033">
        <v>7009.1</v>
      </c>
      <c r="I489" s="1033">
        <v>6649.6</v>
      </c>
      <c r="J489" s="1033">
        <v>6247</v>
      </c>
      <c r="K489" s="987">
        <v>240</v>
      </c>
      <c r="L489" s="1070">
        <v>15219000</v>
      </c>
      <c r="M489" s="1070">
        <v>0</v>
      </c>
      <c r="N489" s="1070">
        <v>0</v>
      </c>
      <c r="O489" s="1070">
        <v>15219000</v>
      </c>
      <c r="P489" s="1070">
        <v>0</v>
      </c>
      <c r="Q489" s="1070">
        <v>0</v>
      </c>
      <c r="R489" s="1033">
        <f t="shared" si="157"/>
        <v>2288.7090952839267</v>
      </c>
      <c r="S489" s="1271">
        <v>2021</v>
      </c>
      <c r="T489" s="1071" t="s">
        <v>1194</v>
      </c>
    </row>
    <row r="490" spans="1:20" s="992" customFormat="1" ht="40.15" customHeight="1">
      <c r="A490" s="1271">
        <v>38</v>
      </c>
      <c r="B490" s="1014" t="s">
        <v>2003</v>
      </c>
      <c r="C490" s="1271">
        <v>1959</v>
      </c>
      <c r="D490" s="1271"/>
      <c r="E490" s="1271" t="s">
        <v>218</v>
      </c>
      <c r="F490" s="1271">
        <v>4</v>
      </c>
      <c r="G490" s="1271">
        <v>6</v>
      </c>
      <c r="H490" s="1033">
        <v>4187.8</v>
      </c>
      <c r="I490" s="1033">
        <v>3767.1</v>
      </c>
      <c r="J490" s="1033">
        <v>3446.57</v>
      </c>
      <c r="K490" s="987">
        <v>159</v>
      </c>
      <c r="L490" s="1070">
        <v>12929117</v>
      </c>
      <c r="M490" s="1070">
        <v>0</v>
      </c>
      <c r="N490" s="1070">
        <v>0</v>
      </c>
      <c r="O490" s="1070">
        <v>12929117</v>
      </c>
      <c r="P490" s="1070">
        <v>0</v>
      </c>
      <c r="Q490" s="1070">
        <v>0</v>
      </c>
      <c r="R490" s="1033">
        <f t="shared" si="157"/>
        <v>3432.1140930689389</v>
      </c>
      <c r="S490" s="1271">
        <v>2021</v>
      </c>
      <c r="T490" s="1071" t="s">
        <v>1194</v>
      </c>
    </row>
    <row r="491" spans="1:20" s="992" customFormat="1" ht="40.9" customHeight="1">
      <c r="A491" s="1271">
        <v>39</v>
      </c>
      <c r="B491" s="1014" t="s">
        <v>1570</v>
      </c>
      <c r="C491" s="1271">
        <v>1961</v>
      </c>
      <c r="D491" s="1271"/>
      <c r="E491" s="1271" t="s">
        <v>218</v>
      </c>
      <c r="F491" s="1271">
        <v>5</v>
      </c>
      <c r="G491" s="1271">
        <v>2</v>
      </c>
      <c r="H491" s="1033">
        <v>1816.7</v>
      </c>
      <c r="I491" s="1033">
        <v>1671</v>
      </c>
      <c r="J491" s="1033">
        <v>1182.0999999999999</v>
      </c>
      <c r="K491" s="987">
        <v>50</v>
      </c>
      <c r="L491" s="1070">
        <v>2502998</v>
      </c>
      <c r="M491" s="1070">
        <v>0</v>
      </c>
      <c r="N491" s="1070">
        <v>0</v>
      </c>
      <c r="O491" s="1070">
        <v>2502998</v>
      </c>
      <c r="P491" s="1070">
        <v>0</v>
      </c>
      <c r="Q491" s="1070">
        <v>0</v>
      </c>
      <c r="R491" s="1033">
        <f t="shared" si="157"/>
        <v>1497.9042489527228</v>
      </c>
      <c r="S491" s="1271">
        <v>2021</v>
      </c>
      <c r="T491" s="1071" t="s">
        <v>1194</v>
      </c>
    </row>
    <row r="492" spans="1:20" s="992" customFormat="1" ht="44.45" customHeight="1">
      <c r="A492" s="1271">
        <v>40</v>
      </c>
      <c r="B492" s="1014" t="s">
        <v>1571</v>
      </c>
      <c r="C492" s="1271">
        <v>1953</v>
      </c>
      <c r="D492" s="1271"/>
      <c r="E492" s="1271" t="s">
        <v>218</v>
      </c>
      <c r="F492" s="1271">
        <v>2</v>
      </c>
      <c r="G492" s="1271">
        <v>2</v>
      </c>
      <c r="H492" s="1033">
        <v>903.8</v>
      </c>
      <c r="I492" s="1033">
        <v>835.2</v>
      </c>
      <c r="J492" s="1033">
        <f>I492-45.1</f>
        <v>790.1</v>
      </c>
      <c r="K492" s="987">
        <v>26</v>
      </c>
      <c r="L492" s="1070">
        <v>3524831</v>
      </c>
      <c r="M492" s="1070">
        <v>0</v>
      </c>
      <c r="N492" s="1070">
        <v>0</v>
      </c>
      <c r="O492" s="1070">
        <v>3524831</v>
      </c>
      <c r="P492" s="1070">
        <v>0</v>
      </c>
      <c r="Q492" s="1070">
        <v>0</v>
      </c>
      <c r="R492" s="1033">
        <f t="shared" si="157"/>
        <v>4220.3436302681994</v>
      </c>
      <c r="S492" s="1271">
        <v>2021</v>
      </c>
      <c r="T492" s="1071" t="s">
        <v>1194</v>
      </c>
    </row>
    <row r="493" spans="1:20" s="992" customFormat="1" ht="40.9" customHeight="1">
      <c r="A493" s="1271">
        <v>41</v>
      </c>
      <c r="B493" s="1014" t="s">
        <v>1572</v>
      </c>
      <c r="C493" s="1271">
        <v>1960</v>
      </c>
      <c r="D493" s="1271"/>
      <c r="E493" s="1271" t="s">
        <v>218</v>
      </c>
      <c r="F493" s="1271">
        <v>2</v>
      </c>
      <c r="G493" s="1271">
        <v>1</v>
      </c>
      <c r="H493" s="1033">
        <v>296.10000000000002</v>
      </c>
      <c r="I493" s="1033">
        <v>285.10000000000002</v>
      </c>
      <c r="J493" s="1033">
        <v>246.3</v>
      </c>
      <c r="K493" s="987">
        <v>16</v>
      </c>
      <c r="L493" s="1070">
        <v>2423166</v>
      </c>
      <c r="M493" s="1070">
        <v>0</v>
      </c>
      <c r="N493" s="1070">
        <v>0</v>
      </c>
      <c r="O493" s="1070">
        <v>2423166</v>
      </c>
      <c r="P493" s="1070">
        <v>0</v>
      </c>
      <c r="Q493" s="1070">
        <v>0</v>
      </c>
      <c r="R493" s="1033">
        <f t="shared" si="157"/>
        <v>8499.3546124166951</v>
      </c>
      <c r="S493" s="1271">
        <v>2021</v>
      </c>
      <c r="T493" s="1071" t="s">
        <v>1194</v>
      </c>
    </row>
    <row r="494" spans="1:20" s="992" customFormat="1" ht="40.9" customHeight="1">
      <c r="A494" s="1271">
        <v>42</v>
      </c>
      <c r="B494" s="1014" t="s">
        <v>2216</v>
      </c>
      <c r="C494" s="1271">
        <v>1948</v>
      </c>
      <c r="D494" s="1271"/>
      <c r="E494" s="1271" t="s">
        <v>823</v>
      </c>
      <c r="F494" s="1271">
        <v>2</v>
      </c>
      <c r="G494" s="1271">
        <v>3</v>
      </c>
      <c r="H494" s="1033">
        <v>1324.2</v>
      </c>
      <c r="I494" s="1033">
        <v>1206</v>
      </c>
      <c r="J494" s="1033">
        <v>1093.4000000000001</v>
      </c>
      <c r="K494" s="987">
        <v>60</v>
      </c>
      <c r="L494" s="1070">
        <v>5365249</v>
      </c>
      <c r="M494" s="1070">
        <v>0</v>
      </c>
      <c r="N494" s="1070">
        <v>0</v>
      </c>
      <c r="O494" s="1070">
        <v>5365249</v>
      </c>
      <c r="P494" s="1070">
        <v>0</v>
      </c>
      <c r="Q494" s="1070">
        <v>0</v>
      </c>
      <c r="R494" s="1033">
        <f t="shared" si="157"/>
        <v>4448.7968490878939</v>
      </c>
      <c r="S494" s="1271">
        <v>2021</v>
      </c>
      <c r="T494" s="1071" t="s">
        <v>1194</v>
      </c>
    </row>
    <row r="495" spans="1:20" s="992" customFormat="1" ht="40.15" customHeight="1">
      <c r="A495" s="1271">
        <v>43</v>
      </c>
      <c r="B495" s="1014" t="s">
        <v>1573</v>
      </c>
      <c r="C495" s="1271">
        <v>1953</v>
      </c>
      <c r="D495" s="1271"/>
      <c r="E495" s="1271" t="s">
        <v>218</v>
      </c>
      <c r="F495" s="1271">
        <v>3</v>
      </c>
      <c r="G495" s="1271">
        <v>3</v>
      </c>
      <c r="H495" s="1033">
        <v>2235.3000000000002</v>
      </c>
      <c r="I495" s="1033">
        <v>2026</v>
      </c>
      <c r="J495" s="1033">
        <v>1387.2</v>
      </c>
      <c r="K495" s="987">
        <v>55</v>
      </c>
      <c r="L495" s="1070">
        <v>7579429</v>
      </c>
      <c r="M495" s="1070">
        <v>0</v>
      </c>
      <c r="N495" s="1070">
        <v>0</v>
      </c>
      <c r="O495" s="1070">
        <v>7579429</v>
      </c>
      <c r="P495" s="1070">
        <v>0</v>
      </c>
      <c r="Q495" s="1070">
        <v>0</v>
      </c>
      <c r="R495" s="1033">
        <f t="shared" si="157"/>
        <v>3741.0804540967424</v>
      </c>
      <c r="S495" s="1271">
        <v>2021</v>
      </c>
      <c r="T495" s="1071" t="s">
        <v>1194</v>
      </c>
    </row>
    <row r="496" spans="1:20" s="992" customFormat="1" ht="39.6" customHeight="1">
      <c r="A496" s="1271">
        <v>44</v>
      </c>
      <c r="B496" s="1014" t="s">
        <v>1574</v>
      </c>
      <c r="C496" s="1271">
        <v>1962</v>
      </c>
      <c r="D496" s="1271"/>
      <c r="E496" s="1271" t="s">
        <v>218</v>
      </c>
      <c r="F496" s="1271">
        <v>5</v>
      </c>
      <c r="G496" s="1271">
        <v>2</v>
      </c>
      <c r="H496" s="1033">
        <v>1870.7</v>
      </c>
      <c r="I496" s="1033">
        <v>1754.3</v>
      </c>
      <c r="J496" s="1033">
        <v>1410.6</v>
      </c>
      <c r="K496" s="987">
        <v>62</v>
      </c>
      <c r="L496" s="1070">
        <v>16137541</v>
      </c>
      <c r="M496" s="1070">
        <v>0</v>
      </c>
      <c r="N496" s="1070">
        <v>0</v>
      </c>
      <c r="O496" s="1070">
        <v>16137541</v>
      </c>
      <c r="P496" s="1070">
        <v>0</v>
      </c>
      <c r="Q496" s="1070">
        <v>0</v>
      </c>
      <c r="R496" s="1033">
        <f t="shared" si="157"/>
        <v>9198.8491136065677</v>
      </c>
      <c r="S496" s="1271">
        <v>2021</v>
      </c>
      <c r="T496" s="1071" t="s">
        <v>1194</v>
      </c>
    </row>
    <row r="497" spans="1:20" s="1006" customFormat="1" ht="39.6" customHeight="1">
      <c r="A497" s="1271">
        <v>45</v>
      </c>
      <c r="B497" s="1014" t="s">
        <v>470</v>
      </c>
      <c r="C497" s="1271">
        <v>1984</v>
      </c>
      <c r="D497" s="1271"/>
      <c r="E497" s="1271" t="s">
        <v>219</v>
      </c>
      <c r="F497" s="1271">
        <v>9</v>
      </c>
      <c r="G497" s="1271">
        <v>1</v>
      </c>
      <c r="H497" s="1033">
        <v>3027.7</v>
      </c>
      <c r="I497" s="1033">
        <v>2847.3</v>
      </c>
      <c r="J497" s="1033">
        <v>2551.1</v>
      </c>
      <c r="K497" s="987">
        <v>138</v>
      </c>
      <c r="L497" s="1070">
        <v>6386358</v>
      </c>
      <c r="M497" s="1070">
        <v>0</v>
      </c>
      <c r="N497" s="1070">
        <v>0</v>
      </c>
      <c r="O497" s="1070">
        <v>6386358</v>
      </c>
      <c r="P497" s="1070">
        <v>0</v>
      </c>
      <c r="Q497" s="1070">
        <v>0</v>
      </c>
      <c r="R497" s="1033">
        <f t="shared" si="157"/>
        <v>2242.9522705721206</v>
      </c>
      <c r="S497" s="1271">
        <v>2021</v>
      </c>
      <c r="T497" s="1071" t="s">
        <v>1194</v>
      </c>
    </row>
    <row r="498" spans="1:20" s="1006" customFormat="1" ht="40.15" customHeight="1">
      <c r="A498" s="1271">
        <v>46</v>
      </c>
      <c r="B498" s="1014" t="s">
        <v>1575</v>
      </c>
      <c r="C498" s="1271">
        <v>1986</v>
      </c>
      <c r="D498" s="1271"/>
      <c r="E498" s="1271" t="s">
        <v>219</v>
      </c>
      <c r="F498" s="1271">
        <v>5</v>
      </c>
      <c r="G498" s="1271">
        <v>5</v>
      </c>
      <c r="H498" s="1033">
        <v>4086.8</v>
      </c>
      <c r="I498" s="1033">
        <v>3554.9</v>
      </c>
      <c r="J498" s="1033">
        <v>3289.2</v>
      </c>
      <c r="K498" s="987">
        <v>169</v>
      </c>
      <c r="L498" s="1070">
        <v>5345250</v>
      </c>
      <c r="M498" s="1070">
        <v>0</v>
      </c>
      <c r="N498" s="1070">
        <v>0</v>
      </c>
      <c r="O498" s="1070">
        <v>5345250</v>
      </c>
      <c r="P498" s="1070">
        <v>0</v>
      </c>
      <c r="Q498" s="1070">
        <v>0</v>
      </c>
      <c r="R498" s="1033">
        <f t="shared" si="157"/>
        <v>1503.6287940589045</v>
      </c>
      <c r="S498" s="1271">
        <v>2021</v>
      </c>
      <c r="T498" s="1071" t="s">
        <v>1194</v>
      </c>
    </row>
    <row r="499" spans="1:20" s="1006" customFormat="1" ht="40.9" customHeight="1">
      <c r="A499" s="1271">
        <v>47</v>
      </c>
      <c r="B499" s="1014" t="s">
        <v>315</v>
      </c>
      <c r="C499" s="1271">
        <v>1963</v>
      </c>
      <c r="D499" s="1271"/>
      <c r="E499" s="1271" t="s">
        <v>218</v>
      </c>
      <c r="F499" s="1271">
        <v>4</v>
      </c>
      <c r="G499" s="1271">
        <v>2</v>
      </c>
      <c r="H499" s="1033">
        <v>1383</v>
      </c>
      <c r="I499" s="1033">
        <v>1283.5</v>
      </c>
      <c r="J499" s="1033">
        <v>958.6</v>
      </c>
      <c r="K499" s="987">
        <v>60</v>
      </c>
      <c r="L499" s="1070">
        <v>3334889</v>
      </c>
      <c r="M499" s="1070">
        <v>0</v>
      </c>
      <c r="N499" s="1070">
        <v>0</v>
      </c>
      <c r="O499" s="1070">
        <v>3334889</v>
      </c>
      <c r="P499" s="1070">
        <v>0</v>
      </c>
      <c r="Q499" s="1070">
        <v>0</v>
      </c>
      <c r="R499" s="1033">
        <f t="shared" si="157"/>
        <v>2598.2773665757695</v>
      </c>
      <c r="S499" s="1271">
        <v>2021</v>
      </c>
      <c r="T499" s="1071" t="s">
        <v>1194</v>
      </c>
    </row>
    <row r="500" spans="1:20" s="1006" customFormat="1" ht="42.6" customHeight="1">
      <c r="A500" s="1271">
        <v>48</v>
      </c>
      <c r="B500" s="1014" t="s">
        <v>1576</v>
      </c>
      <c r="C500" s="1271">
        <v>1960</v>
      </c>
      <c r="D500" s="1271"/>
      <c r="E500" s="1271" t="s">
        <v>218</v>
      </c>
      <c r="F500" s="1271">
        <v>5</v>
      </c>
      <c r="G500" s="1271">
        <v>2</v>
      </c>
      <c r="H500" s="1033">
        <v>1762.6</v>
      </c>
      <c r="I500" s="1033">
        <v>1627.2</v>
      </c>
      <c r="J500" s="1033">
        <v>1212.5999999999999</v>
      </c>
      <c r="K500" s="987">
        <v>49</v>
      </c>
      <c r="L500" s="1070">
        <v>3753928</v>
      </c>
      <c r="M500" s="1070">
        <v>0</v>
      </c>
      <c r="N500" s="1070">
        <v>0</v>
      </c>
      <c r="O500" s="1070">
        <v>3753928</v>
      </c>
      <c r="P500" s="1070">
        <v>0</v>
      </c>
      <c r="Q500" s="1070">
        <v>0</v>
      </c>
      <c r="R500" s="1033">
        <f t="shared" si="157"/>
        <v>2306.9862340216323</v>
      </c>
      <c r="S500" s="1271">
        <v>2021</v>
      </c>
      <c r="T500" s="1071" t="s">
        <v>1194</v>
      </c>
    </row>
    <row r="501" spans="1:20" s="1006" customFormat="1" ht="41.45" customHeight="1">
      <c r="A501" s="1271">
        <v>49</v>
      </c>
      <c r="B501" s="1014" t="s">
        <v>253</v>
      </c>
      <c r="C501" s="1271">
        <v>1959</v>
      </c>
      <c r="D501" s="1271"/>
      <c r="E501" s="1271" t="s">
        <v>218</v>
      </c>
      <c r="F501" s="1271">
        <v>2</v>
      </c>
      <c r="G501" s="1271">
        <v>1</v>
      </c>
      <c r="H501" s="1033">
        <v>499</v>
      </c>
      <c r="I501" s="1033">
        <v>457.6</v>
      </c>
      <c r="J501" s="1033">
        <v>404.2</v>
      </c>
      <c r="K501" s="987">
        <v>21</v>
      </c>
      <c r="L501" s="1070">
        <v>1964050</v>
      </c>
      <c r="M501" s="1070">
        <v>0</v>
      </c>
      <c r="N501" s="1070">
        <v>0</v>
      </c>
      <c r="O501" s="1070">
        <v>1964050</v>
      </c>
      <c r="P501" s="1070">
        <v>0</v>
      </c>
      <c r="Q501" s="1070">
        <v>0</v>
      </c>
      <c r="R501" s="1033">
        <f t="shared" si="157"/>
        <v>4292.0673076923076</v>
      </c>
      <c r="S501" s="1271">
        <v>2021</v>
      </c>
      <c r="T501" s="1071" t="s">
        <v>1194</v>
      </c>
    </row>
    <row r="502" spans="1:20" s="1006" customFormat="1" ht="44.45" customHeight="1">
      <c r="A502" s="1271">
        <v>50</v>
      </c>
      <c r="B502" s="1014" t="s">
        <v>1577</v>
      </c>
      <c r="C502" s="1271">
        <v>1965</v>
      </c>
      <c r="D502" s="1271"/>
      <c r="E502" s="1271" t="s">
        <v>218</v>
      </c>
      <c r="F502" s="1271">
        <v>5</v>
      </c>
      <c r="G502" s="1271">
        <v>4</v>
      </c>
      <c r="H502" s="1033">
        <v>3256.4</v>
      </c>
      <c r="I502" s="1033">
        <v>3194.1</v>
      </c>
      <c r="J502" s="1033">
        <v>3194.1</v>
      </c>
      <c r="K502" s="987">
        <v>140</v>
      </c>
      <c r="L502" s="1070">
        <v>8146211</v>
      </c>
      <c r="M502" s="1070">
        <v>0</v>
      </c>
      <c r="N502" s="1070">
        <v>0</v>
      </c>
      <c r="O502" s="1070">
        <v>8146211</v>
      </c>
      <c r="P502" s="1070">
        <v>0</v>
      </c>
      <c r="Q502" s="1070">
        <v>0</v>
      </c>
      <c r="R502" s="1033">
        <f t="shared" si="157"/>
        <v>2550.3932250086095</v>
      </c>
      <c r="S502" s="1271">
        <v>2021</v>
      </c>
      <c r="T502" s="1071" t="s">
        <v>1194</v>
      </c>
    </row>
    <row r="503" spans="1:20" s="992" customFormat="1" ht="40.9" customHeight="1">
      <c r="A503" s="1271">
        <v>51</v>
      </c>
      <c r="B503" s="1014" t="s">
        <v>1578</v>
      </c>
      <c r="C503" s="1271">
        <v>1963</v>
      </c>
      <c r="D503" s="1271"/>
      <c r="E503" s="1271" t="s">
        <v>218</v>
      </c>
      <c r="F503" s="1271">
        <v>4</v>
      </c>
      <c r="G503" s="1271">
        <v>4</v>
      </c>
      <c r="H503" s="1033">
        <v>2674.2</v>
      </c>
      <c r="I503" s="1033">
        <v>2572.4</v>
      </c>
      <c r="J503" s="1033">
        <v>2530.3000000000002</v>
      </c>
      <c r="K503" s="987">
        <v>129</v>
      </c>
      <c r="L503" s="1070">
        <v>5436704</v>
      </c>
      <c r="M503" s="1070">
        <v>0</v>
      </c>
      <c r="N503" s="1070">
        <v>0</v>
      </c>
      <c r="O503" s="1070">
        <v>5436704</v>
      </c>
      <c r="P503" s="1070">
        <v>0</v>
      </c>
      <c r="Q503" s="1070">
        <v>0</v>
      </c>
      <c r="R503" s="1033">
        <f t="shared" si="157"/>
        <v>2113.4753537552479</v>
      </c>
      <c r="S503" s="1271">
        <v>2021</v>
      </c>
      <c r="T503" s="1071" t="s">
        <v>1194</v>
      </c>
    </row>
    <row r="504" spans="1:20" s="992" customFormat="1" ht="43.15" customHeight="1">
      <c r="A504" s="1271">
        <v>52</v>
      </c>
      <c r="B504" s="1014" t="s">
        <v>1579</v>
      </c>
      <c r="C504" s="1271">
        <v>1961</v>
      </c>
      <c r="D504" s="1271"/>
      <c r="E504" s="1271" t="s">
        <v>218</v>
      </c>
      <c r="F504" s="1271">
        <v>4</v>
      </c>
      <c r="G504" s="1271">
        <v>3</v>
      </c>
      <c r="H504" s="1033">
        <v>2325.4</v>
      </c>
      <c r="I504" s="1033">
        <v>2168.1999999999998</v>
      </c>
      <c r="J504" s="1033">
        <v>1412.5</v>
      </c>
      <c r="K504" s="987">
        <v>68</v>
      </c>
      <c r="L504" s="1070">
        <v>15288517</v>
      </c>
      <c r="M504" s="1070">
        <v>0</v>
      </c>
      <c r="N504" s="1070">
        <v>0</v>
      </c>
      <c r="O504" s="1070">
        <v>15288517</v>
      </c>
      <c r="P504" s="1070">
        <v>0</v>
      </c>
      <c r="Q504" s="1070">
        <v>0</v>
      </c>
      <c r="R504" s="1033">
        <f t="shared" si="157"/>
        <v>7051.2485010607879</v>
      </c>
      <c r="S504" s="1271">
        <v>2021</v>
      </c>
      <c r="T504" s="1071" t="s">
        <v>1194</v>
      </c>
    </row>
    <row r="505" spans="1:20" s="992" customFormat="1" ht="39.6" customHeight="1">
      <c r="A505" s="1271">
        <v>53</v>
      </c>
      <c r="B505" s="1014" t="s">
        <v>282</v>
      </c>
      <c r="C505" s="1271">
        <v>1948</v>
      </c>
      <c r="D505" s="1072"/>
      <c r="E505" s="1271" t="s">
        <v>823</v>
      </c>
      <c r="F505" s="1271">
        <v>2</v>
      </c>
      <c r="G505" s="1271">
        <v>3</v>
      </c>
      <c r="H505" s="1033">
        <v>1341.7</v>
      </c>
      <c r="I505" s="1033">
        <v>1221.7</v>
      </c>
      <c r="J505" s="1033">
        <v>953</v>
      </c>
      <c r="K505" s="987">
        <v>54</v>
      </c>
      <c r="L505" s="1070">
        <v>1834028</v>
      </c>
      <c r="M505" s="1070">
        <v>0</v>
      </c>
      <c r="N505" s="1070">
        <v>0</v>
      </c>
      <c r="O505" s="1070">
        <v>1834028</v>
      </c>
      <c r="P505" s="1070">
        <v>0</v>
      </c>
      <c r="Q505" s="1070">
        <v>0</v>
      </c>
      <c r="R505" s="1033">
        <f t="shared" si="157"/>
        <v>1501.2097896373905</v>
      </c>
      <c r="S505" s="1271">
        <v>2021</v>
      </c>
      <c r="T505" s="1071" t="s">
        <v>1194</v>
      </c>
    </row>
    <row r="506" spans="1:20" s="992" customFormat="1" ht="40.9" customHeight="1">
      <c r="A506" s="1271">
        <v>54</v>
      </c>
      <c r="B506" s="1014" t="s">
        <v>347</v>
      </c>
      <c r="C506" s="1271">
        <v>1959</v>
      </c>
      <c r="D506" s="1271"/>
      <c r="E506" s="1271" t="s">
        <v>218</v>
      </c>
      <c r="F506" s="1271">
        <v>2</v>
      </c>
      <c r="G506" s="1271">
        <v>1</v>
      </c>
      <c r="H506" s="1033">
        <v>444.7</v>
      </c>
      <c r="I506" s="1033">
        <v>402.2</v>
      </c>
      <c r="J506" s="1033">
        <v>402.2</v>
      </c>
      <c r="K506" s="987">
        <v>23</v>
      </c>
      <c r="L506" s="1070">
        <v>1702263</v>
      </c>
      <c r="M506" s="1070">
        <v>0</v>
      </c>
      <c r="N506" s="1070">
        <v>0</v>
      </c>
      <c r="O506" s="1070">
        <v>1702263</v>
      </c>
      <c r="P506" s="1070">
        <v>0</v>
      </c>
      <c r="Q506" s="1070">
        <v>0</v>
      </c>
      <c r="R506" s="1033">
        <f t="shared" si="157"/>
        <v>4232.3794132272506</v>
      </c>
      <c r="S506" s="1271">
        <v>2021</v>
      </c>
      <c r="T506" s="1071" t="s">
        <v>1194</v>
      </c>
    </row>
    <row r="507" spans="1:20" s="992" customFormat="1" ht="43.9" customHeight="1">
      <c r="A507" s="1271">
        <v>55</v>
      </c>
      <c r="B507" s="1272" t="s">
        <v>2004</v>
      </c>
      <c r="C507" s="1279">
        <v>1989</v>
      </c>
      <c r="D507" s="1279"/>
      <c r="E507" s="1271" t="s">
        <v>219</v>
      </c>
      <c r="F507" s="1279">
        <v>9</v>
      </c>
      <c r="G507" s="1279">
        <v>5</v>
      </c>
      <c r="H507" s="1078">
        <v>11828.8</v>
      </c>
      <c r="I507" s="1078">
        <v>10514.3</v>
      </c>
      <c r="J507" s="1078">
        <f>I507-740</f>
        <v>9774.2999999999993</v>
      </c>
      <c r="K507" s="1064">
        <v>515</v>
      </c>
      <c r="L507" s="1217">
        <v>13748049.279999999</v>
      </c>
      <c r="M507" s="1218">
        <v>0</v>
      </c>
      <c r="N507" s="1218">
        <v>0</v>
      </c>
      <c r="O507" s="1217">
        <f>L507</f>
        <v>13748049.279999999</v>
      </c>
      <c r="P507" s="1218">
        <v>0</v>
      </c>
      <c r="Q507" s="1218">
        <v>0</v>
      </c>
      <c r="R507" s="1078">
        <f t="shared" si="157"/>
        <v>1307.557258210247</v>
      </c>
      <c r="S507" s="1271">
        <v>2021</v>
      </c>
      <c r="T507" s="1071" t="s">
        <v>1194</v>
      </c>
    </row>
    <row r="508" spans="1:20" s="992" customFormat="1" ht="40.9" customHeight="1">
      <c r="A508" s="1271">
        <v>56</v>
      </c>
      <c r="B508" s="1272" t="s">
        <v>2217</v>
      </c>
      <c r="C508" s="1279">
        <v>1982</v>
      </c>
      <c r="D508" s="1279"/>
      <c r="E508" s="1271" t="s">
        <v>219</v>
      </c>
      <c r="F508" s="1279">
        <v>9</v>
      </c>
      <c r="G508" s="1279">
        <v>2</v>
      </c>
      <c r="H508" s="1078">
        <v>4292.1000000000004</v>
      </c>
      <c r="I508" s="1078">
        <v>3860.4</v>
      </c>
      <c r="J508" s="1078">
        <v>3054.3</v>
      </c>
      <c r="K508" s="1064">
        <v>148</v>
      </c>
      <c r="L508" s="1217">
        <v>5499219.71</v>
      </c>
      <c r="M508" s="1218">
        <v>0</v>
      </c>
      <c r="N508" s="1218">
        <v>0</v>
      </c>
      <c r="O508" s="1217">
        <f t="shared" ref="O508:O517" si="158">L508</f>
        <v>5499219.71</v>
      </c>
      <c r="P508" s="1218">
        <v>0</v>
      </c>
      <c r="Q508" s="1218">
        <v>0</v>
      </c>
      <c r="R508" s="1078">
        <f t="shared" si="157"/>
        <v>1424.5206999274685</v>
      </c>
      <c r="S508" s="1271">
        <v>2021</v>
      </c>
      <c r="T508" s="1071" t="s">
        <v>1194</v>
      </c>
    </row>
    <row r="509" spans="1:20" s="992" customFormat="1" ht="36" customHeight="1">
      <c r="A509" s="1271">
        <v>57</v>
      </c>
      <c r="B509" s="1272" t="s">
        <v>2005</v>
      </c>
      <c r="C509" s="1279">
        <v>1986</v>
      </c>
      <c r="D509" s="1279"/>
      <c r="E509" s="1271" t="s">
        <v>219</v>
      </c>
      <c r="F509" s="1279">
        <v>9</v>
      </c>
      <c r="G509" s="1279">
        <v>5</v>
      </c>
      <c r="H509" s="1078">
        <v>9814.7999999999993</v>
      </c>
      <c r="I509" s="1078">
        <v>9759.2999999999993</v>
      </c>
      <c r="J509" s="1078">
        <f>I509-245.8</f>
        <v>9513.5</v>
      </c>
      <c r="K509" s="1064">
        <v>427</v>
      </c>
      <c r="L509" s="1217">
        <v>13748049.279999999</v>
      </c>
      <c r="M509" s="1218">
        <v>0</v>
      </c>
      <c r="N509" s="1218">
        <v>0</v>
      </c>
      <c r="O509" s="1217">
        <f t="shared" si="158"/>
        <v>13748049.279999999</v>
      </c>
      <c r="P509" s="1218">
        <v>0</v>
      </c>
      <c r="Q509" s="1218">
        <v>0</v>
      </c>
      <c r="R509" s="1078">
        <f t="shared" si="157"/>
        <v>1408.7126412755013</v>
      </c>
      <c r="S509" s="1271">
        <v>2021</v>
      </c>
      <c r="T509" s="1071" t="s">
        <v>1194</v>
      </c>
    </row>
    <row r="510" spans="1:20" s="992" customFormat="1" ht="40.15" customHeight="1">
      <c r="A510" s="1271">
        <v>58</v>
      </c>
      <c r="B510" s="1272" t="s">
        <v>2218</v>
      </c>
      <c r="C510" s="1279">
        <v>1984</v>
      </c>
      <c r="D510" s="1279"/>
      <c r="E510" s="1271" t="s">
        <v>219</v>
      </c>
      <c r="F510" s="1279">
        <v>9</v>
      </c>
      <c r="G510" s="1279">
        <v>1</v>
      </c>
      <c r="H510" s="1078">
        <v>1942.7</v>
      </c>
      <c r="I510" s="1078">
        <v>1931.6</v>
      </c>
      <c r="J510" s="1078">
        <v>1762</v>
      </c>
      <c r="K510" s="1064">
        <v>87</v>
      </c>
      <c r="L510" s="1217">
        <v>2749609.86</v>
      </c>
      <c r="M510" s="1218">
        <v>0</v>
      </c>
      <c r="N510" s="1218">
        <v>0</v>
      </c>
      <c r="O510" s="1217">
        <f t="shared" si="158"/>
        <v>2749609.86</v>
      </c>
      <c r="P510" s="1218">
        <v>0</v>
      </c>
      <c r="Q510" s="1218">
        <v>0</v>
      </c>
      <c r="R510" s="1078">
        <f t="shared" si="157"/>
        <v>1423.4882273762685</v>
      </c>
      <c r="S510" s="1271">
        <v>2021</v>
      </c>
      <c r="T510" s="1071" t="s">
        <v>1194</v>
      </c>
    </row>
    <row r="511" spans="1:20" s="992" customFormat="1" ht="41.45" customHeight="1">
      <c r="A511" s="1271">
        <v>59</v>
      </c>
      <c r="B511" s="1272" t="s">
        <v>2219</v>
      </c>
      <c r="C511" s="1279">
        <v>1978</v>
      </c>
      <c r="D511" s="1279"/>
      <c r="E511" s="1271" t="s">
        <v>219</v>
      </c>
      <c r="F511" s="1279">
        <v>9</v>
      </c>
      <c r="G511" s="1279">
        <v>3</v>
      </c>
      <c r="H511" s="1078">
        <v>5576.3</v>
      </c>
      <c r="I511" s="1078">
        <v>5559.8</v>
      </c>
      <c r="J511" s="1078">
        <v>4987.3</v>
      </c>
      <c r="K511" s="1064">
        <v>219</v>
      </c>
      <c r="L511" s="1217">
        <v>8248829.5700000003</v>
      </c>
      <c r="M511" s="1218">
        <v>0</v>
      </c>
      <c r="N511" s="1218">
        <v>0</v>
      </c>
      <c r="O511" s="1217">
        <f t="shared" si="158"/>
        <v>8248829.5700000003</v>
      </c>
      <c r="P511" s="1218">
        <v>0</v>
      </c>
      <c r="Q511" s="1218">
        <v>0</v>
      </c>
      <c r="R511" s="1078">
        <f t="shared" si="157"/>
        <v>1483.6558095614951</v>
      </c>
      <c r="S511" s="1271">
        <v>2021</v>
      </c>
      <c r="T511" s="1071" t="s">
        <v>1194</v>
      </c>
    </row>
    <row r="512" spans="1:20" s="992" customFormat="1" ht="42.6" customHeight="1">
      <c r="A512" s="1271">
        <v>60</v>
      </c>
      <c r="B512" s="1272" t="s">
        <v>2220</v>
      </c>
      <c r="C512" s="1279">
        <v>1979</v>
      </c>
      <c r="D512" s="1279"/>
      <c r="E512" s="1271" t="s">
        <v>219</v>
      </c>
      <c r="F512" s="1279">
        <v>9</v>
      </c>
      <c r="G512" s="1279">
        <v>1</v>
      </c>
      <c r="H512" s="1078">
        <v>2227.3000000000002</v>
      </c>
      <c r="I512" s="1078">
        <v>1983.8</v>
      </c>
      <c r="J512" s="1078">
        <v>1544.2</v>
      </c>
      <c r="K512" s="1064">
        <v>82</v>
      </c>
      <c r="L512" s="1217">
        <v>2749609.86</v>
      </c>
      <c r="M512" s="1218">
        <v>0</v>
      </c>
      <c r="N512" s="1218">
        <v>0</v>
      </c>
      <c r="O512" s="1217">
        <f t="shared" si="158"/>
        <v>2749609.86</v>
      </c>
      <c r="P512" s="1218">
        <v>0</v>
      </c>
      <c r="Q512" s="1218">
        <v>0</v>
      </c>
      <c r="R512" s="1078">
        <f t="shared" si="157"/>
        <v>1386.0317874785765</v>
      </c>
      <c r="S512" s="1271">
        <v>2021</v>
      </c>
      <c r="T512" s="1071" t="s">
        <v>1194</v>
      </c>
    </row>
    <row r="513" spans="1:20" s="992" customFormat="1" ht="44.45" customHeight="1">
      <c r="A513" s="1271">
        <v>61</v>
      </c>
      <c r="B513" s="1272" t="s">
        <v>2006</v>
      </c>
      <c r="C513" s="1279">
        <v>1989</v>
      </c>
      <c r="D513" s="1279"/>
      <c r="E513" s="1271" t="s">
        <v>219</v>
      </c>
      <c r="F513" s="1279">
        <v>9</v>
      </c>
      <c r="G513" s="1279">
        <v>4</v>
      </c>
      <c r="H513" s="1078">
        <v>9037.2999999999993</v>
      </c>
      <c r="I513" s="1078">
        <v>8132.8</v>
      </c>
      <c r="J513" s="1078">
        <v>7598.3</v>
      </c>
      <c r="K513" s="1064">
        <v>277</v>
      </c>
      <c r="L513" s="1217">
        <v>10998439.42</v>
      </c>
      <c r="M513" s="1218">
        <v>0</v>
      </c>
      <c r="N513" s="1218">
        <v>0</v>
      </c>
      <c r="O513" s="1217">
        <f t="shared" si="158"/>
        <v>10998439.42</v>
      </c>
      <c r="P513" s="1218">
        <v>0</v>
      </c>
      <c r="Q513" s="1218">
        <v>0</v>
      </c>
      <c r="R513" s="1078">
        <f t="shared" si="157"/>
        <v>1352.3558208734999</v>
      </c>
      <c r="S513" s="1271">
        <v>2021</v>
      </c>
      <c r="T513" s="1071" t="s">
        <v>1194</v>
      </c>
    </row>
    <row r="514" spans="1:20" s="992" customFormat="1" ht="42" customHeight="1">
      <c r="A514" s="1271">
        <v>62</v>
      </c>
      <c r="B514" s="1272" t="s">
        <v>2007</v>
      </c>
      <c r="C514" s="1279">
        <v>1987</v>
      </c>
      <c r="D514" s="1279"/>
      <c r="E514" s="1271" t="s">
        <v>219</v>
      </c>
      <c r="F514" s="1022" t="s">
        <v>2023</v>
      </c>
      <c r="G514" s="1279">
        <v>10</v>
      </c>
      <c r="H514" s="1078">
        <v>11346.8</v>
      </c>
      <c r="I514" s="1078">
        <v>10316.6</v>
      </c>
      <c r="J514" s="1078">
        <v>8569.4</v>
      </c>
      <c r="K514" s="1064">
        <v>322</v>
      </c>
      <c r="L514" s="1217">
        <v>5499219.71</v>
      </c>
      <c r="M514" s="1218">
        <v>0</v>
      </c>
      <c r="N514" s="1218">
        <v>0</v>
      </c>
      <c r="O514" s="1217">
        <f t="shared" si="158"/>
        <v>5499219.71</v>
      </c>
      <c r="P514" s="1218">
        <v>0</v>
      </c>
      <c r="Q514" s="1218">
        <v>0</v>
      </c>
      <c r="R514" s="1078">
        <f t="shared" si="157"/>
        <v>533.04574278347513</v>
      </c>
      <c r="S514" s="1271">
        <v>2021</v>
      </c>
      <c r="T514" s="1071" t="s">
        <v>1194</v>
      </c>
    </row>
    <row r="515" spans="1:20" s="992" customFormat="1" ht="42" customHeight="1">
      <c r="A515" s="1271">
        <v>63</v>
      </c>
      <c r="B515" s="1272" t="s">
        <v>2221</v>
      </c>
      <c r="C515" s="1279">
        <v>1993</v>
      </c>
      <c r="D515" s="1279"/>
      <c r="E515" s="1271" t="s">
        <v>219</v>
      </c>
      <c r="F515" s="1279">
        <v>9</v>
      </c>
      <c r="G515" s="1279">
        <v>1</v>
      </c>
      <c r="H515" s="1078">
        <v>4580</v>
      </c>
      <c r="I515" s="1078">
        <v>3822.5</v>
      </c>
      <c r="J515" s="1078">
        <v>3798.9</v>
      </c>
      <c r="K515" s="1064">
        <v>123</v>
      </c>
      <c r="L515" s="1217">
        <v>2749609.86</v>
      </c>
      <c r="M515" s="1218">
        <v>0</v>
      </c>
      <c r="N515" s="1218">
        <v>0</v>
      </c>
      <c r="O515" s="1217">
        <f t="shared" si="158"/>
        <v>2749609.86</v>
      </c>
      <c r="P515" s="1218">
        <v>0</v>
      </c>
      <c r="Q515" s="1218">
        <v>0</v>
      </c>
      <c r="R515" s="1078">
        <f t="shared" si="157"/>
        <v>719.32239633747542</v>
      </c>
      <c r="S515" s="1271">
        <v>2021</v>
      </c>
      <c r="T515" s="1071" t="s">
        <v>1194</v>
      </c>
    </row>
    <row r="516" spans="1:20" s="992" customFormat="1" ht="41.45" customHeight="1">
      <c r="A516" s="1271">
        <v>64</v>
      </c>
      <c r="B516" s="1272" t="s">
        <v>2008</v>
      </c>
      <c r="C516" s="1279">
        <v>1990</v>
      </c>
      <c r="D516" s="1279"/>
      <c r="E516" s="1271" t="s">
        <v>219</v>
      </c>
      <c r="F516" s="1279">
        <v>9</v>
      </c>
      <c r="G516" s="1279">
        <v>4</v>
      </c>
      <c r="H516" s="1078">
        <v>9004.5</v>
      </c>
      <c r="I516" s="1078">
        <v>8096.1</v>
      </c>
      <c r="J516" s="1078">
        <v>7544.2</v>
      </c>
      <c r="K516" s="1064">
        <v>311</v>
      </c>
      <c r="L516" s="1217">
        <v>10998439.42</v>
      </c>
      <c r="M516" s="1218">
        <v>0</v>
      </c>
      <c r="N516" s="1218">
        <v>0</v>
      </c>
      <c r="O516" s="1217">
        <f t="shared" si="158"/>
        <v>10998439.42</v>
      </c>
      <c r="P516" s="1218">
        <v>0</v>
      </c>
      <c r="Q516" s="1218">
        <v>0</v>
      </c>
      <c r="R516" s="1078">
        <f t="shared" si="157"/>
        <v>1358.4861130667853</v>
      </c>
      <c r="S516" s="1271">
        <v>2021</v>
      </c>
      <c r="T516" s="1071" t="s">
        <v>1194</v>
      </c>
    </row>
    <row r="517" spans="1:20" s="992" customFormat="1" ht="40.15" customHeight="1">
      <c r="A517" s="1271">
        <v>65</v>
      </c>
      <c r="B517" s="1272" t="s">
        <v>2222</v>
      </c>
      <c r="C517" s="1279">
        <v>1992</v>
      </c>
      <c r="D517" s="1279"/>
      <c r="E517" s="1271" t="s">
        <v>219</v>
      </c>
      <c r="F517" s="1279">
        <v>9</v>
      </c>
      <c r="G517" s="1279">
        <v>1</v>
      </c>
      <c r="H517" s="1078">
        <v>4783.5</v>
      </c>
      <c r="I517" s="1078">
        <v>3816</v>
      </c>
      <c r="J517" s="1078">
        <v>3745.3</v>
      </c>
      <c r="K517" s="1064">
        <v>109</v>
      </c>
      <c r="L517" s="1217">
        <v>2749609.86</v>
      </c>
      <c r="M517" s="1218">
        <v>0</v>
      </c>
      <c r="N517" s="1218">
        <v>0</v>
      </c>
      <c r="O517" s="1217">
        <f t="shared" si="158"/>
        <v>2749609.86</v>
      </c>
      <c r="P517" s="1218">
        <v>0</v>
      </c>
      <c r="Q517" s="1218">
        <v>0</v>
      </c>
      <c r="R517" s="1078">
        <f>L517/I517</f>
        <v>720.54765723270441</v>
      </c>
      <c r="S517" s="1271">
        <v>2021</v>
      </c>
      <c r="T517" s="1071" t="s">
        <v>1194</v>
      </c>
    </row>
    <row r="518" spans="1:20" s="992" customFormat="1" ht="42" customHeight="1">
      <c r="A518" s="1282"/>
      <c r="B518" s="1392" t="s">
        <v>1393</v>
      </c>
      <c r="C518" s="1392"/>
      <c r="D518" s="1392"/>
      <c r="E518" s="1392"/>
      <c r="F518" s="1392"/>
      <c r="G518" s="1392"/>
      <c r="H518" s="1035">
        <f>SUM(H519:H535)+H536+H537+H538</f>
        <v>33501</v>
      </c>
      <c r="I518" s="1035">
        <f t="shared" ref="I518:Q518" si="159">SUM(I519:I535)+I536+I537+I538</f>
        <v>33287.600000000006</v>
      </c>
      <c r="J518" s="1035">
        <f t="shared" si="159"/>
        <v>23425.75</v>
      </c>
      <c r="K518" s="1064">
        <f t="shared" si="159"/>
        <v>1315</v>
      </c>
      <c r="L518" s="1035">
        <f t="shared" si="159"/>
        <v>45394745.069999993</v>
      </c>
      <c r="M518" s="1035">
        <f t="shared" si="159"/>
        <v>0</v>
      </c>
      <c r="N518" s="1035">
        <f t="shared" si="159"/>
        <v>0</v>
      </c>
      <c r="O518" s="1035">
        <f t="shared" si="159"/>
        <v>45394745.069999993</v>
      </c>
      <c r="P518" s="1035">
        <f t="shared" si="159"/>
        <v>0</v>
      </c>
      <c r="Q518" s="1035">
        <f t="shared" si="159"/>
        <v>0</v>
      </c>
      <c r="R518" s="991" t="s">
        <v>40</v>
      </c>
      <c r="S518" s="991" t="s">
        <v>40</v>
      </c>
      <c r="T518" s="991" t="s">
        <v>40</v>
      </c>
    </row>
    <row r="519" spans="1:20" s="992" customFormat="1" ht="42" customHeight="1">
      <c r="A519" s="1031">
        <v>66</v>
      </c>
      <c r="B519" s="1041" t="s">
        <v>2883</v>
      </c>
      <c r="C519" s="1032">
        <v>1953</v>
      </c>
      <c r="D519" s="1032"/>
      <c r="E519" s="1271" t="s">
        <v>218</v>
      </c>
      <c r="F519" s="1032">
        <v>2</v>
      </c>
      <c r="G519" s="1032">
        <v>1</v>
      </c>
      <c r="H519" s="1074">
        <v>483.4</v>
      </c>
      <c r="I519" s="1074">
        <v>483.4</v>
      </c>
      <c r="J519" s="1074">
        <v>483.4</v>
      </c>
      <c r="K519" s="1068">
        <v>26</v>
      </c>
      <c r="L519" s="1074">
        <v>1441926.45</v>
      </c>
      <c r="M519" s="985">
        <v>0</v>
      </c>
      <c r="N519" s="985">
        <v>0</v>
      </c>
      <c r="O519" s="1074">
        <f>L519</f>
        <v>1441926.45</v>
      </c>
      <c r="P519" s="985">
        <v>0</v>
      </c>
      <c r="Q519" s="985">
        <v>0</v>
      </c>
      <c r="R519" s="1074">
        <f>L519/I519</f>
        <v>2982.8846710798512</v>
      </c>
      <c r="S519" s="1032">
        <v>2021</v>
      </c>
      <c r="T519" s="1032">
        <v>2022</v>
      </c>
    </row>
    <row r="520" spans="1:20" s="992" customFormat="1" ht="42" customHeight="1">
      <c r="A520" s="1031">
        <v>67</v>
      </c>
      <c r="B520" s="1041" t="s">
        <v>2884</v>
      </c>
      <c r="C520" s="1032">
        <v>1937</v>
      </c>
      <c r="D520" s="1032"/>
      <c r="E520" s="1032" t="s">
        <v>221</v>
      </c>
      <c r="F520" s="1032">
        <v>2</v>
      </c>
      <c r="G520" s="1032">
        <v>1</v>
      </c>
      <c r="H520" s="1074">
        <v>299.39999999999998</v>
      </c>
      <c r="I520" s="1074">
        <v>299.39999999999998</v>
      </c>
      <c r="J520" s="1074">
        <v>236.37</v>
      </c>
      <c r="K520" s="1068">
        <v>18</v>
      </c>
      <c r="L520" s="1074">
        <v>536947.63</v>
      </c>
      <c r="M520" s="985">
        <v>0</v>
      </c>
      <c r="N520" s="985">
        <v>0</v>
      </c>
      <c r="O520" s="1074">
        <f t="shared" ref="O520:O538" si="160">L520</f>
        <v>536947.63</v>
      </c>
      <c r="P520" s="985">
        <v>0</v>
      </c>
      <c r="Q520" s="985">
        <v>0</v>
      </c>
      <c r="R520" s="1074">
        <f t="shared" ref="R520:R536" si="161">L520/I520</f>
        <v>1793.4122578490314</v>
      </c>
      <c r="S520" s="1032">
        <v>2021</v>
      </c>
      <c r="T520" s="1032">
        <v>2022</v>
      </c>
    </row>
    <row r="521" spans="1:20" s="1006" customFormat="1" ht="39" customHeight="1">
      <c r="A521" s="1031">
        <v>68</v>
      </c>
      <c r="B521" s="1041" t="s">
        <v>2885</v>
      </c>
      <c r="C521" s="1032">
        <v>1951</v>
      </c>
      <c r="D521" s="1032"/>
      <c r="E521" s="1032" t="s">
        <v>221</v>
      </c>
      <c r="F521" s="1032">
        <v>2</v>
      </c>
      <c r="G521" s="1032">
        <v>2</v>
      </c>
      <c r="H521" s="1074">
        <v>307.60000000000002</v>
      </c>
      <c r="I521" s="1074">
        <v>307.60000000000002</v>
      </c>
      <c r="J521" s="1074">
        <v>222.88</v>
      </c>
      <c r="K521" s="1068">
        <v>15</v>
      </c>
      <c r="L521" s="1074">
        <v>804526.11</v>
      </c>
      <c r="M521" s="985">
        <v>0</v>
      </c>
      <c r="N521" s="985">
        <v>0</v>
      </c>
      <c r="O521" s="1074">
        <f t="shared" si="160"/>
        <v>804526.11</v>
      </c>
      <c r="P521" s="985">
        <v>0</v>
      </c>
      <c r="Q521" s="985">
        <v>0</v>
      </c>
      <c r="R521" s="1074">
        <f t="shared" si="161"/>
        <v>2615.4945058517551</v>
      </c>
      <c r="S521" s="1032">
        <v>2021</v>
      </c>
      <c r="T521" s="1032">
        <v>2022</v>
      </c>
    </row>
    <row r="522" spans="1:20" s="1055" customFormat="1" ht="40.15" customHeight="1">
      <c r="A522" s="1031">
        <v>69</v>
      </c>
      <c r="B522" s="1041" t="s">
        <v>2886</v>
      </c>
      <c r="C522" s="1032">
        <v>1969</v>
      </c>
      <c r="D522" s="1032"/>
      <c r="E522" s="1271" t="s">
        <v>218</v>
      </c>
      <c r="F522" s="1032">
        <v>5</v>
      </c>
      <c r="G522" s="1032">
        <v>4</v>
      </c>
      <c r="H522" s="1074">
        <v>2621.8</v>
      </c>
      <c r="I522" s="1074">
        <v>2621.8</v>
      </c>
      <c r="J522" s="1074">
        <v>934.8</v>
      </c>
      <c r="K522" s="1068">
        <v>113</v>
      </c>
      <c r="L522" s="1074">
        <v>2883185.28</v>
      </c>
      <c r="M522" s="985">
        <v>0</v>
      </c>
      <c r="N522" s="985">
        <v>0</v>
      </c>
      <c r="O522" s="1074">
        <f t="shared" si="160"/>
        <v>2883185.28</v>
      </c>
      <c r="P522" s="985">
        <v>0</v>
      </c>
      <c r="Q522" s="985">
        <v>0</v>
      </c>
      <c r="R522" s="1074">
        <f t="shared" si="161"/>
        <v>1099.6968800061024</v>
      </c>
      <c r="S522" s="1032">
        <v>2021</v>
      </c>
      <c r="T522" s="1032">
        <v>2022</v>
      </c>
    </row>
    <row r="523" spans="1:20" s="1055" customFormat="1" ht="40.15" customHeight="1">
      <c r="A523" s="1031">
        <v>70</v>
      </c>
      <c r="B523" s="1041" t="s">
        <v>2887</v>
      </c>
      <c r="C523" s="1032">
        <v>1962</v>
      </c>
      <c r="D523" s="1032"/>
      <c r="E523" s="1271" t="s">
        <v>218</v>
      </c>
      <c r="F523" s="1032">
        <v>4</v>
      </c>
      <c r="G523" s="1032">
        <v>4</v>
      </c>
      <c r="H523" s="1074">
        <v>2869.8</v>
      </c>
      <c r="I523" s="1074">
        <v>2869.8</v>
      </c>
      <c r="J523" s="1074">
        <v>2209.6999999999998</v>
      </c>
      <c r="K523" s="1068">
        <v>110</v>
      </c>
      <c r="L523" s="1074">
        <v>4942868.58</v>
      </c>
      <c r="M523" s="985">
        <v>0</v>
      </c>
      <c r="N523" s="985">
        <v>0</v>
      </c>
      <c r="O523" s="1074">
        <f t="shared" si="160"/>
        <v>4942868.58</v>
      </c>
      <c r="P523" s="985">
        <v>0</v>
      </c>
      <c r="Q523" s="985">
        <v>0</v>
      </c>
      <c r="R523" s="1074">
        <f t="shared" si="161"/>
        <v>1722.3738866819986</v>
      </c>
      <c r="S523" s="1032">
        <v>2021</v>
      </c>
      <c r="T523" s="1032">
        <v>2022</v>
      </c>
    </row>
    <row r="524" spans="1:20" s="1055" customFormat="1" ht="40.15" customHeight="1">
      <c r="A524" s="1031">
        <v>71</v>
      </c>
      <c r="B524" s="1041" t="s">
        <v>2888</v>
      </c>
      <c r="C524" s="1032">
        <v>1964</v>
      </c>
      <c r="D524" s="1032"/>
      <c r="E524" s="1271" t="s">
        <v>218</v>
      </c>
      <c r="F524" s="1032">
        <v>5</v>
      </c>
      <c r="G524" s="1032">
        <v>4</v>
      </c>
      <c r="H524" s="1074">
        <v>3839.6</v>
      </c>
      <c r="I524" s="1074">
        <v>3839.6</v>
      </c>
      <c r="J524" s="1074">
        <v>2615.9</v>
      </c>
      <c r="K524" s="1068">
        <v>118</v>
      </c>
      <c r="L524" s="1074">
        <v>3225221.36</v>
      </c>
      <c r="M524" s="985">
        <v>0</v>
      </c>
      <c r="N524" s="985">
        <v>0</v>
      </c>
      <c r="O524" s="1074">
        <f t="shared" si="160"/>
        <v>3225221.36</v>
      </c>
      <c r="P524" s="985">
        <v>0</v>
      </c>
      <c r="Q524" s="985">
        <v>0</v>
      </c>
      <c r="R524" s="1074">
        <f t="shared" si="161"/>
        <v>839.98889467652884</v>
      </c>
      <c r="S524" s="1032">
        <v>2021</v>
      </c>
      <c r="T524" s="1032">
        <v>2022</v>
      </c>
    </row>
    <row r="525" spans="1:20" s="1055" customFormat="1" ht="40.15" customHeight="1">
      <c r="A525" s="1031">
        <v>72</v>
      </c>
      <c r="B525" s="1041" t="s">
        <v>2889</v>
      </c>
      <c r="C525" s="1032">
        <v>1965</v>
      </c>
      <c r="D525" s="1032"/>
      <c r="E525" s="1271" t="s">
        <v>218</v>
      </c>
      <c r="F525" s="1032">
        <v>5</v>
      </c>
      <c r="G525" s="1032">
        <v>4</v>
      </c>
      <c r="H525" s="1074">
        <v>2207</v>
      </c>
      <c r="I525" s="1074">
        <v>2207</v>
      </c>
      <c r="J525" s="1074">
        <v>2207</v>
      </c>
      <c r="K525" s="1068">
        <v>109</v>
      </c>
      <c r="L525" s="1074">
        <v>3391089.88</v>
      </c>
      <c r="M525" s="985">
        <v>0</v>
      </c>
      <c r="N525" s="985">
        <v>0</v>
      </c>
      <c r="O525" s="1074">
        <f t="shared" si="160"/>
        <v>3391089.88</v>
      </c>
      <c r="P525" s="985">
        <v>0</v>
      </c>
      <c r="Q525" s="985">
        <v>0</v>
      </c>
      <c r="R525" s="1074">
        <f t="shared" si="161"/>
        <v>1536.5155777072948</v>
      </c>
      <c r="S525" s="1032">
        <v>2021</v>
      </c>
      <c r="T525" s="1032">
        <v>2022</v>
      </c>
    </row>
    <row r="526" spans="1:20" s="1055" customFormat="1" ht="40.15" customHeight="1">
      <c r="A526" s="1031">
        <v>73</v>
      </c>
      <c r="B526" s="1041" t="s">
        <v>2890</v>
      </c>
      <c r="C526" s="1032">
        <v>1980</v>
      </c>
      <c r="D526" s="1032"/>
      <c r="E526" s="1271" t="s">
        <v>218</v>
      </c>
      <c r="F526" s="1032">
        <v>5</v>
      </c>
      <c r="G526" s="1032">
        <v>10</v>
      </c>
      <c r="H526" s="1074">
        <v>6670.8</v>
      </c>
      <c r="I526" s="1074">
        <v>6670.8</v>
      </c>
      <c r="J526" s="1074">
        <v>2278.3000000000002</v>
      </c>
      <c r="K526" s="1068">
        <v>216</v>
      </c>
      <c r="L526" s="1074">
        <v>8186099.6600000001</v>
      </c>
      <c r="M526" s="985">
        <v>0</v>
      </c>
      <c r="N526" s="985">
        <v>0</v>
      </c>
      <c r="O526" s="1074">
        <f t="shared" si="160"/>
        <v>8186099.6600000001</v>
      </c>
      <c r="P526" s="985">
        <v>0</v>
      </c>
      <c r="Q526" s="985">
        <v>0</v>
      </c>
      <c r="R526" s="1074">
        <f t="shared" si="161"/>
        <v>1227.1541134496613</v>
      </c>
      <c r="S526" s="1032">
        <v>2021</v>
      </c>
      <c r="T526" s="1032">
        <v>2022</v>
      </c>
    </row>
    <row r="527" spans="1:20" s="1055" customFormat="1" ht="55.5" customHeight="1">
      <c r="A527" s="1031">
        <v>74</v>
      </c>
      <c r="B527" s="1041" t="s">
        <v>2071</v>
      </c>
      <c r="C527" s="1032">
        <v>1926</v>
      </c>
      <c r="D527" s="1032"/>
      <c r="E527" s="1032" t="s">
        <v>824</v>
      </c>
      <c r="F527" s="1032">
        <v>2</v>
      </c>
      <c r="G527" s="1032">
        <v>2</v>
      </c>
      <c r="H527" s="1074">
        <v>535</v>
      </c>
      <c r="I527" s="1074">
        <v>535</v>
      </c>
      <c r="J527" s="1074">
        <v>535</v>
      </c>
      <c r="K527" s="1068">
        <v>18</v>
      </c>
      <c r="L527" s="1074">
        <v>767433.49</v>
      </c>
      <c r="M527" s="985">
        <v>0</v>
      </c>
      <c r="N527" s="985">
        <v>0</v>
      </c>
      <c r="O527" s="1074">
        <f t="shared" si="160"/>
        <v>767433.49</v>
      </c>
      <c r="P527" s="985">
        <v>0</v>
      </c>
      <c r="Q527" s="985">
        <v>0</v>
      </c>
      <c r="R527" s="1074">
        <f t="shared" si="161"/>
        <v>1434.4551214953271</v>
      </c>
      <c r="S527" s="1032">
        <v>2021</v>
      </c>
      <c r="T527" s="1032">
        <v>2022</v>
      </c>
    </row>
    <row r="528" spans="1:20" s="1076" customFormat="1" ht="57" customHeight="1">
      <c r="A528" s="1031">
        <v>75</v>
      </c>
      <c r="B528" s="1041" t="s">
        <v>2072</v>
      </c>
      <c r="C528" s="1032">
        <v>1936</v>
      </c>
      <c r="D528" s="1032"/>
      <c r="E528" s="1271" t="s">
        <v>218</v>
      </c>
      <c r="F528" s="1032">
        <v>3</v>
      </c>
      <c r="G528" s="1032">
        <v>3</v>
      </c>
      <c r="H528" s="1074">
        <v>1183.2</v>
      </c>
      <c r="I528" s="1074">
        <v>1183.2</v>
      </c>
      <c r="J528" s="1074">
        <v>1183.2</v>
      </c>
      <c r="K528" s="1068">
        <v>63</v>
      </c>
      <c r="L528" s="1074">
        <v>100468</v>
      </c>
      <c r="M528" s="985">
        <v>0</v>
      </c>
      <c r="N528" s="985">
        <v>0</v>
      </c>
      <c r="O528" s="1074">
        <f t="shared" si="160"/>
        <v>100468</v>
      </c>
      <c r="P528" s="985">
        <v>0</v>
      </c>
      <c r="Q528" s="985">
        <v>0</v>
      </c>
      <c r="R528" s="1074">
        <f t="shared" si="161"/>
        <v>84.912102772143342</v>
      </c>
      <c r="S528" s="1032">
        <v>2021</v>
      </c>
      <c r="T528" s="1032">
        <v>2022</v>
      </c>
    </row>
    <row r="529" spans="1:20" s="1076" customFormat="1" ht="40.15" customHeight="1">
      <c r="A529" s="1031">
        <v>76</v>
      </c>
      <c r="B529" s="1041" t="s">
        <v>2891</v>
      </c>
      <c r="C529" s="1032">
        <v>1957</v>
      </c>
      <c r="D529" s="1032"/>
      <c r="E529" s="1271" t="s">
        <v>218</v>
      </c>
      <c r="F529" s="1032">
        <v>2</v>
      </c>
      <c r="G529" s="1032">
        <v>1</v>
      </c>
      <c r="H529" s="1074">
        <v>516.5</v>
      </c>
      <c r="I529" s="1074">
        <v>516.5</v>
      </c>
      <c r="J529" s="1074">
        <v>516.5</v>
      </c>
      <c r="K529" s="1068">
        <v>17</v>
      </c>
      <c r="L529" s="1074">
        <v>2302300.48</v>
      </c>
      <c r="M529" s="985">
        <v>0</v>
      </c>
      <c r="N529" s="985">
        <v>0</v>
      </c>
      <c r="O529" s="1074">
        <f t="shared" si="160"/>
        <v>2302300.48</v>
      </c>
      <c r="P529" s="985">
        <v>0</v>
      </c>
      <c r="Q529" s="985">
        <v>0</v>
      </c>
      <c r="R529" s="1074">
        <f t="shared" si="161"/>
        <v>4457.5033494675699</v>
      </c>
      <c r="S529" s="1032">
        <v>2021</v>
      </c>
      <c r="T529" s="1032">
        <v>2022</v>
      </c>
    </row>
    <row r="530" spans="1:20" s="1076" customFormat="1" ht="40.15" customHeight="1">
      <c r="A530" s="1031">
        <v>77</v>
      </c>
      <c r="B530" s="1041" t="s">
        <v>2892</v>
      </c>
      <c r="C530" s="1032">
        <v>1982</v>
      </c>
      <c r="D530" s="1032"/>
      <c r="E530" s="1271" t="s">
        <v>218</v>
      </c>
      <c r="F530" s="1032">
        <v>5</v>
      </c>
      <c r="G530" s="1032">
        <v>6</v>
      </c>
      <c r="H530" s="1074">
        <v>4068.9</v>
      </c>
      <c r="I530" s="1074">
        <v>4068.9</v>
      </c>
      <c r="J530" s="1074">
        <v>2852.3</v>
      </c>
      <c r="K530" s="1068">
        <v>177</v>
      </c>
      <c r="L530" s="1074">
        <v>4244282.9000000004</v>
      </c>
      <c r="M530" s="985">
        <v>0</v>
      </c>
      <c r="N530" s="985">
        <v>0</v>
      </c>
      <c r="O530" s="1074">
        <f t="shared" si="160"/>
        <v>4244282.9000000004</v>
      </c>
      <c r="P530" s="985">
        <v>0</v>
      </c>
      <c r="Q530" s="985">
        <v>0</v>
      </c>
      <c r="R530" s="1074">
        <f t="shared" si="161"/>
        <v>1043.1032711543662</v>
      </c>
      <c r="S530" s="1032">
        <v>2021</v>
      </c>
      <c r="T530" s="1032">
        <v>2022</v>
      </c>
    </row>
    <row r="531" spans="1:20" s="1076" customFormat="1" ht="40.15" customHeight="1">
      <c r="A531" s="1031">
        <v>78</v>
      </c>
      <c r="B531" s="1041" t="s">
        <v>2893</v>
      </c>
      <c r="C531" s="1023">
        <v>1979</v>
      </c>
      <c r="D531" s="1023"/>
      <c r="E531" s="1271" t="s">
        <v>218</v>
      </c>
      <c r="F531" s="1023">
        <v>2</v>
      </c>
      <c r="G531" s="1023">
        <v>1</v>
      </c>
      <c r="H531" s="1045">
        <v>396.9</v>
      </c>
      <c r="I531" s="1045">
        <v>396.9</v>
      </c>
      <c r="J531" s="1045">
        <v>396.9</v>
      </c>
      <c r="K531" s="1011">
        <v>27</v>
      </c>
      <c r="L531" s="1045">
        <v>1074098.0900000001</v>
      </c>
      <c r="M531" s="985">
        <v>0</v>
      </c>
      <c r="N531" s="985">
        <v>0</v>
      </c>
      <c r="O531" s="1074">
        <f t="shared" si="160"/>
        <v>1074098.0900000001</v>
      </c>
      <c r="P531" s="985">
        <v>0</v>
      </c>
      <c r="Q531" s="985">
        <v>0</v>
      </c>
      <c r="R531" s="1074">
        <f t="shared" si="161"/>
        <v>2706.2184177374656</v>
      </c>
      <c r="S531" s="1032">
        <v>2021</v>
      </c>
      <c r="T531" s="1032">
        <v>2022</v>
      </c>
    </row>
    <row r="532" spans="1:20" s="1076" customFormat="1" ht="46.15" customHeight="1">
      <c r="A532" s="1031">
        <v>79</v>
      </c>
      <c r="B532" s="1014" t="s">
        <v>2894</v>
      </c>
      <c r="C532" s="1023">
        <v>1954</v>
      </c>
      <c r="D532" s="1023"/>
      <c r="E532" s="1271" t="s">
        <v>218</v>
      </c>
      <c r="F532" s="1023">
        <v>2</v>
      </c>
      <c r="G532" s="1023">
        <v>2</v>
      </c>
      <c r="H532" s="1024">
        <v>718.7</v>
      </c>
      <c r="I532" s="1024">
        <v>718.7</v>
      </c>
      <c r="J532" s="1024">
        <v>718.7</v>
      </c>
      <c r="K532" s="1011">
        <v>20</v>
      </c>
      <c r="L532" s="1024">
        <v>3069733.97</v>
      </c>
      <c r="M532" s="985">
        <v>0</v>
      </c>
      <c r="N532" s="985">
        <v>0</v>
      </c>
      <c r="O532" s="1074">
        <f t="shared" si="160"/>
        <v>3069733.97</v>
      </c>
      <c r="P532" s="985">
        <v>0</v>
      </c>
      <c r="Q532" s="985">
        <v>0</v>
      </c>
      <c r="R532" s="1037">
        <f>L532/I532</f>
        <v>4271.2313482677055</v>
      </c>
      <c r="S532" s="1032">
        <v>2021</v>
      </c>
      <c r="T532" s="1032">
        <v>2022</v>
      </c>
    </row>
    <row r="533" spans="1:20" s="1076" customFormat="1" ht="40.15" customHeight="1">
      <c r="A533" s="1031">
        <v>80</v>
      </c>
      <c r="B533" s="1041" t="s">
        <v>2895</v>
      </c>
      <c r="C533" s="1023">
        <v>1970</v>
      </c>
      <c r="D533" s="1023"/>
      <c r="E533" s="1271" t="s">
        <v>218</v>
      </c>
      <c r="F533" s="1023">
        <v>2</v>
      </c>
      <c r="G533" s="1023">
        <v>2</v>
      </c>
      <c r="H533" s="1024">
        <v>554.9</v>
      </c>
      <c r="I533" s="1024">
        <v>506.5</v>
      </c>
      <c r="J533" s="1024">
        <v>506.5</v>
      </c>
      <c r="K533" s="1011">
        <v>24</v>
      </c>
      <c r="L533" s="1024">
        <v>349777.66</v>
      </c>
      <c r="M533" s="985">
        <v>0</v>
      </c>
      <c r="N533" s="985">
        <v>0</v>
      </c>
      <c r="O533" s="1074">
        <f t="shared" si="160"/>
        <v>349777.66</v>
      </c>
      <c r="P533" s="985">
        <v>0</v>
      </c>
      <c r="Q533" s="985">
        <v>0</v>
      </c>
      <c r="R533" s="1037">
        <f t="shared" si="161"/>
        <v>690.57780848963466</v>
      </c>
      <c r="S533" s="1032">
        <v>2021</v>
      </c>
      <c r="T533" s="1032">
        <v>2022</v>
      </c>
    </row>
    <row r="534" spans="1:20" s="992" customFormat="1" ht="42.6" customHeight="1">
      <c r="A534" s="1031">
        <v>81</v>
      </c>
      <c r="B534" s="1041" t="s">
        <v>2896</v>
      </c>
      <c r="C534" s="1023">
        <v>1970</v>
      </c>
      <c r="D534" s="1023"/>
      <c r="E534" s="1271" t="s">
        <v>218</v>
      </c>
      <c r="F534" s="1023">
        <v>2</v>
      </c>
      <c r="G534" s="1023">
        <v>1</v>
      </c>
      <c r="H534" s="1024">
        <v>389.4</v>
      </c>
      <c r="I534" s="1024">
        <v>355</v>
      </c>
      <c r="J534" s="1024">
        <v>312.3</v>
      </c>
      <c r="K534" s="1011">
        <v>25</v>
      </c>
      <c r="L534" s="1024">
        <v>245155.12</v>
      </c>
      <c r="M534" s="985">
        <v>0</v>
      </c>
      <c r="N534" s="985">
        <v>0</v>
      </c>
      <c r="O534" s="1074">
        <f t="shared" si="160"/>
        <v>245155.12</v>
      </c>
      <c r="P534" s="985">
        <v>0</v>
      </c>
      <c r="Q534" s="985">
        <v>0</v>
      </c>
      <c r="R534" s="1037">
        <f t="shared" si="161"/>
        <v>690.57780281690134</v>
      </c>
      <c r="S534" s="1032">
        <v>2021</v>
      </c>
      <c r="T534" s="1032">
        <v>2022</v>
      </c>
    </row>
    <row r="535" spans="1:20" s="992" customFormat="1" ht="39.6" customHeight="1">
      <c r="A535" s="1031">
        <v>82</v>
      </c>
      <c r="B535" s="1041" t="s">
        <v>2897</v>
      </c>
      <c r="C535" s="1023">
        <v>1967</v>
      </c>
      <c r="D535" s="1023"/>
      <c r="E535" s="1271" t="s">
        <v>218</v>
      </c>
      <c r="F535" s="1023">
        <v>2</v>
      </c>
      <c r="G535" s="1023">
        <v>2</v>
      </c>
      <c r="H535" s="1024">
        <v>505.8</v>
      </c>
      <c r="I535" s="1024">
        <v>475</v>
      </c>
      <c r="J535" s="1024">
        <v>432.2</v>
      </c>
      <c r="K535" s="1011">
        <v>26</v>
      </c>
      <c r="L535" s="1024">
        <v>1123863.72</v>
      </c>
      <c r="M535" s="985">
        <v>0</v>
      </c>
      <c r="N535" s="985">
        <v>0</v>
      </c>
      <c r="O535" s="1074">
        <f t="shared" si="160"/>
        <v>1123863.72</v>
      </c>
      <c r="P535" s="985">
        <v>0</v>
      </c>
      <c r="Q535" s="985">
        <v>0</v>
      </c>
      <c r="R535" s="1037">
        <f t="shared" si="161"/>
        <v>2366.028884210526</v>
      </c>
      <c r="S535" s="1032">
        <v>2021</v>
      </c>
      <c r="T535" s="1032">
        <v>2022</v>
      </c>
    </row>
    <row r="536" spans="1:20" s="992" customFormat="1" ht="42.6" customHeight="1">
      <c r="A536" s="1031">
        <v>83</v>
      </c>
      <c r="B536" s="1014" t="s">
        <v>2898</v>
      </c>
      <c r="C536" s="1023">
        <v>1990</v>
      </c>
      <c r="D536" s="1023"/>
      <c r="E536" s="1271" t="s">
        <v>218</v>
      </c>
      <c r="F536" s="1023">
        <v>2</v>
      </c>
      <c r="G536" s="1023">
        <v>2</v>
      </c>
      <c r="H536" s="1024">
        <v>966.6</v>
      </c>
      <c r="I536" s="1024">
        <v>866.8</v>
      </c>
      <c r="J536" s="1024">
        <v>866.8</v>
      </c>
      <c r="K536" s="1011">
        <v>34</v>
      </c>
      <c r="L536" s="1024">
        <v>794976</v>
      </c>
      <c r="M536" s="985">
        <v>0</v>
      </c>
      <c r="N536" s="985">
        <v>0</v>
      </c>
      <c r="O536" s="1074">
        <f t="shared" si="160"/>
        <v>794976</v>
      </c>
      <c r="P536" s="985">
        <v>0</v>
      </c>
      <c r="Q536" s="985">
        <v>0</v>
      </c>
      <c r="R536" s="1037">
        <f t="shared" si="161"/>
        <v>917.13890170742968</v>
      </c>
      <c r="S536" s="1032">
        <v>2021</v>
      </c>
      <c r="T536" s="1032">
        <v>2022</v>
      </c>
    </row>
    <row r="537" spans="1:20" s="992" customFormat="1" ht="42" customHeight="1">
      <c r="A537" s="1031">
        <v>84</v>
      </c>
      <c r="B537" s="1041" t="s">
        <v>2899</v>
      </c>
      <c r="C537" s="1023">
        <v>1988</v>
      </c>
      <c r="D537" s="1023"/>
      <c r="E537" s="1271" t="s">
        <v>219</v>
      </c>
      <c r="F537" s="1023">
        <v>5</v>
      </c>
      <c r="G537" s="1023">
        <v>4</v>
      </c>
      <c r="H537" s="1024">
        <v>3770</v>
      </c>
      <c r="I537" s="1024">
        <v>3770</v>
      </c>
      <c r="J537" s="1024">
        <v>3321.3</v>
      </c>
      <c r="K537" s="1011">
        <v>136</v>
      </c>
      <c r="L537" s="1024">
        <v>3395787.69</v>
      </c>
      <c r="M537" s="985">
        <v>0</v>
      </c>
      <c r="N537" s="985">
        <v>0</v>
      </c>
      <c r="O537" s="1074">
        <f t="shared" si="160"/>
        <v>3395787.69</v>
      </c>
      <c r="P537" s="985">
        <v>0</v>
      </c>
      <c r="Q537" s="985">
        <v>0</v>
      </c>
      <c r="R537" s="1037">
        <f t="shared" ref="R537:R538" si="162">L537/I537</f>
        <v>900.7394403183024</v>
      </c>
      <c r="S537" s="1032">
        <v>2021</v>
      </c>
      <c r="T537" s="1032">
        <v>2022</v>
      </c>
    </row>
    <row r="538" spans="1:20" s="992" customFormat="1" ht="42.6" customHeight="1">
      <c r="A538" s="1031">
        <v>85</v>
      </c>
      <c r="B538" s="1014" t="s">
        <v>2900</v>
      </c>
      <c r="C538" s="1023">
        <v>1986</v>
      </c>
      <c r="D538" s="1023"/>
      <c r="E538" s="1271" t="s">
        <v>218</v>
      </c>
      <c r="F538" s="1023">
        <v>2</v>
      </c>
      <c r="G538" s="1023">
        <v>2</v>
      </c>
      <c r="H538" s="1024">
        <v>595.70000000000005</v>
      </c>
      <c r="I538" s="1024">
        <v>595.70000000000005</v>
      </c>
      <c r="J538" s="1024">
        <v>595.70000000000005</v>
      </c>
      <c r="K538" s="1011">
        <v>23</v>
      </c>
      <c r="L538" s="1024">
        <v>2515003</v>
      </c>
      <c r="M538" s="985">
        <v>0</v>
      </c>
      <c r="N538" s="985">
        <v>0</v>
      </c>
      <c r="O538" s="1074">
        <f t="shared" si="160"/>
        <v>2515003</v>
      </c>
      <c r="P538" s="985">
        <v>0</v>
      </c>
      <c r="Q538" s="985">
        <v>0</v>
      </c>
      <c r="R538" s="1037">
        <f t="shared" si="162"/>
        <v>4221.928823233171</v>
      </c>
      <c r="S538" s="1032">
        <v>2021</v>
      </c>
      <c r="T538" s="1032">
        <v>2022</v>
      </c>
    </row>
    <row r="539" spans="1:20" s="992" customFormat="1" ht="42" customHeight="1">
      <c r="A539" s="1007"/>
      <c r="B539" s="1410" t="s">
        <v>2703</v>
      </c>
      <c r="C539" s="1410"/>
      <c r="D539" s="1410"/>
      <c r="E539" s="1410"/>
      <c r="F539" s="1410"/>
      <c r="G539" s="1410"/>
      <c r="H539" s="993">
        <f>SUM(H540:H546)</f>
        <v>17500.3</v>
      </c>
      <c r="I539" s="993">
        <f t="shared" ref="I539:Q539" si="163">SUM(I540:I546)</f>
        <v>13692.300000000003</v>
      </c>
      <c r="J539" s="993">
        <f t="shared" si="163"/>
        <v>13422.100000000002</v>
      </c>
      <c r="K539" s="987">
        <f t="shared" si="163"/>
        <v>472</v>
      </c>
      <c r="L539" s="993">
        <f t="shared" si="163"/>
        <v>35413065.209999993</v>
      </c>
      <c r="M539" s="993">
        <f t="shared" si="163"/>
        <v>0</v>
      </c>
      <c r="N539" s="993">
        <f t="shared" si="163"/>
        <v>0</v>
      </c>
      <c r="O539" s="993">
        <f t="shared" si="163"/>
        <v>35413065.209999993</v>
      </c>
      <c r="P539" s="993">
        <f t="shared" si="163"/>
        <v>0</v>
      </c>
      <c r="Q539" s="993">
        <f t="shared" si="163"/>
        <v>0</v>
      </c>
      <c r="R539" s="1008" t="s">
        <v>40</v>
      </c>
      <c r="S539" s="1008" t="s">
        <v>40</v>
      </c>
      <c r="T539" s="1008" t="s">
        <v>40</v>
      </c>
    </row>
    <row r="540" spans="1:20" s="992" customFormat="1" ht="40.15" customHeight="1">
      <c r="A540" s="987">
        <v>86</v>
      </c>
      <c r="B540" s="1075" t="s">
        <v>2705</v>
      </c>
      <c r="C540" s="987">
        <v>1965</v>
      </c>
      <c r="D540" s="1007"/>
      <c r="E540" s="1271" t="s">
        <v>218</v>
      </c>
      <c r="F540" s="987">
        <v>5</v>
      </c>
      <c r="G540" s="987">
        <v>3</v>
      </c>
      <c r="H540" s="993">
        <v>2979.5</v>
      </c>
      <c r="I540" s="993">
        <v>2416</v>
      </c>
      <c r="J540" s="993">
        <v>2416</v>
      </c>
      <c r="K540" s="987">
        <v>70</v>
      </c>
      <c r="L540" s="993">
        <v>5441864.0199999996</v>
      </c>
      <c r="M540" s="993">
        <v>0</v>
      </c>
      <c r="N540" s="993">
        <v>0</v>
      </c>
      <c r="O540" s="993">
        <v>5441864.0199999996</v>
      </c>
      <c r="P540" s="993">
        <v>0</v>
      </c>
      <c r="Q540" s="993">
        <v>0</v>
      </c>
      <c r="R540" s="985">
        <f t="shared" ref="R540" si="164">L540/I540</f>
        <v>2252.4271605960262</v>
      </c>
      <c r="S540" s="1032">
        <v>2021</v>
      </c>
      <c r="T540" s="1032">
        <v>2021</v>
      </c>
    </row>
    <row r="541" spans="1:20" s="992" customFormat="1" ht="40.9" customHeight="1">
      <c r="A541" s="987">
        <v>87</v>
      </c>
      <c r="B541" s="1075" t="s">
        <v>2706</v>
      </c>
      <c r="C541" s="987">
        <v>1980</v>
      </c>
      <c r="D541" s="1007"/>
      <c r="E541" s="1007" t="s">
        <v>219</v>
      </c>
      <c r="F541" s="987">
        <v>5</v>
      </c>
      <c r="G541" s="987">
        <v>5</v>
      </c>
      <c r="H541" s="993">
        <v>3803.9</v>
      </c>
      <c r="I541" s="993">
        <v>3432.1</v>
      </c>
      <c r="J541" s="993">
        <v>3432.1</v>
      </c>
      <c r="K541" s="987">
        <v>149</v>
      </c>
      <c r="L541" s="993">
        <v>3621525</v>
      </c>
      <c r="M541" s="993">
        <v>0</v>
      </c>
      <c r="N541" s="993">
        <v>0</v>
      </c>
      <c r="O541" s="993">
        <v>3621525</v>
      </c>
      <c r="P541" s="993">
        <v>0</v>
      </c>
      <c r="Q541" s="993">
        <v>0</v>
      </c>
      <c r="R541" s="985">
        <f t="shared" ref="R541:R546" si="165">L541/I541</f>
        <v>1055.1921564056991</v>
      </c>
      <c r="S541" s="1032">
        <v>2021</v>
      </c>
      <c r="T541" s="1032">
        <v>2021</v>
      </c>
    </row>
    <row r="542" spans="1:20" s="992" customFormat="1" ht="43.9" customHeight="1">
      <c r="A542" s="987">
        <v>88</v>
      </c>
      <c r="B542" s="1075" t="s">
        <v>2707</v>
      </c>
      <c r="C542" s="987">
        <v>1961</v>
      </c>
      <c r="D542" s="1007"/>
      <c r="E542" s="1271" t="s">
        <v>218</v>
      </c>
      <c r="F542" s="987">
        <v>2</v>
      </c>
      <c r="G542" s="987">
        <v>2</v>
      </c>
      <c r="H542" s="993">
        <v>581.6</v>
      </c>
      <c r="I542" s="993">
        <v>534.1</v>
      </c>
      <c r="J542" s="993">
        <v>534.1</v>
      </c>
      <c r="K542" s="987">
        <v>38</v>
      </c>
      <c r="L542" s="993">
        <v>1827686</v>
      </c>
      <c r="M542" s="993">
        <v>0</v>
      </c>
      <c r="N542" s="993">
        <v>0</v>
      </c>
      <c r="O542" s="993">
        <v>1827686</v>
      </c>
      <c r="P542" s="993">
        <v>0</v>
      </c>
      <c r="Q542" s="993">
        <v>0</v>
      </c>
      <c r="R542" s="985">
        <f t="shared" si="165"/>
        <v>3421.9921363040626</v>
      </c>
      <c r="S542" s="1032">
        <v>2021</v>
      </c>
      <c r="T542" s="1032">
        <v>2022</v>
      </c>
    </row>
    <row r="543" spans="1:20" s="992" customFormat="1" ht="44.45" customHeight="1">
      <c r="A543" s="987">
        <v>89</v>
      </c>
      <c r="B543" s="1075" t="s">
        <v>2708</v>
      </c>
      <c r="C543" s="987">
        <v>1956</v>
      </c>
      <c r="D543" s="1007"/>
      <c r="E543" s="1271" t="s">
        <v>218</v>
      </c>
      <c r="F543" s="987">
        <v>3</v>
      </c>
      <c r="G543" s="987">
        <v>3</v>
      </c>
      <c r="H543" s="993">
        <v>2030</v>
      </c>
      <c r="I543" s="993">
        <v>1073.0999999999999</v>
      </c>
      <c r="J543" s="993">
        <v>1073.0999999999999</v>
      </c>
      <c r="K543" s="987">
        <v>28</v>
      </c>
      <c r="L543" s="993">
        <v>6786292.6299999999</v>
      </c>
      <c r="M543" s="993">
        <v>0</v>
      </c>
      <c r="N543" s="993">
        <v>0</v>
      </c>
      <c r="O543" s="993">
        <v>6786292.6299999999</v>
      </c>
      <c r="P543" s="993">
        <v>0</v>
      </c>
      <c r="Q543" s="993">
        <v>0</v>
      </c>
      <c r="R543" s="985">
        <f t="shared" si="165"/>
        <v>6324.007669369118</v>
      </c>
      <c r="S543" s="1032">
        <v>2021</v>
      </c>
      <c r="T543" s="1032">
        <v>2022</v>
      </c>
    </row>
    <row r="544" spans="1:20" s="992" customFormat="1" ht="47.45" customHeight="1">
      <c r="A544" s="987">
        <v>90</v>
      </c>
      <c r="B544" s="1075" t="s">
        <v>2709</v>
      </c>
      <c r="C544" s="987">
        <v>1956</v>
      </c>
      <c r="D544" s="1007"/>
      <c r="E544" s="1271" t="s">
        <v>218</v>
      </c>
      <c r="F544" s="987">
        <v>3</v>
      </c>
      <c r="G544" s="987">
        <v>3</v>
      </c>
      <c r="H544" s="993">
        <v>1318.7</v>
      </c>
      <c r="I544" s="993">
        <v>1257.2</v>
      </c>
      <c r="J544" s="993">
        <v>1257.2</v>
      </c>
      <c r="K544" s="987">
        <v>51</v>
      </c>
      <c r="L544" s="993">
        <v>7969042.5599999996</v>
      </c>
      <c r="M544" s="993">
        <v>0</v>
      </c>
      <c r="N544" s="993">
        <v>0</v>
      </c>
      <c r="O544" s="993">
        <v>7969042.5599999996</v>
      </c>
      <c r="P544" s="993">
        <v>0</v>
      </c>
      <c r="Q544" s="993">
        <v>0</v>
      </c>
      <c r="R544" s="985">
        <f t="shared" si="165"/>
        <v>6338.7230034998402</v>
      </c>
      <c r="S544" s="1032">
        <v>2021</v>
      </c>
      <c r="T544" s="1032">
        <v>2022</v>
      </c>
    </row>
    <row r="545" spans="1:20" s="992" customFormat="1" ht="44.45" customHeight="1">
      <c r="A545" s="987">
        <v>91</v>
      </c>
      <c r="B545" s="1075" t="s">
        <v>2710</v>
      </c>
      <c r="C545" s="987">
        <v>1959</v>
      </c>
      <c r="D545" s="1007"/>
      <c r="E545" s="1271" t="s">
        <v>218</v>
      </c>
      <c r="F545" s="987">
        <v>3</v>
      </c>
      <c r="G545" s="987">
        <v>4</v>
      </c>
      <c r="H545" s="993">
        <v>2824.9</v>
      </c>
      <c r="I545" s="993">
        <v>1991.7</v>
      </c>
      <c r="J545" s="993">
        <v>1721.5</v>
      </c>
      <c r="K545" s="987">
        <v>43</v>
      </c>
      <c r="L545" s="993">
        <v>6458205</v>
      </c>
      <c r="M545" s="993">
        <v>0</v>
      </c>
      <c r="N545" s="993">
        <v>0</v>
      </c>
      <c r="O545" s="993">
        <v>6458205</v>
      </c>
      <c r="P545" s="993">
        <v>0</v>
      </c>
      <c r="Q545" s="993">
        <v>0</v>
      </c>
      <c r="R545" s="985">
        <f t="shared" si="165"/>
        <v>3242.55912034945</v>
      </c>
      <c r="S545" s="1032">
        <v>2021</v>
      </c>
      <c r="T545" s="1032">
        <v>2021</v>
      </c>
    </row>
    <row r="546" spans="1:20" s="1006" customFormat="1" ht="37.9" customHeight="1">
      <c r="A546" s="987">
        <v>92</v>
      </c>
      <c r="B546" s="1075" t="s">
        <v>2711</v>
      </c>
      <c r="C546" s="987">
        <v>1980</v>
      </c>
      <c r="D546" s="1007"/>
      <c r="E546" s="1007" t="s">
        <v>220</v>
      </c>
      <c r="F546" s="987">
        <v>5</v>
      </c>
      <c r="G546" s="987">
        <v>4</v>
      </c>
      <c r="H546" s="993">
        <v>3961.7</v>
      </c>
      <c r="I546" s="993">
        <v>2988.1</v>
      </c>
      <c r="J546" s="993">
        <v>2988.1</v>
      </c>
      <c r="K546" s="987">
        <v>93</v>
      </c>
      <c r="L546" s="993">
        <v>3308450</v>
      </c>
      <c r="M546" s="993">
        <v>0</v>
      </c>
      <c r="N546" s="993">
        <v>0</v>
      </c>
      <c r="O546" s="993">
        <v>3308450</v>
      </c>
      <c r="P546" s="993">
        <v>0</v>
      </c>
      <c r="Q546" s="993">
        <v>0</v>
      </c>
      <c r="R546" s="985">
        <f t="shared" si="165"/>
        <v>1107.2085940898899</v>
      </c>
      <c r="S546" s="1032">
        <v>2021</v>
      </c>
      <c r="T546" s="1032">
        <v>2021</v>
      </c>
    </row>
    <row r="547" spans="1:20" s="1006" customFormat="1" ht="43.9" customHeight="1">
      <c r="A547" s="1271"/>
      <c r="B547" s="1391" t="s">
        <v>1062</v>
      </c>
      <c r="C547" s="1391"/>
      <c r="D547" s="1391"/>
      <c r="E547" s="1391"/>
      <c r="F547" s="1391"/>
      <c r="G547" s="1391"/>
      <c r="H547" s="985">
        <f>SUM(H548:H561)</f>
        <v>24056.799999999999</v>
      </c>
      <c r="I547" s="985">
        <f t="shared" ref="I547:Q547" si="166">SUM(I548:I561)</f>
        <v>23578.6</v>
      </c>
      <c r="J547" s="985">
        <f t="shared" si="166"/>
        <v>19589.600000000002</v>
      </c>
      <c r="K547" s="1064">
        <f t="shared" si="166"/>
        <v>818</v>
      </c>
      <c r="L547" s="985">
        <f t="shared" si="166"/>
        <v>28363925.050000001</v>
      </c>
      <c r="M547" s="985">
        <f t="shared" si="166"/>
        <v>0</v>
      </c>
      <c r="N547" s="985">
        <f t="shared" si="166"/>
        <v>0</v>
      </c>
      <c r="O547" s="985">
        <f t="shared" si="166"/>
        <v>28363925.050000001</v>
      </c>
      <c r="P547" s="985">
        <f t="shared" si="166"/>
        <v>0</v>
      </c>
      <c r="Q547" s="985">
        <f t="shared" si="166"/>
        <v>0</v>
      </c>
      <c r="R547" s="991" t="s">
        <v>40</v>
      </c>
      <c r="S547" s="991" t="s">
        <v>40</v>
      </c>
      <c r="T547" s="991" t="s">
        <v>40</v>
      </c>
    </row>
    <row r="548" spans="1:20" s="1006" customFormat="1" ht="40.15" customHeight="1">
      <c r="A548" s="1279">
        <v>93</v>
      </c>
      <c r="B548" s="1276" t="s">
        <v>1668</v>
      </c>
      <c r="C548" s="1279">
        <v>1956</v>
      </c>
      <c r="D548" s="1279"/>
      <c r="E548" s="1271" t="s">
        <v>218</v>
      </c>
      <c r="F548" s="1279">
        <v>2</v>
      </c>
      <c r="G548" s="1279">
        <v>2</v>
      </c>
      <c r="H548" s="985">
        <v>928.4</v>
      </c>
      <c r="I548" s="985">
        <v>928.4</v>
      </c>
      <c r="J548" s="985">
        <v>798.1</v>
      </c>
      <c r="K548" s="1064">
        <v>25</v>
      </c>
      <c r="L548" s="985">
        <v>2547928</v>
      </c>
      <c r="M548" s="985">
        <v>0</v>
      </c>
      <c r="N548" s="985">
        <v>0</v>
      </c>
      <c r="O548" s="985">
        <f>L548</f>
        <v>2547928</v>
      </c>
      <c r="P548" s="985">
        <v>0</v>
      </c>
      <c r="Q548" s="985">
        <v>0</v>
      </c>
      <c r="R548" s="985">
        <f t="shared" ref="R548:R560" si="167">L548/I548</f>
        <v>2744.4291253769929</v>
      </c>
      <c r="S548" s="1279">
        <v>2021</v>
      </c>
      <c r="T548" s="1279">
        <v>2021</v>
      </c>
    </row>
    <row r="549" spans="1:20" s="1006" customFormat="1" ht="39.6" customHeight="1">
      <c r="A549" s="1279">
        <v>94</v>
      </c>
      <c r="B549" s="1276" t="s">
        <v>1581</v>
      </c>
      <c r="C549" s="1279">
        <v>1960</v>
      </c>
      <c r="D549" s="1279"/>
      <c r="E549" s="1271" t="s">
        <v>218</v>
      </c>
      <c r="F549" s="1279">
        <v>2</v>
      </c>
      <c r="G549" s="1279">
        <v>1</v>
      </c>
      <c r="H549" s="985">
        <v>410.6</v>
      </c>
      <c r="I549" s="985">
        <v>410.6</v>
      </c>
      <c r="J549" s="985">
        <v>373.1</v>
      </c>
      <c r="K549" s="1064">
        <v>19</v>
      </c>
      <c r="L549" s="985">
        <v>1259274</v>
      </c>
      <c r="M549" s="985">
        <v>0</v>
      </c>
      <c r="N549" s="985">
        <v>0</v>
      </c>
      <c r="O549" s="985">
        <f t="shared" ref="O549:O560" si="168">L549</f>
        <v>1259274</v>
      </c>
      <c r="P549" s="985">
        <v>0</v>
      </c>
      <c r="Q549" s="985">
        <v>0</v>
      </c>
      <c r="R549" s="985">
        <f t="shared" si="167"/>
        <v>3066.9118363370676</v>
      </c>
      <c r="S549" s="1279">
        <v>2021</v>
      </c>
      <c r="T549" s="1279">
        <v>2021</v>
      </c>
    </row>
    <row r="550" spans="1:20" s="1006" customFormat="1" ht="43.9" customHeight="1">
      <c r="A550" s="1279">
        <v>95</v>
      </c>
      <c r="B550" s="1276" t="s">
        <v>1583</v>
      </c>
      <c r="C550" s="1279">
        <v>1973</v>
      </c>
      <c r="D550" s="1279"/>
      <c r="E550" s="1271" t="s">
        <v>218</v>
      </c>
      <c r="F550" s="1279">
        <v>5</v>
      </c>
      <c r="G550" s="1279">
        <v>4</v>
      </c>
      <c r="H550" s="985">
        <v>3571.3</v>
      </c>
      <c r="I550" s="985">
        <v>3571.3</v>
      </c>
      <c r="J550" s="985">
        <v>3250.3</v>
      </c>
      <c r="K550" s="1064">
        <v>132</v>
      </c>
      <c r="L550" s="985">
        <v>3036379</v>
      </c>
      <c r="M550" s="985">
        <v>0</v>
      </c>
      <c r="N550" s="985">
        <v>0</v>
      </c>
      <c r="O550" s="985">
        <f t="shared" si="168"/>
        <v>3036379</v>
      </c>
      <c r="P550" s="985">
        <v>0</v>
      </c>
      <c r="Q550" s="985">
        <v>0</v>
      </c>
      <c r="R550" s="985">
        <f t="shared" si="167"/>
        <v>850.21672780220081</v>
      </c>
      <c r="S550" s="1279">
        <v>2021</v>
      </c>
      <c r="T550" s="1279">
        <v>2021</v>
      </c>
    </row>
    <row r="551" spans="1:20" s="992" customFormat="1" ht="36" customHeight="1">
      <c r="A551" s="1279">
        <v>96</v>
      </c>
      <c r="B551" s="1276" t="s">
        <v>1279</v>
      </c>
      <c r="C551" s="1279">
        <v>1968</v>
      </c>
      <c r="D551" s="1279"/>
      <c r="E551" s="1271" t="s">
        <v>218</v>
      </c>
      <c r="F551" s="1279">
        <v>5</v>
      </c>
      <c r="G551" s="1279">
        <v>8</v>
      </c>
      <c r="H551" s="985">
        <v>6772.5</v>
      </c>
      <c r="I551" s="985">
        <v>6772.5</v>
      </c>
      <c r="J551" s="985">
        <v>5764.5</v>
      </c>
      <c r="K551" s="1064">
        <v>196</v>
      </c>
      <c r="L551" s="985">
        <v>5301433</v>
      </c>
      <c r="M551" s="985">
        <v>0</v>
      </c>
      <c r="N551" s="985">
        <v>0</v>
      </c>
      <c r="O551" s="985">
        <f t="shared" si="168"/>
        <v>5301433</v>
      </c>
      <c r="P551" s="985">
        <v>0</v>
      </c>
      <c r="Q551" s="985">
        <v>0</v>
      </c>
      <c r="R551" s="985">
        <f t="shared" si="167"/>
        <v>782.7881875230712</v>
      </c>
      <c r="S551" s="1279">
        <v>2021</v>
      </c>
      <c r="T551" s="1279">
        <v>2021</v>
      </c>
    </row>
    <row r="552" spans="1:20" s="992" customFormat="1" ht="40.9" customHeight="1">
      <c r="A552" s="1279">
        <v>97</v>
      </c>
      <c r="B552" s="1276" t="s">
        <v>1280</v>
      </c>
      <c r="C552" s="1279">
        <v>1964</v>
      </c>
      <c r="D552" s="1279"/>
      <c r="E552" s="1271" t="s">
        <v>218</v>
      </c>
      <c r="F552" s="1279">
        <v>2</v>
      </c>
      <c r="G552" s="1279">
        <v>2</v>
      </c>
      <c r="H552" s="985">
        <v>404</v>
      </c>
      <c r="I552" s="985">
        <v>404</v>
      </c>
      <c r="J552" s="985">
        <v>360.3</v>
      </c>
      <c r="K552" s="1064">
        <v>15</v>
      </c>
      <c r="L552" s="985">
        <v>1274980</v>
      </c>
      <c r="M552" s="985">
        <v>0</v>
      </c>
      <c r="N552" s="985">
        <v>0</v>
      </c>
      <c r="O552" s="985">
        <f t="shared" si="168"/>
        <v>1274980</v>
      </c>
      <c r="P552" s="985">
        <v>0</v>
      </c>
      <c r="Q552" s="985">
        <v>0</v>
      </c>
      <c r="R552" s="985">
        <f t="shared" si="167"/>
        <v>3155.8910891089108</v>
      </c>
      <c r="S552" s="1279">
        <v>2021</v>
      </c>
      <c r="T552" s="1279">
        <v>2021</v>
      </c>
    </row>
    <row r="553" spans="1:20" s="992" customFormat="1" ht="41.45" customHeight="1">
      <c r="A553" s="1279">
        <v>98</v>
      </c>
      <c r="B553" s="1276" t="s">
        <v>1281</v>
      </c>
      <c r="C553" s="1279">
        <v>1969</v>
      </c>
      <c r="D553" s="1279"/>
      <c r="E553" s="1271" t="s">
        <v>218</v>
      </c>
      <c r="F553" s="1279">
        <v>5</v>
      </c>
      <c r="G553" s="1279">
        <v>4</v>
      </c>
      <c r="H553" s="985">
        <v>3608.6</v>
      </c>
      <c r="I553" s="985">
        <v>3130.4</v>
      </c>
      <c r="J553" s="985">
        <v>2122.4</v>
      </c>
      <c r="K553" s="1064">
        <v>123</v>
      </c>
      <c r="L553" s="985">
        <v>3318717</v>
      </c>
      <c r="M553" s="985">
        <v>0</v>
      </c>
      <c r="N553" s="985">
        <v>0</v>
      </c>
      <c r="O553" s="985">
        <f t="shared" si="168"/>
        <v>3318717</v>
      </c>
      <c r="P553" s="985">
        <v>0</v>
      </c>
      <c r="Q553" s="985">
        <v>0</v>
      </c>
      <c r="R553" s="985">
        <f t="shared" si="167"/>
        <v>1060.1574878609763</v>
      </c>
      <c r="S553" s="1279">
        <v>2021</v>
      </c>
      <c r="T553" s="1279">
        <v>2021</v>
      </c>
    </row>
    <row r="554" spans="1:20" s="992" customFormat="1" ht="39.6" customHeight="1">
      <c r="A554" s="1279">
        <v>99</v>
      </c>
      <c r="B554" s="1276" t="s">
        <v>1282</v>
      </c>
      <c r="C554" s="1279">
        <v>1917</v>
      </c>
      <c r="D554" s="1279"/>
      <c r="E554" s="1271" t="s">
        <v>218</v>
      </c>
      <c r="F554" s="1279">
        <v>2</v>
      </c>
      <c r="G554" s="1279">
        <v>2</v>
      </c>
      <c r="H554" s="985">
        <v>552.5</v>
      </c>
      <c r="I554" s="985">
        <v>552.5</v>
      </c>
      <c r="J554" s="985">
        <v>289.2</v>
      </c>
      <c r="K554" s="1064">
        <v>24</v>
      </c>
      <c r="L554" s="985">
        <v>381544.23</v>
      </c>
      <c r="M554" s="985">
        <v>0</v>
      </c>
      <c r="N554" s="985">
        <v>0</v>
      </c>
      <c r="O554" s="985">
        <f t="shared" si="168"/>
        <v>381544.23</v>
      </c>
      <c r="P554" s="985">
        <v>0</v>
      </c>
      <c r="Q554" s="985">
        <v>0</v>
      </c>
      <c r="R554" s="985">
        <f t="shared" si="167"/>
        <v>690.5777918552036</v>
      </c>
      <c r="S554" s="1279">
        <v>2021</v>
      </c>
      <c r="T554" s="1279">
        <v>2022</v>
      </c>
    </row>
    <row r="555" spans="1:20" s="992" customFormat="1" ht="39.6" customHeight="1">
      <c r="A555" s="1279">
        <v>100</v>
      </c>
      <c r="B555" s="1276" t="s">
        <v>1283</v>
      </c>
      <c r="C555" s="1279">
        <v>1917</v>
      </c>
      <c r="D555" s="1279"/>
      <c r="E555" s="1271" t="s">
        <v>218</v>
      </c>
      <c r="F555" s="1279">
        <v>2</v>
      </c>
      <c r="G555" s="1279">
        <v>1</v>
      </c>
      <c r="H555" s="985">
        <v>289.89999999999998</v>
      </c>
      <c r="I555" s="985">
        <v>289.89999999999998</v>
      </c>
      <c r="J555" s="985">
        <v>193.7</v>
      </c>
      <c r="K555" s="1064">
        <v>9</v>
      </c>
      <c r="L555" s="985">
        <v>1065134</v>
      </c>
      <c r="M555" s="985">
        <v>0</v>
      </c>
      <c r="N555" s="985">
        <v>0</v>
      </c>
      <c r="O555" s="985">
        <f t="shared" si="168"/>
        <v>1065134</v>
      </c>
      <c r="P555" s="985">
        <v>0</v>
      </c>
      <c r="Q555" s="985">
        <v>0</v>
      </c>
      <c r="R555" s="985">
        <f t="shared" si="167"/>
        <v>3674.1428078647814</v>
      </c>
      <c r="S555" s="1279">
        <v>2021</v>
      </c>
      <c r="T555" s="1279">
        <v>2021</v>
      </c>
    </row>
    <row r="556" spans="1:20" s="992" customFormat="1" ht="39.6" customHeight="1">
      <c r="A556" s="1279">
        <v>101</v>
      </c>
      <c r="B556" s="1276" t="s">
        <v>1092</v>
      </c>
      <c r="C556" s="1279">
        <v>1960</v>
      </c>
      <c r="D556" s="1279"/>
      <c r="E556" s="1271" t="s">
        <v>218</v>
      </c>
      <c r="F556" s="1279">
        <v>3</v>
      </c>
      <c r="G556" s="1279">
        <v>3</v>
      </c>
      <c r="H556" s="985">
        <v>1425.1</v>
      </c>
      <c r="I556" s="985">
        <v>1425.1</v>
      </c>
      <c r="J556" s="985">
        <v>939.9</v>
      </c>
      <c r="K556" s="1064">
        <v>61</v>
      </c>
      <c r="L556" s="985">
        <v>129465</v>
      </c>
      <c r="M556" s="985">
        <v>0</v>
      </c>
      <c r="N556" s="985">
        <v>0</v>
      </c>
      <c r="O556" s="985">
        <f t="shared" si="168"/>
        <v>129465</v>
      </c>
      <c r="P556" s="985">
        <v>0</v>
      </c>
      <c r="Q556" s="985">
        <v>0</v>
      </c>
      <c r="R556" s="985">
        <f t="shared" si="167"/>
        <v>90.846256403059442</v>
      </c>
      <c r="S556" s="1279">
        <v>2021</v>
      </c>
      <c r="T556" s="1279">
        <v>2021</v>
      </c>
    </row>
    <row r="557" spans="1:20" s="1060" customFormat="1" ht="39.6" customHeight="1">
      <c r="A557" s="1279">
        <v>102</v>
      </c>
      <c r="B557" s="1276" t="s">
        <v>1275</v>
      </c>
      <c r="C557" s="1279">
        <v>1917</v>
      </c>
      <c r="D557" s="1279"/>
      <c r="E557" s="1271" t="s">
        <v>218</v>
      </c>
      <c r="F557" s="1279">
        <v>2</v>
      </c>
      <c r="G557" s="1279">
        <v>1</v>
      </c>
      <c r="H557" s="985">
        <v>513.9</v>
      </c>
      <c r="I557" s="985">
        <v>513.9</v>
      </c>
      <c r="J557" s="985">
        <v>483.1</v>
      </c>
      <c r="K557" s="1064">
        <v>16</v>
      </c>
      <c r="L557" s="985">
        <v>2058000.82</v>
      </c>
      <c r="M557" s="985">
        <v>0</v>
      </c>
      <c r="N557" s="985">
        <v>0</v>
      </c>
      <c r="O557" s="985">
        <f t="shared" si="168"/>
        <v>2058000.82</v>
      </c>
      <c r="P557" s="985">
        <v>0</v>
      </c>
      <c r="Q557" s="985">
        <v>0</v>
      </c>
      <c r="R557" s="985">
        <f t="shared" si="167"/>
        <v>4004.6717649348125</v>
      </c>
      <c r="S557" s="1279">
        <v>2021</v>
      </c>
      <c r="T557" s="1279">
        <v>2022</v>
      </c>
    </row>
    <row r="558" spans="1:20" s="1060" customFormat="1" ht="41.45" customHeight="1">
      <c r="A558" s="1279">
        <v>103</v>
      </c>
      <c r="B558" s="1276" t="s">
        <v>1276</v>
      </c>
      <c r="C558" s="1279">
        <v>1957</v>
      </c>
      <c r="D558" s="1279"/>
      <c r="E558" s="1271" t="s">
        <v>218</v>
      </c>
      <c r="F558" s="1279">
        <v>3</v>
      </c>
      <c r="G558" s="1279">
        <v>3</v>
      </c>
      <c r="H558" s="985">
        <v>2014.3</v>
      </c>
      <c r="I558" s="985">
        <v>2014.3</v>
      </c>
      <c r="J558" s="985">
        <v>1870.9</v>
      </c>
      <c r="K558" s="1064">
        <v>66</v>
      </c>
      <c r="L558" s="985">
        <v>2990944</v>
      </c>
      <c r="M558" s="985">
        <v>0</v>
      </c>
      <c r="N558" s="985">
        <v>0</v>
      </c>
      <c r="O558" s="985">
        <f t="shared" si="168"/>
        <v>2990944</v>
      </c>
      <c r="P558" s="985">
        <v>0</v>
      </c>
      <c r="Q558" s="985">
        <v>0</v>
      </c>
      <c r="R558" s="985">
        <f t="shared" si="167"/>
        <v>1484.8552847142928</v>
      </c>
      <c r="S558" s="1279">
        <v>2021</v>
      </c>
      <c r="T558" s="1279">
        <v>2021</v>
      </c>
    </row>
    <row r="559" spans="1:20" s="1060" customFormat="1" ht="40.15" customHeight="1">
      <c r="A559" s="1279">
        <v>104</v>
      </c>
      <c r="B559" s="1276" t="s">
        <v>1099</v>
      </c>
      <c r="C559" s="1279">
        <v>1960</v>
      </c>
      <c r="D559" s="1279"/>
      <c r="E559" s="1271" t="s">
        <v>218</v>
      </c>
      <c r="F559" s="1279">
        <v>3</v>
      </c>
      <c r="G559" s="1279">
        <v>3</v>
      </c>
      <c r="H559" s="985">
        <v>1516.6</v>
      </c>
      <c r="I559" s="985">
        <v>1516.6</v>
      </c>
      <c r="J559" s="985">
        <v>1448.5</v>
      </c>
      <c r="K559" s="1064">
        <v>60</v>
      </c>
      <c r="L559" s="985">
        <v>2494910</v>
      </c>
      <c r="M559" s="985">
        <v>0</v>
      </c>
      <c r="N559" s="985">
        <v>0</v>
      </c>
      <c r="O559" s="985">
        <f t="shared" si="168"/>
        <v>2494910</v>
      </c>
      <c r="P559" s="985">
        <v>0</v>
      </c>
      <c r="Q559" s="985">
        <v>0</v>
      </c>
      <c r="R559" s="985">
        <f t="shared" si="167"/>
        <v>1645.0679150731901</v>
      </c>
      <c r="S559" s="1279">
        <v>2021</v>
      </c>
      <c r="T559" s="1279">
        <v>2021</v>
      </c>
    </row>
    <row r="560" spans="1:20" s="1060" customFormat="1" ht="41.45" customHeight="1">
      <c r="A560" s="1279">
        <v>105</v>
      </c>
      <c r="B560" s="1276" t="s">
        <v>1278</v>
      </c>
      <c r="C560" s="1279">
        <v>1962</v>
      </c>
      <c r="D560" s="1279"/>
      <c r="E560" s="1271" t="s">
        <v>218</v>
      </c>
      <c r="F560" s="1279">
        <v>3</v>
      </c>
      <c r="G560" s="1279">
        <v>2</v>
      </c>
      <c r="H560" s="985">
        <v>1024.2</v>
      </c>
      <c r="I560" s="985">
        <v>1024.2</v>
      </c>
      <c r="J560" s="985">
        <v>744.4</v>
      </c>
      <c r="K560" s="1064">
        <v>39</v>
      </c>
      <c r="L560" s="985">
        <v>1244457</v>
      </c>
      <c r="M560" s="985">
        <v>0</v>
      </c>
      <c r="N560" s="985">
        <v>0</v>
      </c>
      <c r="O560" s="985">
        <f t="shared" si="168"/>
        <v>1244457</v>
      </c>
      <c r="P560" s="1077">
        <v>0</v>
      </c>
      <c r="Q560" s="985">
        <v>0</v>
      </c>
      <c r="R560" s="1192">
        <f t="shared" si="167"/>
        <v>1215.0527240773285</v>
      </c>
      <c r="S560" s="1279">
        <v>2021</v>
      </c>
      <c r="T560" s="1279">
        <v>2021</v>
      </c>
    </row>
    <row r="561" spans="1:20" s="992" customFormat="1" ht="43.9" customHeight="1">
      <c r="A561" s="1279">
        <v>106</v>
      </c>
      <c r="B561" s="1276" t="s">
        <v>1511</v>
      </c>
      <c r="C561" s="1279">
        <v>1961</v>
      </c>
      <c r="D561" s="1279"/>
      <c r="E561" s="1271" t="s">
        <v>218</v>
      </c>
      <c r="F561" s="1279">
        <v>3</v>
      </c>
      <c r="G561" s="1279">
        <v>2</v>
      </c>
      <c r="H561" s="985">
        <v>1024.9000000000001</v>
      </c>
      <c r="I561" s="985">
        <v>1024.9000000000001</v>
      </c>
      <c r="J561" s="985">
        <v>951.2</v>
      </c>
      <c r="K561" s="1064">
        <v>33</v>
      </c>
      <c r="L561" s="985">
        <v>1260759</v>
      </c>
      <c r="M561" s="985">
        <v>0</v>
      </c>
      <c r="N561" s="985">
        <v>0</v>
      </c>
      <c r="O561" s="985">
        <f>L561</f>
        <v>1260759</v>
      </c>
      <c r="P561" s="985">
        <v>0</v>
      </c>
      <c r="Q561" s="985">
        <v>0</v>
      </c>
      <c r="R561" s="985">
        <f>L561/I561</f>
        <v>1230.1287930529807</v>
      </c>
      <c r="S561" s="1279">
        <v>2021</v>
      </c>
      <c r="T561" s="1279">
        <v>2021</v>
      </c>
    </row>
    <row r="562" spans="1:20" s="992" customFormat="1" ht="43.9" customHeight="1">
      <c r="A562" s="1279"/>
      <c r="B562" s="1273" t="s">
        <v>1124</v>
      </c>
      <c r="C562" s="1279"/>
      <c r="D562" s="1283"/>
      <c r="E562" s="1271"/>
      <c r="F562" s="1279"/>
      <c r="G562" s="1279"/>
      <c r="H562" s="1035">
        <f>SUM(H563:H567)</f>
        <v>20992.200000000004</v>
      </c>
      <c r="I562" s="1035">
        <f t="shared" ref="I562:Q562" si="169">SUM(I563:I567)</f>
        <v>14563</v>
      </c>
      <c r="J562" s="1035">
        <f t="shared" si="169"/>
        <v>8991.48</v>
      </c>
      <c r="K562" s="1064">
        <f t="shared" si="169"/>
        <v>599</v>
      </c>
      <c r="L562" s="1035">
        <f t="shared" si="169"/>
        <v>19207237.27</v>
      </c>
      <c r="M562" s="1035">
        <f t="shared" si="169"/>
        <v>0</v>
      </c>
      <c r="N562" s="1035">
        <f t="shared" si="169"/>
        <v>0</v>
      </c>
      <c r="O562" s="1035">
        <f t="shared" si="169"/>
        <v>19207237.27</v>
      </c>
      <c r="P562" s="1035">
        <f t="shared" si="169"/>
        <v>0</v>
      </c>
      <c r="Q562" s="1035">
        <f t="shared" si="169"/>
        <v>0</v>
      </c>
      <c r="R562" s="991" t="s">
        <v>40</v>
      </c>
      <c r="S562" s="991" t="s">
        <v>40</v>
      </c>
      <c r="T562" s="991" t="s">
        <v>40</v>
      </c>
    </row>
    <row r="563" spans="1:20" s="992" customFormat="1" ht="43.9" customHeight="1">
      <c r="A563" s="1279">
        <v>107</v>
      </c>
      <c r="B563" s="1273" t="s">
        <v>239</v>
      </c>
      <c r="C563" s="1279">
        <v>2002</v>
      </c>
      <c r="D563" s="1279"/>
      <c r="E563" s="1271" t="s">
        <v>219</v>
      </c>
      <c r="F563" s="1279">
        <v>5</v>
      </c>
      <c r="G563" s="1279">
        <v>3</v>
      </c>
      <c r="H563" s="1078">
        <v>4541.6000000000004</v>
      </c>
      <c r="I563" s="1078">
        <v>3776.8</v>
      </c>
      <c r="J563" s="1078">
        <v>1744.88</v>
      </c>
      <c r="K563" s="1064">
        <v>150</v>
      </c>
      <c r="L563" s="985">
        <v>4083473.54</v>
      </c>
      <c r="M563" s="985">
        <v>0</v>
      </c>
      <c r="N563" s="985">
        <v>0</v>
      </c>
      <c r="O563" s="985">
        <f>L563</f>
        <v>4083473.54</v>
      </c>
      <c r="P563" s="985">
        <v>0</v>
      </c>
      <c r="Q563" s="985">
        <v>0</v>
      </c>
      <c r="R563" s="985">
        <f t="shared" ref="R563:R567" si="170">L563/I563</f>
        <v>1081.1993062910401</v>
      </c>
      <c r="S563" s="1279">
        <v>2021</v>
      </c>
      <c r="T563" s="1279">
        <v>2022</v>
      </c>
    </row>
    <row r="564" spans="1:20" s="992" customFormat="1" ht="43.15" customHeight="1">
      <c r="A564" s="1279">
        <v>108</v>
      </c>
      <c r="B564" s="1273" t="s">
        <v>1328</v>
      </c>
      <c r="C564" s="1279">
        <v>1972</v>
      </c>
      <c r="D564" s="1279"/>
      <c r="E564" s="1271" t="s">
        <v>218</v>
      </c>
      <c r="F564" s="1279">
        <v>5</v>
      </c>
      <c r="G564" s="1279">
        <v>5</v>
      </c>
      <c r="H564" s="1078">
        <v>6215.1</v>
      </c>
      <c r="I564" s="1078">
        <v>4107.1000000000004</v>
      </c>
      <c r="J564" s="1078">
        <v>3448.8</v>
      </c>
      <c r="K564" s="1064">
        <v>180</v>
      </c>
      <c r="L564" s="985">
        <v>4018427.06</v>
      </c>
      <c r="M564" s="985">
        <v>0</v>
      </c>
      <c r="N564" s="985">
        <v>0</v>
      </c>
      <c r="O564" s="985">
        <f t="shared" ref="O564" si="171">L564</f>
        <v>4018427.06</v>
      </c>
      <c r="P564" s="985">
        <v>0</v>
      </c>
      <c r="Q564" s="985">
        <v>0</v>
      </c>
      <c r="R564" s="985">
        <f t="shared" si="170"/>
        <v>978.4098414939981</v>
      </c>
      <c r="S564" s="1279">
        <v>2021</v>
      </c>
      <c r="T564" s="1279">
        <v>2022</v>
      </c>
    </row>
    <row r="565" spans="1:20" s="992" customFormat="1" ht="36" customHeight="1">
      <c r="A565" s="1279">
        <v>109</v>
      </c>
      <c r="B565" s="1273" t="s">
        <v>1329</v>
      </c>
      <c r="C565" s="1279">
        <v>1977</v>
      </c>
      <c r="D565" s="1279"/>
      <c r="E565" s="1271" t="s">
        <v>219</v>
      </c>
      <c r="F565" s="1279">
        <v>5</v>
      </c>
      <c r="G565" s="1279">
        <v>5</v>
      </c>
      <c r="H565" s="1078">
        <v>5296.1</v>
      </c>
      <c r="I565" s="1078">
        <v>3440.9</v>
      </c>
      <c r="J565" s="1078">
        <v>2364.4</v>
      </c>
      <c r="K565" s="1064">
        <v>163</v>
      </c>
      <c r="L565" s="985">
        <v>3642602.95</v>
      </c>
      <c r="M565" s="985">
        <v>0</v>
      </c>
      <c r="N565" s="985">
        <v>0</v>
      </c>
      <c r="O565" s="985">
        <f>L565</f>
        <v>3642602.95</v>
      </c>
      <c r="P565" s="985">
        <v>0</v>
      </c>
      <c r="Q565" s="985">
        <v>0</v>
      </c>
      <c r="R565" s="985">
        <f t="shared" si="170"/>
        <v>1058.6192420587638</v>
      </c>
      <c r="S565" s="1279">
        <v>2021</v>
      </c>
      <c r="T565" s="1279">
        <v>2022</v>
      </c>
    </row>
    <row r="566" spans="1:20" s="992" customFormat="1" ht="40.9" customHeight="1">
      <c r="A566" s="1279">
        <v>110</v>
      </c>
      <c r="B566" s="1273" t="s">
        <v>1584</v>
      </c>
      <c r="C566" s="1279">
        <v>2000</v>
      </c>
      <c r="D566" s="1279"/>
      <c r="E566" s="1279" t="s">
        <v>222</v>
      </c>
      <c r="F566" s="1279">
        <v>2</v>
      </c>
      <c r="G566" s="1279">
        <v>1</v>
      </c>
      <c r="H566" s="1078">
        <v>1704</v>
      </c>
      <c r="I566" s="1078">
        <v>667.4</v>
      </c>
      <c r="J566" s="1078">
        <v>356.5</v>
      </c>
      <c r="K566" s="1064">
        <v>28</v>
      </c>
      <c r="L566" s="985">
        <v>2532530.52</v>
      </c>
      <c r="M566" s="985">
        <v>0</v>
      </c>
      <c r="N566" s="985">
        <v>0</v>
      </c>
      <c r="O566" s="985">
        <f>L566</f>
        <v>2532530.52</v>
      </c>
      <c r="P566" s="985">
        <v>0</v>
      </c>
      <c r="Q566" s="985">
        <v>0</v>
      </c>
      <c r="R566" s="985">
        <f t="shared" si="170"/>
        <v>3794.6216961342525</v>
      </c>
      <c r="S566" s="1279">
        <v>2021</v>
      </c>
      <c r="T566" s="1279">
        <v>2022</v>
      </c>
    </row>
    <row r="567" spans="1:20" s="992" customFormat="1" ht="43.15" customHeight="1">
      <c r="A567" s="1279">
        <v>111</v>
      </c>
      <c r="B567" s="1273" t="s">
        <v>1330</v>
      </c>
      <c r="C567" s="1279">
        <v>1936</v>
      </c>
      <c r="D567" s="1279"/>
      <c r="E567" s="1271" t="s">
        <v>218</v>
      </c>
      <c r="F567" s="1279">
        <v>4</v>
      </c>
      <c r="G567" s="1279">
        <v>4</v>
      </c>
      <c r="H567" s="1078">
        <v>3235.4</v>
      </c>
      <c r="I567" s="1078">
        <v>2570.8000000000002</v>
      </c>
      <c r="J567" s="1078">
        <v>1076.9000000000001</v>
      </c>
      <c r="K567" s="1064">
        <v>78</v>
      </c>
      <c r="L567" s="985">
        <v>4930203.2</v>
      </c>
      <c r="M567" s="985">
        <v>0</v>
      </c>
      <c r="N567" s="985">
        <v>0</v>
      </c>
      <c r="O567" s="985">
        <f>L567</f>
        <v>4930203.2</v>
      </c>
      <c r="P567" s="985">
        <v>0</v>
      </c>
      <c r="Q567" s="985">
        <v>0</v>
      </c>
      <c r="R567" s="985">
        <f t="shared" si="170"/>
        <v>1917.7700326746537</v>
      </c>
      <c r="S567" s="1279">
        <v>2021</v>
      </c>
      <c r="T567" s="1279">
        <v>2022</v>
      </c>
    </row>
    <row r="568" spans="1:20" s="992" customFormat="1" ht="36" customHeight="1">
      <c r="A568" s="1271"/>
      <c r="B568" s="1391" t="s">
        <v>1435</v>
      </c>
      <c r="C568" s="1391"/>
      <c r="D568" s="1391"/>
      <c r="E568" s="1391"/>
      <c r="F568" s="1391"/>
      <c r="G568" s="1391"/>
      <c r="H568" s="1078">
        <f>H569+H570</f>
        <v>1804</v>
      </c>
      <c r="I568" s="1078">
        <f t="shared" ref="I568:Q568" si="172">I569+I570</f>
        <v>830.6</v>
      </c>
      <c r="J568" s="1078">
        <f t="shared" si="172"/>
        <v>830.6</v>
      </c>
      <c r="K568" s="1064">
        <f t="shared" si="172"/>
        <v>43</v>
      </c>
      <c r="L568" s="1078">
        <f t="shared" si="172"/>
        <v>4041216</v>
      </c>
      <c r="M568" s="1078">
        <f t="shared" si="172"/>
        <v>0</v>
      </c>
      <c r="N568" s="1078">
        <f t="shared" si="172"/>
        <v>0</v>
      </c>
      <c r="O568" s="1078">
        <f t="shared" si="172"/>
        <v>4041216</v>
      </c>
      <c r="P568" s="1078">
        <f t="shared" si="172"/>
        <v>0</v>
      </c>
      <c r="Q568" s="1078">
        <f t="shared" si="172"/>
        <v>0</v>
      </c>
      <c r="R568" s="991" t="s">
        <v>40</v>
      </c>
      <c r="S568" s="991" t="s">
        <v>40</v>
      </c>
      <c r="T568" s="991" t="s">
        <v>40</v>
      </c>
    </row>
    <row r="569" spans="1:20" s="992" customFormat="1" ht="43.9" customHeight="1">
      <c r="A569" s="1271">
        <v>112</v>
      </c>
      <c r="B569" s="1273" t="s">
        <v>2073</v>
      </c>
      <c r="C569" s="1279">
        <v>1981</v>
      </c>
      <c r="D569" s="1279"/>
      <c r="E569" s="1271" t="s">
        <v>218</v>
      </c>
      <c r="F569" s="1279">
        <v>2</v>
      </c>
      <c r="G569" s="1279">
        <v>3</v>
      </c>
      <c r="H569" s="1078">
        <v>1440.4</v>
      </c>
      <c r="I569" s="1078">
        <v>494.6</v>
      </c>
      <c r="J569" s="1078">
        <v>494.6</v>
      </c>
      <c r="K569" s="1064">
        <v>33</v>
      </c>
      <c r="L569" s="985">
        <v>3195065</v>
      </c>
      <c r="M569" s="985">
        <v>0</v>
      </c>
      <c r="N569" s="985">
        <v>0</v>
      </c>
      <c r="O569" s="985">
        <v>3195065</v>
      </c>
      <c r="P569" s="985">
        <v>0</v>
      </c>
      <c r="Q569" s="985">
        <v>0</v>
      </c>
      <c r="R569" s="1035">
        <f>L569/I569</f>
        <v>6459.896886372826</v>
      </c>
      <c r="S569" s="1279">
        <v>2021</v>
      </c>
      <c r="T569" s="1279">
        <v>2021</v>
      </c>
    </row>
    <row r="570" spans="1:20" s="992" customFormat="1" ht="42" customHeight="1">
      <c r="A570" s="1271">
        <v>113</v>
      </c>
      <c r="B570" s="1273" t="s">
        <v>2074</v>
      </c>
      <c r="C570" s="1279">
        <v>1969</v>
      </c>
      <c r="D570" s="1279"/>
      <c r="E570" s="1271" t="s">
        <v>218</v>
      </c>
      <c r="F570" s="1279">
        <v>2</v>
      </c>
      <c r="G570" s="1279">
        <v>1</v>
      </c>
      <c r="H570" s="1078">
        <v>363.6</v>
      </c>
      <c r="I570" s="1078">
        <v>336</v>
      </c>
      <c r="J570" s="1078">
        <v>336</v>
      </c>
      <c r="K570" s="1064">
        <v>10</v>
      </c>
      <c r="L570" s="985">
        <v>846151</v>
      </c>
      <c r="M570" s="985">
        <v>0</v>
      </c>
      <c r="N570" s="985">
        <v>0</v>
      </c>
      <c r="O570" s="985">
        <v>846151</v>
      </c>
      <c r="P570" s="985">
        <v>0</v>
      </c>
      <c r="Q570" s="985">
        <v>0</v>
      </c>
      <c r="R570" s="1035">
        <f t="shared" ref="R570" si="173">L570/I570</f>
        <v>2518.3065476190477</v>
      </c>
      <c r="S570" s="1279">
        <v>2021</v>
      </c>
      <c r="T570" s="1279">
        <v>2021</v>
      </c>
    </row>
    <row r="571" spans="1:20" s="992" customFormat="1" ht="40.15" customHeight="1">
      <c r="A571" s="1271"/>
      <c r="B571" s="1274" t="s">
        <v>41</v>
      </c>
      <c r="C571" s="1279"/>
      <c r="D571" s="1283"/>
      <c r="E571" s="1271"/>
      <c r="F571" s="1279"/>
      <c r="G571" s="1279"/>
      <c r="H571" s="1035">
        <f>H572</f>
        <v>21975.600000000002</v>
      </c>
      <c r="I571" s="1035">
        <f t="shared" ref="I571:Q571" si="174">I572</f>
        <v>21975.600000000002</v>
      </c>
      <c r="J571" s="1035">
        <f t="shared" si="174"/>
        <v>17831.5</v>
      </c>
      <c r="K571" s="1064">
        <f t="shared" si="174"/>
        <v>782</v>
      </c>
      <c r="L571" s="1035">
        <f t="shared" si="174"/>
        <v>42589491.950000003</v>
      </c>
      <c r="M571" s="1035">
        <f t="shared" si="174"/>
        <v>0</v>
      </c>
      <c r="N571" s="1035">
        <f t="shared" si="174"/>
        <v>0</v>
      </c>
      <c r="O571" s="1035">
        <f t="shared" si="174"/>
        <v>42589491.950000003</v>
      </c>
      <c r="P571" s="1035">
        <f t="shared" si="174"/>
        <v>0</v>
      </c>
      <c r="Q571" s="1035">
        <f t="shared" si="174"/>
        <v>0</v>
      </c>
      <c r="R571" s="991" t="s">
        <v>40</v>
      </c>
      <c r="S571" s="991" t="s">
        <v>40</v>
      </c>
      <c r="T571" s="991" t="s">
        <v>40</v>
      </c>
    </row>
    <row r="572" spans="1:20" s="992" customFormat="1" ht="48" customHeight="1">
      <c r="A572" s="1271"/>
      <c r="B572" s="1274" t="s">
        <v>2901</v>
      </c>
      <c r="C572" s="1279"/>
      <c r="D572" s="1283"/>
      <c r="E572" s="1271"/>
      <c r="F572" s="1279"/>
      <c r="G572" s="1279"/>
      <c r="H572" s="1035">
        <f>SUM(H573:H578)</f>
        <v>21975.600000000002</v>
      </c>
      <c r="I572" s="1035">
        <f t="shared" ref="I572:Q572" si="175">SUM(I573:I578)</f>
        <v>21975.600000000002</v>
      </c>
      <c r="J572" s="1035">
        <f t="shared" si="175"/>
        <v>17831.5</v>
      </c>
      <c r="K572" s="1064">
        <f t="shared" si="175"/>
        <v>782</v>
      </c>
      <c r="L572" s="1035">
        <f t="shared" si="175"/>
        <v>42589491.950000003</v>
      </c>
      <c r="M572" s="1035">
        <f t="shared" si="175"/>
        <v>0</v>
      </c>
      <c r="N572" s="1035">
        <f t="shared" si="175"/>
        <v>0</v>
      </c>
      <c r="O572" s="1035">
        <f t="shared" si="175"/>
        <v>42589491.950000003</v>
      </c>
      <c r="P572" s="1035">
        <f t="shared" si="175"/>
        <v>0</v>
      </c>
      <c r="Q572" s="1035">
        <f t="shared" si="175"/>
        <v>0</v>
      </c>
      <c r="R572" s="991" t="s">
        <v>40</v>
      </c>
      <c r="S572" s="991" t="s">
        <v>40</v>
      </c>
      <c r="T572" s="991" t="s">
        <v>40</v>
      </c>
    </row>
    <row r="573" spans="1:20" s="1003" customFormat="1" ht="45.6" customHeight="1">
      <c r="A573" s="1271">
        <v>114</v>
      </c>
      <c r="B573" s="1273" t="s">
        <v>1585</v>
      </c>
      <c r="C573" s="1279">
        <v>1973</v>
      </c>
      <c r="D573" s="1279"/>
      <c r="E573" s="1271" t="s">
        <v>218</v>
      </c>
      <c r="F573" s="1193">
        <v>5</v>
      </c>
      <c r="G573" s="1193">
        <v>4</v>
      </c>
      <c r="H573" s="1035">
        <v>3168.4</v>
      </c>
      <c r="I573" s="1035">
        <v>3168.4</v>
      </c>
      <c r="J573" s="1035">
        <v>1154.5999999999999</v>
      </c>
      <c r="K573" s="1064">
        <v>111</v>
      </c>
      <c r="L573" s="1035">
        <v>3502141</v>
      </c>
      <c r="M573" s="1035">
        <v>0</v>
      </c>
      <c r="N573" s="1035">
        <v>0</v>
      </c>
      <c r="O573" s="1035">
        <v>3502141</v>
      </c>
      <c r="P573" s="1035">
        <v>0</v>
      </c>
      <c r="Q573" s="1035">
        <v>0</v>
      </c>
      <c r="R573" s="1035">
        <f>L573/I573</f>
        <v>1105.3342381012499</v>
      </c>
      <c r="S573" s="1279">
        <v>2021</v>
      </c>
      <c r="T573" s="1279">
        <v>2021</v>
      </c>
    </row>
    <row r="574" spans="1:20" s="1003" customFormat="1" ht="42.6" customHeight="1">
      <c r="A574" s="1271">
        <v>115</v>
      </c>
      <c r="B574" s="1273" t="s">
        <v>1586</v>
      </c>
      <c r="C574" s="1279">
        <v>1983</v>
      </c>
      <c r="D574" s="1279"/>
      <c r="E574" s="1271" t="s">
        <v>218</v>
      </c>
      <c r="F574" s="1193">
        <v>5</v>
      </c>
      <c r="G574" s="1193">
        <v>8</v>
      </c>
      <c r="H574" s="1035">
        <v>4624.3</v>
      </c>
      <c r="I574" s="1035">
        <v>4624.3</v>
      </c>
      <c r="J574" s="1035">
        <v>4588.6000000000004</v>
      </c>
      <c r="K574" s="1064">
        <v>182</v>
      </c>
      <c r="L574" s="1035">
        <v>8318308</v>
      </c>
      <c r="M574" s="1035">
        <v>0</v>
      </c>
      <c r="N574" s="1035">
        <v>0</v>
      </c>
      <c r="O574" s="1035">
        <v>8318308</v>
      </c>
      <c r="P574" s="1035">
        <v>0</v>
      </c>
      <c r="Q574" s="1035">
        <v>0</v>
      </c>
      <c r="R574" s="1035">
        <f t="shared" ref="R574:R578" si="176">L574/I574</f>
        <v>1798.8253357264882</v>
      </c>
      <c r="S574" s="1279">
        <v>2021</v>
      </c>
      <c r="T574" s="1279">
        <v>2021</v>
      </c>
    </row>
    <row r="575" spans="1:20" s="1003" customFormat="1" ht="38.450000000000003" customHeight="1">
      <c r="A575" s="1271">
        <v>116</v>
      </c>
      <c r="B575" s="1273" t="s">
        <v>1587</v>
      </c>
      <c r="C575" s="1279">
        <v>1990</v>
      </c>
      <c r="D575" s="1279">
        <v>2016</v>
      </c>
      <c r="E575" s="1271" t="s">
        <v>219</v>
      </c>
      <c r="F575" s="1193">
        <v>9</v>
      </c>
      <c r="G575" s="1193">
        <v>3</v>
      </c>
      <c r="H575" s="1035">
        <v>6218.9</v>
      </c>
      <c r="I575" s="1035">
        <v>6218.9</v>
      </c>
      <c r="J575" s="1035">
        <v>5854.6</v>
      </c>
      <c r="K575" s="1064">
        <v>195</v>
      </c>
      <c r="L575" s="1035">
        <v>15979306</v>
      </c>
      <c r="M575" s="1035">
        <v>0</v>
      </c>
      <c r="N575" s="1035">
        <v>0</v>
      </c>
      <c r="O575" s="1035">
        <v>15979306</v>
      </c>
      <c r="P575" s="1035">
        <v>0</v>
      </c>
      <c r="Q575" s="1035">
        <v>0</v>
      </c>
      <c r="R575" s="1035">
        <f t="shared" si="176"/>
        <v>2569.474665937706</v>
      </c>
      <c r="S575" s="1279">
        <v>2021</v>
      </c>
      <c r="T575" s="1279">
        <v>2021</v>
      </c>
    </row>
    <row r="576" spans="1:20" s="1003" customFormat="1" ht="40.9" customHeight="1">
      <c r="A576" s="1271">
        <v>117</v>
      </c>
      <c r="B576" s="1273" t="s">
        <v>1588</v>
      </c>
      <c r="C576" s="1279">
        <v>1998</v>
      </c>
      <c r="D576" s="1279"/>
      <c r="E576" s="1271" t="s">
        <v>219</v>
      </c>
      <c r="F576" s="1193">
        <v>5</v>
      </c>
      <c r="G576" s="1193">
        <v>4</v>
      </c>
      <c r="H576" s="1035">
        <v>4141.1000000000004</v>
      </c>
      <c r="I576" s="1035">
        <v>4141.1000000000004</v>
      </c>
      <c r="J576" s="1035">
        <v>4028.2</v>
      </c>
      <c r="K576" s="1064">
        <v>135</v>
      </c>
      <c r="L576" s="1035">
        <v>5990933.6799999997</v>
      </c>
      <c r="M576" s="1035">
        <v>0</v>
      </c>
      <c r="N576" s="1035">
        <v>0</v>
      </c>
      <c r="O576" s="1035">
        <v>5990933.6799999997</v>
      </c>
      <c r="P576" s="1035">
        <v>0</v>
      </c>
      <c r="Q576" s="1035">
        <v>0</v>
      </c>
      <c r="R576" s="1035">
        <f t="shared" si="176"/>
        <v>1446.7010407862642</v>
      </c>
      <c r="S576" s="1279">
        <v>2021</v>
      </c>
      <c r="T576" s="1279">
        <v>2021</v>
      </c>
    </row>
    <row r="577" spans="1:20" s="1026" customFormat="1" ht="43.15" customHeight="1">
      <c r="A577" s="1271">
        <v>118</v>
      </c>
      <c r="B577" s="1273" t="s">
        <v>1589</v>
      </c>
      <c r="C577" s="1279">
        <v>1987</v>
      </c>
      <c r="D577" s="1279"/>
      <c r="E577" s="1271" t="s">
        <v>219</v>
      </c>
      <c r="F577" s="1193">
        <v>5</v>
      </c>
      <c r="G577" s="1193">
        <v>4</v>
      </c>
      <c r="H577" s="1035">
        <v>2769</v>
      </c>
      <c r="I577" s="1035">
        <v>2769</v>
      </c>
      <c r="J577" s="1035">
        <v>1151.5999999999999</v>
      </c>
      <c r="K577" s="1064">
        <v>117</v>
      </c>
      <c r="L577" s="1035">
        <v>4563725</v>
      </c>
      <c r="M577" s="1035">
        <v>0</v>
      </c>
      <c r="N577" s="1035">
        <v>0</v>
      </c>
      <c r="O577" s="1035">
        <v>4563725</v>
      </c>
      <c r="P577" s="1035">
        <v>0</v>
      </c>
      <c r="Q577" s="1035">
        <v>0</v>
      </c>
      <c r="R577" s="1035">
        <f t="shared" si="176"/>
        <v>1648.1491513181654</v>
      </c>
      <c r="S577" s="1279">
        <v>2021</v>
      </c>
      <c r="T577" s="1279">
        <v>2021</v>
      </c>
    </row>
    <row r="578" spans="1:20" s="1026" customFormat="1" ht="38.450000000000003" customHeight="1">
      <c r="A578" s="1271">
        <v>119</v>
      </c>
      <c r="B578" s="1272" t="s">
        <v>1818</v>
      </c>
      <c r="C578" s="1279">
        <v>1954</v>
      </c>
      <c r="D578" s="1279"/>
      <c r="E578" s="1271" t="s">
        <v>218</v>
      </c>
      <c r="F578" s="1193">
        <v>3</v>
      </c>
      <c r="G578" s="1193">
        <v>2</v>
      </c>
      <c r="H578" s="1035">
        <v>1053.9000000000001</v>
      </c>
      <c r="I578" s="1035">
        <v>1053.9000000000001</v>
      </c>
      <c r="J578" s="1035">
        <v>1053.9000000000001</v>
      </c>
      <c r="K578" s="1064">
        <v>42</v>
      </c>
      <c r="L578" s="1035">
        <v>4235078.2699999996</v>
      </c>
      <c r="M578" s="1035">
        <v>0</v>
      </c>
      <c r="N578" s="1035">
        <v>0</v>
      </c>
      <c r="O578" s="1035">
        <v>4235078.2699999996</v>
      </c>
      <c r="P578" s="1035">
        <v>0</v>
      </c>
      <c r="Q578" s="1035">
        <v>0</v>
      </c>
      <c r="R578" s="1035">
        <f t="shared" si="176"/>
        <v>4018.482085586867</v>
      </c>
      <c r="S578" s="1279">
        <v>2021</v>
      </c>
      <c r="T578" s="1279">
        <v>2021</v>
      </c>
    </row>
    <row r="579" spans="1:20" s="1026" customFormat="1" ht="38.450000000000003" customHeight="1">
      <c r="A579" s="1271"/>
      <c r="B579" s="1274" t="s">
        <v>2673</v>
      </c>
      <c r="C579" s="1279"/>
      <c r="D579" s="1283"/>
      <c r="E579" s="1271"/>
      <c r="F579" s="1279"/>
      <c r="G579" s="1279"/>
      <c r="H579" s="1035">
        <f>H580</f>
        <v>260.10000000000002</v>
      </c>
      <c r="I579" s="1035">
        <f t="shared" ref="I579:Q579" si="177">I580</f>
        <v>248.8</v>
      </c>
      <c r="J579" s="1035">
        <f t="shared" si="177"/>
        <v>151.30000000000001</v>
      </c>
      <c r="K579" s="1064">
        <f t="shared" si="177"/>
        <v>8</v>
      </c>
      <c r="L579" s="1035">
        <f t="shared" si="177"/>
        <v>1988195.41</v>
      </c>
      <c r="M579" s="1035">
        <f t="shared" si="177"/>
        <v>0</v>
      </c>
      <c r="N579" s="1035">
        <f t="shared" si="177"/>
        <v>0</v>
      </c>
      <c r="O579" s="1035">
        <f t="shared" si="177"/>
        <v>1988195.41</v>
      </c>
      <c r="P579" s="1035">
        <f t="shared" si="177"/>
        <v>0</v>
      </c>
      <c r="Q579" s="1035">
        <f t="shared" si="177"/>
        <v>0</v>
      </c>
      <c r="R579" s="991" t="s">
        <v>40</v>
      </c>
      <c r="S579" s="991" t="s">
        <v>40</v>
      </c>
      <c r="T579" s="991" t="s">
        <v>40</v>
      </c>
    </row>
    <row r="580" spans="1:20" s="1026" customFormat="1" ht="45.6" customHeight="1">
      <c r="A580" s="1271">
        <v>120</v>
      </c>
      <c r="B580" s="1272" t="s">
        <v>2695</v>
      </c>
      <c r="C580" s="1279">
        <v>1940</v>
      </c>
      <c r="D580" s="1279">
        <v>1975</v>
      </c>
      <c r="E580" s="1271" t="s">
        <v>218</v>
      </c>
      <c r="F580" s="1279">
        <v>2</v>
      </c>
      <c r="G580" s="1279">
        <v>1</v>
      </c>
      <c r="H580" s="1035">
        <v>260.10000000000002</v>
      </c>
      <c r="I580" s="1035">
        <v>248.8</v>
      </c>
      <c r="J580" s="1035">
        <v>151.30000000000001</v>
      </c>
      <c r="K580" s="1064">
        <v>8</v>
      </c>
      <c r="L580" s="1035">
        <v>1988195.41</v>
      </c>
      <c r="M580" s="1035">
        <v>0</v>
      </c>
      <c r="N580" s="1035">
        <v>0</v>
      </c>
      <c r="O580" s="1035">
        <v>1988195.41</v>
      </c>
      <c r="P580" s="1035">
        <v>0</v>
      </c>
      <c r="Q580" s="1035">
        <v>0</v>
      </c>
      <c r="R580" s="1035">
        <f>L580/I580</f>
        <v>7991.139107717041</v>
      </c>
      <c r="S580" s="1279">
        <v>2021</v>
      </c>
      <c r="T580" s="1279">
        <v>2022</v>
      </c>
    </row>
    <row r="581" spans="1:20" s="1026" customFormat="1" ht="38.450000000000003" customHeight="1">
      <c r="A581" s="1271"/>
      <c r="B581" s="1392" t="s">
        <v>43</v>
      </c>
      <c r="C581" s="1392"/>
      <c r="D581" s="1392"/>
      <c r="E581" s="1392"/>
      <c r="F581" s="1392"/>
      <c r="G581" s="1392"/>
      <c r="H581" s="1035">
        <f>H582</f>
        <v>11211.899999999998</v>
      </c>
      <c r="I581" s="1035">
        <f t="shared" ref="I581:Q581" si="178">I582</f>
        <v>8656</v>
      </c>
      <c r="J581" s="1035">
        <f t="shared" si="178"/>
        <v>8115.1</v>
      </c>
      <c r="K581" s="1064">
        <f t="shared" si="178"/>
        <v>317</v>
      </c>
      <c r="L581" s="1035">
        <f t="shared" si="178"/>
        <v>22250988.48</v>
      </c>
      <c r="M581" s="1035">
        <f t="shared" si="178"/>
        <v>0</v>
      </c>
      <c r="N581" s="1035">
        <f t="shared" si="178"/>
        <v>0</v>
      </c>
      <c r="O581" s="1035">
        <f t="shared" si="178"/>
        <v>22250988.48</v>
      </c>
      <c r="P581" s="1035">
        <f t="shared" si="178"/>
        <v>0</v>
      </c>
      <c r="Q581" s="1035">
        <f t="shared" si="178"/>
        <v>0</v>
      </c>
      <c r="R581" s="991" t="s">
        <v>40</v>
      </c>
      <c r="S581" s="991" t="s">
        <v>40</v>
      </c>
      <c r="T581" s="991" t="s">
        <v>40</v>
      </c>
    </row>
    <row r="582" spans="1:20" s="1026" customFormat="1" ht="38.450000000000003" customHeight="1">
      <c r="A582" s="1271"/>
      <c r="B582" s="1393" t="s">
        <v>1090</v>
      </c>
      <c r="C582" s="1393"/>
      <c r="D582" s="1393"/>
      <c r="E582" s="1393"/>
      <c r="F582" s="1393"/>
      <c r="G582" s="1393"/>
      <c r="H582" s="1035">
        <f>SUM(H583:H588)</f>
        <v>11211.899999999998</v>
      </c>
      <c r="I582" s="1035">
        <f t="shared" ref="I582:Q582" si="179">SUM(I583:I588)</f>
        <v>8656</v>
      </c>
      <c r="J582" s="1035">
        <f t="shared" si="179"/>
        <v>8115.1</v>
      </c>
      <c r="K582" s="1064">
        <f t="shared" si="179"/>
        <v>317</v>
      </c>
      <c r="L582" s="1035">
        <f t="shared" si="179"/>
        <v>22250988.48</v>
      </c>
      <c r="M582" s="1035">
        <f t="shared" si="179"/>
        <v>0</v>
      </c>
      <c r="N582" s="1035">
        <f t="shared" si="179"/>
        <v>0</v>
      </c>
      <c r="O582" s="1035">
        <f t="shared" si="179"/>
        <v>22250988.48</v>
      </c>
      <c r="P582" s="1035">
        <f t="shared" si="179"/>
        <v>0</v>
      </c>
      <c r="Q582" s="1035">
        <f t="shared" si="179"/>
        <v>0</v>
      </c>
      <c r="R582" s="991" t="s">
        <v>40</v>
      </c>
      <c r="S582" s="991" t="s">
        <v>40</v>
      </c>
      <c r="T582" s="991" t="s">
        <v>40</v>
      </c>
    </row>
    <row r="583" spans="1:20" s="1026" customFormat="1" ht="38.450000000000003" customHeight="1">
      <c r="A583" s="1279">
        <v>121</v>
      </c>
      <c r="B583" s="1273" t="s">
        <v>1028</v>
      </c>
      <c r="C583" s="1279">
        <v>1967</v>
      </c>
      <c r="D583" s="1271"/>
      <c r="E583" s="1271" t="s">
        <v>218</v>
      </c>
      <c r="F583" s="1279">
        <v>5</v>
      </c>
      <c r="G583" s="1279">
        <v>4</v>
      </c>
      <c r="H583" s="986">
        <v>4858.2</v>
      </c>
      <c r="I583" s="986">
        <v>3171.8</v>
      </c>
      <c r="J583" s="986">
        <v>2881.5</v>
      </c>
      <c r="K583" s="1064">
        <v>91</v>
      </c>
      <c r="L583" s="985">
        <v>5645367.5599999996</v>
      </c>
      <c r="M583" s="985">
        <v>0</v>
      </c>
      <c r="N583" s="985">
        <v>0</v>
      </c>
      <c r="O583" s="985">
        <f>L583</f>
        <v>5645367.5599999996</v>
      </c>
      <c r="P583" s="985">
        <v>0</v>
      </c>
      <c r="Q583" s="985">
        <v>0</v>
      </c>
      <c r="R583" s="1035">
        <f>L583/I583</f>
        <v>1779.8623998991106</v>
      </c>
      <c r="S583" s="1279">
        <v>2021</v>
      </c>
      <c r="T583" s="1279">
        <v>2021</v>
      </c>
    </row>
    <row r="584" spans="1:20" s="1026" customFormat="1" ht="38.450000000000003" customHeight="1">
      <c r="A584" s="1279">
        <v>122</v>
      </c>
      <c r="B584" s="1273" t="s">
        <v>1302</v>
      </c>
      <c r="C584" s="1279">
        <v>1938</v>
      </c>
      <c r="D584" s="1271"/>
      <c r="E584" s="1271" t="s">
        <v>221</v>
      </c>
      <c r="F584" s="1279">
        <v>2</v>
      </c>
      <c r="G584" s="1279">
        <v>2</v>
      </c>
      <c r="H584" s="986">
        <v>482.3</v>
      </c>
      <c r="I584" s="986">
        <v>482.3</v>
      </c>
      <c r="J584" s="986">
        <v>482.3</v>
      </c>
      <c r="K584" s="1064">
        <v>10</v>
      </c>
      <c r="L584" s="985">
        <v>860021.25</v>
      </c>
      <c r="M584" s="985">
        <v>0</v>
      </c>
      <c r="N584" s="985">
        <v>0</v>
      </c>
      <c r="O584" s="985">
        <f t="shared" ref="O584:O588" si="180">L584</f>
        <v>860021.25</v>
      </c>
      <c r="P584" s="985">
        <v>0</v>
      </c>
      <c r="Q584" s="985">
        <v>0</v>
      </c>
      <c r="R584" s="1035">
        <f t="shared" ref="R584:R588" si="181">L584/I584</f>
        <v>1783.1665975533899</v>
      </c>
      <c r="S584" s="1279">
        <v>2021</v>
      </c>
      <c r="T584" s="1279">
        <v>2021</v>
      </c>
    </row>
    <row r="585" spans="1:20" s="1026" customFormat="1" ht="38.450000000000003" customHeight="1">
      <c r="A585" s="1279">
        <v>123</v>
      </c>
      <c r="B585" s="1273" t="s">
        <v>2223</v>
      </c>
      <c r="C585" s="1279">
        <v>1991</v>
      </c>
      <c r="D585" s="1271"/>
      <c r="E585" s="1271" t="s">
        <v>218</v>
      </c>
      <c r="F585" s="1279">
        <v>2</v>
      </c>
      <c r="G585" s="1279">
        <v>2</v>
      </c>
      <c r="H585" s="986">
        <v>3069.8</v>
      </c>
      <c r="I585" s="986">
        <v>2651.7</v>
      </c>
      <c r="J585" s="986">
        <v>2651.7</v>
      </c>
      <c r="K585" s="1064">
        <v>139</v>
      </c>
      <c r="L585" s="985">
        <v>3891225.05</v>
      </c>
      <c r="M585" s="985">
        <v>0</v>
      </c>
      <c r="N585" s="985">
        <v>0</v>
      </c>
      <c r="O585" s="985">
        <f t="shared" si="180"/>
        <v>3891225.05</v>
      </c>
      <c r="P585" s="985">
        <v>0</v>
      </c>
      <c r="Q585" s="985">
        <v>0</v>
      </c>
      <c r="R585" s="1035">
        <f t="shared" si="181"/>
        <v>1467.4454312327941</v>
      </c>
      <c r="S585" s="1279">
        <v>2021</v>
      </c>
      <c r="T585" s="1279">
        <v>2021</v>
      </c>
    </row>
    <row r="586" spans="1:20" s="1026" customFormat="1" ht="38.450000000000003" customHeight="1">
      <c r="A586" s="1279">
        <v>124</v>
      </c>
      <c r="B586" s="1285" t="s">
        <v>1340</v>
      </c>
      <c r="C586" s="1279">
        <v>1955</v>
      </c>
      <c r="D586" s="1271"/>
      <c r="E586" s="1271" t="s">
        <v>218</v>
      </c>
      <c r="F586" s="1279">
        <v>3</v>
      </c>
      <c r="G586" s="1279">
        <v>3</v>
      </c>
      <c r="H586" s="986">
        <v>1446.4</v>
      </c>
      <c r="I586" s="986">
        <v>1299.5</v>
      </c>
      <c r="J586" s="986">
        <v>1110.3</v>
      </c>
      <c r="K586" s="1064">
        <v>38</v>
      </c>
      <c r="L586" s="985">
        <v>8271227.6399999997</v>
      </c>
      <c r="M586" s="985">
        <v>0</v>
      </c>
      <c r="N586" s="985">
        <v>0</v>
      </c>
      <c r="O586" s="985">
        <f t="shared" si="180"/>
        <v>8271227.6399999997</v>
      </c>
      <c r="P586" s="985">
        <v>0</v>
      </c>
      <c r="Q586" s="985">
        <v>0</v>
      </c>
      <c r="R586" s="1035">
        <f t="shared" si="181"/>
        <v>6364.9308503270486</v>
      </c>
      <c r="S586" s="1279">
        <v>2021</v>
      </c>
      <c r="T586" s="1279">
        <v>2021</v>
      </c>
    </row>
    <row r="587" spans="1:20" s="1026" customFormat="1" ht="38.450000000000003" customHeight="1">
      <c r="A587" s="1279">
        <v>125</v>
      </c>
      <c r="B587" s="1274" t="s">
        <v>1590</v>
      </c>
      <c r="C587" s="1279">
        <v>1960</v>
      </c>
      <c r="D587" s="1271"/>
      <c r="E587" s="1271" t="s">
        <v>218</v>
      </c>
      <c r="F587" s="1279">
        <v>2</v>
      </c>
      <c r="G587" s="1279">
        <v>2</v>
      </c>
      <c r="H587" s="986">
        <v>673.8</v>
      </c>
      <c r="I587" s="986">
        <v>609.29999999999995</v>
      </c>
      <c r="J587" s="986">
        <v>609.29999999999995</v>
      </c>
      <c r="K587" s="1064">
        <v>31</v>
      </c>
      <c r="L587" s="985">
        <v>2645172.71</v>
      </c>
      <c r="M587" s="985">
        <v>0</v>
      </c>
      <c r="N587" s="985">
        <v>0</v>
      </c>
      <c r="O587" s="985">
        <f t="shared" si="180"/>
        <v>2645172.71</v>
      </c>
      <c r="P587" s="985">
        <v>0</v>
      </c>
      <c r="Q587" s="985">
        <v>0</v>
      </c>
      <c r="R587" s="1035">
        <f t="shared" si="181"/>
        <v>4341.3305596586251</v>
      </c>
      <c r="S587" s="1279">
        <v>2021</v>
      </c>
      <c r="T587" s="1279">
        <v>2021</v>
      </c>
    </row>
    <row r="588" spans="1:20" s="1026" customFormat="1" ht="38.450000000000003" customHeight="1">
      <c r="A588" s="1279">
        <v>126</v>
      </c>
      <c r="B588" s="1273" t="s">
        <v>1591</v>
      </c>
      <c r="C588" s="1279">
        <v>1955</v>
      </c>
      <c r="D588" s="1271"/>
      <c r="E588" s="1271" t="s">
        <v>218</v>
      </c>
      <c r="F588" s="1279">
        <v>2</v>
      </c>
      <c r="G588" s="1279">
        <v>2</v>
      </c>
      <c r="H588" s="986">
        <v>681.4</v>
      </c>
      <c r="I588" s="986">
        <v>441.4</v>
      </c>
      <c r="J588" s="986">
        <v>380</v>
      </c>
      <c r="K588" s="1064">
        <v>8</v>
      </c>
      <c r="L588" s="986">
        <v>937974.27</v>
      </c>
      <c r="M588" s="986">
        <v>0</v>
      </c>
      <c r="N588" s="986">
        <v>0</v>
      </c>
      <c r="O588" s="986">
        <f t="shared" si="180"/>
        <v>937974.27</v>
      </c>
      <c r="P588" s="986">
        <v>0</v>
      </c>
      <c r="Q588" s="986">
        <v>0</v>
      </c>
      <c r="R588" s="1035">
        <f t="shared" si="181"/>
        <v>2124.9983461712732</v>
      </c>
      <c r="S588" s="1279">
        <v>2021</v>
      </c>
      <c r="T588" s="1279">
        <v>2021</v>
      </c>
    </row>
    <row r="589" spans="1:20" s="1026" customFormat="1" ht="38.450000000000003" customHeight="1">
      <c r="A589" s="1279"/>
      <c r="B589" s="1391" t="s">
        <v>1370</v>
      </c>
      <c r="C589" s="1391"/>
      <c r="D589" s="1391"/>
      <c r="E589" s="1391"/>
      <c r="F589" s="1391"/>
      <c r="G589" s="1391"/>
      <c r="H589" s="986">
        <f>H590+H591</f>
        <v>1023.6</v>
      </c>
      <c r="I589" s="986">
        <f t="shared" ref="I589:Q589" si="182">I590+I591</f>
        <v>1023.6</v>
      </c>
      <c r="J589" s="986">
        <f t="shared" si="182"/>
        <v>915.6</v>
      </c>
      <c r="K589" s="1064">
        <f t="shared" si="182"/>
        <v>24</v>
      </c>
      <c r="L589" s="986">
        <f t="shared" si="182"/>
        <v>3063338.69</v>
      </c>
      <c r="M589" s="986">
        <f t="shared" si="182"/>
        <v>0</v>
      </c>
      <c r="N589" s="986">
        <f t="shared" si="182"/>
        <v>0</v>
      </c>
      <c r="O589" s="986">
        <f t="shared" si="182"/>
        <v>3063338.69</v>
      </c>
      <c r="P589" s="986">
        <f t="shared" si="182"/>
        <v>0</v>
      </c>
      <c r="Q589" s="986">
        <f t="shared" si="182"/>
        <v>0</v>
      </c>
      <c r="R589" s="991" t="s">
        <v>40</v>
      </c>
      <c r="S589" s="991" t="s">
        <v>40</v>
      </c>
      <c r="T589" s="991" t="s">
        <v>40</v>
      </c>
    </row>
    <row r="590" spans="1:20" s="1026" customFormat="1" ht="38.450000000000003" customHeight="1">
      <c r="A590" s="1279">
        <v>127</v>
      </c>
      <c r="B590" s="1274" t="s">
        <v>2075</v>
      </c>
      <c r="C590" s="1279">
        <v>1970</v>
      </c>
      <c r="D590" s="1193"/>
      <c r="E590" s="1271" t="s">
        <v>218</v>
      </c>
      <c r="F590" s="1279">
        <v>2</v>
      </c>
      <c r="G590" s="1279">
        <v>2</v>
      </c>
      <c r="H590" s="986">
        <v>521.6</v>
      </c>
      <c r="I590" s="986">
        <v>521.6</v>
      </c>
      <c r="J590" s="986">
        <v>473.6</v>
      </c>
      <c r="K590" s="1064">
        <v>12</v>
      </c>
      <c r="L590" s="986">
        <v>1607346.81</v>
      </c>
      <c r="M590" s="986">
        <v>0</v>
      </c>
      <c r="N590" s="986">
        <v>0</v>
      </c>
      <c r="O590" s="986">
        <v>1607346.81</v>
      </c>
      <c r="P590" s="986">
        <v>0</v>
      </c>
      <c r="Q590" s="986">
        <v>0</v>
      </c>
      <c r="R590" s="986">
        <f t="shared" ref="R590" si="183">L590/I590</f>
        <v>3081.5698044478527</v>
      </c>
      <c r="S590" s="1279">
        <v>2021</v>
      </c>
      <c r="T590" s="1279">
        <v>2021</v>
      </c>
    </row>
    <row r="591" spans="1:20" s="1026" customFormat="1" ht="38.450000000000003" customHeight="1">
      <c r="A591" s="1279">
        <v>128</v>
      </c>
      <c r="B591" s="1274" t="s">
        <v>2076</v>
      </c>
      <c r="C591" s="1279">
        <v>1960</v>
      </c>
      <c r="D591" s="1193"/>
      <c r="E591" s="1271" t="s">
        <v>218</v>
      </c>
      <c r="F591" s="1279">
        <v>2</v>
      </c>
      <c r="G591" s="1279">
        <v>2</v>
      </c>
      <c r="H591" s="986">
        <v>502</v>
      </c>
      <c r="I591" s="986">
        <v>502</v>
      </c>
      <c r="J591" s="986">
        <v>442</v>
      </c>
      <c r="K591" s="1064">
        <v>12</v>
      </c>
      <c r="L591" s="986">
        <v>1455991.88</v>
      </c>
      <c r="M591" s="986">
        <v>0</v>
      </c>
      <c r="N591" s="986">
        <v>0</v>
      </c>
      <c r="O591" s="986">
        <v>1455991.88</v>
      </c>
      <c r="P591" s="986">
        <v>0</v>
      </c>
      <c r="Q591" s="986">
        <v>0</v>
      </c>
      <c r="R591" s="986">
        <f t="shared" ref="R591" si="184">L591/I591</f>
        <v>2900.3822310756968</v>
      </c>
      <c r="S591" s="1279">
        <v>2021</v>
      </c>
      <c r="T591" s="1279">
        <v>2021</v>
      </c>
    </row>
    <row r="592" spans="1:20" s="1026" customFormat="1" ht="42.6" customHeight="1">
      <c r="A592" s="1271"/>
      <c r="B592" s="1391" t="s">
        <v>46</v>
      </c>
      <c r="C592" s="1391"/>
      <c r="D592" s="1391"/>
      <c r="E592" s="1391"/>
      <c r="F592" s="1391"/>
      <c r="G592" s="1391"/>
      <c r="H592" s="986">
        <f>H593</f>
        <v>1493.3</v>
      </c>
      <c r="I592" s="986">
        <f t="shared" ref="I592:Q592" si="185">I593</f>
        <v>1371.3</v>
      </c>
      <c r="J592" s="986">
        <f t="shared" si="185"/>
        <v>1371.3</v>
      </c>
      <c r="K592" s="1064">
        <f t="shared" si="185"/>
        <v>31</v>
      </c>
      <c r="L592" s="986">
        <f t="shared" si="185"/>
        <v>1603120</v>
      </c>
      <c r="M592" s="986">
        <f t="shared" si="185"/>
        <v>0</v>
      </c>
      <c r="N592" s="986">
        <f t="shared" si="185"/>
        <v>0</v>
      </c>
      <c r="O592" s="986">
        <f t="shared" si="185"/>
        <v>1603120</v>
      </c>
      <c r="P592" s="986">
        <f t="shared" si="185"/>
        <v>0</v>
      </c>
      <c r="Q592" s="986">
        <f t="shared" si="185"/>
        <v>0</v>
      </c>
      <c r="R592" s="991" t="s">
        <v>40</v>
      </c>
      <c r="S592" s="991" t="s">
        <v>40</v>
      </c>
      <c r="T592" s="991" t="s">
        <v>40</v>
      </c>
    </row>
    <row r="593" spans="1:20" s="2" customFormat="1" ht="36.6" customHeight="1">
      <c r="A593" s="1271"/>
      <c r="B593" s="1391" t="s">
        <v>1064</v>
      </c>
      <c r="C593" s="1391"/>
      <c r="D593" s="1391"/>
      <c r="E593" s="1391"/>
      <c r="F593" s="1391"/>
      <c r="G593" s="1391"/>
      <c r="H593" s="986">
        <f>H594</f>
        <v>1493.3</v>
      </c>
      <c r="I593" s="986">
        <f t="shared" ref="I593:Q593" si="186">I594</f>
        <v>1371.3</v>
      </c>
      <c r="J593" s="986">
        <f t="shared" si="186"/>
        <v>1371.3</v>
      </c>
      <c r="K593" s="1064">
        <f t="shared" si="186"/>
        <v>31</v>
      </c>
      <c r="L593" s="986">
        <f t="shared" si="186"/>
        <v>1603120</v>
      </c>
      <c r="M593" s="986">
        <f t="shared" si="186"/>
        <v>0</v>
      </c>
      <c r="N593" s="986">
        <f t="shared" si="186"/>
        <v>0</v>
      </c>
      <c r="O593" s="986">
        <f t="shared" si="186"/>
        <v>1603120</v>
      </c>
      <c r="P593" s="986">
        <f t="shared" si="186"/>
        <v>0</v>
      </c>
      <c r="Q593" s="986">
        <f t="shared" si="186"/>
        <v>0</v>
      </c>
      <c r="R593" s="991" t="s">
        <v>40</v>
      </c>
      <c r="S593" s="991" t="s">
        <v>40</v>
      </c>
      <c r="T593" s="991" t="s">
        <v>40</v>
      </c>
    </row>
    <row r="594" spans="1:20" s="2" customFormat="1" ht="36.6" customHeight="1">
      <c r="A594" s="1271">
        <v>129</v>
      </c>
      <c r="B594" s="1274" t="s">
        <v>1201</v>
      </c>
      <c r="C594" s="1279">
        <v>1985</v>
      </c>
      <c r="D594" s="1193"/>
      <c r="E594" s="1271" t="s">
        <v>219</v>
      </c>
      <c r="F594" s="1193">
        <v>3</v>
      </c>
      <c r="G594" s="1193">
        <v>3</v>
      </c>
      <c r="H594" s="986">
        <v>1493.3</v>
      </c>
      <c r="I594" s="986">
        <v>1371.3</v>
      </c>
      <c r="J594" s="986">
        <v>1371.3</v>
      </c>
      <c r="K594" s="1064">
        <v>31</v>
      </c>
      <c r="L594" s="986">
        <v>1603120</v>
      </c>
      <c r="M594" s="986">
        <v>0</v>
      </c>
      <c r="N594" s="986">
        <v>0</v>
      </c>
      <c r="O594" s="986">
        <v>1603120</v>
      </c>
      <c r="P594" s="986">
        <v>0</v>
      </c>
      <c r="Q594" s="986">
        <v>0</v>
      </c>
      <c r="R594" s="986">
        <f t="shared" ref="R594" si="187">L594/I594</f>
        <v>1169.0512652227812</v>
      </c>
      <c r="S594" s="1279">
        <v>2021</v>
      </c>
      <c r="T594" s="1279">
        <v>2021</v>
      </c>
    </row>
    <row r="595" spans="1:20" s="1017" customFormat="1" ht="42.6" customHeight="1">
      <c r="A595" s="1271"/>
      <c r="B595" s="1413" t="s">
        <v>2674</v>
      </c>
      <c r="C595" s="1413"/>
      <c r="D595" s="1413"/>
      <c r="E595" s="1413"/>
      <c r="F595" s="1413"/>
      <c r="G595" s="1413"/>
      <c r="H595" s="993">
        <f>H596</f>
        <v>3160.4</v>
      </c>
      <c r="I595" s="993">
        <f t="shared" ref="I595:Q595" si="188">I596</f>
        <v>3160.4</v>
      </c>
      <c r="J595" s="993">
        <f t="shared" si="188"/>
        <v>2800.1</v>
      </c>
      <c r="K595" s="987">
        <f t="shared" si="188"/>
        <v>108</v>
      </c>
      <c r="L595" s="993">
        <f t="shared" si="188"/>
        <v>2638258</v>
      </c>
      <c r="M595" s="993">
        <f t="shared" si="188"/>
        <v>0</v>
      </c>
      <c r="N595" s="993">
        <f t="shared" si="188"/>
        <v>0</v>
      </c>
      <c r="O595" s="993">
        <f t="shared" si="188"/>
        <v>2638258</v>
      </c>
      <c r="P595" s="993">
        <f t="shared" si="188"/>
        <v>0</v>
      </c>
      <c r="Q595" s="993">
        <f t="shared" si="188"/>
        <v>0</v>
      </c>
      <c r="R595" s="991" t="s">
        <v>40</v>
      </c>
      <c r="S595" s="991" t="s">
        <v>40</v>
      </c>
      <c r="T595" s="991" t="s">
        <v>40</v>
      </c>
    </row>
    <row r="596" spans="1:20" s="1017" customFormat="1" ht="42.6" customHeight="1">
      <c r="A596" s="1271">
        <v>130</v>
      </c>
      <c r="B596" s="1274" t="s">
        <v>2902</v>
      </c>
      <c r="C596" s="1279">
        <v>1980</v>
      </c>
      <c r="D596" s="1279"/>
      <c r="E596" s="1271" t="s">
        <v>219</v>
      </c>
      <c r="F596" s="1279">
        <v>5</v>
      </c>
      <c r="G596" s="1279">
        <v>4</v>
      </c>
      <c r="H596" s="985">
        <v>3160.4</v>
      </c>
      <c r="I596" s="985">
        <v>3160.4</v>
      </c>
      <c r="J596" s="985">
        <v>2800.1</v>
      </c>
      <c r="K596" s="1064">
        <v>108</v>
      </c>
      <c r="L596" s="986">
        <v>2638258</v>
      </c>
      <c r="M596" s="986">
        <v>0</v>
      </c>
      <c r="N596" s="986">
        <v>0</v>
      </c>
      <c r="O596" s="986">
        <v>2638258</v>
      </c>
      <c r="P596" s="993">
        <v>0</v>
      </c>
      <c r="Q596" s="986">
        <v>0</v>
      </c>
      <c r="R596" s="985">
        <f t="shared" ref="R596" si="189">L596/I596</f>
        <v>834.78610302493348</v>
      </c>
      <c r="S596" s="987">
        <v>2021</v>
      </c>
      <c r="T596" s="987">
        <v>2021</v>
      </c>
    </row>
    <row r="597" spans="1:20" s="1017" customFormat="1" ht="42.6" customHeight="1">
      <c r="A597" s="1271"/>
      <c r="B597" s="1391" t="s">
        <v>1649</v>
      </c>
      <c r="C597" s="1391"/>
      <c r="D597" s="1391"/>
      <c r="E597" s="1391"/>
      <c r="F597" s="1391"/>
      <c r="G597" s="1391"/>
      <c r="H597" s="986">
        <f>H598+H599</f>
        <v>1385.6</v>
      </c>
      <c r="I597" s="986">
        <f t="shared" ref="I597:Q597" si="190">I598+I599</f>
        <v>1265</v>
      </c>
      <c r="J597" s="986">
        <f t="shared" si="190"/>
        <v>1265</v>
      </c>
      <c r="K597" s="1220">
        <f t="shared" si="190"/>
        <v>42</v>
      </c>
      <c r="L597" s="986">
        <f t="shared" si="190"/>
        <v>4817776.92</v>
      </c>
      <c r="M597" s="986">
        <f t="shared" si="190"/>
        <v>0</v>
      </c>
      <c r="N597" s="986">
        <f t="shared" si="190"/>
        <v>0</v>
      </c>
      <c r="O597" s="986">
        <f t="shared" si="190"/>
        <v>4817776.92</v>
      </c>
      <c r="P597" s="986">
        <f t="shared" si="190"/>
        <v>0</v>
      </c>
      <c r="Q597" s="986">
        <f t="shared" si="190"/>
        <v>0</v>
      </c>
      <c r="R597" s="991" t="s">
        <v>40</v>
      </c>
      <c r="S597" s="991" t="s">
        <v>40</v>
      </c>
      <c r="T597" s="991" t="s">
        <v>40</v>
      </c>
    </row>
    <row r="598" spans="1:20" s="1017" customFormat="1" ht="42.6" customHeight="1">
      <c r="A598" s="1271">
        <v>131</v>
      </c>
      <c r="B598" s="1272" t="s">
        <v>2077</v>
      </c>
      <c r="C598" s="1279">
        <v>1969</v>
      </c>
      <c r="D598" s="1279"/>
      <c r="E598" s="1271" t="s">
        <v>218</v>
      </c>
      <c r="F598" s="1279">
        <v>2</v>
      </c>
      <c r="G598" s="1279">
        <v>2</v>
      </c>
      <c r="H598" s="985">
        <v>568.5</v>
      </c>
      <c r="I598" s="985">
        <v>518.20000000000005</v>
      </c>
      <c r="J598" s="985">
        <v>518.20000000000005</v>
      </c>
      <c r="K598" s="1064">
        <v>11</v>
      </c>
      <c r="L598" s="985">
        <v>1961218.92</v>
      </c>
      <c r="M598" s="985">
        <v>0</v>
      </c>
      <c r="N598" s="985">
        <v>0</v>
      </c>
      <c r="O598" s="985">
        <v>1961218.92</v>
      </c>
      <c r="P598" s="985">
        <v>0</v>
      </c>
      <c r="Q598" s="985">
        <v>0</v>
      </c>
      <c r="R598" s="991">
        <f>L598/I598</f>
        <v>3784.6756464685445</v>
      </c>
      <c r="S598" s="1279">
        <v>2021</v>
      </c>
      <c r="T598" s="1279">
        <v>2022</v>
      </c>
    </row>
    <row r="599" spans="1:20" s="992" customFormat="1" ht="38.450000000000003" customHeight="1">
      <c r="A599" s="1271">
        <v>132</v>
      </c>
      <c r="B599" s="1272" t="s">
        <v>2903</v>
      </c>
      <c r="C599" s="1279">
        <v>1980</v>
      </c>
      <c r="D599" s="1279"/>
      <c r="E599" s="1271" t="s">
        <v>218</v>
      </c>
      <c r="F599" s="1279">
        <v>2</v>
      </c>
      <c r="G599" s="1279">
        <v>2</v>
      </c>
      <c r="H599" s="985">
        <v>817.1</v>
      </c>
      <c r="I599" s="985">
        <v>746.8</v>
      </c>
      <c r="J599" s="985">
        <v>746.8</v>
      </c>
      <c r="K599" s="1064">
        <v>31</v>
      </c>
      <c r="L599" s="985">
        <v>2856558</v>
      </c>
      <c r="M599" s="985">
        <v>0</v>
      </c>
      <c r="N599" s="985">
        <v>0</v>
      </c>
      <c r="O599" s="985">
        <v>2856558</v>
      </c>
      <c r="P599" s="985">
        <v>0</v>
      </c>
      <c r="Q599" s="985">
        <v>0</v>
      </c>
      <c r="R599" s="991">
        <f>L599/I599</f>
        <v>3825.0642742367436</v>
      </c>
      <c r="S599" s="1279">
        <v>2021</v>
      </c>
      <c r="T599" s="1279">
        <v>2022</v>
      </c>
    </row>
    <row r="600" spans="1:20" s="1030" customFormat="1" ht="41.45" customHeight="1">
      <c r="A600" s="1271"/>
      <c r="B600" s="1391" t="s">
        <v>49</v>
      </c>
      <c r="C600" s="1391"/>
      <c r="D600" s="1391"/>
      <c r="E600" s="1391"/>
      <c r="F600" s="1391"/>
      <c r="G600" s="1391"/>
      <c r="H600" s="985">
        <f>H601+H603+H605+H607+H610+H612</f>
        <v>5623.2999999999993</v>
      </c>
      <c r="I600" s="985">
        <f t="shared" ref="I600:Q600" si="191">I601+I603+I605+I607+I610+I612</f>
        <v>5106</v>
      </c>
      <c r="J600" s="985">
        <f t="shared" si="191"/>
        <v>3427.5</v>
      </c>
      <c r="K600" s="1064">
        <f t="shared" si="191"/>
        <v>205</v>
      </c>
      <c r="L600" s="985">
        <f t="shared" si="191"/>
        <v>14284465</v>
      </c>
      <c r="M600" s="985">
        <f t="shared" si="191"/>
        <v>0</v>
      </c>
      <c r="N600" s="985">
        <f t="shared" si="191"/>
        <v>267859.96000000002</v>
      </c>
      <c r="O600" s="985">
        <f t="shared" si="191"/>
        <v>14016605.039999999</v>
      </c>
      <c r="P600" s="985">
        <f t="shared" si="191"/>
        <v>0</v>
      </c>
      <c r="Q600" s="985">
        <f t="shared" si="191"/>
        <v>0</v>
      </c>
      <c r="R600" s="991" t="s">
        <v>40</v>
      </c>
      <c r="S600" s="991" t="s">
        <v>40</v>
      </c>
      <c r="T600" s="991" t="s">
        <v>40</v>
      </c>
    </row>
    <row r="601" spans="1:20" s="1030" customFormat="1" ht="41.45" customHeight="1">
      <c r="A601" s="1271"/>
      <c r="B601" s="1273" t="s">
        <v>1348</v>
      </c>
      <c r="C601" s="1279"/>
      <c r="D601" s="1283"/>
      <c r="E601" s="1279"/>
      <c r="F601" s="1279"/>
      <c r="G601" s="1279"/>
      <c r="H601" s="985">
        <f>H602</f>
        <v>956.5</v>
      </c>
      <c r="I601" s="985">
        <f t="shared" ref="I601:Q601" si="192">I602</f>
        <v>873.2</v>
      </c>
      <c r="J601" s="985">
        <f t="shared" si="192"/>
        <v>873.2</v>
      </c>
      <c r="K601" s="1064">
        <f t="shared" si="192"/>
        <v>40</v>
      </c>
      <c r="L601" s="985">
        <f t="shared" si="192"/>
        <v>2953066</v>
      </c>
      <c r="M601" s="985">
        <f t="shared" si="192"/>
        <v>0</v>
      </c>
      <c r="N601" s="985">
        <f t="shared" si="192"/>
        <v>0</v>
      </c>
      <c r="O601" s="985">
        <f t="shared" si="192"/>
        <v>2953066</v>
      </c>
      <c r="P601" s="985">
        <f t="shared" si="192"/>
        <v>0</v>
      </c>
      <c r="Q601" s="985">
        <f t="shared" si="192"/>
        <v>0</v>
      </c>
      <c r="R601" s="991" t="s">
        <v>40</v>
      </c>
      <c r="S601" s="991" t="s">
        <v>40</v>
      </c>
      <c r="T601" s="991" t="s">
        <v>40</v>
      </c>
    </row>
    <row r="602" spans="1:20" s="1030" customFormat="1" ht="41.45" customHeight="1">
      <c r="A602" s="1271">
        <v>133</v>
      </c>
      <c r="B602" s="1273" t="s">
        <v>1349</v>
      </c>
      <c r="C602" s="1279">
        <v>1989</v>
      </c>
      <c r="D602" s="1273"/>
      <c r="E602" s="1271" t="s">
        <v>218</v>
      </c>
      <c r="F602" s="1279">
        <v>2</v>
      </c>
      <c r="G602" s="1279">
        <v>3</v>
      </c>
      <c r="H602" s="985">
        <v>956.5</v>
      </c>
      <c r="I602" s="985">
        <v>873.2</v>
      </c>
      <c r="J602" s="985">
        <v>873.2</v>
      </c>
      <c r="K602" s="1064">
        <v>40</v>
      </c>
      <c r="L602" s="985">
        <v>2953066</v>
      </c>
      <c r="M602" s="985">
        <v>0</v>
      </c>
      <c r="N602" s="985">
        <v>0</v>
      </c>
      <c r="O602" s="985">
        <v>2953066</v>
      </c>
      <c r="P602" s="985">
        <v>0</v>
      </c>
      <c r="Q602" s="985">
        <v>0</v>
      </c>
      <c r="R602" s="985">
        <f t="shared" ref="R602" si="193">L602/I602</f>
        <v>3381.8896014658726</v>
      </c>
      <c r="S602" s="987">
        <v>2021</v>
      </c>
      <c r="T602" s="987">
        <v>2021</v>
      </c>
    </row>
    <row r="603" spans="1:20" s="1030" customFormat="1" ht="37.15" customHeight="1">
      <c r="A603" s="1271"/>
      <c r="B603" s="1391" t="s">
        <v>1125</v>
      </c>
      <c r="C603" s="1391"/>
      <c r="D603" s="1391"/>
      <c r="E603" s="1391"/>
      <c r="F603" s="1391"/>
      <c r="G603" s="1391"/>
      <c r="H603" s="985">
        <f>H604</f>
        <v>572.29999999999995</v>
      </c>
      <c r="I603" s="985">
        <f t="shared" ref="I603:Q603" si="194">I604</f>
        <v>572.29999999999995</v>
      </c>
      <c r="J603" s="985">
        <f t="shared" si="194"/>
        <v>31.9</v>
      </c>
      <c r="K603" s="1064">
        <f t="shared" si="194"/>
        <v>25</v>
      </c>
      <c r="L603" s="985">
        <f t="shared" si="194"/>
        <v>2389620</v>
      </c>
      <c r="M603" s="985">
        <f t="shared" si="194"/>
        <v>0</v>
      </c>
      <c r="N603" s="985">
        <f t="shared" si="194"/>
        <v>0</v>
      </c>
      <c r="O603" s="985">
        <f t="shared" si="194"/>
        <v>2389620</v>
      </c>
      <c r="P603" s="985">
        <f t="shared" si="194"/>
        <v>0</v>
      </c>
      <c r="Q603" s="985">
        <f t="shared" si="194"/>
        <v>0</v>
      </c>
      <c r="R603" s="991" t="s">
        <v>40</v>
      </c>
      <c r="S603" s="991" t="s">
        <v>40</v>
      </c>
      <c r="T603" s="991" t="s">
        <v>40</v>
      </c>
    </row>
    <row r="604" spans="1:20" s="1030" customFormat="1" ht="41.45" customHeight="1">
      <c r="A604" s="1271">
        <v>134</v>
      </c>
      <c r="B604" s="1274" t="s">
        <v>2904</v>
      </c>
      <c r="C604" s="1279">
        <v>1968</v>
      </c>
      <c r="D604" s="1279"/>
      <c r="E604" s="1271" t="s">
        <v>219</v>
      </c>
      <c r="F604" s="1279">
        <v>2</v>
      </c>
      <c r="G604" s="1279">
        <v>2</v>
      </c>
      <c r="H604" s="985">
        <v>572.29999999999995</v>
      </c>
      <c r="I604" s="985">
        <v>572.29999999999995</v>
      </c>
      <c r="J604" s="985">
        <v>31.9</v>
      </c>
      <c r="K604" s="1064">
        <v>25</v>
      </c>
      <c r="L604" s="986">
        <v>2389620</v>
      </c>
      <c r="M604" s="986">
        <v>0</v>
      </c>
      <c r="N604" s="986">
        <v>0</v>
      </c>
      <c r="O604" s="986">
        <f>L604</f>
        <v>2389620</v>
      </c>
      <c r="P604" s="993">
        <v>0</v>
      </c>
      <c r="Q604" s="986">
        <v>0</v>
      </c>
      <c r="R604" s="985">
        <f t="shared" ref="R604:R611" si="195">L604/I604</f>
        <v>4175.4674121964008</v>
      </c>
      <c r="S604" s="987">
        <v>2021</v>
      </c>
      <c r="T604" s="987">
        <v>2021</v>
      </c>
    </row>
    <row r="605" spans="1:20" s="1030" customFormat="1" ht="41.45" customHeight="1">
      <c r="A605" s="1271"/>
      <c r="B605" s="1390" t="s">
        <v>1147</v>
      </c>
      <c r="C605" s="1390"/>
      <c r="D605" s="1390"/>
      <c r="E605" s="1390"/>
      <c r="F605" s="1390"/>
      <c r="G605" s="1390"/>
      <c r="H605" s="985">
        <f>H606</f>
        <v>1287.0999999999999</v>
      </c>
      <c r="I605" s="985">
        <f t="shared" ref="I605:Q605" si="196">I606</f>
        <v>1287.0999999999999</v>
      </c>
      <c r="J605" s="985">
        <f t="shared" si="196"/>
        <v>727.7</v>
      </c>
      <c r="K605" s="1064">
        <f t="shared" si="196"/>
        <v>19</v>
      </c>
      <c r="L605" s="985">
        <f t="shared" si="196"/>
        <v>1952139</v>
      </c>
      <c r="M605" s="985">
        <f t="shared" si="196"/>
        <v>0</v>
      </c>
      <c r="N605" s="985">
        <f t="shared" si="196"/>
        <v>267859.96000000002</v>
      </c>
      <c r="O605" s="985">
        <f t="shared" si="196"/>
        <v>1684279.04</v>
      </c>
      <c r="P605" s="985">
        <f t="shared" si="196"/>
        <v>0</v>
      </c>
      <c r="Q605" s="985">
        <f t="shared" si="196"/>
        <v>0</v>
      </c>
      <c r="R605" s="991" t="s">
        <v>40</v>
      </c>
      <c r="S605" s="991" t="s">
        <v>40</v>
      </c>
      <c r="T605" s="991" t="s">
        <v>40</v>
      </c>
    </row>
    <row r="606" spans="1:20" s="1030" customFormat="1" ht="41.45" customHeight="1">
      <c r="A606" s="1271">
        <v>135</v>
      </c>
      <c r="B606" s="1272" t="s">
        <v>1963</v>
      </c>
      <c r="C606" s="1279">
        <v>1989</v>
      </c>
      <c r="D606" s="1279"/>
      <c r="E606" s="1271" t="s">
        <v>219</v>
      </c>
      <c r="F606" s="1279">
        <v>3</v>
      </c>
      <c r="G606" s="1279">
        <v>3</v>
      </c>
      <c r="H606" s="985">
        <v>1287.0999999999999</v>
      </c>
      <c r="I606" s="985">
        <v>1287.0999999999999</v>
      </c>
      <c r="J606" s="985">
        <v>727.7</v>
      </c>
      <c r="K606" s="1064">
        <v>19</v>
      </c>
      <c r="L606" s="986">
        <v>1952139</v>
      </c>
      <c r="M606" s="986">
        <v>0</v>
      </c>
      <c r="N606" s="986">
        <v>267859.96000000002</v>
      </c>
      <c r="O606" s="986">
        <v>1684279.04</v>
      </c>
      <c r="P606" s="993">
        <v>0</v>
      </c>
      <c r="Q606" s="986">
        <v>0</v>
      </c>
      <c r="R606" s="985">
        <f t="shared" si="195"/>
        <v>1516.6956724419238</v>
      </c>
      <c r="S606" s="987">
        <v>2021</v>
      </c>
      <c r="T606" s="987">
        <v>2021</v>
      </c>
    </row>
    <row r="607" spans="1:20" s="1004" customFormat="1" ht="41.45" customHeight="1">
      <c r="A607" s="1271"/>
      <c r="B607" s="1390" t="s">
        <v>1964</v>
      </c>
      <c r="C607" s="1390"/>
      <c r="D607" s="1390"/>
      <c r="E607" s="1390"/>
      <c r="F607" s="1390"/>
      <c r="G607" s="1390"/>
      <c r="H607" s="985">
        <f>H608+H609</f>
        <v>705.8</v>
      </c>
      <c r="I607" s="985">
        <f t="shared" ref="I607:Q607" si="197">I608+I609</f>
        <v>515.29999999999995</v>
      </c>
      <c r="J607" s="985">
        <f t="shared" si="197"/>
        <v>515.29999999999995</v>
      </c>
      <c r="K607" s="1064">
        <f t="shared" si="197"/>
        <v>50</v>
      </c>
      <c r="L607" s="985">
        <f t="shared" si="197"/>
        <v>2933548</v>
      </c>
      <c r="M607" s="985">
        <f t="shared" si="197"/>
        <v>0</v>
      </c>
      <c r="N607" s="985">
        <f t="shared" si="197"/>
        <v>0</v>
      </c>
      <c r="O607" s="985">
        <f t="shared" si="197"/>
        <v>2933548</v>
      </c>
      <c r="P607" s="985">
        <f t="shared" si="197"/>
        <v>0</v>
      </c>
      <c r="Q607" s="985">
        <f t="shared" si="197"/>
        <v>0</v>
      </c>
      <c r="R607" s="991" t="s">
        <v>40</v>
      </c>
      <c r="S607" s="991" t="s">
        <v>40</v>
      </c>
      <c r="T607" s="991" t="s">
        <v>40</v>
      </c>
    </row>
    <row r="608" spans="1:20" s="1004" customFormat="1" ht="45" customHeight="1">
      <c r="A608" s="1271">
        <v>136</v>
      </c>
      <c r="B608" s="1272" t="s">
        <v>1965</v>
      </c>
      <c r="C608" s="1279">
        <v>1952</v>
      </c>
      <c r="D608" s="1279"/>
      <c r="E608" s="1271" t="s">
        <v>218</v>
      </c>
      <c r="F608" s="1279">
        <v>2</v>
      </c>
      <c r="G608" s="1279">
        <v>1</v>
      </c>
      <c r="H608" s="985">
        <v>238.2</v>
      </c>
      <c r="I608" s="985">
        <v>219</v>
      </c>
      <c r="J608" s="985">
        <v>219</v>
      </c>
      <c r="K608" s="1064">
        <v>24</v>
      </c>
      <c r="L608" s="986">
        <v>1240586</v>
      </c>
      <c r="M608" s="986">
        <v>0</v>
      </c>
      <c r="N608" s="986">
        <v>0</v>
      </c>
      <c r="O608" s="986">
        <v>1240586</v>
      </c>
      <c r="P608" s="993">
        <v>0</v>
      </c>
      <c r="Q608" s="986">
        <v>0</v>
      </c>
      <c r="R608" s="985">
        <f t="shared" si="195"/>
        <v>5664.7762557077622</v>
      </c>
      <c r="S608" s="987">
        <v>2021</v>
      </c>
      <c r="T608" s="987">
        <v>2021</v>
      </c>
    </row>
    <row r="609" spans="1:20" s="1004" customFormat="1" ht="46.9" customHeight="1">
      <c r="A609" s="1271">
        <v>137</v>
      </c>
      <c r="B609" s="1272" t="s">
        <v>1966</v>
      </c>
      <c r="C609" s="1279">
        <v>1960</v>
      </c>
      <c r="D609" s="1279"/>
      <c r="E609" s="1271" t="s">
        <v>218</v>
      </c>
      <c r="F609" s="1279">
        <v>2</v>
      </c>
      <c r="G609" s="1279">
        <v>3</v>
      </c>
      <c r="H609" s="985">
        <v>467.6</v>
      </c>
      <c r="I609" s="985">
        <v>296.3</v>
      </c>
      <c r="J609" s="985">
        <v>296.3</v>
      </c>
      <c r="K609" s="1064">
        <v>26</v>
      </c>
      <c r="L609" s="986">
        <v>1692962</v>
      </c>
      <c r="M609" s="986">
        <v>0</v>
      </c>
      <c r="N609" s="986">
        <v>0</v>
      </c>
      <c r="O609" s="986">
        <v>1692962</v>
      </c>
      <c r="P609" s="993">
        <v>0</v>
      </c>
      <c r="Q609" s="986">
        <v>0</v>
      </c>
      <c r="R609" s="985">
        <f t="shared" ref="R609" si="198">L609/I609</f>
        <v>5713.6753290583865</v>
      </c>
      <c r="S609" s="987">
        <v>2021</v>
      </c>
      <c r="T609" s="987">
        <v>2021</v>
      </c>
    </row>
    <row r="610" spans="1:20" s="992" customFormat="1" ht="39.6" customHeight="1">
      <c r="A610" s="1271"/>
      <c r="B610" s="1273" t="s">
        <v>1065</v>
      </c>
      <c r="C610" s="1279"/>
      <c r="D610" s="1283"/>
      <c r="E610" s="1279"/>
      <c r="F610" s="1279"/>
      <c r="G610" s="1279"/>
      <c r="H610" s="985">
        <f>H611</f>
        <v>721</v>
      </c>
      <c r="I610" s="985">
        <f t="shared" ref="I610:Q610" si="199">I611</f>
        <v>477.5</v>
      </c>
      <c r="J610" s="985">
        <f t="shared" si="199"/>
        <v>443.6</v>
      </c>
      <c r="K610" s="1064">
        <f t="shared" si="199"/>
        <v>26</v>
      </c>
      <c r="L610" s="985">
        <f t="shared" si="199"/>
        <v>2118761</v>
      </c>
      <c r="M610" s="985">
        <f t="shared" si="199"/>
        <v>0</v>
      </c>
      <c r="N610" s="985">
        <f t="shared" si="199"/>
        <v>0</v>
      </c>
      <c r="O610" s="985">
        <f t="shared" si="199"/>
        <v>2118761</v>
      </c>
      <c r="P610" s="985">
        <f t="shared" si="199"/>
        <v>0</v>
      </c>
      <c r="Q610" s="985">
        <f t="shared" si="199"/>
        <v>0</v>
      </c>
      <c r="R610" s="991" t="s">
        <v>40</v>
      </c>
      <c r="S610" s="991" t="s">
        <v>40</v>
      </c>
      <c r="T610" s="991" t="s">
        <v>40</v>
      </c>
    </row>
    <row r="611" spans="1:20" s="992" customFormat="1" ht="39.6" customHeight="1">
      <c r="A611" s="1271">
        <v>138</v>
      </c>
      <c r="B611" s="1273" t="s">
        <v>1185</v>
      </c>
      <c r="C611" s="1279">
        <v>1970</v>
      </c>
      <c r="D611" s="1279"/>
      <c r="E611" s="1271" t="s">
        <v>218</v>
      </c>
      <c r="F611" s="1279">
        <v>2</v>
      </c>
      <c r="G611" s="1279">
        <v>2</v>
      </c>
      <c r="H611" s="985">
        <v>721</v>
      </c>
      <c r="I611" s="985">
        <v>477.5</v>
      </c>
      <c r="J611" s="985">
        <v>443.6</v>
      </c>
      <c r="K611" s="1064">
        <v>26</v>
      </c>
      <c r="L611" s="986">
        <v>2118761</v>
      </c>
      <c r="M611" s="986">
        <v>0</v>
      </c>
      <c r="N611" s="986">
        <v>0</v>
      </c>
      <c r="O611" s="986">
        <v>2118761</v>
      </c>
      <c r="P611" s="993">
        <v>0</v>
      </c>
      <c r="Q611" s="986">
        <v>0</v>
      </c>
      <c r="R611" s="985">
        <f t="shared" si="195"/>
        <v>4437.1958115183243</v>
      </c>
      <c r="S611" s="987">
        <v>2021</v>
      </c>
      <c r="T611" s="987">
        <v>2021</v>
      </c>
    </row>
    <row r="612" spans="1:20" s="992" customFormat="1" ht="39.6" customHeight="1">
      <c r="A612" s="1271"/>
      <c r="B612" s="1390" t="s">
        <v>1128</v>
      </c>
      <c r="C612" s="1390"/>
      <c r="D612" s="1390"/>
      <c r="E612" s="1390"/>
      <c r="F612" s="1390"/>
      <c r="G612" s="1390"/>
      <c r="H612" s="985">
        <f>H613</f>
        <v>1380.6</v>
      </c>
      <c r="I612" s="985">
        <f t="shared" ref="I612:Q612" si="200">I613</f>
        <v>1380.6</v>
      </c>
      <c r="J612" s="985">
        <f t="shared" si="200"/>
        <v>835.8</v>
      </c>
      <c r="K612" s="1064">
        <f t="shared" si="200"/>
        <v>45</v>
      </c>
      <c r="L612" s="985">
        <f t="shared" si="200"/>
        <v>1937331</v>
      </c>
      <c r="M612" s="985">
        <f t="shared" si="200"/>
        <v>0</v>
      </c>
      <c r="N612" s="985">
        <f t="shared" si="200"/>
        <v>0</v>
      </c>
      <c r="O612" s="985">
        <f t="shared" si="200"/>
        <v>1937331</v>
      </c>
      <c r="P612" s="985">
        <f t="shared" si="200"/>
        <v>0</v>
      </c>
      <c r="Q612" s="985">
        <f t="shared" si="200"/>
        <v>0</v>
      </c>
      <c r="R612" s="991" t="s">
        <v>40</v>
      </c>
      <c r="S612" s="991" t="s">
        <v>40</v>
      </c>
      <c r="T612" s="991" t="s">
        <v>40</v>
      </c>
    </row>
    <row r="613" spans="1:20" s="992" customFormat="1" ht="44.45" customHeight="1">
      <c r="A613" s="1271">
        <v>139</v>
      </c>
      <c r="B613" s="1274" t="s">
        <v>2905</v>
      </c>
      <c r="C613" s="1279">
        <v>1993</v>
      </c>
      <c r="D613" s="1279"/>
      <c r="E613" s="1271" t="s">
        <v>220</v>
      </c>
      <c r="F613" s="1279">
        <v>3</v>
      </c>
      <c r="G613" s="1279">
        <v>3</v>
      </c>
      <c r="H613" s="985">
        <v>1380.6</v>
      </c>
      <c r="I613" s="985">
        <v>1380.6</v>
      </c>
      <c r="J613" s="985">
        <v>835.8</v>
      </c>
      <c r="K613" s="1064">
        <v>45</v>
      </c>
      <c r="L613" s="986">
        <v>1937331</v>
      </c>
      <c r="M613" s="986">
        <v>0</v>
      </c>
      <c r="N613" s="986">
        <v>0</v>
      </c>
      <c r="O613" s="986">
        <v>1937331</v>
      </c>
      <c r="P613" s="993">
        <v>0</v>
      </c>
      <c r="Q613" s="986">
        <v>0</v>
      </c>
      <c r="R613" s="985">
        <f>L613/I613</f>
        <v>1403.2529335071708</v>
      </c>
      <c r="S613" s="987">
        <v>2021</v>
      </c>
      <c r="T613" s="987">
        <v>2021</v>
      </c>
    </row>
    <row r="614" spans="1:20" s="992" customFormat="1" ht="36" customHeight="1">
      <c r="A614" s="1271"/>
      <c r="B614" s="1391" t="s">
        <v>50</v>
      </c>
      <c r="C614" s="1391"/>
      <c r="D614" s="1391"/>
      <c r="E614" s="1391"/>
      <c r="F614" s="1391"/>
      <c r="G614" s="1391"/>
      <c r="H614" s="985">
        <f>H615</f>
        <v>14524.5</v>
      </c>
      <c r="I614" s="985">
        <f t="shared" ref="I614:Q614" si="201">I615</f>
        <v>12956</v>
      </c>
      <c r="J614" s="985">
        <f t="shared" si="201"/>
        <v>12434.5</v>
      </c>
      <c r="K614" s="1064">
        <f t="shared" si="201"/>
        <v>501</v>
      </c>
      <c r="L614" s="985">
        <f t="shared" si="201"/>
        <v>12056009</v>
      </c>
      <c r="M614" s="985">
        <f t="shared" si="201"/>
        <v>0</v>
      </c>
      <c r="N614" s="985">
        <f t="shared" si="201"/>
        <v>0</v>
      </c>
      <c r="O614" s="985">
        <f t="shared" si="201"/>
        <v>12056009</v>
      </c>
      <c r="P614" s="985">
        <f t="shared" si="201"/>
        <v>0</v>
      </c>
      <c r="Q614" s="985">
        <f t="shared" si="201"/>
        <v>0</v>
      </c>
      <c r="R614" s="991" t="s">
        <v>40</v>
      </c>
      <c r="S614" s="991" t="s">
        <v>40</v>
      </c>
      <c r="T614" s="991" t="s">
        <v>40</v>
      </c>
    </row>
    <row r="615" spans="1:20" s="992" customFormat="1" ht="36" customHeight="1">
      <c r="A615" s="1271"/>
      <c r="B615" s="1391" t="s">
        <v>1067</v>
      </c>
      <c r="C615" s="1391"/>
      <c r="D615" s="1391"/>
      <c r="E615" s="1391"/>
      <c r="F615" s="1391"/>
      <c r="G615" s="1391"/>
      <c r="H615" s="985">
        <f>SUM(H616:H619)</f>
        <v>14524.5</v>
      </c>
      <c r="I615" s="985">
        <f t="shared" ref="I615:Q615" si="202">SUM(I616:I619)</f>
        <v>12956</v>
      </c>
      <c r="J615" s="985">
        <f t="shared" si="202"/>
        <v>12434.5</v>
      </c>
      <c r="K615" s="1064">
        <f t="shared" si="202"/>
        <v>501</v>
      </c>
      <c r="L615" s="985">
        <f t="shared" si="202"/>
        <v>12056009</v>
      </c>
      <c r="M615" s="985">
        <f t="shared" si="202"/>
        <v>0</v>
      </c>
      <c r="N615" s="985">
        <f t="shared" si="202"/>
        <v>0</v>
      </c>
      <c r="O615" s="985">
        <f t="shared" si="202"/>
        <v>12056009</v>
      </c>
      <c r="P615" s="985">
        <f t="shared" si="202"/>
        <v>0</v>
      </c>
      <c r="Q615" s="985">
        <f t="shared" si="202"/>
        <v>0</v>
      </c>
      <c r="R615" s="991" t="s">
        <v>40</v>
      </c>
      <c r="S615" s="991" t="s">
        <v>40</v>
      </c>
      <c r="T615" s="991" t="s">
        <v>40</v>
      </c>
    </row>
    <row r="616" spans="1:20" s="2" customFormat="1" ht="42.6" customHeight="1">
      <c r="A616" s="1031">
        <v>140</v>
      </c>
      <c r="B616" s="1273" t="s">
        <v>1252</v>
      </c>
      <c r="C616" s="1279">
        <v>1990</v>
      </c>
      <c r="D616" s="1043"/>
      <c r="E616" s="1271" t="s">
        <v>218</v>
      </c>
      <c r="F616" s="1023">
        <v>5</v>
      </c>
      <c r="G616" s="1023">
        <v>6</v>
      </c>
      <c r="H616" s="1044">
        <v>4834.8999999999996</v>
      </c>
      <c r="I616" s="1044">
        <v>4350.3</v>
      </c>
      <c r="J616" s="1044">
        <v>4097.3999999999996</v>
      </c>
      <c r="K616" s="1011">
        <v>173</v>
      </c>
      <c r="L616" s="1045">
        <v>3768692</v>
      </c>
      <c r="M616" s="1045">
        <v>0</v>
      </c>
      <c r="N616" s="1045">
        <v>0</v>
      </c>
      <c r="O616" s="1045">
        <v>3768692</v>
      </c>
      <c r="P616" s="1059">
        <v>0</v>
      </c>
      <c r="Q616" s="1059">
        <v>0</v>
      </c>
      <c r="R616" s="1079">
        <f>L616/I616</f>
        <v>866.30623175413189</v>
      </c>
      <c r="S616" s="1031">
        <v>2021</v>
      </c>
      <c r="T616" s="1031">
        <v>2021</v>
      </c>
    </row>
    <row r="617" spans="1:20" s="998" customFormat="1" ht="37.15" customHeight="1">
      <c r="A617" s="1031">
        <v>141</v>
      </c>
      <c r="B617" s="1276" t="s">
        <v>1253</v>
      </c>
      <c r="C617" s="1279">
        <v>1996</v>
      </c>
      <c r="D617" s="1048"/>
      <c r="E617" s="1271" t="s">
        <v>218</v>
      </c>
      <c r="F617" s="1047">
        <v>5</v>
      </c>
      <c r="G617" s="1047">
        <v>1</v>
      </c>
      <c r="H617" s="1050">
        <v>2932.9</v>
      </c>
      <c r="I617" s="1050">
        <v>2561.1999999999998</v>
      </c>
      <c r="J617" s="1050">
        <v>2426.3000000000002</v>
      </c>
      <c r="K617" s="1264">
        <v>93</v>
      </c>
      <c r="L617" s="1051">
        <v>2418266</v>
      </c>
      <c r="M617" s="1045">
        <v>0</v>
      </c>
      <c r="N617" s="1045">
        <v>0</v>
      </c>
      <c r="O617" s="1051">
        <v>2418266</v>
      </c>
      <c r="P617" s="1059">
        <v>0</v>
      </c>
      <c r="Q617" s="1059">
        <v>0</v>
      </c>
      <c r="R617" s="1079">
        <f>L617/I617</f>
        <v>944.19256598469474</v>
      </c>
      <c r="S617" s="1031">
        <v>2021</v>
      </c>
      <c r="T617" s="1031">
        <v>2021</v>
      </c>
    </row>
    <row r="618" spans="1:20" s="998" customFormat="1" ht="37.9" customHeight="1">
      <c r="A618" s="1031">
        <v>142</v>
      </c>
      <c r="B618" s="1276" t="s">
        <v>1254</v>
      </c>
      <c r="C618" s="1279">
        <v>1984</v>
      </c>
      <c r="D618" s="1048"/>
      <c r="E618" s="1271" t="s">
        <v>218</v>
      </c>
      <c r="F618" s="1047">
        <v>5</v>
      </c>
      <c r="G618" s="1047">
        <v>4</v>
      </c>
      <c r="H618" s="1050">
        <v>3391.7</v>
      </c>
      <c r="I618" s="1050">
        <v>3032.6</v>
      </c>
      <c r="J618" s="1050">
        <v>3032.6</v>
      </c>
      <c r="K618" s="1264">
        <v>108</v>
      </c>
      <c r="L618" s="1051">
        <v>2907354</v>
      </c>
      <c r="M618" s="1045">
        <v>0</v>
      </c>
      <c r="N618" s="1045">
        <v>0</v>
      </c>
      <c r="O618" s="1051">
        <v>2907354</v>
      </c>
      <c r="P618" s="1059">
        <v>0</v>
      </c>
      <c r="Q618" s="1059">
        <v>0</v>
      </c>
      <c r="R618" s="1079">
        <f>L618/I618</f>
        <v>958.70012530501879</v>
      </c>
      <c r="S618" s="1031">
        <v>2021</v>
      </c>
      <c r="T618" s="1031">
        <v>2021</v>
      </c>
    </row>
    <row r="619" spans="1:20" s="998" customFormat="1" ht="40.15" customHeight="1">
      <c r="A619" s="1031">
        <v>143</v>
      </c>
      <c r="B619" s="1080" t="s">
        <v>1255</v>
      </c>
      <c r="C619" s="1279">
        <v>1986</v>
      </c>
      <c r="D619" s="1081"/>
      <c r="E619" s="1271" t="s">
        <v>218</v>
      </c>
      <c r="F619" s="1047">
        <v>5</v>
      </c>
      <c r="G619" s="1047">
        <v>4</v>
      </c>
      <c r="H619" s="1050">
        <v>3365</v>
      </c>
      <c r="I619" s="1082">
        <v>3011.9</v>
      </c>
      <c r="J619" s="1082">
        <v>2878.2</v>
      </c>
      <c r="K619" s="1267">
        <v>127</v>
      </c>
      <c r="L619" s="1083">
        <v>2961697</v>
      </c>
      <c r="M619" s="1084">
        <v>0</v>
      </c>
      <c r="N619" s="1084">
        <v>0</v>
      </c>
      <c r="O619" s="1083">
        <v>2961697</v>
      </c>
      <c r="P619" s="1059">
        <v>0</v>
      </c>
      <c r="Q619" s="1059">
        <v>0</v>
      </c>
      <c r="R619" s="1079">
        <f>L619/I619</f>
        <v>983.33178392376897</v>
      </c>
      <c r="S619" s="1031">
        <v>2021</v>
      </c>
      <c r="T619" s="1031">
        <v>2021</v>
      </c>
    </row>
    <row r="620" spans="1:20" s="998" customFormat="1" ht="36.6" customHeight="1">
      <c r="A620" s="1271"/>
      <c r="B620" s="1391" t="s">
        <v>1169</v>
      </c>
      <c r="C620" s="1391"/>
      <c r="D620" s="1391"/>
      <c r="E620" s="1391"/>
      <c r="F620" s="1391"/>
      <c r="G620" s="1391"/>
      <c r="H620" s="985">
        <f>H621+H622+H623+H624+H625+H626</f>
        <v>21509</v>
      </c>
      <c r="I620" s="985">
        <f t="shared" ref="I620:Q620" si="203">I621+I622+I623+I624+I625+I626</f>
        <v>21509</v>
      </c>
      <c r="J620" s="985">
        <f t="shared" si="203"/>
        <v>15943.3</v>
      </c>
      <c r="K620" s="1064">
        <f t="shared" si="203"/>
        <v>660</v>
      </c>
      <c r="L620" s="985">
        <f t="shared" si="203"/>
        <v>15755369</v>
      </c>
      <c r="M620" s="985">
        <f t="shared" si="203"/>
        <v>0</v>
      </c>
      <c r="N620" s="985">
        <f t="shared" si="203"/>
        <v>0</v>
      </c>
      <c r="O620" s="985">
        <f t="shared" si="203"/>
        <v>15755369</v>
      </c>
      <c r="P620" s="985">
        <f t="shared" si="203"/>
        <v>0</v>
      </c>
      <c r="Q620" s="985">
        <f t="shared" si="203"/>
        <v>0</v>
      </c>
      <c r="R620" s="991" t="s">
        <v>40</v>
      </c>
      <c r="S620" s="991" t="s">
        <v>40</v>
      </c>
      <c r="T620" s="991" t="s">
        <v>40</v>
      </c>
    </row>
    <row r="621" spans="1:20" s="998" customFormat="1" ht="43.9" customHeight="1">
      <c r="A621" s="1031">
        <v>144</v>
      </c>
      <c r="B621" s="1108" t="s">
        <v>2906</v>
      </c>
      <c r="C621" s="1032">
        <v>1972</v>
      </c>
      <c r="D621" s="1032"/>
      <c r="E621" s="1031" t="s">
        <v>218</v>
      </c>
      <c r="F621" s="1032">
        <v>2</v>
      </c>
      <c r="G621" s="1032">
        <v>2</v>
      </c>
      <c r="H621" s="1037">
        <v>574.4</v>
      </c>
      <c r="I621" s="1037">
        <v>574.4</v>
      </c>
      <c r="J621" s="1037">
        <v>525</v>
      </c>
      <c r="K621" s="1068">
        <v>22</v>
      </c>
      <c r="L621" s="985">
        <v>1722085</v>
      </c>
      <c r="M621" s="985">
        <v>0</v>
      </c>
      <c r="N621" s="985">
        <v>0</v>
      </c>
      <c r="O621" s="985">
        <v>1722085</v>
      </c>
      <c r="P621" s="1037">
        <v>0</v>
      </c>
      <c r="Q621" s="1037">
        <v>0</v>
      </c>
      <c r="R621" s="1037">
        <f>L621/H621</f>
        <v>2998.0588440111424</v>
      </c>
      <c r="S621" s="987">
        <v>2021</v>
      </c>
      <c r="T621" s="987">
        <v>2021</v>
      </c>
    </row>
    <row r="622" spans="1:20" s="998" customFormat="1" ht="42.6" customHeight="1">
      <c r="A622" s="1015">
        <v>145</v>
      </c>
      <c r="B622" s="1058" t="s">
        <v>2078</v>
      </c>
      <c r="C622" s="1015">
        <v>1969</v>
      </c>
      <c r="D622" s="1015"/>
      <c r="E622" s="1031" t="s">
        <v>218</v>
      </c>
      <c r="F622" s="1015">
        <v>5</v>
      </c>
      <c r="G622" s="1015">
        <v>3</v>
      </c>
      <c r="H622" s="1033">
        <v>2521.9</v>
      </c>
      <c r="I622" s="1033">
        <v>2521.9</v>
      </c>
      <c r="J622" s="1033">
        <v>1654.5</v>
      </c>
      <c r="K622" s="1110">
        <v>80</v>
      </c>
      <c r="L622" s="985">
        <v>1861251</v>
      </c>
      <c r="M622" s="993">
        <v>0</v>
      </c>
      <c r="N622" s="993">
        <v>0</v>
      </c>
      <c r="O622" s="985">
        <v>1861251</v>
      </c>
      <c r="P622" s="1033">
        <v>0</v>
      </c>
      <c r="Q622" s="1033">
        <v>0</v>
      </c>
      <c r="R622" s="1033">
        <f>L622/H622</f>
        <v>738.03521154684961</v>
      </c>
      <c r="S622" s="987">
        <v>2021</v>
      </c>
      <c r="T622" s="987">
        <v>2021</v>
      </c>
    </row>
    <row r="623" spans="1:20" s="998" customFormat="1" ht="40.9" customHeight="1">
      <c r="A623" s="1031">
        <v>146</v>
      </c>
      <c r="B623" s="1058" t="s">
        <v>2907</v>
      </c>
      <c r="C623" s="1023">
        <v>1991</v>
      </c>
      <c r="D623" s="1023"/>
      <c r="E623" s="1015" t="s">
        <v>219</v>
      </c>
      <c r="F623" s="1023">
        <v>5</v>
      </c>
      <c r="G623" s="1023">
        <v>6</v>
      </c>
      <c r="H623" s="1024">
        <v>4567.8999999999996</v>
      </c>
      <c r="I623" s="1024">
        <v>4567.8999999999996</v>
      </c>
      <c r="J623" s="1024">
        <v>2527.1</v>
      </c>
      <c r="K623" s="1011">
        <v>146</v>
      </c>
      <c r="L623" s="985">
        <v>3085872</v>
      </c>
      <c r="M623" s="985">
        <v>0</v>
      </c>
      <c r="N623" s="985">
        <v>0</v>
      </c>
      <c r="O623" s="985">
        <v>3085872</v>
      </c>
      <c r="P623" s="1024">
        <v>0</v>
      </c>
      <c r="Q623" s="1024">
        <v>0</v>
      </c>
      <c r="R623" s="1024">
        <f>O623/H623</f>
        <v>675.55594474484997</v>
      </c>
      <c r="S623" s="987">
        <v>2021</v>
      </c>
      <c r="T623" s="987">
        <v>2021</v>
      </c>
    </row>
    <row r="624" spans="1:20" s="998" customFormat="1" ht="39.6" customHeight="1">
      <c r="A624" s="1015">
        <v>147</v>
      </c>
      <c r="B624" s="1058" t="s">
        <v>2079</v>
      </c>
      <c r="C624" s="1032">
        <v>1987</v>
      </c>
      <c r="D624" s="1032"/>
      <c r="E624" s="1031" t="s">
        <v>218</v>
      </c>
      <c r="F624" s="1032">
        <v>5</v>
      </c>
      <c r="G624" s="1032">
        <v>6</v>
      </c>
      <c r="H624" s="1037">
        <v>4223</v>
      </c>
      <c r="I624" s="1037">
        <v>4223</v>
      </c>
      <c r="J624" s="1037">
        <v>3911</v>
      </c>
      <c r="K624" s="1068">
        <v>148</v>
      </c>
      <c r="L624" s="985">
        <v>3497520</v>
      </c>
      <c r="M624" s="985">
        <v>0</v>
      </c>
      <c r="N624" s="985">
        <v>0</v>
      </c>
      <c r="O624" s="985">
        <v>3497520</v>
      </c>
      <c r="P624" s="1037">
        <v>0</v>
      </c>
      <c r="Q624" s="1037">
        <v>0</v>
      </c>
      <c r="R624" s="1037">
        <f>O624/H624</f>
        <v>828.20743547241295</v>
      </c>
      <c r="S624" s="987">
        <v>2021</v>
      </c>
      <c r="T624" s="987">
        <v>2021</v>
      </c>
    </row>
    <row r="625" spans="1:20" s="998" customFormat="1" ht="40.9" customHeight="1">
      <c r="A625" s="1031">
        <v>148</v>
      </c>
      <c r="B625" s="1058" t="s">
        <v>2080</v>
      </c>
      <c r="C625" s="1032">
        <v>1972</v>
      </c>
      <c r="D625" s="1032"/>
      <c r="E625" s="1031" t="s">
        <v>218</v>
      </c>
      <c r="F625" s="1032">
        <v>5</v>
      </c>
      <c r="G625" s="1032">
        <v>6</v>
      </c>
      <c r="H625" s="1037">
        <v>5891.3</v>
      </c>
      <c r="I625" s="1037">
        <v>5891.3</v>
      </c>
      <c r="J625" s="1037">
        <v>4522.8999999999996</v>
      </c>
      <c r="K625" s="1068">
        <v>167</v>
      </c>
      <c r="L625" s="985">
        <v>3398072</v>
      </c>
      <c r="M625" s="985">
        <v>0</v>
      </c>
      <c r="N625" s="985">
        <v>0</v>
      </c>
      <c r="O625" s="985">
        <v>3398072</v>
      </c>
      <c r="P625" s="1037">
        <v>0</v>
      </c>
      <c r="Q625" s="1037">
        <v>0</v>
      </c>
      <c r="R625" s="1037">
        <f>O625/H625</f>
        <v>576.79493490401103</v>
      </c>
      <c r="S625" s="987">
        <v>2021</v>
      </c>
      <c r="T625" s="987">
        <v>2021</v>
      </c>
    </row>
    <row r="626" spans="1:20" s="992" customFormat="1" ht="42" customHeight="1">
      <c r="A626" s="1015">
        <v>149</v>
      </c>
      <c r="B626" s="1058" t="s">
        <v>2428</v>
      </c>
      <c r="C626" s="1032">
        <v>1985</v>
      </c>
      <c r="D626" s="1032"/>
      <c r="E626" s="1031" t="s">
        <v>218</v>
      </c>
      <c r="F626" s="1032">
        <v>5</v>
      </c>
      <c r="G626" s="1032">
        <v>4</v>
      </c>
      <c r="H626" s="1037">
        <v>3730.5</v>
      </c>
      <c r="I626" s="1037">
        <v>3730.5</v>
      </c>
      <c r="J626" s="1037">
        <v>2802.8</v>
      </c>
      <c r="K626" s="1068">
        <v>97</v>
      </c>
      <c r="L626" s="985">
        <v>2190569</v>
      </c>
      <c r="M626" s="985">
        <v>0</v>
      </c>
      <c r="N626" s="985">
        <v>0</v>
      </c>
      <c r="O626" s="985">
        <v>2190569</v>
      </c>
      <c r="P626" s="1037">
        <v>0</v>
      </c>
      <c r="Q626" s="1037">
        <v>0</v>
      </c>
      <c r="R626" s="1037">
        <f>L626/H626</f>
        <v>587.20520037528479</v>
      </c>
      <c r="S626" s="987">
        <v>2021</v>
      </c>
      <c r="T626" s="987">
        <v>2021</v>
      </c>
    </row>
    <row r="627" spans="1:20" s="992" customFormat="1" ht="42" customHeight="1">
      <c r="A627" s="1271"/>
      <c r="B627" s="1273" t="s">
        <v>2702</v>
      </c>
      <c r="C627" s="1279"/>
      <c r="D627" s="1283"/>
      <c r="E627" s="1271"/>
      <c r="F627" s="1279"/>
      <c r="G627" s="1279"/>
      <c r="H627" s="985">
        <f>H628+H630</f>
        <v>1199.5</v>
      </c>
      <c r="I627" s="985">
        <f t="shared" ref="I627:Q627" si="204">I628+I630</f>
        <v>1105.18</v>
      </c>
      <c r="J627" s="985">
        <f t="shared" si="204"/>
        <v>1105.18</v>
      </c>
      <c r="K627" s="1064">
        <f t="shared" si="204"/>
        <v>31</v>
      </c>
      <c r="L627" s="985">
        <f t="shared" si="204"/>
        <v>4709023.1500000004</v>
      </c>
      <c r="M627" s="985">
        <f t="shared" si="204"/>
        <v>0</v>
      </c>
      <c r="N627" s="985">
        <f t="shared" si="204"/>
        <v>0</v>
      </c>
      <c r="O627" s="985">
        <f t="shared" si="204"/>
        <v>4709023.1500000004</v>
      </c>
      <c r="P627" s="985">
        <f t="shared" si="204"/>
        <v>0</v>
      </c>
      <c r="Q627" s="985">
        <f t="shared" si="204"/>
        <v>0</v>
      </c>
      <c r="R627" s="991" t="s">
        <v>40</v>
      </c>
      <c r="S627" s="991" t="s">
        <v>40</v>
      </c>
      <c r="T627" s="991" t="s">
        <v>40</v>
      </c>
    </row>
    <row r="628" spans="1:20" s="992" customFormat="1" ht="40.9" customHeight="1">
      <c r="A628" s="1271"/>
      <c r="B628" s="1272" t="s">
        <v>1060</v>
      </c>
      <c r="C628" s="1279"/>
      <c r="D628" s="1283"/>
      <c r="E628" s="1271"/>
      <c r="F628" s="1279"/>
      <c r="G628" s="1279"/>
      <c r="H628" s="985">
        <f>H629</f>
        <v>494.9</v>
      </c>
      <c r="I628" s="985">
        <f t="shared" ref="I628:Q628" si="205">I629</f>
        <v>449.2</v>
      </c>
      <c r="J628" s="985">
        <f t="shared" si="205"/>
        <v>449.2</v>
      </c>
      <c r="K628" s="1064">
        <f t="shared" si="205"/>
        <v>17</v>
      </c>
      <c r="L628" s="985">
        <f t="shared" si="205"/>
        <v>1253323</v>
      </c>
      <c r="M628" s="985">
        <f t="shared" si="205"/>
        <v>0</v>
      </c>
      <c r="N628" s="985">
        <f t="shared" si="205"/>
        <v>0</v>
      </c>
      <c r="O628" s="985">
        <f t="shared" si="205"/>
        <v>1253323</v>
      </c>
      <c r="P628" s="985">
        <f t="shared" si="205"/>
        <v>0</v>
      </c>
      <c r="Q628" s="985">
        <f t="shared" si="205"/>
        <v>0</v>
      </c>
      <c r="R628" s="991" t="s">
        <v>40</v>
      </c>
      <c r="S628" s="991" t="s">
        <v>40</v>
      </c>
      <c r="T628" s="991" t="s">
        <v>40</v>
      </c>
    </row>
    <row r="629" spans="1:20" s="992" customFormat="1" ht="42.6" customHeight="1">
      <c r="A629" s="1271">
        <v>150</v>
      </c>
      <c r="B629" s="1273" t="s">
        <v>1580</v>
      </c>
      <c r="C629" s="1271">
        <v>1958</v>
      </c>
      <c r="D629" s="1279"/>
      <c r="E629" s="1271" t="s">
        <v>218</v>
      </c>
      <c r="F629" s="1279">
        <v>2</v>
      </c>
      <c r="G629" s="1279">
        <v>1</v>
      </c>
      <c r="H629" s="985">
        <v>494.9</v>
      </c>
      <c r="I629" s="985">
        <v>449.2</v>
      </c>
      <c r="J629" s="985">
        <v>449.2</v>
      </c>
      <c r="K629" s="987">
        <v>17</v>
      </c>
      <c r="L629" s="985">
        <v>1253323</v>
      </c>
      <c r="M629" s="985">
        <v>0</v>
      </c>
      <c r="N629" s="985">
        <v>0</v>
      </c>
      <c r="O629" s="985">
        <v>1253323</v>
      </c>
      <c r="P629" s="985">
        <v>0</v>
      </c>
      <c r="Q629" s="985">
        <v>0</v>
      </c>
      <c r="R629" s="985">
        <f t="shared" ref="R629" si="206">L629/I629</f>
        <v>2790.1224398931436</v>
      </c>
      <c r="S629" s="1032">
        <v>2021</v>
      </c>
      <c r="T629" s="1032">
        <v>2021</v>
      </c>
    </row>
    <row r="630" spans="1:20" s="992" customFormat="1" ht="36" customHeight="1">
      <c r="A630" s="1271"/>
      <c r="B630" s="1273" t="s">
        <v>1068</v>
      </c>
      <c r="C630" s="1279"/>
      <c r="D630" s="1283"/>
      <c r="E630" s="1271"/>
      <c r="F630" s="1279"/>
      <c r="G630" s="1279"/>
      <c r="H630" s="985">
        <f>H631</f>
        <v>704.6</v>
      </c>
      <c r="I630" s="985">
        <f t="shared" ref="I630:Q630" si="207">I631</f>
        <v>655.98</v>
      </c>
      <c r="J630" s="985" t="str">
        <f t="shared" si="207"/>
        <v>655,98</v>
      </c>
      <c r="K630" s="1064">
        <f t="shared" si="207"/>
        <v>14</v>
      </c>
      <c r="L630" s="985">
        <f t="shared" si="207"/>
        <v>3455700.15</v>
      </c>
      <c r="M630" s="985">
        <f t="shared" si="207"/>
        <v>0</v>
      </c>
      <c r="N630" s="985">
        <f t="shared" si="207"/>
        <v>0</v>
      </c>
      <c r="O630" s="985">
        <f t="shared" si="207"/>
        <v>3455700.15</v>
      </c>
      <c r="P630" s="985">
        <f t="shared" si="207"/>
        <v>0</v>
      </c>
      <c r="Q630" s="985">
        <f t="shared" si="207"/>
        <v>0</v>
      </c>
      <c r="R630" s="991" t="s">
        <v>40</v>
      </c>
      <c r="S630" s="991" t="s">
        <v>40</v>
      </c>
      <c r="T630" s="991" t="s">
        <v>40</v>
      </c>
    </row>
    <row r="631" spans="1:20" s="992" customFormat="1" ht="41.45" customHeight="1">
      <c r="A631" s="1031">
        <v>151</v>
      </c>
      <c r="B631" s="1272" t="s">
        <v>2908</v>
      </c>
      <c r="C631" s="1027" t="s">
        <v>877</v>
      </c>
      <c r="D631" s="1027"/>
      <c r="E631" s="1271" t="s">
        <v>218</v>
      </c>
      <c r="F631" s="1027" t="s">
        <v>1192</v>
      </c>
      <c r="G631" s="1027" t="s">
        <v>1192</v>
      </c>
      <c r="H631" s="1024">
        <v>704.6</v>
      </c>
      <c r="I631" s="1024">
        <v>655.98</v>
      </c>
      <c r="J631" s="1024" t="s">
        <v>1193</v>
      </c>
      <c r="K631" s="1011">
        <v>14</v>
      </c>
      <c r="L631" s="1024">
        <v>3455700.15</v>
      </c>
      <c r="M631" s="1024">
        <v>0</v>
      </c>
      <c r="N631" s="1024">
        <v>0</v>
      </c>
      <c r="O631" s="1024">
        <v>3455700.15</v>
      </c>
      <c r="P631" s="1024">
        <v>0</v>
      </c>
      <c r="Q631" s="1024">
        <v>0</v>
      </c>
      <c r="R631" s="1024">
        <f>L631/I631</f>
        <v>5267.996204152565</v>
      </c>
      <c r="S631" s="1054" t="s">
        <v>1433</v>
      </c>
      <c r="T631" s="1054" t="s">
        <v>1433</v>
      </c>
    </row>
    <row r="632" spans="1:20" s="992" customFormat="1" ht="36" customHeight="1">
      <c r="A632" s="1031"/>
      <c r="B632" s="1391" t="s">
        <v>53</v>
      </c>
      <c r="C632" s="1391"/>
      <c r="D632" s="1391"/>
      <c r="E632" s="1391"/>
      <c r="F632" s="1391"/>
      <c r="G632" s="1391"/>
      <c r="H632" s="1024">
        <f t="shared" ref="H632:Q632" si="208">H633+H641+H643+H649+H651+H646</f>
        <v>48127</v>
      </c>
      <c r="I632" s="1024">
        <f t="shared" si="208"/>
        <v>40231.5</v>
      </c>
      <c r="J632" s="1024">
        <f t="shared" si="208"/>
        <v>38473.200000000004</v>
      </c>
      <c r="K632" s="1011">
        <f t="shared" si="208"/>
        <v>1374</v>
      </c>
      <c r="L632" s="1024">
        <f t="shared" si="208"/>
        <v>74039857.989999995</v>
      </c>
      <c r="M632" s="1024">
        <f t="shared" si="208"/>
        <v>0</v>
      </c>
      <c r="N632" s="1024">
        <f t="shared" si="208"/>
        <v>0</v>
      </c>
      <c r="O632" s="1024">
        <f t="shared" si="208"/>
        <v>74039857.989999995</v>
      </c>
      <c r="P632" s="1024">
        <f t="shared" si="208"/>
        <v>0</v>
      </c>
      <c r="Q632" s="1024">
        <f t="shared" si="208"/>
        <v>0</v>
      </c>
      <c r="R632" s="991" t="s">
        <v>40</v>
      </c>
      <c r="S632" s="991" t="s">
        <v>40</v>
      </c>
      <c r="T632" s="991" t="s">
        <v>40</v>
      </c>
    </row>
    <row r="633" spans="1:20" s="992" customFormat="1" ht="36" customHeight="1">
      <c r="A633" s="1031"/>
      <c r="B633" s="1391" t="s">
        <v>1069</v>
      </c>
      <c r="C633" s="1391"/>
      <c r="D633" s="1391"/>
      <c r="E633" s="1391"/>
      <c r="F633" s="1391"/>
      <c r="G633" s="1391"/>
      <c r="H633" s="985">
        <f>SUM(H634:H640)</f>
        <v>31908.900000000005</v>
      </c>
      <c r="I633" s="985">
        <f t="shared" ref="I633:Q633" si="209">SUM(I634:I640)</f>
        <v>24766.9</v>
      </c>
      <c r="J633" s="985">
        <f t="shared" si="209"/>
        <v>23865.9</v>
      </c>
      <c r="K633" s="1064">
        <f t="shared" si="209"/>
        <v>866</v>
      </c>
      <c r="L633" s="985">
        <f t="shared" si="209"/>
        <v>45310591.039999999</v>
      </c>
      <c r="M633" s="985">
        <f t="shared" si="209"/>
        <v>0</v>
      </c>
      <c r="N633" s="985">
        <f t="shared" si="209"/>
        <v>0</v>
      </c>
      <c r="O633" s="985">
        <f t="shared" si="209"/>
        <v>45310591.039999999</v>
      </c>
      <c r="P633" s="985">
        <f t="shared" si="209"/>
        <v>0</v>
      </c>
      <c r="Q633" s="985">
        <f t="shared" si="209"/>
        <v>0</v>
      </c>
      <c r="R633" s="991" t="s">
        <v>40</v>
      </c>
      <c r="S633" s="991" t="s">
        <v>40</v>
      </c>
      <c r="T633" s="991" t="s">
        <v>40</v>
      </c>
    </row>
    <row r="634" spans="1:20" s="992" customFormat="1" ht="36" customHeight="1">
      <c r="A634" s="1271">
        <v>152</v>
      </c>
      <c r="B634" s="1274" t="s">
        <v>1297</v>
      </c>
      <c r="C634" s="1064">
        <v>1994</v>
      </c>
      <c r="D634" s="1064"/>
      <c r="E634" s="1271" t="s">
        <v>219</v>
      </c>
      <c r="F634" s="1064">
        <v>9</v>
      </c>
      <c r="G634" s="1064">
        <v>2</v>
      </c>
      <c r="H634" s="985">
        <v>5563.6</v>
      </c>
      <c r="I634" s="985">
        <v>4330.2</v>
      </c>
      <c r="J634" s="985">
        <f>I634-240.4</f>
        <v>4089.7999999999997</v>
      </c>
      <c r="K634" s="1064">
        <v>142</v>
      </c>
      <c r="L634" s="985">
        <v>4863049</v>
      </c>
      <c r="M634" s="986">
        <v>0</v>
      </c>
      <c r="N634" s="986">
        <v>0</v>
      </c>
      <c r="O634" s="985">
        <f>L634</f>
        <v>4863049</v>
      </c>
      <c r="P634" s="993">
        <v>0</v>
      </c>
      <c r="Q634" s="986">
        <v>0</v>
      </c>
      <c r="R634" s="985">
        <f t="shared" ref="R634:R640" si="210">L634/I634</f>
        <v>1123.0541314488939</v>
      </c>
      <c r="S634" s="987">
        <v>2021</v>
      </c>
      <c r="T634" s="987">
        <v>2021</v>
      </c>
    </row>
    <row r="635" spans="1:20" ht="40.15" customHeight="1">
      <c r="A635" s="1271">
        <v>153</v>
      </c>
      <c r="B635" s="1274" t="s">
        <v>1133</v>
      </c>
      <c r="C635" s="1064">
        <v>1994</v>
      </c>
      <c r="D635" s="1064"/>
      <c r="E635" s="1271" t="s">
        <v>219</v>
      </c>
      <c r="F635" s="1064">
        <v>9</v>
      </c>
      <c r="G635" s="1064">
        <v>2</v>
      </c>
      <c r="H635" s="985">
        <v>4848.1000000000004</v>
      </c>
      <c r="I635" s="985">
        <v>4075.5</v>
      </c>
      <c r="J635" s="985">
        <f>I635-211.9</f>
        <v>3863.6</v>
      </c>
      <c r="K635" s="1064">
        <v>114</v>
      </c>
      <c r="L635" s="985">
        <v>4863049</v>
      </c>
      <c r="M635" s="986">
        <v>0</v>
      </c>
      <c r="N635" s="986">
        <v>0</v>
      </c>
      <c r="O635" s="985">
        <f t="shared" ref="O635:O640" si="211">L635</f>
        <v>4863049</v>
      </c>
      <c r="P635" s="993">
        <v>0</v>
      </c>
      <c r="Q635" s="986">
        <v>0</v>
      </c>
      <c r="R635" s="985">
        <f t="shared" si="210"/>
        <v>1193.2398478714267</v>
      </c>
      <c r="S635" s="987">
        <v>2021</v>
      </c>
      <c r="T635" s="987">
        <v>2021</v>
      </c>
    </row>
    <row r="636" spans="1:20" ht="40.15" customHeight="1">
      <c r="A636" s="1271">
        <v>154</v>
      </c>
      <c r="B636" s="1274" t="s">
        <v>1298</v>
      </c>
      <c r="C636" s="1064">
        <v>1993</v>
      </c>
      <c r="D636" s="1064"/>
      <c r="E636" s="1271" t="s">
        <v>219</v>
      </c>
      <c r="F636" s="1064">
        <v>9</v>
      </c>
      <c r="G636" s="1064">
        <v>2</v>
      </c>
      <c r="H636" s="985">
        <v>6339.1</v>
      </c>
      <c r="I636" s="985">
        <v>5381.9</v>
      </c>
      <c r="J636" s="985">
        <f>I636-222.6</f>
        <v>5159.2999999999993</v>
      </c>
      <c r="K636" s="1064">
        <v>191</v>
      </c>
      <c r="L636" s="985">
        <v>4863049</v>
      </c>
      <c r="M636" s="986">
        <v>0</v>
      </c>
      <c r="N636" s="986">
        <v>0</v>
      </c>
      <c r="O636" s="985">
        <f t="shared" si="211"/>
        <v>4863049</v>
      </c>
      <c r="P636" s="993">
        <v>0</v>
      </c>
      <c r="Q636" s="986">
        <v>0</v>
      </c>
      <c r="R636" s="985">
        <f t="shared" si="210"/>
        <v>903.59334064178086</v>
      </c>
      <c r="S636" s="987">
        <v>2021</v>
      </c>
      <c r="T636" s="987">
        <v>2021</v>
      </c>
    </row>
    <row r="637" spans="1:20" s="992" customFormat="1" ht="36" customHeight="1">
      <c r="A637" s="1271">
        <v>155</v>
      </c>
      <c r="B637" s="1274" t="s">
        <v>1299</v>
      </c>
      <c r="C637" s="1064">
        <v>1957</v>
      </c>
      <c r="D637" s="1064"/>
      <c r="E637" s="1271" t="s">
        <v>823</v>
      </c>
      <c r="F637" s="1064">
        <v>1</v>
      </c>
      <c r="G637" s="1064">
        <v>5</v>
      </c>
      <c r="H637" s="993">
        <v>461.3</v>
      </c>
      <c r="I637" s="993">
        <v>407.4</v>
      </c>
      <c r="J637" s="993">
        <f>I637-92.8</f>
        <v>314.59999999999997</v>
      </c>
      <c r="K637" s="987">
        <v>24</v>
      </c>
      <c r="L637" s="985">
        <v>3611341.36</v>
      </c>
      <c r="M637" s="986">
        <v>0</v>
      </c>
      <c r="N637" s="986">
        <v>0</v>
      </c>
      <c r="O637" s="985">
        <f t="shared" si="211"/>
        <v>3611341.36</v>
      </c>
      <c r="P637" s="993">
        <v>0</v>
      </c>
      <c r="Q637" s="986">
        <v>0</v>
      </c>
      <c r="R637" s="985">
        <f t="shared" si="210"/>
        <v>8864.3626902307315</v>
      </c>
      <c r="S637" s="987">
        <v>2021</v>
      </c>
      <c r="T637" s="987">
        <v>2021</v>
      </c>
    </row>
    <row r="638" spans="1:20" s="992" customFormat="1" ht="36" customHeight="1">
      <c r="A638" s="1271">
        <v>156</v>
      </c>
      <c r="B638" s="1274" t="s">
        <v>1592</v>
      </c>
      <c r="C638" s="1064">
        <v>1967</v>
      </c>
      <c r="D638" s="1064"/>
      <c r="E638" s="1271" t="s">
        <v>220</v>
      </c>
      <c r="F638" s="1064">
        <v>5</v>
      </c>
      <c r="G638" s="1064">
        <v>4</v>
      </c>
      <c r="H638" s="993">
        <v>5411.6</v>
      </c>
      <c r="I638" s="993">
        <v>3495.5</v>
      </c>
      <c r="J638" s="993">
        <f>I638-133.3</f>
        <v>3362.2</v>
      </c>
      <c r="K638" s="987">
        <v>114</v>
      </c>
      <c r="L638" s="985">
        <v>21110177.68</v>
      </c>
      <c r="M638" s="986">
        <v>0</v>
      </c>
      <c r="N638" s="986">
        <v>0</v>
      </c>
      <c r="O638" s="985">
        <f t="shared" si="211"/>
        <v>21110177.68</v>
      </c>
      <c r="P638" s="993">
        <v>0</v>
      </c>
      <c r="Q638" s="986">
        <v>0</v>
      </c>
      <c r="R638" s="985">
        <f t="shared" si="210"/>
        <v>6039.2440795308248</v>
      </c>
      <c r="S638" s="987">
        <v>2021</v>
      </c>
      <c r="T638" s="987">
        <v>2021</v>
      </c>
    </row>
    <row r="639" spans="1:20" s="992" customFormat="1" ht="39.6" customHeight="1">
      <c r="A639" s="1271">
        <v>157</v>
      </c>
      <c r="B639" s="1274" t="s">
        <v>1593</v>
      </c>
      <c r="C639" s="1064">
        <v>1981</v>
      </c>
      <c r="D639" s="1064"/>
      <c r="E639" s="1271" t="s">
        <v>218</v>
      </c>
      <c r="F639" s="1064">
        <v>5</v>
      </c>
      <c r="G639" s="1064">
        <v>4</v>
      </c>
      <c r="H639" s="993">
        <v>4161.8999999999996</v>
      </c>
      <c r="I639" s="993">
        <v>3216.9</v>
      </c>
      <c r="J639" s="993">
        <f>I639</f>
        <v>3216.9</v>
      </c>
      <c r="K639" s="987">
        <v>152</v>
      </c>
      <c r="L639" s="985">
        <v>2978450</v>
      </c>
      <c r="M639" s="986">
        <v>0</v>
      </c>
      <c r="N639" s="986">
        <v>0</v>
      </c>
      <c r="O639" s="985">
        <f t="shared" si="211"/>
        <v>2978450</v>
      </c>
      <c r="P639" s="993">
        <v>0</v>
      </c>
      <c r="Q639" s="986">
        <v>0</v>
      </c>
      <c r="R639" s="985">
        <f t="shared" si="210"/>
        <v>925.87584320308372</v>
      </c>
      <c r="S639" s="987">
        <v>2021</v>
      </c>
      <c r="T639" s="987">
        <v>2022</v>
      </c>
    </row>
    <row r="640" spans="1:20" s="992" customFormat="1" ht="40.9" customHeight="1">
      <c r="A640" s="1271">
        <v>158</v>
      </c>
      <c r="B640" s="1274" t="s">
        <v>1594</v>
      </c>
      <c r="C640" s="1064">
        <v>1977</v>
      </c>
      <c r="D640" s="1064"/>
      <c r="E640" s="1271" t="s">
        <v>218</v>
      </c>
      <c r="F640" s="1064">
        <v>5</v>
      </c>
      <c r="G640" s="1064">
        <v>6</v>
      </c>
      <c r="H640" s="993">
        <v>5123.3</v>
      </c>
      <c r="I640" s="993">
        <v>3859.5</v>
      </c>
      <c r="J640" s="993">
        <f>I640</f>
        <v>3859.5</v>
      </c>
      <c r="K640" s="987">
        <v>129</v>
      </c>
      <c r="L640" s="985">
        <v>3021475</v>
      </c>
      <c r="M640" s="986">
        <v>0</v>
      </c>
      <c r="N640" s="986">
        <v>0</v>
      </c>
      <c r="O640" s="985">
        <f t="shared" si="211"/>
        <v>3021475</v>
      </c>
      <c r="P640" s="993">
        <v>0</v>
      </c>
      <c r="Q640" s="986">
        <v>0</v>
      </c>
      <c r="R640" s="985">
        <f t="shared" si="210"/>
        <v>782.86695167767846</v>
      </c>
      <c r="S640" s="987">
        <v>2021</v>
      </c>
      <c r="T640" s="987">
        <v>2021</v>
      </c>
    </row>
    <row r="641" spans="1:20" s="992" customFormat="1" ht="36" customHeight="1">
      <c r="A641" s="1271"/>
      <c r="B641" s="1392" t="s">
        <v>1070</v>
      </c>
      <c r="C641" s="1391"/>
      <c r="D641" s="1391"/>
      <c r="E641" s="1391"/>
      <c r="F641" s="1391"/>
      <c r="G641" s="1391"/>
      <c r="H641" s="993">
        <f>H642</f>
        <v>632.29999999999995</v>
      </c>
      <c r="I641" s="993">
        <f t="shared" ref="I641:Q641" si="212">I642</f>
        <v>568.29999999999995</v>
      </c>
      <c r="J641" s="993">
        <f t="shared" si="212"/>
        <v>568.29999999999995</v>
      </c>
      <c r="K641" s="987">
        <f t="shared" si="212"/>
        <v>17</v>
      </c>
      <c r="L641" s="993">
        <f t="shared" si="212"/>
        <v>4080205</v>
      </c>
      <c r="M641" s="993">
        <f t="shared" si="212"/>
        <v>0</v>
      </c>
      <c r="N641" s="993">
        <f t="shared" si="212"/>
        <v>0</v>
      </c>
      <c r="O641" s="993">
        <f t="shared" si="212"/>
        <v>4080205</v>
      </c>
      <c r="P641" s="993">
        <f t="shared" si="212"/>
        <v>0</v>
      </c>
      <c r="Q641" s="993">
        <f t="shared" si="212"/>
        <v>0</v>
      </c>
      <c r="R641" s="991" t="s">
        <v>40</v>
      </c>
      <c r="S641" s="991" t="s">
        <v>40</v>
      </c>
      <c r="T641" s="991" t="s">
        <v>40</v>
      </c>
    </row>
    <row r="642" spans="1:20" s="992" customFormat="1" ht="42" customHeight="1">
      <c r="A642" s="1271">
        <v>159</v>
      </c>
      <c r="B642" s="1274" t="s">
        <v>1979</v>
      </c>
      <c r="C642" s="1279">
        <v>1989</v>
      </c>
      <c r="D642" s="1064"/>
      <c r="E642" s="1271" t="s">
        <v>218</v>
      </c>
      <c r="F642" s="1064">
        <v>2</v>
      </c>
      <c r="G642" s="1064">
        <v>2</v>
      </c>
      <c r="H642" s="993">
        <v>632.29999999999995</v>
      </c>
      <c r="I642" s="993">
        <v>568.29999999999995</v>
      </c>
      <c r="J642" s="993">
        <v>568.29999999999995</v>
      </c>
      <c r="K642" s="987">
        <v>17</v>
      </c>
      <c r="L642" s="985">
        <v>4080205</v>
      </c>
      <c r="M642" s="986">
        <v>0</v>
      </c>
      <c r="N642" s="986">
        <v>0</v>
      </c>
      <c r="O642" s="985">
        <v>4080205</v>
      </c>
      <c r="P642" s="993">
        <v>0</v>
      </c>
      <c r="Q642" s="986">
        <v>0</v>
      </c>
      <c r="R642" s="985">
        <f t="shared" ref="R642" si="213">L642/I642</f>
        <v>7179.6674291747322</v>
      </c>
      <c r="S642" s="987">
        <v>2021</v>
      </c>
      <c r="T642" s="987">
        <v>2021</v>
      </c>
    </row>
    <row r="643" spans="1:20" s="992" customFormat="1" ht="43.9" customHeight="1">
      <c r="A643" s="1271"/>
      <c r="B643" s="1392" t="s">
        <v>1072</v>
      </c>
      <c r="C643" s="1391"/>
      <c r="D643" s="1391"/>
      <c r="E643" s="1391"/>
      <c r="F643" s="1391"/>
      <c r="G643" s="1391"/>
      <c r="H643" s="993">
        <f>H644+H645</f>
        <v>1179.0999999999999</v>
      </c>
      <c r="I643" s="993">
        <f t="shared" ref="I643:Q643" si="214">I644+I645</f>
        <v>1079.0999999999999</v>
      </c>
      <c r="J643" s="993">
        <f t="shared" si="214"/>
        <v>1079.0999999999999</v>
      </c>
      <c r="K643" s="987">
        <f t="shared" si="214"/>
        <v>43</v>
      </c>
      <c r="L643" s="993">
        <f t="shared" si="214"/>
        <v>3195064</v>
      </c>
      <c r="M643" s="993">
        <f t="shared" si="214"/>
        <v>0</v>
      </c>
      <c r="N643" s="993">
        <f t="shared" si="214"/>
        <v>0</v>
      </c>
      <c r="O643" s="993">
        <f t="shared" si="214"/>
        <v>3195064</v>
      </c>
      <c r="P643" s="993">
        <f t="shared" si="214"/>
        <v>0</v>
      </c>
      <c r="Q643" s="993">
        <f t="shared" si="214"/>
        <v>0</v>
      </c>
      <c r="R643" s="991" t="s">
        <v>40</v>
      </c>
      <c r="S643" s="991" t="s">
        <v>40</v>
      </c>
      <c r="T643" s="991" t="s">
        <v>40</v>
      </c>
    </row>
    <row r="644" spans="1:20" s="992" customFormat="1" ht="39" customHeight="1">
      <c r="A644" s="1271">
        <v>160</v>
      </c>
      <c r="B644" s="1272" t="s">
        <v>1346</v>
      </c>
      <c r="C644" s="1279">
        <v>1961</v>
      </c>
      <c r="D644" s="1273"/>
      <c r="E644" s="1271" t="s">
        <v>218</v>
      </c>
      <c r="F644" s="1064">
        <v>2</v>
      </c>
      <c r="G644" s="1064">
        <v>2</v>
      </c>
      <c r="H644" s="993">
        <v>592.6</v>
      </c>
      <c r="I644" s="993">
        <v>552.20000000000005</v>
      </c>
      <c r="J644" s="993">
        <v>552.20000000000005</v>
      </c>
      <c r="K644" s="987">
        <v>24</v>
      </c>
      <c r="L644" s="985">
        <v>1705839</v>
      </c>
      <c r="M644" s="986">
        <v>0</v>
      </c>
      <c r="N644" s="986">
        <v>0</v>
      </c>
      <c r="O644" s="985">
        <v>1705839</v>
      </c>
      <c r="P644" s="993">
        <v>0</v>
      </c>
      <c r="Q644" s="986">
        <v>0</v>
      </c>
      <c r="R644" s="985">
        <f t="shared" ref="R644" si="215">L644/I644</f>
        <v>3089.1687794277432</v>
      </c>
      <c r="S644" s="987">
        <v>2021</v>
      </c>
      <c r="T644" s="987">
        <v>2021</v>
      </c>
    </row>
    <row r="645" spans="1:20" s="992" customFormat="1" ht="36" customHeight="1">
      <c r="A645" s="1271">
        <v>161</v>
      </c>
      <c r="B645" s="1274" t="s">
        <v>1347</v>
      </c>
      <c r="C645" s="1279">
        <v>1963</v>
      </c>
      <c r="D645" s="1064"/>
      <c r="E645" s="1271" t="s">
        <v>221</v>
      </c>
      <c r="F645" s="1064">
        <v>2</v>
      </c>
      <c r="G645" s="1064">
        <v>2</v>
      </c>
      <c r="H645" s="993">
        <v>586.5</v>
      </c>
      <c r="I645" s="993">
        <v>526.9</v>
      </c>
      <c r="J645" s="993">
        <v>526.9</v>
      </c>
      <c r="K645" s="987">
        <v>19</v>
      </c>
      <c r="L645" s="985">
        <v>1489225</v>
      </c>
      <c r="M645" s="986">
        <v>0</v>
      </c>
      <c r="N645" s="986">
        <v>0</v>
      </c>
      <c r="O645" s="985">
        <v>1489225</v>
      </c>
      <c r="P645" s="993">
        <v>0</v>
      </c>
      <c r="Q645" s="986">
        <v>0</v>
      </c>
      <c r="R645" s="985">
        <f t="shared" ref="R645:R647" si="216">L645/I645</f>
        <v>2826.3902068703742</v>
      </c>
      <c r="S645" s="987">
        <v>2021</v>
      </c>
      <c r="T645" s="987">
        <v>2021</v>
      </c>
    </row>
    <row r="646" spans="1:20" s="992" customFormat="1" ht="36" customHeight="1">
      <c r="A646" s="1271"/>
      <c r="B646" s="1412" t="s">
        <v>1071</v>
      </c>
      <c r="C646" s="1412"/>
      <c r="D646" s="1412"/>
      <c r="E646" s="1412"/>
      <c r="F646" s="1412"/>
      <c r="G646" s="1412"/>
      <c r="H646" s="993">
        <f>H647+H648</f>
        <v>2096.6</v>
      </c>
      <c r="I646" s="993">
        <f t="shared" ref="I646:Q646" si="217">I647+I648</f>
        <v>1727.4</v>
      </c>
      <c r="J646" s="993">
        <f t="shared" si="217"/>
        <v>1595.8000000000002</v>
      </c>
      <c r="K646" s="987">
        <f t="shared" si="217"/>
        <v>87</v>
      </c>
      <c r="L646" s="993">
        <f t="shared" si="217"/>
        <v>7899748.9500000002</v>
      </c>
      <c r="M646" s="993">
        <f t="shared" si="217"/>
        <v>0</v>
      </c>
      <c r="N646" s="993">
        <f t="shared" si="217"/>
        <v>0</v>
      </c>
      <c r="O646" s="993">
        <f t="shared" si="217"/>
        <v>7899748.9500000002</v>
      </c>
      <c r="P646" s="993">
        <f t="shared" si="217"/>
        <v>0</v>
      </c>
      <c r="Q646" s="993">
        <f t="shared" si="217"/>
        <v>0</v>
      </c>
      <c r="R646" s="991" t="s">
        <v>40</v>
      </c>
      <c r="S646" s="991" t="s">
        <v>40</v>
      </c>
      <c r="T646" s="991" t="s">
        <v>40</v>
      </c>
    </row>
    <row r="647" spans="1:20" s="992" customFormat="1" ht="45" customHeight="1">
      <c r="A647" s="1271">
        <v>162</v>
      </c>
      <c r="B647" s="1274" t="s">
        <v>1992</v>
      </c>
      <c r="C647" s="1279">
        <v>1972</v>
      </c>
      <c r="D647" s="1279"/>
      <c r="E647" s="1271" t="s">
        <v>218</v>
      </c>
      <c r="F647" s="1279">
        <v>3</v>
      </c>
      <c r="G647" s="1279">
        <v>2</v>
      </c>
      <c r="H647" s="985">
        <v>969.6</v>
      </c>
      <c r="I647" s="985">
        <v>690.2</v>
      </c>
      <c r="J647" s="985">
        <v>607.20000000000005</v>
      </c>
      <c r="K647" s="1064">
        <v>52</v>
      </c>
      <c r="L647" s="986">
        <v>1806908</v>
      </c>
      <c r="M647" s="986">
        <v>0</v>
      </c>
      <c r="N647" s="986">
        <v>0</v>
      </c>
      <c r="O647" s="986">
        <v>1806908</v>
      </c>
      <c r="P647" s="993">
        <v>0</v>
      </c>
      <c r="Q647" s="986">
        <v>0</v>
      </c>
      <c r="R647" s="985">
        <f t="shared" si="216"/>
        <v>2617.9484207476094</v>
      </c>
      <c r="S647" s="987">
        <v>2021</v>
      </c>
      <c r="T647" s="987">
        <v>2021</v>
      </c>
    </row>
    <row r="648" spans="1:20" s="992" customFormat="1" ht="42" customHeight="1">
      <c r="A648" s="1271">
        <v>163</v>
      </c>
      <c r="B648" s="1274" t="s">
        <v>1993</v>
      </c>
      <c r="C648" s="1279">
        <v>1949</v>
      </c>
      <c r="D648" s="1064"/>
      <c r="E648" s="1271" t="s">
        <v>218</v>
      </c>
      <c r="F648" s="1064">
        <v>3</v>
      </c>
      <c r="G648" s="1064">
        <v>2</v>
      </c>
      <c r="H648" s="993">
        <v>1127</v>
      </c>
      <c r="I648" s="993">
        <v>1037.2</v>
      </c>
      <c r="J648" s="993">
        <v>988.6</v>
      </c>
      <c r="K648" s="987">
        <v>35</v>
      </c>
      <c r="L648" s="985">
        <v>6092840.9500000002</v>
      </c>
      <c r="M648" s="986">
        <v>0</v>
      </c>
      <c r="N648" s="986">
        <v>0</v>
      </c>
      <c r="O648" s="985">
        <v>6092840.9500000002</v>
      </c>
      <c r="P648" s="993">
        <v>0</v>
      </c>
      <c r="Q648" s="986">
        <v>0</v>
      </c>
      <c r="R648" s="985">
        <f t="shared" ref="R648" si="218">L648/I648</f>
        <v>5874.3163806401853</v>
      </c>
      <c r="S648" s="987">
        <v>2021</v>
      </c>
      <c r="T648" s="987">
        <v>2021</v>
      </c>
    </row>
    <row r="649" spans="1:20" s="992" customFormat="1" ht="36" customHeight="1">
      <c r="A649" s="1271"/>
      <c r="B649" s="1392" t="s">
        <v>1074</v>
      </c>
      <c r="C649" s="1391"/>
      <c r="D649" s="1391"/>
      <c r="E649" s="1391"/>
      <c r="F649" s="1391"/>
      <c r="G649" s="1391"/>
      <c r="H649" s="993">
        <f>H650</f>
        <v>2804.2</v>
      </c>
      <c r="I649" s="993">
        <f t="shared" ref="I649:Q649" si="219">I650</f>
        <v>2584.1999999999998</v>
      </c>
      <c r="J649" s="993">
        <f t="shared" si="219"/>
        <v>2584.1999999999998</v>
      </c>
      <c r="K649" s="987">
        <f t="shared" si="219"/>
        <v>75</v>
      </c>
      <c r="L649" s="993">
        <f t="shared" si="219"/>
        <v>2540404</v>
      </c>
      <c r="M649" s="993">
        <f t="shared" si="219"/>
        <v>0</v>
      </c>
      <c r="N649" s="993">
        <f t="shared" si="219"/>
        <v>0</v>
      </c>
      <c r="O649" s="993">
        <f t="shared" si="219"/>
        <v>2540404</v>
      </c>
      <c r="P649" s="993">
        <f t="shared" si="219"/>
        <v>0</v>
      </c>
      <c r="Q649" s="993">
        <f t="shared" si="219"/>
        <v>0</v>
      </c>
      <c r="R649" s="991" t="s">
        <v>40</v>
      </c>
      <c r="S649" s="991" t="s">
        <v>40</v>
      </c>
      <c r="T649" s="991" t="s">
        <v>40</v>
      </c>
    </row>
    <row r="650" spans="1:20" s="1006" customFormat="1" ht="40.15" customHeight="1">
      <c r="A650" s="1271">
        <v>164</v>
      </c>
      <c r="B650" s="1274" t="s">
        <v>1354</v>
      </c>
      <c r="C650" s="1279">
        <v>1968</v>
      </c>
      <c r="D650" s="1064"/>
      <c r="E650" s="1271" t="s">
        <v>218</v>
      </c>
      <c r="F650" s="1064">
        <v>4</v>
      </c>
      <c r="G650" s="1064">
        <v>4</v>
      </c>
      <c r="H650" s="993">
        <v>2804.2</v>
      </c>
      <c r="I650" s="993">
        <v>2584.1999999999998</v>
      </c>
      <c r="J650" s="993">
        <v>2584.1999999999998</v>
      </c>
      <c r="K650" s="987">
        <v>75</v>
      </c>
      <c r="L650" s="985">
        <v>2540404</v>
      </c>
      <c r="M650" s="986">
        <v>0</v>
      </c>
      <c r="N650" s="986">
        <v>0</v>
      </c>
      <c r="O650" s="985">
        <v>2540404</v>
      </c>
      <c r="P650" s="993">
        <v>0</v>
      </c>
      <c r="Q650" s="986">
        <v>0</v>
      </c>
      <c r="R650" s="985">
        <f t="shared" ref="R650" si="220">L650/I650</f>
        <v>983.05239532543931</v>
      </c>
      <c r="S650" s="987">
        <v>2021</v>
      </c>
      <c r="T650" s="987">
        <v>2021</v>
      </c>
    </row>
    <row r="651" spans="1:20" s="1006" customFormat="1" ht="39" customHeight="1">
      <c r="A651" s="1271"/>
      <c r="B651" s="1392" t="s">
        <v>1073</v>
      </c>
      <c r="C651" s="1391"/>
      <c r="D651" s="1391"/>
      <c r="E651" s="1391"/>
      <c r="F651" s="1391"/>
      <c r="G651" s="1391"/>
      <c r="H651" s="993">
        <f>H652+H653+H654+H655</f>
        <v>9505.9000000000015</v>
      </c>
      <c r="I651" s="993">
        <f t="shared" ref="I651:Q651" si="221">I652+I653+I654+I655</f>
        <v>9505.6</v>
      </c>
      <c r="J651" s="993">
        <f t="shared" si="221"/>
        <v>8779.9000000000015</v>
      </c>
      <c r="K651" s="987">
        <f t="shared" si="221"/>
        <v>286</v>
      </c>
      <c r="L651" s="993">
        <f t="shared" si="221"/>
        <v>11013845</v>
      </c>
      <c r="M651" s="993">
        <f t="shared" si="221"/>
        <v>0</v>
      </c>
      <c r="N651" s="993">
        <f t="shared" si="221"/>
        <v>0</v>
      </c>
      <c r="O651" s="993">
        <f t="shared" si="221"/>
        <v>11013845</v>
      </c>
      <c r="P651" s="993">
        <f t="shared" si="221"/>
        <v>0</v>
      </c>
      <c r="Q651" s="993">
        <f t="shared" si="221"/>
        <v>0</v>
      </c>
      <c r="R651" s="991" t="s">
        <v>40</v>
      </c>
      <c r="S651" s="991" t="s">
        <v>40</v>
      </c>
      <c r="T651" s="991" t="s">
        <v>40</v>
      </c>
    </row>
    <row r="652" spans="1:20" s="992" customFormat="1" ht="36" customHeight="1">
      <c r="A652" s="1271">
        <v>165</v>
      </c>
      <c r="B652" s="1274" t="s">
        <v>1364</v>
      </c>
      <c r="C652" s="1279">
        <v>1973</v>
      </c>
      <c r="D652" s="1064"/>
      <c r="E652" s="1271" t="s">
        <v>219</v>
      </c>
      <c r="F652" s="1064">
        <v>5</v>
      </c>
      <c r="G652" s="1064">
        <v>4</v>
      </c>
      <c r="H652" s="993">
        <v>3013</v>
      </c>
      <c r="I652" s="993">
        <v>3013</v>
      </c>
      <c r="J652" s="993">
        <v>2733</v>
      </c>
      <c r="K652" s="987">
        <v>88</v>
      </c>
      <c r="L652" s="985">
        <v>2329284</v>
      </c>
      <c r="M652" s="986">
        <v>0</v>
      </c>
      <c r="N652" s="986">
        <v>0</v>
      </c>
      <c r="O652" s="985">
        <f>L652</f>
        <v>2329284</v>
      </c>
      <c r="P652" s="993">
        <v>0</v>
      </c>
      <c r="Q652" s="986">
        <v>0</v>
      </c>
      <c r="R652" s="985">
        <f t="shared" ref="R652" si="222">L652/I652</f>
        <v>773.07799535346828</v>
      </c>
      <c r="S652" s="987">
        <v>2021</v>
      </c>
      <c r="T652" s="987">
        <v>2021</v>
      </c>
    </row>
    <row r="653" spans="1:20" s="1006" customFormat="1" ht="42" customHeight="1">
      <c r="A653" s="1271">
        <v>166</v>
      </c>
      <c r="B653" s="1274" t="s">
        <v>1365</v>
      </c>
      <c r="C653" s="1279">
        <v>1975</v>
      </c>
      <c r="D653" s="1064">
        <v>2009</v>
      </c>
      <c r="E653" s="1271" t="s">
        <v>218</v>
      </c>
      <c r="F653" s="1064">
        <v>2</v>
      </c>
      <c r="G653" s="1064">
        <v>3</v>
      </c>
      <c r="H653" s="993">
        <v>936.6</v>
      </c>
      <c r="I653" s="993">
        <v>936.3</v>
      </c>
      <c r="J653" s="993">
        <v>887.4</v>
      </c>
      <c r="K653" s="987">
        <v>25</v>
      </c>
      <c r="L653" s="985">
        <v>1847665</v>
      </c>
      <c r="M653" s="986">
        <v>0</v>
      </c>
      <c r="N653" s="986">
        <v>0</v>
      </c>
      <c r="O653" s="985">
        <f t="shared" ref="O653:O655" si="223">L653</f>
        <v>1847665</v>
      </c>
      <c r="P653" s="993">
        <v>0</v>
      </c>
      <c r="Q653" s="986">
        <v>0</v>
      </c>
      <c r="R653" s="985">
        <f t="shared" ref="R653:R655" si="224">L653/I653</f>
        <v>1973.368578447079</v>
      </c>
      <c r="S653" s="987">
        <v>2021</v>
      </c>
      <c r="T653" s="987">
        <v>2021</v>
      </c>
    </row>
    <row r="654" spans="1:20" s="1006" customFormat="1" ht="42" customHeight="1">
      <c r="A654" s="1271">
        <v>167</v>
      </c>
      <c r="B654" s="1274" t="s">
        <v>1366</v>
      </c>
      <c r="C654" s="1279">
        <v>1961</v>
      </c>
      <c r="D654" s="1064">
        <v>2006</v>
      </c>
      <c r="E654" s="1271" t="s">
        <v>218</v>
      </c>
      <c r="F654" s="1064">
        <v>4</v>
      </c>
      <c r="G654" s="1064">
        <v>4</v>
      </c>
      <c r="H654" s="993">
        <v>2770.5</v>
      </c>
      <c r="I654" s="993">
        <v>2770.5</v>
      </c>
      <c r="J654" s="993">
        <v>2573.6999999999998</v>
      </c>
      <c r="K654" s="987">
        <v>88</v>
      </c>
      <c r="L654" s="985">
        <v>3255987</v>
      </c>
      <c r="M654" s="986">
        <v>0</v>
      </c>
      <c r="N654" s="986">
        <v>0</v>
      </c>
      <c r="O654" s="985">
        <f t="shared" si="223"/>
        <v>3255987</v>
      </c>
      <c r="P654" s="993">
        <v>0</v>
      </c>
      <c r="Q654" s="986">
        <v>0</v>
      </c>
      <c r="R654" s="985">
        <f t="shared" si="224"/>
        <v>1175.2344342176502</v>
      </c>
      <c r="S654" s="987">
        <v>2021</v>
      </c>
      <c r="T654" s="987">
        <v>2021</v>
      </c>
    </row>
    <row r="655" spans="1:20" s="1006" customFormat="1" ht="42" customHeight="1">
      <c r="A655" s="1271">
        <v>168</v>
      </c>
      <c r="B655" s="1274" t="s">
        <v>1367</v>
      </c>
      <c r="C655" s="1279">
        <v>1965</v>
      </c>
      <c r="D655" s="1064">
        <v>2005</v>
      </c>
      <c r="E655" s="1271" t="s">
        <v>218</v>
      </c>
      <c r="F655" s="1064">
        <v>4</v>
      </c>
      <c r="G655" s="1064">
        <v>4</v>
      </c>
      <c r="H655" s="993">
        <v>2785.8</v>
      </c>
      <c r="I655" s="993">
        <v>2785.8</v>
      </c>
      <c r="J655" s="993">
        <v>2585.8000000000002</v>
      </c>
      <c r="K655" s="987">
        <v>85</v>
      </c>
      <c r="L655" s="985">
        <v>3580909</v>
      </c>
      <c r="M655" s="986">
        <v>0</v>
      </c>
      <c r="N655" s="986">
        <v>0</v>
      </c>
      <c r="O655" s="985">
        <f t="shared" si="223"/>
        <v>3580909</v>
      </c>
      <c r="P655" s="993">
        <v>0</v>
      </c>
      <c r="Q655" s="986">
        <v>0</v>
      </c>
      <c r="R655" s="985">
        <f t="shared" si="224"/>
        <v>1285.4149615909253</v>
      </c>
      <c r="S655" s="987">
        <v>2021</v>
      </c>
      <c r="T655" s="987">
        <v>2021</v>
      </c>
    </row>
    <row r="656" spans="1:20" s="1006" customFormat="1" ht="42" customHeight="1">
      <c r="A656" s="1031"/>
      <c r="B656" s="1391" t="s">
        <v>1652</v>
      </c>
      <c r="C656" s="1391"/>
      <c r="D656" s="1391"/>
      <c r="E656" s="1391"/>
      <c r="F656" s="1391"/>
      <c r="G656" s="1391"/>
      <c r="H656" s="1024">
        <f>H657+H658</f>
        <v>818.3</v>
      </c>
      <c r="I656" s="1024">
        <f t="shared" ref="I656:Q656" si="225">I657+I658</f>
        <v>705.5</v>
      </c>
      <c r="J656" s="1024">
        <f t="shared" si="225"/>
        <v>652.1</v>
      </c>
      <c r="K656" s="1011">
        <f t="shared" si="225"/>
        <v>33</v>
      </c>
      <c r="L656" s="1024">
        <f t="shared" si="225"/>
        <v>4711789.2</v>
      </c>
      <c r="M656" s="1024">
        <f t="shared" si="225"/>
        <v>0</v>
      </c>
      <c r="N656" s="1024">
        <f t="shared" si="225"/>
        <v>0</v>
      </c>
      <c r="O656" s="1024">
        <f t="shared" si="225"/>
        <v>4711789.2</v>
      </c>
      <c r="P656" s="1024">
        <f t="shared" si="225"/>
        <v>0</v>
      </c>
      <c r="Q656" s="1024">
        <f t="shared" si="225"/>
        <v>0</v>
      </c>
      <c r="R656" s="991" t="s">
        <v>40</v>
      </c>
      <c r="S656" s="991" t="s">
        <v>40</v>
      </c>
      <c r="T656" s="991" t="s">
        <v>40</v>
      </c>
    </row>
    <row r="657" spans="1:20" s="1006" customFormat="1" ht="42" customHeight="1">
      <c r="A657" s="1031">
        <v>169</v>
      </c>
      <c r="B657" s="1274" t="s">
        <v>2081</v>
      </c>
      <c r="C657" s="1027" t="s">
        <v>1213</v>
      </c>
      <c r="D657" s="1027"/>
      <c r="E657" s="1271" t="s">
        <v>218</v>
      </c>
      <c r="F657" s="1027" t="s">
        <v>1192</v>
      </c>
      <c r="G657" s="1027" t="s">
        <v>1192</v>
      </c>
      <c r="H657" s="1024">
        <v>577.9</v>
      </c>
      <c r="I657" s="1024">
        <v>528.1</v>
      </c>
      <c r="J657" s="1024">
        <v>474.7</v>
      </c>
      <c r="K657" s="1011">
        <v>30</v>
      </c>
      <c r="L657" s="1024">
        <v>3688544.54</v>
      </c>
      <c r="M657" s="1024">
        <v>0</v>
      </c>
      <c r="N657" s="1024">
        <v>0</v>
      </c>
      <c r="O657" s="1024">
        <v>3688544.54</v>
      </c>
      <c r="P657" s="1024">
        <v>0</v>
      </c>
      <c r="Q657" s="1024">
        <v>0</v>
      </c>
      <c r="R657" s="1024">
        <f>L657/I657</f>
        <v>6984.5569778451045</v>
      </c>
      <c r="S657" s="1054" t="s">
        <v>1194</v>
      </c>
      <c r="T657" s="1054" t="s">
        <v>1433</v>
      </c>
    </row>
    <row r="658" spans="1:20" s="992" customFormat="1" ht="42" customHeight="1">
      <c r="A658" s="1031">
        <v>170</v>
      </c>
      <c r="B658" s="1274" t="s">
        <v>2909</v>
      </c>
      <c r="C658" s="1027" t="s">
        <v>1214</v>
      </c>
      <c r="D658" s="1027"/>
      <c r="E658" s="1271" t="s">
        <v>221</v>
      </c>
      <c r="F658" s="1027" t="s">
        <v>1192</v>
      </c>
      <c r="G658" s="1027" t="s">
        <v>1188</v>
      </c>
      <c r="H658" s="1024">
        <v>240.4</v>
      </c>
      <c r="I658" s="1024">
        <v>177.4</v>
      </c>
      <c r="J658" s="1024">
        <v>177.4</v>
      </c>
      <c r="K658" s="1011">
        <v>3</v>
      </c>
      <c r="L658" s="1024">
        <v>1023244.66</v>
      </c>
      <c r="M658" s="1024">
        <v>0</v>
      </c>
      <c r="N658" s="1024">
        <v>0</v>
      </c>
      <c r="O658" s="1024">
        <v>1023244.66</v>
      </c>
      <c r="P658" s="1024">
        <v>0</v>
      </c>
      <c r="Q658" s="1024">
        <v>0</v>
      </c>
      <c r="R658" s="1024">
        <f>L658/I658</f>
        <v>5768.0082299887263</v>
      </c>
      <c r="S658" s="1054" t="s">
        <v>1194</v>
      </c>
      <c r="T658" s="1054" t="s">
        <v>1433</v>
      </c>
    </row>
    <row r="659" spans="1:20" s="992" customFormat="1" ht="39.6" customHeight="1">
      <c r="A659" s="1031"/>
      <c r="B659" s="1273" t="s">
        <v>55</v>
      </c>
      <c r="C659" s="1279"/>
      <c r="D659" s="1283"/>
      <c r="E659" s="1271"/>
      <c r="F659" s="1279"/>
      <c r="G659" s="1279"/>
      <c r="H659" s="1024">
        <f>H660</f>
        <v>3079.8</v>
      </c>
      <c r="I659" s="1024">
        <f t="shared" ref="I659:Q659" si="226">I660</f>
        <v>3059.6</v>
      </c>
      <c r="J659" s="1024">
        <f t="shared" si="226"/>
        <v>1894.2</v>
      </c>
      <c r="K659" s="1011">
        <f t="shared" si="226"/>
        <v>116</v>
      </c>
      <c r="L659" s="1024">
        <f t="shared" si="226"/>
        <v>4304423</v>
      </c>
      <c r="M659" s="1024">
        <f t="shared" si="226"/>
        <v>0</v>
      </c>
      <c r="N659" s="1024">
        <f t="shared" si="226"/>
        <v>0</v>
      </c>
      <c r="O659" s="1024">
        <f t="shared" si="226"/>
        <v>4304423</v>
      </c>
      <c r="P659" s="1024">
        <f t="shared" si="226"/>
        <v>0</v>
      </c>
      <c r="Q659" s="1024">
        <f t="shared" si="226"/>
        <v>0</v>
      </c>
      <c r="R659" s="991" t="s">
        <v>40</v>
      </c>
      <c r="S659" s="991" t="s">
        <v>40</v>
      </c>
      <c r="T659" s="991" t="s">
        <v>40</v>
      </c>
    </row>
    <row r="660" spans="1:20" s="992" customFormat="1" ht="42" customHeight="1">
      <c r="A660" s="1031"/>
      <c r="B660" s="1273" t="s">
        <v>1076</v>
      </c>
      <c r="C660" s="1279"/>
      <c r="D660" s="1283"/>
      <c r="E660" s="1271"/>
      <c r="F660" s="1279"/>
      <c r="G660" s="1279"/>
      <c r="H660" s="1024">
        <f>H661</f>
        <v>3079.8</v>
      </c>
      <c r="I660" s="1024">
        <f t="shared" ref="I660:Q660" si="227">I661</f>
        <v>3059.6</v>
      </c>
      <c r="J660" s="1024">
        <f t="shared" si="227"/>
        <v>1894.2</v>
      </c>
      <c r="K660" s="1011">
        <f t="shared" si="227"/>
        <v>116</v>
      </c>
      <c r="L660" s="1024">
        <f t="shared" si="227"/>
        <v>4304423</v>
      </c>
      <c r="M660" s="1024">
        <f t="shared" si="227"/>
        <v>0</v>
      </c>
      <c r="N660" s="1024">
        <f t="shared" si="227"/>
        <v>0</v>
      </c>
      <c r="O660" s="1024">
        <f t="shared" si="227"/>
        <v>4304423</v>
      </c>
      <c r="P660" s="1024">
        <f t="shared" si="227"/>
        <v>0</v>
      </c>
      <c r="Q660" s="1024">
        <f t="shared" si="227"/>
        <v>0</v>
      </c>
      <c r="R660" s="991" t="s">
        <v>40</v>
      </c>
      <c r="S660" s="991" t="s">
        <v>40</v>
      </c>
      <c r="T660" s="991" t="s">
        <v>40</v>
      </c>
    </row>
    <row r="661" spans="1:20" s="992" customFormat="1" ht="43.15" customHeight="1">
      <c r="A661" s="1031">
        <v>171</v>
      </c>
      <c r="B661" s="1272" t="s">
        <v>2806</v>
      </c>
      <c r="C661" s="1027" t="s">
        <v>1323</v>
      </c>
      <c r="D661" s="1027"/>
      <c r="E661" s="1271" t="s">
        <v>219</v>
      </c>
      <c r="F661" s="1027" t="s">
        <v>1148</v>
      </c>
      <c r="G661" s="1027" t="s">
        <v>73</v>
      </c>
      <c r="H661" s="1024">
        <v>3079.8</v>
      </c>
      <c r="I661" s="1024">
        <v>3059.6</v>
      </c>
      <c r="J661" s="1024">
        <v>1894.2</v>
      </c>
      <c r="K661" s="1011">
        <v>116</v>
      </c>
      <c r="L661" s="1024">
        <v>4304423</v>
      </c>
      <c r="M661" s="1024">
        <v>0</v>
      </c>
      <c r="N661" s="1024">
        <v>0</v>
      </c>
      <c r="O661" s="1024">
        <v>4304423</v>
      </c>
      <c r="P661" s="1024">
        <v>0</v>
      </c>
      <c r="Q661" s="1024">
        <v>0</v>
      </c>
      <c r="R661" s="1024">
        <f>L661/I661</f>
        <v>1406.8580860243169</v>
      </c>
      <c r="S661" s="1054" t="s">
        <v>1194</v>
      </c>
      <c r="T661" s="1054" t="s">
        <v>1194</v>
      </c>
    </row>
    <row r="662" spans="1:20" s="992" customFormat="1" ht="42" customHeight="1">
      <c r="A662" s="1271"/>
      <c r="B662" s="1391" t="s">
        <v>1989</v>
      </c>
      <c r="C662" s="1391"/>
      <c r="D662" s="1391"/>
      <c r="E662" s="1391"/>
      <c r="F662" s="1391"/>
      <c r="G662" s="1391"/>
      <c r="H662" s="985">
        <f t="shared" ref="H662:Q662" si="228">H666+H668+H663</f>
        <v>4015.3999999999996</v>
      </c>
      <c r="I662" s="985">
        <f t="shared" si="228"/>
        <v>3074.3</v>
      </c>
      <c r="J662" s="985">
        <f t="shared" si="228"/>
        <v>3074.3</v>
      </c>
      <c r="K662" s="1064">
        <f t="shared" si="228"/>
        <v>157</v>
      </c>
      <c r="L662" s="985">
        <f t="shared" si="228"/>
        <v>11563936.060000001</v>
      </c>
      <c r="M662" s="985">
        <f t="shared" si="228"/>
        <v>0</v>
      </c>
      <c r="N662" s="985">
        <f t="shared" si="228"/>
        <v>0</v>
      </c>
      <c r="O662" s="985">
        <f t="shared" si="228"/>
        <v>11563936.060000001</v>
      </c>
      <c r="P662" s="985">
        <f t="shared" si="228"/>
        <v>0</v>
      </c>
      <c r="Q662" s="985">
        <f t="shared" si="228"/>
        <v>0</v>
      </c>
      <c r="R662" s="991" t="s">
        <v>40</v>
      </c>
      <c r="S662" s="991" t="s">
        <v>40</v>
      </c>
      <c r="T662" s="991" t="s">
        <v>40</v>
      </c>
    </row>
    <row r="663" spans="1:20" s="992" customFormat="1" ht="42" customHeight="1">
      <c r="A663" s="1271"/>
      <c r="B663" s="1393" t="s">
        <v>2024</v>
      </c>
      <c r="C663" s="1393"/>
      <c r="D663" s="1393"/>
      <c r="E663" s="1393"/>
      <c r="F663" s="1393"/>
      <c r="G663" s="1393"/>
      <c r="H663" s="985">
        <f>H664+H665</f>
        <v>1822.2</v>
      </c>
      <c r="I663" s="985">
        <f t="shared" ref="I663:Q663" si="229">I664+I665</f>
        <v>1279.8</v>
      </c>
      <c r="J663" s="985">
        <f t="shared" si="229"/>
        <v>1279.8</v>
      </c>
      <c r="K663" s="1064">
        <f t="shared" si="229"/>
        <v>66</v>
      </c>
      <c r="L663" s="985">
        <f t="shared" si="229"/>
        <v>8573045.0600000005</v>
      </c>
      <c r="M663" s="985">
        <f t="shared" si="229"/>
        <v>0</v>
      </c>
      <c r="N663" s="985">
        <f t="shared" si="229"/>
        <v>0</v>
      </c>
      <c r="O663" s="985">
        <f t="shared" si="229"/>
        <v>8573045.0600000005</v>
      </c>
      <c r="P663" s="985">
        <f t="shared" si="229"/>
        <v>0</v>
      </c>
      <c r="Q663" s="985">
        <f t="shared" si="229"/>
        <v>0</v>
      </c>
      <c r="R663" s="991" t="s">
        <v>40</v>
      </c>
      <c r="S663" s="991" t="s">
        <v>40</v>
      </c>
      <c r="T663" s="991" t="s">
        <v>40</v>
      </c>
    </row>
    <row r="664" spans="1:20" s="992" customFormat="1" ht="42" customHeight="1">
      <c r="A664" s="1271">
        <v>172</v>
      </c>
      <c r="B664" s="1274" t="s">
        <v>2910</v>
      </c>
      <c r="C664" s="1279">
        <v>1965</v>
      </c>
      <c r="D664" s="1273"/>
      <c r="E664" s="1271" t="s">
        <v>218</v>
      </c>
      <c r="F664" s="1279">
        <v>5</v>
      </c>
      <c r="G664" s="1279">
        <v>2</v>
      </c>
      <c r="H664" s="985">
        <v>1586.7</v>
      </c>
      <c r="I664" s="985">
        <v>1067.3</v>
      </c>
      <c r="J664" s="985">
        <v>1067.3</v>
      </c>
      <c r="K664" s="1064">
        <v>56</v>
      </c>
      <c r="L664" s="985">
        <v>6788652.3799999999</v>
      </c>
      <c r="M664" s="985">
        <v>0</v>
      </c>
      <c r="N664" s="985">
        <v>0</v>
      </c>
      <c r="O664" s="985">
        <v>6788652.3799999999</v>
      </c>
      <c r="P664" s="985">
        <v>0</v>
      </c>
      <c r="Q664" s="985">
        <v>0</v>
      </c>
      <c r="R664" s="1024">
        <f>L664/I664</f>
        <v>6360.5850089009655</v>
      </c>
      <c r="S664" s="1054" t="s">
        <v>1194</v>
      </c>
      <c r="T664" s="1054" t="s">
        <v>1433</v>
      </c>
    </row>
    <row r="665" spans="1:20" s="992" customFormat="1" ht="42" customHeight="1">
      <c r="A665" s="1271">
        <v>173</v>
      </c>
      <c r="B665" s="1274" t="s">
        <v>2911</v>
      </c>
      <c r="C665" s="1279">
        <v>1965</v>
      </c>
      <c r="D665" s="1273"/>
      <c r="E665" s="1271" t="s">
        <v>221</v>
      </c>
      <c r="F665" s="1279">
        <v>1</v>
      </c>
      <c r="G665" s="1279">
        <v>4</v>
      </c>
      <c r="H665" s="985">
        <v>235.5</v>
      </c>
      <c r="I665" s="985">
        <v>212.5</v>
      </c>
      <c r="J665" s="985">
        <v>212.5</v>
      </c>
      <c r="K665" s="1064">
        <v>10</v>
      </c>
      <c r="L665" s="985">
        <v>1784392.68</v>
      </c>
      <c r="M665" s="985">
        <v>0</v>
      </c>
      <c r="N665" s="985">
        <v>0</v>
      </c>
      <c r="O665" s="985">
        <v>1784392.68</v>
      </c>
      <c r="P665" s="985">
        <v>0</v>
      </c>
      <c r="Q665" s="985">
        <v>0</v>
      </c>
      <c r="R665" s="1024">
        <f>L665/I665</f>
        <v>8397.1420235294117</v>
      </c>
      <c r="S665" s="1054" t="s">
        <v>1194</v>
      </c>
      <c r="T665" s="1054" t="s">
        <v>1433</v>
      </c>
    </row>
    <row r="666" spans="1:20" s="992" customFormat="1" ht="44.45" customHeight="1">
      <c r="A666" s="1271"/>
      <c r="B666" s="1393" t="s">
        <v>2025</v>
      </c>
      <c r="C666" s="1393"/>
      <c r="D666" s="1393"/>
      <c r="E666" s="1393"/>
      <c r="F666" s="1393"/>
      <c r="G666" s="1393"/>
      <c r="H666" s="985">
        <f>H667</f>
        <v>642</v>
      </c>
      <c r="I666" s="985">
        <f t="shared" ref="I666:Q666" si="230">I667</f>
        <v>416.6</v>
      </c>
      <c r="J666" s="985">
        <f t="shared" si="230"/>
        <v>416.6</v>
      </c>
      <c r="K666" s="1064">
        <f t="shared" si="230"/>
        <v>23</v>
      </c>
      <c r="L666" s="985">
        <f t="shared" si="230"/>
        <v>1461133</v>
      </c>
      <c r="M666" s="985">
        <f t="shared" si="230"/>
        <v>0</v>
      </c>
      <c r="N666" s="985">
        <f t="shared" si="230"/>
        <v>0</v>
      </c>
      <c r="O666" s="985">
        <f t="shared" si="230"/>
        <v>1461133</v>
      </c>
      <c r="P666" s="985">
        <f t="shared" si="230"/>
        <v>0</v>
      </c>
      <c r="Q666" s="985">
        <f t="shared" si="230"/>
        <v>0</v>
      </c>
      <c r="R666" s="991" t="s">
        <v>40</v>
      </c>
      <c r="S666" s="991" t="s">
        <v>40</v>
      </c>
      <c r="T666" s="991" t="s">
        <v>40</v>
      </c>
    </row>
    <row r="667" spans="1:20" s="992" customFormat="1" ht="40.9" customHeight="1">
      <c r="A667" s="1271">
        <v>174</v>
      </c>
      <c r="B667" s="1274" t="s">
        <v>2082</v>
      </c>
      <c r="C667" s="1271">
        <v>1960</v>
      </c>
      <c r="D667" s="1279"/>
      <c r="E667" s="1271" t="s">
        <v>218</v>
      </c>
      <c r="F667" s="1279">
        <v>2</v>
      </c>
      <c r="G667" s="1279">
        <v>2</v>
      </c>
      <c r="H667" s="985">
        <v>642</v>
      </c>
      <c r="I667" s="985">
        <v>416.6</v>
      </c>
      <c r="J667" s="985">
        <v>416.6</v>
      </c>
      <c r="K667" s="1064">
        <v>23</v>
      </c>
      <c r="L667" s="986">
        <v>1461133</v>
      </c>
      <c r="M667" s="986">
        <v>0</v>
      </c>
      <c r="N667" s="986">
        <v>0</v>
      </c>
      <c r="O667" s="986">
        <f>L667</f>
        <v>1461133</v>
      </c>
      <c r="P667" s="993">
        <v>0</v>
      </c>
      <c r="Q667" s="986">
        <v>0</v>
      </c>
      <c r="R667" s="985">
        <f>L667/I667</f>
        <v>3507.2803648583772</v>
      </c>
      <c r="S667" s="987">
        <v>2021</v>
      </c>
      <c r="T667" s="987">
        <v>2021</v>
      </c>
    </row>
    <row r="668" spans="1:20" s="992" customFormat="1" ht="36" customHeight="1">
      <c r="A668" s="1271"/>
      <c r="B668" s="1393" t="s">
        <v>807</v>
      </c>
      <c r="C668" s="1393"/>
      <c r="D668" s="1393"/>
      <c r="E668" s="1393"/>
      <c r="F668" s="1393"/>
      <c r="G668" s="1393"/>
      <c r="H668" s="985">
        <f>H669</f>
        <v>1551.2</v>
      </c>
      <c r="I668" s="985">
        <f t="shared" ref="I668:Q668" si="231">I669</f>
        <v>1377.9</v>
      </c>
      <c r="J668" s="985">
        <f t="shared" si="231"/>
        <v>1377.9</v>
      </c>
      <c r="K668" s="1064">
        <f t="shared" si="231"/>
        <v>68</v>
      </c>
      <c r="L668" s="985">
        <f t="shared" si="231"/>
        <v>1529758</v>
      </c>
      <c r="M668" s="985">
        <f t="shared" si="231"/>
        <v>0</v>
      </c>
      <c r="N668" s="985">
        <f t="shared" si="231"/>
        <v>0</v>
      </c>
      <c r="O668" s="985">
        <f t="shared" si="231"/>
        <v>1529758</v>
      </c>
      <c r="P668" s="985">
        <f t="shared" si="231"/>
        <v>0</v>
      </c>
      <c r="Q668" s="985">
        <f t="shared" si="231"/>
        <v>0</v>
      </c>
      <c r="R668" s="991" t="s">
        <v>40</v>
      </c>
      <c r="S668" s="991" t="s">
        <v>40</v>
      </c>
      <c r="T668" s="991" t="s">
        <v>40</v>
      </c>
    </row>
    <row r="669" spans="1:20" s="992" customFormat="1" ht="42" customHeight="1">
      <c r="A669" s="1271">
        <v>175</v>
      </c>
      <c r="B669" s="1274" t="s">
        <v>1205</v>
      </c>
      <c r="C669" s="1271">
        <v>1977</v>
      </c>
      <c r="D669" s="1279"/>
      <c r="E669" s="1271" t="s">
        <v>219</v>
      </c>
      <c r="F669" s="1279">
        <v>3</v>
      </c>
      <c r="G669" s="1279">
        <v>3</v>
      </c>
      <c r="H669" s="985">
        <v>1551.2</v>
      </c>
      <c r="I669" s="985">
        <v>1377.9</v>
      </c>
      <c r="J669" s="985">
        <v>1377.9</v>
      </c>
      <c r="K669" s="1064">
        <v>68</v>
      </c>
      <c r="L669" s="986">
        <v>1529758</v>
      </c>
      <c r="M669" s="986">
        <v>0</v>
      </c>
      <c r="N669" s="986">
        <v>0</v>
      </c>
      <c r="O669" s="986">
        <v>1529758</v>
      </c>
      <c r="P669" s="993">
        <v>0</v>
      </c>
      <c r="Q669" s="986">
        <v>0</v>
      </c>
      <c r="R669" s="985">
        <f>L669/I669</f>
        <v>1110.2097394585962</v>
      </c>
      <c r="S669" s="987">
        <v>2021</v>
      </c>
      <c r="T669" s="987">
        <v>2021</v>
      </c>
    </row>
    <row r="670" spans="1:20" s="992" customFormat="1" ht="36" customHeight="1">
      <c r="A670" s="1271"/>
      <c r="B670" s="1391" t="s">
        <v>2676</v>
      </c>
      <c r="C670" s="1391"/>
      <c r="D670" s="1391"/>
      <c r="E670" s="1391"/>
      <c r="F670" s="1391"/>
      <c r="G670" s="1391"/>
      <c r="H670" s="985">
        <f>H671+H672+H673+H674</f>
        <v>4426</v>
      </c>
      <c r="I670" s="985">
        <f t="shared" ref="I670:Q670" si="232">I671+I672+I673+I674</f>
        <v>3042</v>
      </c>
      <c r="J670" s="985">
        <f t="shared" si="232"/>
        <v>2913</v>
      </c>
      <c r="K670" s="1064">
        <f t="shared" si="232"/>
        <v>113</v>
      </c>
      <c r="L670" s="985">
        <f t="shared" si="232"/>
        <v>8642732</v>
      </c>
      <c r="M670" s="985">
        <f t="shared" si="232"/>
        <v>0</v>
      </c>
      <c r="N670" s="985">
        <f t="shared" si="232"/>
        <v>0</v>
      </c>
      <c r="O670" s="985">
        <f t="shared" si="232"/>
        <v>8642732</v>
      </c>
      <c r="P670" s="985">
        <f t="shared" si="232"/>
        <v>0</v>
      </c>
      <c r="Q670" s="985">
        <f t="shared" si="232"/>
        <v>0</v>
      </c>
      <c r="R670" s="991" t="s">
        <v>40</v>
      </c>
      <c r="S670" s="991" t="s">
        <v>40</v>
      </c>
      <c r="T670" s="991" t="s">
        <v>40</v>
      </c>
    </row>
    <row r="671" spans="1:20" s="992" customFormat="1" ht="40.9" customHeight="1">
      <c r="A671" s="1271">
        <v>176</v>
      </c>
      <c r="B671" s="1274" t="s">
        <v>2682</v>
      </c>
      <c r="C671" s="1271">
        <v>1971</v>
      </c>
      <c r="D671" s="1279"/>
      <c r="E671" s="1271" t="s">
        <v>219</v>
      </c>
      <c r="F671" s="1279">
        <v>2</v>
      </c>
      <c r="G671" s="1279">
        <v>1</v>
      </c>
      <c r="H671" s="985">
        <v>351</v>
      </c>
      <c r="I671" s="985">
        <v>234</v>
      </c>
      <c r="J671" s="985">
        <v>234</v>
      </c>
      <c r="K671" s="1064">
        <v>13</v>
      </c>
      <c r="L671" s="986">
        <f>O671+Q671</f>
        <v>944102</v>
      </c>
      <c r="M671" s="986">
        <v>0</v>
      </c>
      <c r="N671" s="986">
        <v>0</v>
      </c>
      <c r="O671" s="986">
        <v>944102</v>
      </c>
      <c r="P671" s="993">
        <v>0</v>
      </c>
      <c r="Q671" s="986">
        <v>0</v>
      </c>
      <c r="R671" s="985">
        <f>L671/I671</f>
        <v>4034.6239316239316</v>
      </c>
      <c r="S671" s="987">
        <v>2021</v>
      </c>
      <c r="T671" s="987">
        <v>2021</v>
      </c>
    </row>
    <row r="672" spans="1:20" s="992" customFormat="1" ht="36" customHeight="1">
      <c r="A672" s="1271">
        <v>177</v>
      </c>
      <c r="B672" s="1274" t="s">
        <v>2683</v>
      </c>
      <c r="C672" s="1271">
        <v>1993</v>
      </c>
      <c r="D672" s="1279"/>
      <c r="E672" s="1271" t="s">
        <v>219</v>
      </c>
      <c r="F672" s="1279">
        <v>3</v>
      </c>
      <c r="G672" s="1279">
        <v>3</v>
      </c>
      <c r="H672" s="985">
        <v>1391</v>
      </c>
      <c r="I672" s="985">
        <v>842</v>
      </c>
      <c r="J672" s="985">
        <v>774</v>
      </c>
      <c r="K672" s="1064">
        <v>36</v>
      </c>
      <c r="L672" s="986">
        <v>1465252</v>
      </c>
      <c r="M672" s="986">
        <v>0</v>
      </c>
      <c r="N672" s="986">
        <v>0</v>
      </c>
      <c r="O672" s="986">
        <v>1465252</v>
      </c>
      <c r="P672" s="993">
        <v>0</v>
      </c>
      <c r="Q672" s="986">
        <v>0</v>
      </c>
      <c r="R672" s="985">
        <f>L672/I672</f>
        <v>1740.2042755344419</v>
      </c>
      <c r="S672" s="987">
        <v>2021</v>
      </c>
      <c r="T672" s="987">
        <v>2021</v>
      </c>
    </row>
    <row r="673" spans="1:20" s="992" customFormat="1" ht="39.6" customHeight="1">
      <c r="A673" s="1271">
        <v>178</v>
      </c>
      <c r="B673" s="1274" t="s">
        <v>2684</v>
      </c>
      <c r="C673" s="1271">
        <v>1998</v>
      </c>
      <c r="D673" s="1279"/>
      <c r="E673" s="1271" t="s">
        <v>219</v>
      </c>
      <c r="F673" s="1279">
        <v>3</v>
      </c>
      <c r="G673" s="1279">
        <v>3</v>
      </c>
      <c r="H673" s="985">
        <v>1271</v>
      </c>
      <c r="I673" s="985">
        <v>717</v>
      </c>
      <c r="J673" s="985">
        <v>717</v>
      </c>
      <c r="K673" s="1064">
        <v>39</v>
      </c>
      <c r="L673" s="986">
        <f>O673+Q673</f>
        <v>3492567</v>
      </c>
      <c r="M673" s="986">
        <v>0</v>
      </c>
      <c r="N673" s="986">
        <v>0</v>
      </c>
      <c r="O673" s="986">
        <v>3492567</v>
      </c>
      <c r="P673" s="993">
        <v>0</v>
      </c>
      <c r="Q673" s="986">
        <v>0</v>
      </c>
      <c r="R673" s="985">
        <f t="shared" ref="R673:R674" si="233">L673/I673</f>
        <v>4871.0836820083678</v>
      </c>
      <c r="S673" s="987">
        <v>2021</v>
      </c>
      <c r="T673" s="987">
        <v>2021</v>
      </c>
    </row>
    <row r="674" spans="1:20" s="992" customFormat="1" ht="40.15" customHeight="1">
      <c r="A674" s="1271">
        <v>179</v>
      </c>
      <c r="B674" s="1274" t="s">
        <v>2680</v>
      </c>
      <c r="C674" s="1271">
        <v>1995</v>
      </c>
      <c r="D674" s="1279"/>
      <c r="E674" s="1271" t="s">
        <v>219</v>
      </c>
      <c r="F674" s="1279">
        <v>3</v>
      </c>
      <c r="G674" s="1279">
        <v>3</v>
      </c>
      <c r="H674" s="985">
        <v>1413</v>
      </c>
      <c r="I674" s="985">
        <v>1249</v>
      </c>
      <c r="J674" s="985">
        <v>1188</v>
      </c>
      <c r="K674" s="1064">
        <v>25</v>
      </c>
      <c r="L674" s="986">
        <v>2740811</v>
      </c>
      <c r="M674" s="986">
        <v>0</v>
      </c>
      <c r="N674" s="986">
        <v>0</v>
      </c>
      <c r="O674" s="986">
        <v>2740811</v>
      </c>
      <c r="P674" s="993">
        <v>0</v>
      </c>
      <c r="Q674" s="986">
        <v>0</v>
      </c>
      <c r="R674" s="985">
        <f t="shared" si="233"/>
        <v>2194.4043234587671</v>
      </c>
      <c r="S674" s="987">
        <v>2021</v>
      </c>
      <c r="T674" s="987">
        <v>2021</v>
      </c>
    </row>
    <row r="675" spans="1:20" s="992" customFormat="1" ht="42" customHeight="1">
      <c r="A675" s="1271"/>
      <c r="B675" s="1391" t="s">
        <v>1168</v>
      </c>
      <c r="C675" s="1391"/>
      <c r="D675" s="1391"/>
      <c r="E675" s="1391"/>
      <c r="F675" s="1391"/>
      <c r="G675" s="1391"/>
      <c r="H675" s="985">
        <f>H676+H677+H678</f>
        <v>2606.69</v>
      </c>
      <c r="I675" s="985">
        <f t="shared" ref="I675:Q675" si="234">I676+I677+I678</f>
        <v>2401</v>
      </c>
      <c r="J675" s="985">
        <f t="shared" si="234"/>
        <v>2240.6</v>
      </c>
      <c r="K675" s="1064">
        <f t="shared" si="234"/>
        <v>82</v>
      </c>
      <c r="L675" s="985">
        <f t="shared" si="234"/>
        <v>7595351.3699999992</v>
      </c>
      <c r="M675" s="985">
        <f t="shared" si="234"/>
        <v>0</v>
      </c>
      <c r="N675" s="985">
        <f t="shared" si="234"/>
        <v>0</v>
      </c>
      <c r="O675" s="985">
        <f t="shared" si="234"/>
        <v>7595351.3699999992</v>
      </c>
      <c r="P675" s="985">
        <f t="shared" si="234"/>
        <v>0</v>
      </c>
      <c r="Q675" s="985">
        <f t="shared" si="234"/>
        <v>0</v>
      </c>
      <c r="R675" s="991" t="s">
        <v>40</v>
      </c>
      <c r="S675" s="991" t="s">
        <v>40</v>
      </c>
      <c r="T675" s="991" t="s">
        <v>40</v>
      </c>
    </row>
    <row r="676" spans="1:20" s="992" customFormat="1" ht="36" customHeight="1">
      <c r="A676" s="1271">
        <v>180</v>
      </c>
      <c r="B676" s="1274" t="s">
        <v>2098</v>
      </c>
      <c r="C676" s="1271">
        <v>1953</v>
      </c>
      <c r="D676" s="1279"/>
      <c r="E676" s="1271" t="s">
        <v>218</v>
      </c>
      <c r="F676" s="1279">
        <v>4</v>
      </c>
      <c r="G676" s="1279">
        <v>2</v>
      </c>
      <c r="H676" s="1037">
        <v>1396.5</v>
      </c>
      <c r="I676" s="1037">
        <v>1298.0999999999999</v>
      </c>
      <c r="J676" s="1037">
        <v>1178.5999999999999</v>
      </c>
      <c r="K676" s="1064">
        <v>39</v>
      </c>
      <c r="L676" s="986">
        <v>2089124.51</v>
      </c>
      <c r="M676" s="986">
        <v>0</v>
      </c>
      <c r="N676" s="986">
        <v>0</v>
      </c>
      <c r="O676" s="986">
        <f>L676</f>
        <v>2089124.51</v>
      </c>
      <c r="P676" s="993">
        <v>0</v>
      </c>
      <c r="Q676" s="986">
        <v>0</v>
      </c>
      <c r="R676" s="985">
        <f>L676/I676</f>
        <v>1609.3710114783146</v>
      </c>
      <c r="S676" s="1279">
        <v>2021</v>
      </c>
      <c r="T676" s="1279">
        <v>2022</v>
      </c>
    </row>
    <row r="677" spans="1:20" s="992" customFormat="1" ht="36" customHeight="1">
      <c r="A677" s="1271">
        <v>181</v>
      </c>
      <c r="B677" s="1274" t="s">
        <v>2099</v>
      </c>
      <c r="C677" s="1271">
        <v>1955</v>
      </c>
      <c r="D677" s="1279"/>
      <c r="E677" s="1271" t="s">
        <v>218</v>
      </c>
      <c r="F677" s="1279">
        <v>2</v>
      </c>
      <c r="G677" s="1279">
        <v>2</v>
      </c>
      <c r="H677" s="1059">
        <v>798.09</v>
      </c>
      <c r="I677" s="1059">
        <v>731.4</v>
      </c>
      <c r="J677" s="1059">
        <v>731.4</v>
      </c>
      <c r="K677" s="1064">
        <v>31</v>
      </c>
      <c r="L677" s="986">
        <v>3310141</v>
      </c>
      <c r="M677" s="986">
        <v>0</v>
      </c>
      <c r="N677" s="986">
        <v>0</v>
      </c>
      <c r="O677" s="986">
        <f t="shared" ref="O677:O678" si="235">L677</f>
        <v>3310141</v>
      </c>
      <c r="P677" s="993">
        <v>0</v>
      </c>
      <c r="Q677" s="986">
        <v>0</v>
      </c>
      <c r="R677" s="985">
        <f t="shared" ref="R677:R678" si="236">L677/I677</f>
        <v>4525.7601859447632</v>
      </c>
      <c r="S677" s="1279">
        <v>2021</v>
      </c>
      <c r="T677" s="1279">
        <v>2021</v>
      </c>
    </row>
    <row r="678" spans="1:20" s="992" customFormat="1" ht="40.15" customHeight="1">
      <c r="A678" s="1271">
        <v>182</v>
      </c>
      <c r="B678" s="1274" t="s">
        <v>2100</v>
      </c>
      <c r="C678" s="1271">
        <v>1953</v>
      </c>
      <c r="D678" s="1279"/>
      <c r="E678" s="1271" t="s">
        <v>218</v>
      </c>
      <c r="F678" s="1279">
        <v>2</v>
      </c>
      <c r="G678" s="1279">
        <v>2</v>
      </c>
      <c r="H678" s="1037">
        <v>412.1</v>
      </c>
      <c r="I678" s="1037">
        <v>371.5</v>
      </c>
      <c r="J678" s="1037">
        <v>330.6</v>
      </c>
      <c r="K678" s="1064">
        <v>12</v>
      </c>
      <c r="L678" s="986">
        <v>2196085.86</v>
      </c>
      <c r="M678" s="986">
        <v>0</v>
      </c>
      <c r="N678" s="986">
        <v>0</v>
      </c>
      <c r="O678" s="986">
        <f t="shared" si="235"/>
        <v>2196085.86</v>
      </c>
      <c r="P678" s="993">
        <v>0</v>
      </c>
      <c r="Q678" s="986">
        <v>0</v>
      </c>
      <c r="R678" s="985">
        <f t="shared" si="236"/>
        <v>5911.4020457604302</v>
      </c>
      <c r="S678" s="1279">
        <v>2021</v>
      </c>
      <c r="T678" s="1279">
        <v>2022</v>
      </c>
    </row>
    <row r="679" spans="1:20" s="992" customFormat="1" ht="40.15" customHeight="1">
      <c r="A679" s="1271"/>
      <c r="B679" s="1391" t="s">
        <v>1119</v>
      </c>
      <c r="C679" s="1391"/>
      <c r="D679" s="1391"/>
      <c r="E679" s="1391"/>
      <c r="F679" s="1391"/>
      <c r="G679" s="1391"/>
      <c r="H679" s="985">
        <f>SUM(H680:H687)</f>
        <v>18897.399999999998</v>
      </c>
      <c r="I679" s="985">
        <f t="shared" ref="I679:Q679" si="237">SUM(I680:I687)</f>
        <v>18897.399999999998</v>
      </c>
      <c r="J679" s="985">
        <f t="shared" si="237"/>
        <v>17197.099999999999</v>
      </c>
      <c r="K679" s="1064">
        <f t="shared" si="237"/>
        <v>732</v>
      </c>
      <c r="L679" s="985">
        <f t="shared" si="237"/>
        <v>29250322.59</v>
      </c>
      <c r="M679" s="985">
        <f t="shared" si="237"/>
        <v>0</v>
      </c>
      <c r="N679" s="985">
        <f t="shared" si="237"/>
        <v>0</v>
      </c>
      <c r="O679" s="985">
        <f t="shared" si="237"/>
        <v>29250322.59</v>
      </c>
      <c r="P679" s="985">
        <f t="shared" si="237"/>
        <v>0</v>
      </c>
      <c r="Q679" s="985">
        <f t="shared" si="237"/>
        <v>0</v>
      </c>
      <c r="R679" s="991" t="s">
        <v>40</v>
      </c>
      <c r="S679" s="991" t="s">
        <v>40</v>
      </c>
      <c r="T679" s="991" t="s">
        <v>40</v>
      </c>
    </row>
    <row r="680" spans="1:20" s="992" customFormat="1" ht="39.6" customHeight="1">
      <c r="A680" s="1271">
        <v>183</v>
      </c>
      <c r="B680" s="1272" t="s">
        <v>2101</v>
      </c>
      <c r="C680" s="1279">
        <v>1963</v>
      </c>
      <c r="D680" s="1279">
        <v>2015</v>
      </c>
      <c r="E680" s="1271" t="s">
        <v>218</v>
      </c>
      <c r="F680" s="1279">
        <v>2</v>
      </c>
      <c r="G680" s="1279">
        <v>2</v>
      </c>
      <c r="H680" s="985">
        <v>357</v>
      </c>
      <c r="I680" s="985">
        <v>357</v>
      </c>
      <c r="J680" s="985">
        <v>316.5</v>
      </c>
      <c r="K680" s="1064">
        <v>11</v>
      </c>
      <c r="L680" s="985">
        <v>250289.75</v>
      </c>
      <c r="M680" s="985">
        <v>0</v>
      </c>
      <c r="N680" s="985">
        <v>0</v>
      </c>
      <c r="O680" s="985">
        <v>250289.75</v>
      </c>
      <c r="P680" s="985">
        <v>0</v>
      </c>
      <c r="Q680" s="985">
        <v>0</v>
      </c>
      <c r="R680" s="985">
        <f>L680/I680</f>
        <v>701.09173669467782</v>
      </c>
      <c r="S680" s="1279">
        <v>2021</v>
      </c>
      <c r="T680" s="1279">
        <v>2021</v>
      </c>
    </row>
    <row r="681" spans="1:20" s="992" customFormat="1" ht="42.6" customHeight="1">
      <c r="A681" s="1271">
        <v>184</v>
      </c>
      <c r="B681" s="1276" t="s">
        <v>2102</v>
      </c>
      <c r="C681" s="1279">
        <v>1992</v>
      </c>
      <c r="D681" s="1279"/>
      <c r="E681" s="1271" t="s">
        <v>218</v>
      </c>
      <c r="F681" s="1279">
        <v>5</v>
      </c>
      <c r="G681" s="1279">
        <v>6</v>
      </c>
      <c r="H681" s="985">
        <v>4734.5</v>
      </c>
      <c r="I681" s="985">
        <v>4734.5</v>
      </c>
      <c r="J681" s="985">
        <v>4279</v>
      </c>
      <c r="K681" s="1064">
        <v>191</v>
      </c>
      <c r="L681" s="993">
        <v>3586643</v>
      </c>
      <c r="M681" s="985">
        <v>0</v>
      </c>
      <c r="N681" s="985">
        <v>0</v>
      </c>
      <c r="O681" s="993">
        <v>3586643</v>
      </c>
      <c r="P681" s="985">
        <v>0</v>
      </c>
      <c r="Q681" s="985">
        <v>0</v>
      </c>
      <c r="R681" s="985">
        <f t="shared" ref="R681:R687" si="238">L681/I681</f>
        <v>757.55475763016159</v>
      </c>
      <c r="S681" s="1279">
        <v>2021</v>
      </c>
      <c r="T681" s="1279">
        <v>2021</v>
      </c>
    </row>
    <row r="682" spans="1:20" s="992" customFormat="1" ht="42.6" customHeight="1">
      <c r="A682" s="1271">
        <v>185</v>
      </c>
      <c r="B682" s="1276" t="s">
        <v>2103</v>
      </c>
      <c r="C682" s="1279">
        <v>1981</v>
      </c>
      <c r="D682" s="1279"/>
      <c r="E682" s="1271" t="s">
        <v>218</v>
      </c>
      <c r="F682" s="1279">
        <v>5</v>
      </c>
      <c r="G682" s="1279">
        <v>4</v>
      </c>
      <c r="H682" s="985">
        <v>2903.6</v>
      </c>
      <c r="I682" s="985">
        <v>2903.6</v>
      </c>
      <c r="J682" s="985">
        <v>2603.5</v>
      </c>
      <c r="K682" s="1064">
        <v>106</v>
      </c>
      <c r="L682" s="1085">
        <v>1692787</v>
      </c>
      <c r="M682" s="985">
        <v>0</v>
      </c>
      <c r="N682" s="985">
        <v>0</v>
      </c>
      <c r="O682" s="1085">
        <v>1692787</v>
      </c>
      <c r="P682" s="985">
        <v>0</v>
      </c>
      <c r="Q682" s="985">
        <v>0</v>
      </c>
      <c r="R682" s="985">
        <f t="shared" si="238"/>
        <v>582.9959360793498</v>
      </c>
      <c r="S682" s="1279">
        <v>2021</v>
      </c>
      <c r="T682" s="1279">
        <v>2021</v>
      </c>
    </row>
    <row r="683" spans="1:20" s="1009" customFormat="1" ht="43.9" customHeight="1">
      <c r="A683" s="1271">
        <v>186</v>
      </c>
      <c r="B683" s="1272" t="s">
        <v>2912</v>
      </c>
      <c r="C683" s="1279">
        <v>1959</v>
      </c>
      <c r="D683" s="1279"/>
      <c r="E683" s="1271" t="s">
        <v>218</v>
      </c>
      <c r="F683" s="1279">
        <v>2</v>
      </c>
      <c r="G683" s="1279">
        <v>2</v>
      </c>
      <c r="H683" s="985">
        <v>424</v>
      </c>
      <c r="I683" s="985">
        <v>424</v>
      </c>
      <c r="J683" s="985">
        <v>384.4</v>
      </c>
      <c r="K683" s="1064">
        <v>13</v>
      </c>
      <c r="L683" s="993">
        <v>1902957</v>
      </c>
      <c r="M683" s="985">
        <v>0</v>
      </c>
      <c r="N683" s="985">
        <v>0</v>
      </c>
      <c r="O683" s="993">
        <v>1902957</v>
      </c>
      <c r="P683" s="985">
        <v>0</v>
      </c>
      <c r="Q683" s="985">
        <v>0</v>
      </c>
      <c r="R683" s="985">
        <f t="shared" si="238"/>
        <v>4488.1061320754716</v>
      </c>
      <c r="S683" s="1279">
        <v>2021</v>
      </c>
      <c r="T683" s="1279">
        <v>2021</v>
      </c>
    </row>
    <row r="684" spans="1:20" s="1009" customFormat="1" ht="39.6" customHeight="1">
      <c r="A684" s="1271">
        <v>187</v>
      </c>
      <c r="B684" s="1272" t="s">
        <v>2313</v>
      </c>
      <c r="C684" s="1279">
        <v>1984</v>
      </c>
      <c r="D684" s="1279">
        <v>2013</v>
      </c>
      <c r="E684" s="1271" t="s">
        <v>218</v>
      </c>
      <c r="F684" s="1279">
        <v>5</v>
      </c>
      <c r="G684" s="1279">
        <v>12</v>
      </c>
      <c r="H684" s="985">
        <v>9023.4</v>
      </c>
      <c r="I684" s="985">
        <v>9023.4</v>
      </c>
      <c r="J684" s="985">
        <v>8242.4</v>
      </c>
      <c r="K684" s="1064">
        <v>340</v>
      </c>
      <c r="L684" s="985">
        <v>16756157</v>
      </c>
      <c r="M684" s="985">
        <v>0</v>
      </c>
      <c r="N684" s="985">
        <v>0</v>
      </c>
      <c r="O684" s="985">
        <v>16756157</v>
      </c>
      <c r="P684" s="985">
        <v>0</v>
      </c>
      <c r="Q684" s="985">
        <v>0</v>
      </c>
      <c r="R684" s="985">
        <f t="shared" si="238"/>
        <v>1856.9671077420928</v>
      </c>
      <c r="S684" s="1279">
        <v>2021</v>
      </c>
      <c r="T684" s="1279">
        <v>2021</v>
      </c>
    </row>
    <row r="685" spans="1:20" s="992" customFormat="1" ht="39.6" customHeight="1">
      <c r="A685" s="1271">
        <v>188</v>
      </c>
      <c r="B685" s="1276" t="s">
        <v>2104</v>
      </c>
      <c r="C685" s="1279">
        <v>1959</v>
      </c>
      <c r="D685" s="1277"/>
      <c r="E685" s="1271" t="s">
        <v>218</v>
      </c>
      <c r="F685" s="1279">
        <v>2</v>
      </c>
      <c r="G685" s="1279">
        <v>2</v>
      </c>
      <c r="H685" s="985">
        <v>306.60000000000002</v>
      </c>
      <c r="I685" s="985">
        <v>306.60000000000002</v>
      </c>
      <c r="J685" s="985">
        <v>273.60000000000002</v>
      </c>
      <c r="K685" s="1064">
        <v>22</v>
      </c>
      <c r="L685" s="993">
        <v>1460295</v>
      </c>
      <c r="M685" s="985">
        <v>0</v>
      </c>
      <c r="N685" s="985">
        <v>0</v>
      </c>
      <c r="O685" s="993">
        <v>1460295</v>
      </c>
      <c r="P685" s="985">
        <v>0</v>
      </c>
      <c r="Q685" s="985">
        <v>0</v>
      </c>
      <c r="R685" s="985">
        <f t="shared" si="238"/>
        <v>4762.8669275929542</v>
      </c>
      <c r="S685" s="1279">
        <v>2021</v>
      </c>
      <c r="T685" s="1279">
        <v>2021</v>
      </c>
    </row>
    <row r="686" spans="1:20" s="992" customFormat="1" ht="40.9" customHeight="1">
      <c r="A686" s="1271">
        <v>189</v>
      </c>
      <c r="B686" s="1276" t="s">
        <v>2105</v>
      </c>
      <c r="C686" s="1279">
        <v>1962</v>
      </c>
      <c r="D686" s="1277"/>
      <c r="E686" s="1271" t="s">
        <v>218</v>
      </c>
      <c r="F686" s="1279">
        <v>2</v>
      </c>
      <c r="G686" s="1279">
        <v>2</v>
      </c>
      <c r="H686" s="985">
        <v>685.8</v>
      </c>
      <c r="I686" s="985">
        <v>685.8</v>
      </c>
      <c r="J686" s="985">
        <v>637.20000000000005</v>
      </c>
      <c r="K686" s="1064">
        <v>30</v>
      </c>
      <c r="L686" s="993">
        <v>1956277.84</v>
      </c>
      <c r="M686" s="985">
        <v>0</v>
      </c>
      <c r="N686" s="985">
        <v>0</v>
      </c>
      <c r="O686" s="993">
        <v>1956277.84</v>
      </c>
      <c r="P686" s="985">
        <v>0</v>
      </c>
      <c r="Q686" s="985">
        <v>0</v>
      </c>
      <c r="R686" s="985">
        <f t="shared" si="238"/>
        <v>2852.5486147564889</v>
      </c>
      <c r="S686" s="1279">
        <v>2021</v>
      </c>
      <c r="T686" s="1279">
        <v>2021</v>
      </c>
    </row>
    <row r="687" spans="1:20" s="992" customFormat="1" ht="40.9" customHeight="1">
      <c r="A687" s="1271">
        <v>190</v>
      </c>
      <c r="B687" s="1276" t="s">
        <v>2106</v>
      </c>
      <c r="C687" s="1279">
        <v>1994</v>
      </c>
      <c r="D687" s="1277"/>
      <c r="E687" s="1271" t="s">
        <v>218</v>
      </c>
      <c r="F687" s="1279">
        <v>2</v>
      </c>
      <c r="G687" s="1279">
        <v>2</v>
      </c>
      <c r="H687" s="985">
        <v>462.5</v>
      </c>
      <c r="I687" s="985">
        <v>462.5</v>
      </c>
      <c r="J687" s="985">
        <v>460.5</v>
      </c>
      <c r="K687" s="1064">
        <v>19</v>
      </c>
      <c r="L687" s="993">
        <v>1644916</v>
      </c>
      <c r="M687" s="985">
        <v>0</v>
      </c>
      <c r="N687" s="985">
        <v>0</v>
      </c>
      <c r="O687" s="993">
        <v>1644916</v>
      </c>
      <c r="P687" s="985">
        <v>0</v>
      </c>
      <c r="Q687" s="985">
        <v>0</v>
      </c>
      <c r="R687" s="985">
        <f t="shared" si="238"/>
        <v>3556.575135135135</v>
      </c>
      <c r="S687" s="1279">
        <v>2021</v>
      </c>
      <c r="T687" s="1279">
        <v>2021</v>
      </c>
    </row>
    <row r="688" spans="1:20" s="992" customFormat="1" ht="36" customHeight="1">
      <c r="A688" s="1271"/>
      <c r="B688" s="1392" t="s">
        <v>1650</v>
      </c>
      <c r="C688" s="1392"/>
      <c r="D688" s="1392"/>
      <c r="E688" s="1392"/>
      <c r="F688" s="1392"/>
      <c r="G688" s="1392"/>
      <c r="H688" s="985">
        <f>H689</f>
        <v>830.8</v>
      </c>
      <c r="I688" s="985">
        <f t="shared" ref="I688:Q688" si="239">I689</f>
        <v>764.7</v>
      </c>
      <c r="J688" s="985">
        <f t="shared" si="239"/>
        <v>764.7</v>
      </c>
      <c r="K688" s="1064">
        <f t="shared" si="239"/>
        <v>23</v>
      </c>
      <c r="L688" s="985">
        <f t="shared" si="239"/>
        <v>6692193</v>
      </c>
      <c r="M688" s="985">
        <f t="shared" si="239"/>
        <v>0</v>
      </c>
      <c r="N688" s="985">
        <f t="shared" si="239"/>
        <v>0</v>
      </c>
      <c r="O688" s="985">
        <f t="shared" si="239"/>
        <v>6692193</v>
      </c>
      <c r="P688" s="985">
        <f t="shared" si="239"/>
        <v>0</v>
      </c>
      <c r="Q688" s="985">
        <f t="shared" si="239"/>
        <v>0</v>
      </c>
      <c r="R688" s="991" t="s">
        <v>40</v>
      </c>
      <c r="S688" s="991" t="s">
        <v>40</v>
      </c>
      <c r="T688" s="991" t="s">
        <v>40</v>
      </c>
    </row>
    <row r="689" spans="1:20" s="992" customFormat="1" ht="43.15" customHeight="1">
      <c r="A689" s="1271">
        <v>191</v>
      </c>
      <c r="B689" s="1276" t="s">
        <v>2107</v>
      </c>
      <c r="C689" s="1279">
        <v>1974</v>
      </c>
      <c r="D689" s="1277"/>
      <c r="E689" s="1271" t="s">
        <v>218</v>
      </c>
      <c r="F689" s="1279">
        <v>2</v>
      </c>
      <c r="G689" s="1279">
        <v>2</v>
      </c>
      <c r="H689" s="985">
        <v>830.8</v>
      </c>
      <c r="I689" s="985">
        <v>764.7</v>
      </c>
      <c r="J689" s="985">
        <v>764.7</v>
      </c>
      <c r="K689" s="1064">
        <v>23</v>
      </c>
      <c r="L689" s="993">
        <v>6692193</v>
      </c>
      <c r="M689" s="985">
        <v>0</v>
      </c>
      <c r="N689" s="985">
        <v>0</v>
      </c>
      <c r="O689" s="993">
        <v>6692193</v>
      </c>
      <c r="P689" s="985">
        <v>0</v>
      </c>
      <c r="Q689" s="985">
        <v>0</v>
      </c>
      <c r="R689" s="985">
        <f t="shared" ref="R689" si="240">L689/I689</f>
        <v>8751.3966261278929</v>
      </c>
      <c r="S689" s="1279">
        <v>2021</v>
      </c>
      <c r="T689" s="1279">
        <v>2021</v>
      </c>
    </row>
    <row r="690" spans="1:20" s="992" customFormat="1" ht="42" customHeight="1">
      <c r="A690" s="1271"/>
      <c r="B690" s="1391" t="s">
        <v>1988</v>
      </c>
      <c r="C690" s="1391"/>
      <c r="D690" s="1391"/>
      <c r="E690" s="1391"/>
      <c r="F690" s="1391"/>
      <c r="G690" s="1391"/>
      <c r="H690" s="985">
        <f>H691</f>
        <v>810.3</v>
      </c>
      <c r="I690" s="985">
        <f t="shared" ref="I690:Q690" si="241">I691</f>
        <v>810.3</v>
      </c>
      <c r="J690" s="985">
        <f t="shared" si="241"/>
        <v>153.71</v>
      </c>
      <c r="K690" s="1064">
        <f t="shared" si="241"/>
        <v>40</v>
      </c>
      <c r="L690" s="985">
        <f t="shared" si="241"/>
        <v>1442222.5</v>
      </c>
      <c r="M690" s="985">
        <f t="shared" si="241"/>
        <v>0</v>
      </c>
      <c r="N690" s="985">
        <f t="shared" si="241"/>
        <v>0</v>
      </c>
      <c r="O690" s="985">
        <f t="shared" si="241"/>
        <v>1442222.5</v>
      </c>
      <c r="P690" s="985">
        <f t="shared" si="241"/>
        <v>0</v>
      </c>
      <c r="Q690" s="985">
        <f t="shared" si="241"/>
        <v>0</v>
      </c>
      <c r="R690" s="991" t="s">
        <v>40</v>
      </c>
      <c r="S690" s="991" t="s">
        <v>40</v>
      </c>
      <c r="T690" s="991" t="s">
        <v>40</v>
      </c>
    </row>
    <row r="691" spans="1:20" s="992" customFormat="1" ht="36" customHeight="1">
      <c r="A691" s="1271"/>
      <c r="B691" s="1391" t="s">
        <v>2027</v>
      </c>
      <c r="C691" s="1391"/>
      <c r="D691" s="1391"/>
      <c r="E691" s="1391"/>
      <c r="F691" s="1391"/>
      <c r="G691" s="1391"/>
      <c r="H691" s="985">
        <f>H692</f>
        <v>810.3</v>
      </c>
      <c r="I691" s="985">
        <f t="shared" ref="I691:Q691" si="242">I692</f>
        <v>810.3</v>
      </c>
      <c r="J691" s="985">
        <f t="shared" si="242"/>
        <v>153.71</v>
      </c>
      <c r="K691" s="1064">
        <f t="shared" si="242"/>
        <v>40</v>
      </c>
      <c r="L691" s="985">
        <f t="shared" si="242"/>
        <v>1442222.5</v>
      </c>
      <c r="M691" s="985">
        <f t="shared" si="242"/>
        <v>0</v>
      </c>
      <c r="N691" s="985">
        <f t="shared" si="242"/>
        <v>0</v>
      </c>
      <c r="O691" s="985">
        <f t="shared" si="242"/>
        <v>1442222.5</v>
      </c>
      <c r="P691" s="985">
        <f t="shared" si="242"/>
        <v>0</v>
      </c>
      <c r="Q691" s="985">
        <f t="shared" si="242"/>
        <v>0</v>
      </c>
      <c r="R691" s="991" t="s">
        <v>40</v>
      </c>
      <c r="S691" s="991" t="s">
        <v>40</v>
      </c>
      <c r="T691" s="991" t="s">
        <v>40</v>
      </c>
    </row>
    <row r="692" spans="1:20" s="1003" customFormat="1" ht="42.6" customHeight="1">
      <c r="A692" s="1271">
        <v>192</v>
      </c>
      <c r="B692" s="1274" t="s">
        <v>2108</v>
      </c>
      <c r="C692" s="1271">
        <v>1978</v>
      </c>
      <c r="D692" s="1279">
        <v>2013</v>
      </c>
      <c r="E692" s="1271" t="s">
        <v>218</v>
      </c>
      <c r="F692" s="1279">
        <v>2</v>
      </c>
      <c r="G692" s="1279">
        <v>1</v>
      </c>
      <c r="H692" s="985">
        <v>810.3</v>
      </c>
      <c r="I692" s="985">
        <v>810.3</v>
      </c>
      <c r="J692" s="985">
        <v>153.71</v>
      </c>
      <c r="K692" s="1064">
        <v>40</v>
      </c>
      <c r="L692" s="986">
        <v>1442222.5</v>
      </c>
      <c r="M692" s="986">
        <v>0</v>
      </c>
      <c r="N692" s="986">
        <v>0</v>
      </c>
      <c r="O692" s="986">
        <v>1442222.5</v>
      </c>
      <c r="P692" s="993">
        <v>0</v>
      </c>
      <c r="Q692" s="986">
        <v>0</v>
      </c>
      <c r="R692" s="985">
        <f>L692/I692</f>
        <v>1779.8623966432187</v>
      </c>
      <c r="S692" s="987">
        <v>2021</v>
      </c>
      <c r="T692" s="987">
        <v>2021</v>
      </c>
    </row>
    <row r="693" spans="1:20" s="992" customFormat="1" ht="36" customHeight="1">
      <c r="A693" s="1271"/>
      <c r="B693" s="1273" t="s">
        <v>1651</v>
      </c>
      <c r="C693" s="1279"/>
      <c r="D693" s="1283"/>
      <c r="E693" s="1271"/>
      <c r="F693" s="1279"/>
      <c r="G693" s="1279"/>
      <c r="H693" s="985">
        <f>H694+H695</f>
        <v>1514.2</v>
      </c>
      <c r="I693" s="985">
        <f t="shared" ref="I693:Q693" si="243">I694+I695</f>
        <v>1363.3000000000002</v>
      </c>
      <c r="J693" s="985">
        <f t="shared" si="243"/>
        <v>1363.3000000000002</v>
      </c>
      <c r="K693" s="1064">
        <f t="shared" si="243"/>
        <v>38</v>
      </c>
      <c r="L693" s="985">
        <f t="shared" si="243"/>
        <v>2063504.2</v>
      </c>
      <c r="M693" s="985">
        <f t="shared" si="243"/>
        <v>0</v>
      </c>
      <c r="N693" s="985">
        <f t="shared" si="243"/>
        <v>0</v>
      </c>
      <c r="O693" s="985">
        <f t="shared" si="243"/>
        <v>2063504.2</v>
      </c>
      <c r="P693" s="985">
        <f t="shared" si="243"/>
        <v>0</v>
      </c>
      <c r="Q693" s="985">
        <f t="shared" si="243"/>
        <v>0</v>
      </c>
      <c r="R693" s="991" t="s">
        <v>40</v>
      </c>
      <c r="S693" s="991" t="s">
        <v>40</v>
      </c>
      <c r="T693" s="991" t="s">
        <v>40</v>
      </c>
    </row>
    <row r="694" spans="1:20" s="992" customFormat="1" ht="39.6" customHeight="1">
      <c r="A694" s="1271">
        <v>193</v>
      </c>
      <c r="B694" s="1273" t="s">
        <v>2109</v>
      </c>
      <c r="C694" s="1271">
        <v>1981</v>
      </c>
      <c r="D694" s="1279"/>
      <c r="E694" s="1271" t="s">
        <v>218</v>
      </c>
      <c r="F694" s="1279">
        <v>2</v>
      </c>
      <c r="G694" s="1279">
        <v>2</v>
      </c>
      <c r="H694" s="985">
        <v>953.1</v>
      </c>
      <c r="I694" s="985">
        <v>849.2</v>
      </c>
      <c r="J694" s="985">
        <v>849.2</v>
      </c>
      <c r="K694" s="1064">
        <v>26</v>
      </c>
      <c r="L694" s="986">
        <v>42596</v>
      </c>
      <c r="M694" s="986">
        <v>0</v>
      </c>
      <c r="N694" s="986">
        <v>0</v>
      </c>
      <c r="O694" s="986">
        <v>42596</v>
      </c>
      <c r="P694" s="993">
        <v>0</v>
      </c>
      <c r="Q694" s="986">
        <v>0</v>
      </c>
      <c r="R694" s="985">
        <f>L694/I694</f>
        <v>50.160150730098913</v>
      </c>
      <c r="S694" s="987">
        <v>2021</v>
      </c>
      <c r="T694" s="987">
        <v>2022</v>
      </c>
    </row>
    <row r="695" spans="1:20" s="992" customFormat="1" ht="39.6" customHeight="1">
      <c r="A695" s="1271">
        <v>194</v>
      </c>
      <c r="B695" s="1273" t="s">
        <v>2110</v>
      </c>
      <c r="C695" s="1271">
        <v>1967</v>
      </c>
      <c r="D695" s="1279"/>
      <c r="E695" s="1271" t="s">
        <v>218</v>
      </c>
      <c r="F695" s="1279">
        <v>2</v>
      </c>
      <c r="G695" s="1279">
        <v>2</v>
      </c>
      <c r="H695" s="985">
        <v>561.1</v>
      </c>
      <c r="I695" s="985">
        <v>514.1</v>
      </c>
      <c r="J695" s="985">
        <v>514.1</v>
      </c>
      <c r="K695" s="1064">
        <v>12</v>
      </c>
      <c r="L695" s="986">
        <v>2020908.2</v>
      </c>
      <c r="M695" s="986">
        <v>0</v>
      </c>
      <c r="N695" s="986">
        <v>0</v>
      </c>
      <c r="O695" s="986">
        <v>2020908.2</v>
      </c>
      <c r="P695" s="993">
        <v>0</v>
      </c>
      <c r="Q695" s="986">
        <v>0</v>
      </c>
      <c r="R695" s="985">
        <f>L695/I695</f>
        <v>3930.9632367243726</v>
      </c>
      <c r="S695" s="987">
        <v>2021</v>
      </c>
      <c r="T695" s="987">
        <v>2022</v>
      </c>
    </row>
    <row r="696" spans="1:20" s="992" customFormat="1" ht="36" customHeight="1">
      <c r="A696" s="1271"/>
      <c r="B696" s="1391" t="s">
        <v>1653</v>
      </c>
      <c r="C696" s="1391"/>
      <c r="D696" s="1391"/>
      <c r="E696" s="1391"/>
      <c r="F696" s="1391"/>
      <c r="G696" s="1391"/>
      <c r="H696" s="985">
        <f>H697+H698+H699</f>
        <v>1643.8000000000002</v>
      </c>
      <c r="I696" s="985">
        <f t="shared" ref="I696:Q696" si="244">I697+I698+I699</f>
        <v>1544</v>
      </c>
      <c r="J696" s="985">
        <f t="shared" si="244"/>
        <v>1544</v>
      </c>
      <c r="K696" s="1064">
        <f t="shared" si="244"/>
        <v>69</v>
      </c>
      <c r="L696" s="985">
        <f t="shared" si="244"/>
        <v>4281862</v>
      </c>
      <c r="M696" s="985">
        <f t="shared" si="244"/>
        <v>0</v>
      </c>
      <c r="N696" s="985">
        <f t="shared" si="244"/>
        <v>0</v>
      </c>
      <c r="O696" s="985">
        <f t="shared" si="244"/>
        <v>4281862</v>
      </c>
      <c r="P696" s="985">
        <f t="shared" si="244"/>
        <v>0</v>
      </c>
      <c r="Q696" s="985">
        <f t="shared" si="244"/>
        <v>0</v>
      </c>
      <c r="R696" s="991" t="s">
        <v>40</v>
      </c>
      <c r="S696" s="991" t="s">
        <v>40</v>
      </c>
      <c r="T696" s="991" t="s">
        <v>40</v>
      </c>
    </row>
    <row r="697" spans="1:20" s="992" customFormat="1" ht="40.9" customHeight="1">
      <c r="A697" s="1271">
        <v>195</v>
      </c>
      <c r="B697" s="1274" t="s">
        <v>2111</v>
      </c>
      <c r="C697" s="1271">
        <v>1965</v>
      </c>
      <c r="D697" s="1271"/>
      <c r="E697" s="1271" t="s">
        <v>218</v>
      </c>
      <c r="F697" s="1271">
        <v>2</v>
      </c>
      <c r="G697" s="1271">
        <v>3</v>
      </c>
      <c r="H697" s="985">
        <v>577.5</v>
      </c>
      <c r="I697" s="985">
        <v>577.5</v>
      </c>
      <c r="J697" s="985">
        <v>577.5</v>
      </c>
      <c r="K697" s="1064">
        <v>26</v>
      </c>
      <c r="L697" s="985">
        <v>1614456</v>
      </c>
      <c r="M697" s="985">
        <v>0</v>
      </c>
      <c r="N697" s="985">
        <v>0</v>
      </c>
      <c r="O697" s="985">
        <v>1614456</v>
      </c>
      <c r="P697" s="993">
        <v>0</v>
      </c>
      <c r="Q697" s="985">
        <v>0</v>
      </c>
      <c r="R697" s="991">
        <f>L697/I697</f>
        <v>2795.5948051948053</v>
      </c>
      <c r="S697" s="1064">
        <v>2021</v>
      </c>
      <c r="T697" s="1064">
        <v>2021</v>
      </c>
    </row>
    <row r="698" spans="1:20" s="992" customFormat="1" ht="45" customHeight="1">
      <c r="A698" s="1271">
        <v>196</v>
      </c>
      <c r="B698" s="1274" t="s">
        <v>2112</v>
      </c>
      <c r="C698" s="1271">
        <v>1969</v>
      </c>
      <c r="D698" s="1271"/>
      <c r="E698" s="1271" t="s">
        <v>218</v>
      </c>
      <c r="F698" s="1271">
        <v>2</v>
      </c>
      <c r="G698" s="1271">
        <v>2</v>
      </c>
      <c r="H698" s="985">
        <v>438.1</v>
      </c>
      <c r="I698" s="985">
        <v>388.1</v>
      </c>
      <c r="J698" s="985">
        <v>388.1</v>
      </c>
      <c r="K698" s="1064">
        <v>19</v>
      </c>
      <c r="L698" s="985">
        <v>1228611</v>
      </c>
      <c r="M698" s="985">
        <v>0</v>
      </c>
      <c r="N698" s="985">
        <v>0</v>
      </c>
      <c r="O698" s="985">
        <v>1228611</v>
      </c>
      <c r="P698" s="993">
        <v>0</v>
      </c>
      <c r="Q698" s="985">
        <v>0</v>
      </c>
      <c r="R698" s="991">
        <f>L698/I698</f>
        <v>3165.707291935068</v>
      </c>
      <c r="S698" s="1064">
        <v>2021</v>
      </c>
      <c r="T698" s="1064">
        <v>2021</v>
      </c>
    </row>
    <row r="699" spans="1:20" s="992" customFormat="1" ht="45" customHeight="1">
      <c r="A699" s="1271">
        <v>197</v>
      </c>
      <c r="B699" s="1063" t="s">
        <v>2913</v>
      </c>
      <c r="C699" s="1064">
        <v>1980</v>
      </c>
      <c r="D699" s="1064"/>
      <c r="E699" s="1271" t="s">
        <v>218</v>
      </c>
      <c r="F699" s="987">
        <v>2</v>
      </c>
      <c r="G699" s="987">
        <v>2</v>
      </c>
      <c r="H699" s="993">
        <v>628.20000000000005</v>
      </c>
      <c r="I699" s="993">
        <v>578.4</v>
      </c>
      <c r="J699" s="993">
        <v>578.4</v>
      </c>
      <c r="K699" s="987">
        <v>24</v>
      </c>
      <c r="L699" s="986">
        <v>1438795</v>
      </c>
      <c r="M699" s="986">
        <v>0</v>
      </c>
      <c r="N699" s="986">
        <v>0</v>
      </c>
      <c r="O699" s="986">
        <v>1438795</v>
      </c>
      <c r="P699" s="993">
        <v>0</v>
      </c>
      <c r="Q699" s="986">
        <v>0</v>
      </c>
      <c r="R699" s="993">
        <f>L699/I699</f>
        <v>2487.543222683264</v>
      </c>
      <c r="S699" s="1064">
        <v>2021</v>
      </c>
      <c r="T699" s="1064">
        <v>2021</v>
      </c>
    </row>
    <row r="700" spans="1:20" s="992" customFormat="1" ht="48.75" customHeight="1">
      <c r="A700" s="1271"/>
      <c r="B700" s="1398" t="s">
        <v>2704</v>
      </c>
      <c r="C700" s="1398"/>
      <c r="D700" s="1398"/>
      <c r="E700" s="1398"/>
      <c r="F700" s="1398"/>
      <c r="G700" s="1398"/>
      <c r="H700" s="993">
        <f>H701+H707</f>
        <v>4177.3</v>
      </c>
      <c r="I700" s="993">
        <f t="shared" ref="I700:Q700" si="245">I701+I707</f>
        <v>3529.1</v>
      </c>
      <c r="J700" s="993">
        <f t="shared" si="245"/>
        <v>3529.1</v>
      </c>
      <c r="K700" s="987">
        <f t="shared" si="245"/>
        <v>149</v>
      </c>
      <c r="L700" s="993">
        <f t="shared" si="245"/>
        <v>12291643.199999999</v>
      </c>
      <c r="M700" s="993">
        <f t="shared" si="245"/>
        <v>0</v>
      </c>
      <c r="N700" s="993">
        <f t="shared" si="245"/>
        <v>0</v>
      </c>
      <c r="O700" s="993">
        <f t="shared" si="245"/>
        <v>12291643.199999999</v>
      </c>
      <c r="P700" s="993">
        <f t="shared" si="245"/>
        <v>0</v>
      </c>
      <c r="Q700" s="993">
        <f t="shared" si="245"/>
        <v>0</v>
      </c>
      <c r="R700" s="991" t="s">
        <v>40</v>
      </c>
      <c r="S700" s="991" t="s">
        <v>40</v>
      </c>
      <c r="T700" s="991" t="s">
        <v>40</v>
      </c>
    </row>
    <row r="701" spans="1:20" s="992" customFormat="1" ht="45" customHeight="1">
      <c r="A701" s="1271"/>
      <c r="B701" s="1391" t="s">
        <v>1077</v>
      </c>
      <c r="C701" s="1391"/>
      <c r="D701" s="1391"/>
      <c r="E701" s="1391"/>
      <c r="F701" s="1391"/>
      <c r="G701" s="1391"/>
      <c r="H701" s="1035">
        <f>SUM(H702:H706)</f>
        <v>3624.4000000000005</v>
      </c>
      <c r="I701" s="1035">
        <f t="shared" ref="I701:Q701" si="246">SUM(I702:I706)</f>
        <v>3218.2999999999997</v>
      </c>
      <c r="J701" s="1035">
        <f t="shared" si="246"/>
        <v>3218.2999999999997</v>
      </c>
      <c r="K701" s="1064">
        <f t="shared" si="246"/>
        <v>129</v>
      </c>
      <c r="L701" s="1035">
        <f t="shared" si="246"/>
        <v>10300664.91</v>
      </c>
      <c r="M701" s="1035">
        <f t="shared" si="246"/>
        <v>0</v>
      </c>
      <c r="N701" s="1035">
        <f t="shared" si="246"/>
        <v>0</v>
      </c>
      <c r="O701" s="1035">
        <f t="shared" si="246"/>
        <v>10300664.91</v>
      </c>
      <c r="P701" s="1035">
        <f t="shared" si="246"/>
        <v>0</v>
      </c>
      <c r="Q701" s="1035">
        <f t="shared" si="246"/>
        <v>0</v>
      </c>
      <c r="R701" s="991" t="s">
        <v>40</v>
      </c>
      <c r="S701" s="991" t="s">
        <v>40</v>
      </c>
      <c r="T701" s="991" t="s">
        <v>40</v>
      </c>
    </row>
    <row r="702" spans="1:20" s="992" customFormat="1" ht="45" customHeight="1">
      <c r="A702" s="1031">
        <v>198</v>
      </c>
      <c r="B702" s="1041" t="s">
        <v>1224</v>
      </c>
      <c r="C702" s="1032">
        <v>1964</v>
      </c>
      <c r="D702" s="1032"/>
      <c r="E702" s="1271" t="s">
        <v>218</v>
      </c>
      <c r="F702" s="1032">
        <v>2</v>
      </c>
      <c r="G702" s="1032">
        <v>2</v>
      </c>
      <c r="H702" s="1037">
        <v>671.7</v>
      </c>
      <c r="I702" s="1037">
        <v>620.5</v>
      </c>
      <c r="J702" s="1037">
        <v>620.5</v>
      </c>
      <c r="K702" s="1068">
        <v>22</v>
      </c>
      <c r="L702" s="1037">
        <v>2520600.75</v>
      </c>
      <c r="M702" s="1037">
        <v>0</v>
      </c>
      <c r="N702" s="1037">
        <v>0</v>
      </c>
      <c r="O702" s="1037">
        <v>2520600.75</v>
      </c>
      <c r="P702" s="1037">
        <v>0</v>
      </c>
      <c r="Q702" s="1037">
        <v>0</v>
      </c>
      <c r="R702" s="1024">
        <f>L702/I702</f>
        <v>4062.2091055600322</v>
      </c>
      <c r="S702" s="1011">
        <v>2021</v>
      </c>
      <c r="T702" s="1011">
        <v>2021</v>
      </c>
    </row>
    <row r="703" spans="1:20" s="992" customFormat="1" ht="36.6" customHeight="1">
      <c r="A703" s="1271">
        <v>199</v>
      </c>
      <c r="B703" s="1041" t="s">
        <v>1225</v>
      </c>
      <c r="C703" s="1032">
        <v>1958</v>
      </c>
      <c r="D703" s="1032"/>
      <c r="E703" s="1271" t="s">
        <v>218</v>
      </c>
      <c r="F703" s="1032">
        <v>2</v>
      </c>
      <c r="G703" s="1032">
        <v>2</v>
      </c>
      <c r="H703" s="1037">
        <v>732.2</v>
      </c>
      <c r="I703" s="1037">
        <v>673</v>
      </c>
      <c r="J703" s="1037">
        <v>673</v>
      </c>
      <c r="K703" s="1068">
        <v>28</v>
      </c>
      <c r="L703" s="1037">
        <v>2054454</v>
      </c>
      <c r="M703" s="1037">
        <v>0</v>
      </c>
      <c r="N703" s="1037">
        <v>0</v>
      </c>
      <c r="O703" s="1037">
        <v>2054454</v>
      </c>
      <c r="P703" s="1037">
        <v>0</v>
      </c>
      <c r="Q703" s="1037">
        <v>0</v>
      </c>
      <c r="R703" s="1024">
        <f>L703/I703</f>
        <v>3052.6805349182764</v>
      </c>
      <c r="S703" s="1011">
        <v>2021</v>
      </c>
      <c r="T703" s="1011">
        <v>2021</v>
      </c>
    </row>
    <row r="704" spans="1:20" s="992" customFormat="1" ht="40.15" customHeight="1">
      <c r="A704" s="1031">
        <v>200</v>
      </c>
      <c r="B704" s="1041" t="s">
        <v>1226</v>
      </c>
      <c r="C704" s="1032">
        <v>1964</v>
      </c>
      <c r="D704" s="1032"/>
      <c r="E704" s="1271" t="s">
        <v>218</v>
      </c>
      <c r="F704" s="1032">
        <v>2</v>
      </c>
      <c r="G704" s="1032">
        <v>1</v>
      </c>
      <c r="H704" s="1037">
        <v>504.2</v>
      </c>
      <c r="I704" s="1037">
        <v>445.8</v>
      </c>
      <c r="J704" s="1037">
        <v>445.8</v>
      </c>
      <c r="K704" s="1068">
        <v>17</v>
      </c>
      <c r="L704" s="1037">
        <v>1499379</v>
      </c>
      <c r="M704" s="1037">
        <v>0</v>
      </c>
      <c r="N704" s="1037">
        <v>0</v>
      </c>
      <c r="O704" s="1037">
        <v>1499379</v>
      </c>
      <c r="P704" s="1037">
        <v>0</v>
      </c>
      <c r="Q704" s="1037">
        <v>0</v>
      </c>
      <c r="R704" s="1024">
        <f>L704/I704</f>
        <v>3363.3445491251682</v>
      </c>
      <c r="S704" s="1011">
        <v>2021</v>
      </c>
      <c r="T704" s="1011">
        <v>2021</v>
      </c>
    </row>
    <row r="705" spans="1:20" s="992" customFormat="1" ht="45" customHeight="1">
      <c r="A705" s="1271">
        <v>201</v>
      </c>
      <c r="B705" s="1041" t="s">
        <v>1227</v>
      </c>
      <c r="C705" s="1032">
        <v>1972</v>
      </c>
      <c r="D705" s="1032"/>
      <c r="E705" s="1271" t="s">
        <v>218</v>
      </c>
      <c r="F705" s="1032">
        <v>2</v>
      </c>
      <c r="G705" s="1032">
        <v>1</v>
      </c>
      <c r="H705" s="1037">
        <v>926</v>
      </c>
      <c r="I705" s="1037">
        <v>788.4</v>
      </c>
      <c r="J705" s="1037">
        <v>788.4</v>
      </c>
      <c r="K705" s="1068">
        <v>41</v>
      </c>
      <c r="L705" s="1037">
        <v>1774387.33</v>
      </c>
      <c r="M705" s="1037">
        <v>0</v>
      </c>
      <c r="N705" s="1037">
        <v>0</v>
      </c>
      <c r="O705" s="1037">
        <v>1774387.33</v>
      </c>
      <c r="P705" s="1037">
        <v>0</v>
      </c>
      <c r="Q705" s="1037">
        <v>0</v>
      </c>
      <c r="R705" s="1024">
        <f>L705/I705</f>
        <v>2250.618125317098</v>
      </c>
      <c r="S705" s="1011">
        <v>2021</v>
      </c>
      <c r="T705" s="1011">
        <v>2021</v>
      </c>
    </row>
    <row r="706" spans="1:20" s="992" customFormat="1" ht="41.45" customHeight="1">
      <c r="A706" s="1031">
        <v>202</v>
      </c>
      <c r="B706" s="1041" t="s">
        <v>1228</v>
      </c>
      <c r="C706" s="1032">
        <v>1968</v>
      </c>
      <c r="D706" s="1032"/>
      <c r="E706" s="1271" t="s">
        <v>218</v>
      </c>
      <c r="F706" s="1032">
        <v>2</v>
      </c>
      <c r="G706" s="1032">
        <v>2</v>
      </c>
      <c r="H706" s="1037">
        <v>790.3</v>
      </c>
      <c r="I706" s="1037">
        <v>690.6</v>
      </c>
      <c r="J706" s="1037">
        <v>690.6</v>
      </c>
      <c r="K706" s="1068">
        <v>21</v>
      </c>
      <c r="L706" s="1037">
        <v>2451843.83</v>
      </c>
      <c r="M706" s="1037">
        <v>0</v>
      </c>
      <c r="N706" s="1037">
        <v>0</v>
      </c>
      <c r="O706" s="1037">
        <v>2451843.83</v>
      </c>
      <c r="P706" s="1037">
        <v>0</v>
      </c>
      <c r="Q706" s="1037">
        <v>0</v>
      </c>
      <c r="R706" s="1024">
        <f>L706/I706</f>
        <v>3550.3096293078484</v>
      </c>
      <c r="S706" s="1011">
        <v>2021</v>
      </c>
      <c r="T706" s="1011">
        <v>2021</v>
      </c>
    </row>
    <row r="707" spans="1:20" s="992" customFormat="1" ht="36.6" customHeight="1">
      <c r="A707" s="1271"/>
      <c r="B707" s="1393" t="s">
        <v>1267</v>
      </c>
      <c r="C707" s="1391"/>
      <c r="D707" s="1391"/>
      <c r="E707" s="1391"/>
      <c r="F707" s="1391"/>
      <c r="G707" s="1391"/>
      <c r="H707" s="1059">
        <f>H708</f>
        <v>552.9</v>
      </c>
      <c r="I707" s="1059">
        <f t="shared" ref="I707:Q707" si="247">I708</f>
        <v>310.8</v>
      </c>
      <c r="J707" s="1059">
        <f t="shared" si="247"/>
        <v>310.8</v>
      </c>
      <c r="K707" s="1266">
        <f t="shared" si="247"/>
        <v>20</v>
      </c>
      <c r="L707" s="1059">
        <f t="shared" si="247"/>
        <v>1990978.29</v>
      </c>
      <c r="M707" s="1059">
        <f t="shared" si="247"/>
        <v>0</v>
      </c>
      <c r="N707" s="1059">
        <f t="shared" si="247"/>
        <v>0</v>
      </c>
      <c r="O707" s="1059">
        <f t="shared" si="247"/>
        <v>1990978.29</v>
      </c>
      <c r="P707" s="1059">
        <f t="shared" si="247"/>
        <v>0</v>
      </c>
      <c r="Q707" s="1059">
        <f t="shared" si="247"/>
        <v>0</v>
      </c>
      <c r="R707" s="991" t="s">
        <v>40</v>
      </c>
      <c r="S707" s="991" t="s">
        <v>40</v>
      </c>
      <c r="T707" s="991" t="s">
        <v>40</v>
      </c>
    </row>
    <row r="708" spans="1:20" s="992" customFormat="1" ht="36.6" customHeight="1">
      <c r="A708" s="1271">
        <v>203</v>
      </c>
      <c r="B708" s="1274" t="s">
        <v>890</v>
      </c>
      <c r="C708" s="1279">
        <v>1964</v>
      </c>
      <c r="D708" s="1273"/>
      <c r="E708" s="1271" t="s">
        <v>218</v>
      </c>
      <c r="F708" s="1279">
        <v>2</v>
      </c>
      <c r="G708" s="1279">
        <v>3</v>
      </c>
      <c r="H708" s="1059">
        <v>552.9</v>
      </c>
      <c r="I708" s="1037">
        <v>310.8</v>
      </c>
      <c r="J708" s="1037">
        <v>310.8</v>
      </c>
      <c r="K708" s="1068">
        <v>20</v>
      </c>
      <c r="L708" s="1037">
        <v>1990978.29</v>
      </c>
      <c r="M708" s="1024">
        <v>0</v>
      </c>
      <c r="N708" s="1024">
        <v>0</v>
      </c>
      <c r="O708" s="1037">
        <v>1990978.29</v>
      </c>
      <c r="P708" s="1024">
        <v>0</v>
      </c>
      <c r="Q708" s="1024">
        <v>0</v>
      </c>
      <c r="R708" s="1024">
        <f t="shared" ref="R708" si="248">L708/I708</f>
        <v>6405.9790540540544</v>
      </c>
      <c r="S708" s="1032">
        <v>2021</v>
      </c>
      <c r="T708" s="1032">
        <v>2022</v>
      </c>
    </row>
    <row r="709" spans="1:20" s="992" customFormat="1" ht="36.6" customHeight="1">
      <c r="A709" s="1271"/>
      <c r="B709" s="1063" t="s">
        <v>1987</v>
      </c>
      <c r="C709" s="1064"/>
      <c r="D709" s="1065"/>
      <c r="E709" s="1271"/>
      <c r="F709" s="987"/>
      <c r="G709" s="987"/>
      <c r="H709" s="993">
        <f>H710</f>
        <v>479.7</v>
      </c>
      <c r="I709" s="993">
        <f t="shared" ref="I709:Q709" si="249">I710</f>
        <v>443.6</v>
      </c>
      <c r="J709" s="993">
        <f t="shared" si="249"/>
        <v>443.6</v>
      </c>
      <c r="K709" s="987">
        <f t="shared" si="249"/>
        <v>11</v>
      </c>
      <c r="L709" s="993">
        <f t="shared" si="249"/>
        <v>1918583.73</v>
      </c>
      <c r="M709" s="993">
        <f t="shared" si="249"/>
        <v>0</v>
      </c>
      <c r="N709" s="993">
        <f t="shared" si="249"/>
        <v>0</v>
      </c>
      <c r="O709" s="993">
        <f t="shared" si="249"/>
        <v>1918583.73</v>
      </c>
      <c r="P709" s="993">
        <f t="shared" si="249"/>
        <v>0</v>
      </c>
      <c r="Q709" s="993">
        <f t="shared" si="249"/>
        <v>0</v>
      </c>
      <c r="R709" s="991" t="s">
        <v>40</v>
      </c>
      <c r="S709" s="991" t="s">
        <v>40</v>
      </c>
      <c r="T709" s="991" t="s">
        <v>40</v>
      </c>
    </row>
    <row r="710" spans="1:20" s="992" customFormat="1" ht="36.6" customHeight="1">
      <c r="A710" s="1271"/>
      <c r="B710" s="1391" t="s">
        <v>2028</v>
      </c>
      <c r="C710" s="1391"/>
      <c r="D710" s="1391"/>
      <c r="E710" s="1391"/>
      <c r="F710" s="1391"/>
      <c r="G710" s="1391"/>
      <c r="H710" s="993">
        <f>H711</f>
        <v>479.7</v>
      </c>
      <c r="I710" s="993">
        <f t="shared" ref="I710:Q710" si="250">I711</f>
        <v>443.6</v>
      </c>
      <c r="J710" s="993">
        <f t="shared" si="250"/>
        <v>443.6</v>
      </c>
      <c r="K710" s="987">
        <f t="shared" si="250"/>
        <v>11</v>
      </c>
      <c r="L710" s="993">
        <f t="shared" si="250"/>
        <v>1918583.73</v>
      </c>
      <c r="M710" s="993">
        <f t="shared" si="250"/>
        <v>0</v>
      </c>
      <c r="N710" s="993">
        <f t="shared" si="250"/>
        <v>0</v>
      </c>
      <c r="O710" s="993">
        <f t="shared" si="250"/>
        <v>1918583.73</v>
      </c>
      <c r="P710" s="993">
        <f t="shared" si="250"/>
        <v>0</v>
      </c>
      <c r="Q710" s="993">
        <f t="shared" si="250"/>
        <v>0</v>
      </c>
      <c r="R710" s="991" t="s">
        <v>40</v>
      </c>
      <c r="S710" s="991" t="s">
        <v>40</v>
      </c>
      <c r="T710" s="991" t="s">
        <v>40</v>
      </c>
    </row>
    <row r="711" spans="1:20" s="992" customFormat="1" ht="36.6" customHeight="1">
      <c r="A711" s="1271">
        <v>204</v>
      </c>
      <c r="B711" s="1063" t="s">
        <v>1208</v>
      </c>
      <c r="C711" s="1064">
        <v>1973</v>
      </c>
      <c r="D711" s="1064"/>
      <c r="E711" s="1271" t="s">
        <v>222</v>
      </c>
      <c r="F711" s="987">
        <v>2</v>
      </c>
      <c r="G711" s="987">
        <v>2</v>
      </c>
      <c r="H711" s="993">
        <v>479.7</v>
      </c>
      <c r="I711" s="993">
        <v>443.6</v>
      </c>
      <c r="J711" s="993">
        <v>443.6</v>
      </c>
      <c r="K711" s="987">
        <v>11</v>
      </c>
      <c r="L711" s="986">
        <v>1918583.73</v>
      </c>
      <c r="M711" s="986">
        <v>0</v>
      </c>
      <c r="N711" s="986">
        <v>0</v>
      </c>
      <c r="O711" s="986">
        <v>1918583.73</v>
      </c>
      <c r="P711" s="993">
        <v>0</v>
      </c>
      <c r="Q711" s="986">
        <v>0</v>
      </c>
      <c r="R711" s="993">
        <f>L711/I711</f>
        <v>4325.0309513074835</v>
      </c>
      <c r="S711" s="1064">
        <v>2021</v>
      </c>
      <c r="T711" s="1064">
        <v>2022</v>
      </c>
    </row>
    <row r="712" spans="1:20" s="992" customFormat="1" ht="36.6" customHeight="1">
      <c r="A712" s="1271"/>
      <c r="B712" s="1391" t="s">
        <v>66</v>
      </c>
      <c r="C712" s="1391"/>
      <c r="D712" s="1391"/>
      <c r="E712" s="1391"/>
      <c r="F712" s="1391"/>
      <c r="G712" s="1391"/>
      <c r="H712" s="985">
        <f>H713</f>
        <v>501.4</v>
      </c>
      <c r="I712" s="985">
        <f t="shared" ref="I712:Q713" si="251">I713</f>
        <v>451.8</v>
      </c>
      <c r="J712" s="985">
        <f t="shared" si="251"/>
        <v>412.3</v>
      </c>
      <c r="K712" s="1064">
        <f t="shared" si="251"/>
        <v>13</v>
      </c>
      <c r="L712" s="985">
        <f t="shared" si="251"/>
        <v>1523071</v>
      </c>
      <c r="M712" s="985">
        <f t="shared" si="251"/>
        <v>0</v>
      </c>
      <c r="N712" s="985">
        <f t="shared" si="251"/>
        <v>0</v>
      </c>
      <c r="O712" s="985">
        <f t="shared" si="251"/>
        <v>1523071</v>
      </c>
      <c r="P712" s="985">
        <f t="shared" si="251"/>
        <v>0</v>
      </c>
      <c r="Q712" s="985">
        <f t="shared" si="251"/>
        <v>0</v>
      </c>
      <c r="R712" s="991" t="s">
        <v>40</v>
      </c>
      <c r="S712" s="991" t="s">
        <v>40</v>
      </c>
      <c r="T712" s="991" t="s">
        <v>40</v>
      </c>
    </row>
    <row r="713" spans="1:20" s="992" customFormat="1" ht="36.6" customHeight="1">
      <c r="A713" s="1271"/>
      <c r="B713" s="1391" t="s">
        <v>1081</v>
      </c>
      <c r="C713" s="1391"/>
      <c r="D713" s="1391"/>
      <c r="E713" s="1391"/>
      <c r="F713" s="1391"/>
      <c r="G713" s="1391"/>
      <c r="H713" s="985">
        <f>H714</f>
        <v>501.4</v>
      </c>
      <c r="I713" s="985">
        <f t="shared" si="251"/>
        <v>451.8</v>
      </c>
      <c r="J713" s="985">
        <f t="shared" si="251"/>
        <v>412.3</v>
      </c>
      <c r="K713" s="1064">
        <f t="shared" si="251"/>
        <v>13</v>
      </c>
      <c r="L713" s="985">
        <f t="shared" si="251"/>
        <v>1523071</v>
      </c>
      <c r="M713" s="985">
        <f t="shared" si="251"/>
        <v>0</v>
      </c>
      <c r="N713" s="985">
        <f t="shared" si="251"/>
        <v>0</v>
      </c>
      <c r="O713" s="985">
        <f t="shared" si="251"/>
        <v>1523071</v>
      </c>
      <c r="P713" s="985">
        <f t="shared" si="251"/>
        <v>0</v>
      </c>
      <c r="Q713" s="985">
        <f t="shared" si="251"/>
        <v>0</v>
      </c>
      <c r="R713" s="991" t="s">
        <v>40</v>
      </c>
      <c r="S713" s="991" t="s">
        <v>40</v>
      </c>
      <c r="T713" s="991" t="s">
        <v>40</v>
      </c>
    </row>
    <row r="714" spans="1:20" s="992" customFormat="1" ht="42.6" customHeight="1">
      <c r="A714" s="1271">
        <v>205</v>
      </c>
      <c r="B714" s="1273" t="s">
        <v>1198</v>
      </c>
      <c r="C714" s="1273">
        <v>1964</v>
      </c>
      <c r="D714" s="1273"/>
      <c r="E714" s="1271" t="s">
        <v>218</v>
      </c>
      <c r="F714" s="1273">
        <v>2</v>
      </c>
      <c r="G714" s="1273">
        <v>2</v>
      </c>
      <c r="H714" s="985">
        <v>501.4</v>
      </c>
      <c r="I714" s="985">
        <v>451.8</v>
      </c>
      <c r="J714" s="985">
        <v>412.3</v>
      </c>
      <c r="K714" s="1064">
        <v>13</v>
      </c>
      <c r="L714" s="985">
        <v>1523071</v>
      </c>
      <c r="M714" s="985">
        <v>0</v>
      </c>
      <c r="N714" s="985">
        <v>0</v>
      </c>
      <c r="O714" s="985">
        <v>1523071</v>
      </c>
      <c r="P714" s="985">
        <v>0</v>
      </c>
      <c r="Q714" s="985">
        <v>0</v>
      </c>
      <c r="R714" s="985">
        <f>L714/I714</f>
        <v>3371.1177512173526</v>
      </c>
      <c r="S714" s="987">
        <v>2021</v>
      </c>
      <c r="T714" s="987">
        <v>2021</v>
      </c>
    </row>
    <row r="715" spans="1:20" s="992" customFormat="1" ht="36.6" customHeight="1">
      <c r="A715" s="1271"/>
      <c r="B715" s="1391" t="s">
        <v>1122</v>
      </c>
      <c r="C715" s="1391"/>
      <c r="D715" s="1391"/>
      <c r="E715" s="1391"/>
      <c r="F715" s="1391"/>
      <c r="G715" s="1391"/>
      <c r="H715" s="985">
        <f>H716+H717+H718+H719</f>
        <v>23746.32</v>
      </c>
      <c r="I715" s="985">
        <f t="shared" ref="I715:Q715" si="252">I716+I717+I718+I719</f>
        <v>19144.660000000003</v>
      </c>
      <c r="J715" s="985">
        <f t="shared" si="252"/>
        <v>17992.920000000002</v>
      </c>
      <c r="K715" s="1064">
        <f t="shared" si="252"/>
        <v>879</v>
      </c>
      <c r="L715" s="985">
        <f t="shared" si="252"/>
        <v>33565442</v>
      </c>
      <c r="M715" s="985">
        <f t="shared" si="252"/>
        <v>0</v>
      </c>
      <c r="N715" s="985">
        <f t="shared" si="252"/>
        <v>0</v>
      </c>
      <c r="O715" s="985">
        <f t="shared" si="252"/>
        <v>33565442</v>
      </c>
      <c r="P715" s="985">
        <f t="shared" si="252"/>
        <v>0</v>
      </c>
      <c r="Q715" s="985">
        <f t="shared" si="252"/>
        <v>0</v>
      </c>
      <c r="R715" s="991" t="s">
        <v>40</v>
      </c>
      <c r="S715" s="991" t="s">
        <v>40</v>
      </c>
      <c r="T715" s="991" t="s">
        <v>40</v>
      </c>
    </row>
    <row r="716" spans="1:20" s="992" customFormat="1" ht="43.9" customHeight="1">
      <c r="A716" s="1032">
        <v>206</v>
      </c>
      <c r="B716" s="1039" t="s">
        <v>2113</v>
      </c>
      <c r="C716" s="1032">
        <v>1982</v>
      </c>
      <c r="D716" s="1066"/>
      <c r="E716" s="1271" t="s">
        <v>218</v>
      </c>
      <c r="F716" s="1032">
        <v>9</v>
      </c>
      <c r="G716" s="1032">
        <v>2</v>
      </c>
      <c r="H716" s="1037">
        <v>5734.6</v>
      </c>
      <c r="I716" s="1037">
        <v>3409.24</v>
      </c>
      <c r="J716" s="1037">
        <v>2296.4</v>
      </c>
      <c r="K716" s="1266">
        <v>204</v>
      </c>
      <c r="L716" s="1037">
        <v>14135381</v>
      </c>
      <c r="M716" s="1059">
        <v>0</v>
      </c>
      <c r="N716" s="1059">
        <v>0</v>
      </c>
      <c r="O716" s="1037">
        <f t="shared" ref="O716" si="253">L716</f>
        <v>14135381</v>
      </c>
      <c r="P716" s="1059">
        <v>0</v>
      </c>
      <c r="Q716" s="1059">
        <v>0</v>
      </c>
      <c r="R716" s="1037">
        <f t="shared" ref="R716" si="254">L716/I716</f>
        <v>4146.1970996468426</v>
      </c>
      <c r="S716" s="987">
        <v>2021</v>
      </c>
      <c r="T716" s="987">
        <v>2021</v>
      </c>
    </row>
    <row r="717" spans="1:20" s="992" customFormat="1" ht="36.6" customHeight="1">
      <c r="A717" s="1032">
        <v>207</v>
      </c>
      <c r="B717" s="1039" t="s">
        <v>2114</v>
      </c>
      <c r="C717" s="1032">
        <v>1984</v>
      </c>
      <c r="D717" s="1066"/>
      <c r="E717" s="1271" t="s">
        <v>219</v>
      </c>
      <c r="F717" s="1032">
        <v>9</v>
      </c>
      <c r="G717" s="1032">
        <v>4</v>
      </c>
      <c r="H717" s="1037">
        <v>8464.92</v>
      </c>
      <c r="I717" s="1037">
        <v>7406.52</v>
      </c>
      <c r="J717" s="1037">
        <v>7406.52</v>
      </c>
      <c r="K717" s="1266">
        <v>318</v>
      </c>
      <c r="L717" s="1037">
        <v>9726097</v>
      </c>
      <c r="M717" s="1059">
        <v>0</v>
      </c>
      <c r="N717" s="1059">
        <v>0</v>
      </c>
      <c r="O717" s="1037">
        <f>L717</f>
        <v>9726097</v>
      </c>
      <c r="P717" s="1059">
        <v>0</v>
      </c>
      <c r="Q717" s="1059">
        <v>0</v>
      </c>
      <c r="R717" s="1037">
        <f>L717/I717</f>
        <v>1313.1804140135987</v>
      </c>
      <c r="S717" s="987">
        <v>2021</v>
      </c>
      <c r="T717" s="987">
        <v>2021</v>
      </c>
    </row>
    <row r="718" spans="1:20" s="992" customFormat="1" ht="38.450000000000003" customHeight="1">
      <c r="A718" s="1032">
        <v>208</v>
      </c>
      <c r="B718" s="1040" t="s">
        <v>2914</v>
      </c>
      <c r="C718" s="1032">
        <v>1992</v>
      </c>
      <c r="D718" s="1066"/>
      <c r="E718" s="1271" t="s">
        <v>219</v>
      </c>
      <c r="F718" s="1032">
        <v>5</v>
      </c>
      <c r="G718" s="1032">
        <v>8</v>
      </c>
      <c r="H718" s="1037">
        <v>7003.4</v>
      </c>
      <c r="I718" s="1037">
        <v>6128.5</v>
      </c>
      <c r="J718" s="1037">
        <v>6089.6</v>
      </c>
      <c r="K718" s="1266">
        <v>253</v>
      </c>
      <c r="L718" s="1037">
        <v>7272440</v>
      </c>
      <c r="M718" s="1059">
        <v>0</v>
      </c>
      <c r="N718" s="1059">
        <v>0</v>
      </c>
      <c r="O718" s="1037">
        <f>L718</f>
        <v>7272440</v>
      </c>
      <c r="P718" s="1059">
        <v>0</v>
      </c>
      <c r="Q718" s="1059">
        <v>0</v>
      </c>
      <c r="R718" s="1037">
        <f>L718/I718</f>
        <v>1186.6590519703027</v>
      </c>
      <c r="S718" s="987">
        <v>2021</v>
      </c>
      <c r="T718" s="987">
        <v>2021</v>
      </c>
    </row>
    <row r="719" spans="1:20" s="992" customFormat="1" ht="39.6" customHeight="1">
      <c r="A719" s="1032">
        <v>209</v>
      </c>
      <c r="B719" s="1040" t="s">
        <v>2115</v>
      </c>
      <c r="C719" s="1032">
        <v>1983</v>
      </c>
      <c r="D719" s="1066"/>
      <c r="E719" s="1271" t="s">
        <v>219</v>
      </c>
      <c r="F719" s="1032">
        <v>9</v>
      </c>
      <c r="G719" s="1032">
        <v>1</v>
      </c>
      <c r="H719" s="1037">
        <v>2543.4</v>
      </c>
      <c r="I719" s="1037">
        <v>2200.4</v>
      </c>
      <c r="J719" s="1037">
        <v>2200.4</v>
      </c>
      <c r="K719" s="1266">
        <v>104</v>
      </c>
      <c r="L719" s="1037">
        <v>2431524</v>
      </c>
      <c r="M719" s="1059">
        <v>0</v>
      </c>
      <c r="N719" s="1059">
        <v>0</v>
      </c>
      <c r="O719" s="1037">
        <f>L719</f>
        <v>2431524</v>
      </c>
      <c r="P719" s="1059">
        <v>0</v>
      </c>
      <c r="Q719" s="1059">
        <v>0</v>
      </c>
      <c r="R719" s="1037">
        <f>L719/I719</f>
        <v>1105.0372659516452</v>
      </c>
      <c r="S719" s="987">
        <v>2021</v>
      </c>
      <c r="T719" s="987">
        <v>2021</v>
      </c>
    </row>
    <row r="720" spans="1:20" s="992" customFormat="1" ht="36.6" customHeight="1">
      <c r="A720" s="1271"/>
      <c r="B720" s="1391" t="s">
        <v>67</v>
      </c>
      <c r="C720" s="1391"/>
      <c r="D720" s="1391"/>
      <c r="E720" s="1391"/>
      <c r="F720" s="1391"/>
      <c r="G720" s="1391"/>
      <c r="H720" s="985">
        <f>H721</f>
        <v>3529</v>
      </c>
      <c r="I720" s="985">
        <f t="shared" ref="I720:Q721" si="255">I721</f>
        <v>3529</v>
      </c>
      <c r="J720" s="985">
        <f t="shared" si="255"/>
        <v>3160</v>
      </c>
      <c r="K720" s="1064">
        <f t="shared" si="255"/>
        <v>99</v>
      </c>
      <c r="L720" s="985">
        <f t="shared" si="255"/>
        <v>2483859</v>
      </c>
      <c r="M720" s="985">
        <f t="shared" si="255"/>
        <v>0</v>
      </c>
      <c r="N720" s="985">
        <f t="shared" si="255"/>
        <v>0</v>
      </c>
      <c r="O720" s="985">
        <f t="shared" si="255"/>
        <v>2483859</v>
      </c>
      <c r="P720" s="985">
        <f t="shared" si="255"/>
        <v>0</v>
      </c>
      <c r="Q720" s="985">
        <f t="shared" si="255"/>
        <v>0</v>
      </c>
      <c r="R720" s="991" t="s">
        <v>40</v>
      </c>
      <c r="S720" s="991" t="s">
        <v>40</v>
      </c>
      <c r="T720" s="991" t="s">
        <v>40</v>
      </c>
    </row>
    <row r="721" spans="1:20" s="992" customFormat="1" ht="45" customHeight="1">
      <c r="A721" s="1271"/>
      <c r="B721" s="1276" t="s">
        <v>1233</v>
      </c>
      <c r="C721" s="1279"/>
      <c r="D721" s="1283"/>
      <c r="E721" s="1271"/>
      <c r="F721" s="1279"/>
      <c r="G721" s="1279"/>
      <c r="H721" s="985">
        <f>H722</f>
        <v>3529</v>
      </c>
      <c r="I721" s="985">
        <f t="shared" si="255"/>
        <v>3529</v>
      </c>
      <c r="J721" s="985">
        <f t="shared" si="255"/>
        <v>3160</v>
      </c>
      <c r="K721" s="1064">
        <f t="shared" si="255"/>
        <v>99</v>
      </c>
      <c r="L721" s="985">
        <f t="shared" si="255"/>
        <v>2483859</v>
      </c>
      <c r="M721" s="985">
        <f t="shared" si="255"/>
        <v>0</v>
      </c>
      <c r="N721" s="985">
        <f t="shared" si="255"/>
        <v>0</v>
      </c>
      <c r="O721" s="985">
        <f t="shared" si="255"/>
        <v>2483859</v>
      </c>
      <c r="P721" s="985">
        <f t="shared" si="255"/>
        <v>0</v>
      </c>
      <c r="Q721" s="985">
        <f t="shared" si="255"/>
        <v>0</v>
      </c>
      <c r="R721" s="991" t="s">
        <v>40</v>
      </c>
      <c r="S721" s="991" t="s">
        <v>40</v>
      </c>
      <c r="T721" s="991" t="s">
        <v>40</v>
      </c>
    </row>
    <row r="722" spans="1:20" s="992" customFormat="1" ht="69" customHeight="1">
      <c r="A722" s="1271">
        <v>210</v>
      </c>
      <c r="B722" s="1274" t="s">
        <v>2915</v>
      </c>
      <c r="C722" s="1273">
        <v>1990</v>
      </c>
      <c r="D722" s="1273"/>
      <c r="E722" s="1271" t="s">
        <v>219</v>
      </c>
      <c r="F722" s="1279">
        <v>5</v>
      </c>
      <c r="G722" s="1279">
        <v>4</v>
      </c>
      <c r="H722" s="985">
        <v>3529</v>
      </c>
      <c r="I722" s="985">
        <v>3529</v>
      </c>
      <c r="J722" s="985">
        <v>3160</v>
      </c>
      <c r="K722" s="1064">
        <v>99</v>
      </c>
      <c r="L722" s="985">
        <v>2483859</v>
      </c>
      <c r="M722" s="985">
        <v>0</v>
      </c>
      <c r="N722" s="985">
        <v>0</v>
      </c>
      <c r="O722" s="985">
        <v>2483859</v>
      </c>
      <c r="P722" s="985">
        <v>0</v>
      </c>
      <c r="Q722" s="985">
        <v>0</v>
      </c>
      <c r="R722" s="985">
        <f>L722/I722</f>
        <v>703.84216491924053</v>
      </c>
      <c r="S722" s="987">
        <v>2021</v>
      </c>
      <c r="T722" s="987">
        <v>2021</v>
      </c>
    </row>
    <row r="723" spans="1:20" s="992" customFormat="1" ht="50.45" customHeight="1">
      <c r="A723" s="1399" t="s">
        <v>35</v>
      </c>
      <c r="B723" s="1399"/>
      <c r="C723" s="1399"/>
      <c r="D723" s="1399"/>
      <c r="E723" s="1399"/>
      <c r="F723" s="1399"/>
      <c r="G723" s="1399"/>
      <c r="H723" s="1399"/>
      <c r="I723" s="1399"/>
      <c r="J723" s="1399"/>
      <c r="K723" s="1399"/>
      <c r="L723" s="1399"/>
      <c r="M723" s="1399"/>
      <c r="N723" s="1399"/>
      <c r="O723" s="1399"/>
      <c r="P723" s="1399"/>
      <c r="Q723" s="1399"/>
      <c r="R723" s="1399"/>
      <c r="S723" s="1399"/>
      <c r="T723" s="1399"/>
    </row>
    <row r="724" spans="1:20" s="992" customFormat="1" ht="42" customHeight="1">
      <c r="A724" s="1271"/>
      <c r="B724" s="1392" t="s">
        <v>42</v>
      </c>
      <c r="C724" s="1392"/>
      <c r="D724" s="1392"/>
      <c r="E724" s="1392"/>
      <c r="F724" s="1392"/>
      <c r="G724" s="1392"/>
      <c r="H724" s="985">
        <f>H725</f>
        <v>7137.8</v>
      </c>
      <c r="I724" s="985">
        <f t="shared" ref="I724:Q724" si="256">I725</f>
        <v>6050.4</v>
      </c>
      <c r="J724" s="985">
        <f t="shared" si="256"/>
        <v>6050.4</v>
      </c>
      <c r="K724" s="1064">
        <f t="shared" si="256"/>
        <v>157</v>
      </c>
      <c r="L724" s="985">
        <f t="shared" si="256"/>
        <v>2050000</v>
      </c>
      <c r="M724" s="985">
        <f t="shared" si="256"/>
        <v>0</v>
      </c>
      <c r="N724" s="985">
        <f t="shared" si="256"/>
        <v>0</v>
      </c>
      <c r="O724" s="985">
        <f t="shared" si="256"/>
        <v>2050000</v>
      </c>
      <c r="P724" s="985">
        <f t="shared" si="256"/>
        <v>0</v>
      </c>
      <c r="Q724" s="985">
        <f t="shared" si="256"/>
        <v>0</v>
      </c>
      <c r="R724" s="991" t="s">
        <v>40</v>
      </c>
      <c r="S724" s="1279" t="s">
        <v>40</v>
      </c>
      <c r="T724" s="991" t="s">
        <v>40</v>
      </c>
    </row>
    <row r="725" spans="1:20" s="992" customFormat="1" ht="42" customHeight="1">
      <c r="A725" s="1271"/>
      <c r="B725" s="1392" t="s">
        <v>1083</v>
      </c>
      <c r="C725" s="1392"/>
      <c r="D725" s="1392"/>
      <c r="E725" s="1392"/>
      <c r="F725" s="1392"/>
      <c r="G725" s="1392"/>
      <c r="H725" s="985">
        <f>H726</f>
        <v>7137.8</v>
      </c>
      <c r="I725" s="985">
        <f t="shared" ref="I725:Q725" si="257">I726</f>
        <v>6050.4</v>
      </c>
      <c r="J725" s="985">
        <f t="shared" si="257"/>
        <v>6050.4</v>
      </c>
      <c r="K725" s="1064">
        <f t="shared" si="257"/>
        <v>157</v>
      </c>
      <c r="L725" s="985">
        <f t="shared" si="257"/>
        <v>2050000</v>
      </c>
      <c r="M725" s="985">
        <f t="shared" si="257"/>
        <v>0</v>
      </c>
      <c r="N725" s="985">
        <f t="shared" si="257"/>
        <v>0</v>
      </c>
      <c r="O725" s="985">
        <f t="shared" si="257"/>
        <v>2050000</v>
      </c>
      <c r="P725" s="985">
        <f t="shared" si="257"/>
        <v>0</v>
      </c>
      <c r="Q725" s="985">
        <f t="shared" si="257"/>
        <v>0</v>
      </c>
      <c r="R725" s="991" t="s">
        <v>40</v>
      </c>
      <c r="S725" s="1279" t="s">
        <v>40</v>
      </c>
      <c r="T725" s="991" t="s">
        <v>40</v>
      </c>
    </row>
    <row r="726" spans="1:20" s="992" customFormat="1" ht="42" customHeight="1">
      <c r="A726" s="1271">
        <v>211</v>
      </c>
      <c r="B726" s="1274" t="s">
        <v>2658</v>
      </c>
      <c r="C726" s="1273">
        <v>1987</v>
      </c>
      <c r="D726" s="1273"/>
      <c r="E726" s="1271" t="s">
        <v>218</v>
      </c>
      <c r="F726" s="1279">
        <v>7</v>
      </c>
      <c r="G726" s="1279">
        <v>5</v>
      </c>
      <c r="H726" s="985">
        <v>7137.8</v>
      </c>
      <c r="I726" s="985">
        <v>6050.4</v>
      </c>
      <c r="J726" s="985">
        <v>6050.4</v>
      </c>
      <c r="K726" s="1064">
        <v>157</v>
      </c>
      <c r="L726" s="985">
        <v>2050000</v>
      </c>
      <c r="M726" s="985">
        <v>0</v>
      </c>
      <c r="N726" s="985">
        <v>0</v>
      </c>
      <c r="O726" s="985">
        <v>2050000</v>
      </c>
      <c r="P726" s="985">
        <v>0</v>
      </c>
      <c r="Q726" s="985">
        <v>0</v>
      </c>
      <c r="R726" s="985">
        <f>L726/I726</f>
        <v>338.82057384635726</v>
      </c>
      <c r="S726" s="987">
        <v>2021</v>
      </c>
      <c r="T726" s="987">
        <v>2021</v>
      </c>
    </row>
    <row r="727" spans="1:20" s="992" customFormat="1" ht="60.6" customHeight="1">
      <c r="A727" s="1399" t="s">
        <v>1120</v>
      </c>
      <c r="B727" s="1399"/>
      <c r="C727" s="1399"/>
      <c r="D727" s="1399"/>
      <c r="E727" s="1399"/>
      <c r="F727" s="1399"/>
      <c r="G727" s="1399"/>
      <c r="H727" s="1399"/>
      <c r="I727" s="1399"/>
      <c r="J727" s="1399"/>
      <c r="K727" s="1399"/>
      <c r="L727" s="1399"/>
      <c r="M727" s="1399"/>
      <c r="N727" s="1399"/>
      <c r="O727" s="1399"/>
      <c r="P727" s="1399"/>
      <c r="Q727" s="1399"/>
      <c r="R727" s="1399"/>
      <c r="S727" s="1399"/>
      <c r="T727" s="1399"/>
    </row>
    <row r="728" spans="1:20" s="992" customFormat="1" ht="36" customHeight="1">
      <c r="A728" s="1271"/>
      <c r="B728" s="1392" t="s">
        <v>42</v>
      </c>
      <c r="C728" s="1392"/>
      <c r="D728" s="1392"/>
      <c r="E728" s="1392"/>
      <c r="F728" s="1392"/>
      <c r="G728" s="1392"/>
      <c r="H728" s="985">
        <f>H729+H742+H739</f>
        <v>78493.099999999991</v>
      </c>
      <c r="I728" s="985">
        <f t="shared" ref="I728:Q728" si="258">I729+I742+I739</f>
        <v>68480.5</v>
      </c>
      <c r="J728" s="985">
        <f t="shared" si="258"/>
        <v>65081.3</v>
      </c>
      <c r="K728" s="1064">
        <f t="shared" si="258"/>
        <v>2609</v>
      </c>
      <c r="L728" s="985">
        <f t="shared" si="258"/>
        <v>17907243.430000003</v>
      </c>
      <c r="M728" s="985">
        <f t="shared" si="258"/>
        <v>0</v>
      </c>
      <c r="N728" s="985">
        <f t="shared" si="258"/>
        <v>1850781</v>
      </c>
      <c r="O728" s="985">
        <f t="shared" si="258"/>
        <v>16056462.430000002</v>
      </c>
      <c r="P728" s="985">
        <f t="shared" si="258"/>
        <v>0</v>
      </c>
      <c r="Q728" s="985">
        <f t="shared" si="258"/>
        <v>0</v>
      </c>
      <c r="R728" s="991" t="s">
        <v>40</v>
      </c>
      <c r="S728" s="1279" t="s">
        <v>40</v>
      </c>
      <c r="T728" s="991" t="s">
        <v>40</v>
      </c>
    </row>
    <row r="729" spans="1:20" s="992" customFormat="1" ht="36" customHeight="1">
      <c r="A729" s="1271"/>
      <c r="B729" s="1392" t="s">
        <v>1083</v>
      </c>
      <c r="C729" s="1392"/>
      <c r="D729" s="1392"/>
      <c r="E729" s="1392"/>
      <c r="F729" s="1392"/>
      <c r="G729" s="1392"/>
      <c r="H729" s="985">
        <f>H730+H731+H732+H733+H734+H735+H736+H737+H738</f>
        <v>48275.299999999996</v>
      </c>
      <c r="I729" s="985">
        <f t="shared" ref="I729:Q729" si="259">I730+I731+I732+I733+I734+I735+I736+I737+I738</f>
        <v>43897.799999999996</v>
      </c>
      <c r="J729" s="985">
        <f t="shared" si="259"/>
        <v>40762.700000000004</v>
      </c>
      <c r="K729" s="1064">
        <f t="shared" si="259"/>
        <v>1533</v>
      </c>
      <c r="L729" s="985">
        <f t="shared" si="259"/>
        <v>10589700.130000001</v>
      </c>
      <c r="M729" s="985">
        <f t="shared" si="259"/>
        <v>0</v>
      </c>
      <c r="N729" s="985">
        <f t="shared" si="259"/>
        <v>0</v>
      </c>
      <c r="O729" s="985">
        <f t="shared" si="259"/>
        <v>10589700.130000001</v>
      </c>
      <c r="P729" s="985">
        <f t="shared" si="259"/>
        <v>0</v>
      </c>
      <c r="Q729" s="985">
        <f t="shared" si="259"/>
        <v>0</v>
      </c>
      <c r="R729" s="991" t="s">
        <v>40</v>
      </c>
      <c r="S729" s="1279" t="s">
        <v>40</v>
      </c>
      <c r="T729" s="991" t="s">
        <v>40</v>
      </c>
    </row>
    <row r="730" spans="1:20" s="992" customFormat="1" ht="36" customHeight="1">
      <c r="A730" s="1271">
        <v>212</v>
      </c>
      <c r="B730" s="1272" t="s">
        <v>2009</v>
      </c>
      <c r="C730" s="1279">
        <v>1983</v>
      </c>
      <c r="D730" s="1279"/>
      <c r="E730" s="1271" t="s">
        <v>219</v>
      </c>
      <c r="F730" s="1279">
        <v>9</v>
      </c>
      <c r="G730" s="1279">
        <v>1</v>
      </c>
      <c r="H730" s="1078">
        <v>4422.3999999999996</v>
      </c>
      <c r="I730" s="1078">
        <v>3678.7</v>
      </c>
      <c r="J730" s="1078">
        <v>3123.4</v>
      </c>
      <c r="K730" s="1064">
        <v>125</v>
      </c>
      <c r="L730" s="1217">
        <v>2200000</v>
      </c>
      <c r="M730" s="1078">
        <v>0</v>
      </c>
      <c r="N730" s="1078">
        <v>0</v>
      </c>
      <c r="O730" s="1217">
        <v>2200000</v>
      </c>
      <c r="P730" s="1078">
        <v>0</v>
      </c>
      <c r="Q730" s="1078">
        <v>0</v>
      </c>
      <c r="R730" s="1078">
        <f>L730/I730</f>
        <v>598.03735015086852</v>
      </c>
      <c r="S730" s="1032">
        <v>2021</v>
      </c>
      <c r="T730" s="1032">
        <v>2021</v>
      </c>
    </row>
    <row r="731" spans="1:20" s="992" customFormat="1" ht="43.15" customHeight="1">
      <c r="A731" s="1271">
        <v>213</v>
      </c>
      <c r="B731" s="1272" t="s">
        <v>2011</v>
      </c>
      <c r="C731" s="1032">
        <v>1972</v>
      </c>
      <c r="D731" s="1032"/>
      <c r="E731" s="1271" t="s">
        <v>218</v>
      </c>
      <c r="F731" s="1032">
        <v>5</v>
      </c>
      <c r="G731" s="1032">
        <v>2</v>
      </c>
      <c r="H731" s="985">
        <v>4699.7</v>
      </c>
      <c r="I731" s="985">
        <v>4059.6</v>
      </c>
      <c r="J731" s="985">
        <v>4059.6</v>
      </c>
      <c r="K731" s="1068">
        <v>208</v>
      </c>
      <c r="L731" s="1217">
        <v>231117.97</v>
      </c>
      <c r="M731" s="1078">
        <v>0</v>
      </c>
      <c r="N731" s="1078">
        <v>0</v>
      </c>
      <c r="O731" s="1217">
        <f>L731</f>
        <v>231117.97</v>
      </c>
      <c r="P731" s="1078">
        <v>0</v>
      </c>
      <c r="Q731" s="1078">
        <v>0</v>
      </c>
      <c r="R731" s="1078">
        <f>L731/I731</f>
        <v>56.931217361316385</v>
      </c>
      <c r="S731" s="1032">
        <v>2021</v>
      </c>
      <c r="T731" s="1032">
        <v>2021</v>
      </c>
    </row>
    <row r="732" spans="1:20" s="992" customFormat="1" ht="36" customHeight="1">
      <c r="A732" s="1271">
        <v>214</v>
      </c>
      <c r="B732" s="1272" t="s">
        <v>2012</v>
      </c>
      <c r="C732" s="1271">
        <v>1978</v>
      </c>
      <c r="D732" s="1043"/>
      <c r="E732" s="1271" t="s">
        <v>220</v>
      </c>
      <c r="F732" s="1279">
        <v>5</v>
      </c>
      <c r="G732" s="1279">
        <v>4</v>
      </c>
      <c r="H732" s="985">
        <v>3748.3</v>
      </c>
      <c r="I732" s="985">
        <v>3471.3</v>
      </c>
      <c r="J732" s="985">
        <v>3574.5</v>
      </c>
      <c r="K732" s="987">
        <v>136</v>
      </c>
      <c r="L732" s="1217">
        <v>72161.83</v>
      </c>
      <c r="M732" s="1078">
        <v>0</v>
      </c>
      <c r="N732" s="1078">
        <v>0</v>
      </c>
      <c r="O732" s="1217">
        <f>L732</f>
        <v>72161.83</v>
      </c>
      <c r="P732" s="1078">
        <v>0</v>
      </c>
      <c r="Q732" s="1078">
        <v>0</v>
      </c>
      <c r="R732" s="1078">
        <f>L732/I732</f>
        <v>20.788128366894245</v>
      </c>
      <c r="S732" s="1032">
        <v>2021</v>
      </c>
      <c r="T732" s="1032">
        <v>2021</v>
      </c>
    </row>
    <row r="733" spans="1:20" s="992" customFormat="1" ht="42.6" customHeight="1">
      <c r="A733" s="1271">
        <v>215</v>
      </c>
      <c r="B733" s="1272" t="s">
        <v>2013</v>
      </c>
      <c r="C733" s="1279">
        <v>1974</v>
      </c>
      <c r="D733" s="1279"/>
      <c r="E733" s="1271" t="s">
        <v>219</v>
      </c>
      <c r="F733" s="1279">
        <v>5</v>
      </c>
      <c r="G733" s="1279">
        <v>4</v>
      </c>
      <c r="H733" s="1078">
        <v>2989.7</v>
      </c>
      <c r="I733" s="1078">
        <v>2716.6</v>
      </c>
      <c r="J733" s="1078">
        <f>I733</f>
        <v>2716.6</v>
      </c>
      <c r="K733" s="1220">
        <v>120</v>
      </c>
      <c r="L733" s="1217">
        <v>783000</v>
      </c>
      <c r="M733" s="1078">
        <v>0</v>
      </c>
      <c r="N733" s="1078">
        <v>0</v>
      </c>
      <c r="O733" s="1217">
        <f>L733</f>
        <v>783000</v>
      </c>
      <c r="P733" s="1078">
        <v>0</v>
      </c>
      <c r="Q733" s="1078">
        <v>0</v>
      </c>
      <c r="R733" s="1078">
        <f>L733/I733</f>
        <v>288.22793197379076</v>
      </c>
      <c r="S733" s="1032">
        <v>2021</v>
      </c>
      <c r="T733" s="1032">
        <v>2021</v>
      </c>
    </row>
    <row r="734" spans="1:20" s="992" customFormat="1" ht="36" customHeight="1">
      <c r="A734" s="1271">
        <v>216</v>
      </c>
      <c r="B734" s="1272" t="s">
        <v>2010</v>
      </c>
      <c r="C734" s="1271">
        <v>1988</v>
      </c>
      <c r="D734" s="1219"/>
      <c r="E734" s="1271" t="s">
        <v>219</v>
      </c>
      <c r="F734" s="1279">
        <v>5</v>
      </c>
      <c r="G734" s="1279">
        <v>16</v>
      </c>
      <c r="H734" s="985">
        <v>14679.9</v>
      </c>
      <c r="I734" s="985">
        <v>13387.2</v>
      </c>
      <c r="J734" s="985">
        <v>13387.2</v>
      </c>
      <c r="K734" s="987">
        <v>558</v>
      </c>
      <c r="L734" s="1217">
        <v>3661930.33</v>
      </c>
      <c r="M734" s="1078">
        <v>0</v>
      </c>
      <c r="N734" s="1078">
        <v>0</v>
      </c>
      <c r="O734" s="1217">
        <f>L734</f>
        <v>3661930.33</v>
      </c>
      <c r="P734" s="1078">
        <v>0</v>
      </c>
      <c r="Q734" s="1078">
        <v>0</v>
      </c>
      <c r="R734" s="1078">
        <f>L734/I734</f>
        <v>273.53967446516072</v>
      </c>
      <c r="S734" s="1032">
        <v>2021</v>
      </c>
      <c r="T734" s="1032">
        <v>2021</v>
      </c>
    </row>
    <row r="735" spans="1:20" s="992" customFormat="1" ht="36" customHeight="1">
      <c r="A735" s="1271">
        <v>217</v>
      </c>
      <c r="B735" s="1276" t="s">
        <v>2659</v>
      </c>
      <c r="C735" s="1271">
        <v>2003</v>
      </c>
      <c r="D735" s="1219"/>
      <c r="E735" s="1271" t="s">
        <v>219</v>
      </c>
      <c r="F735" s="1279">
        <v>5</v>
      </c>
      <c r="G735" s="1279">
        <v>2</v>
      </c>
      <c r="H735" s="985">
        <v>2925.7</v>
      </c>
      <c r="I735" s="985">
        <v>2659.8</v>
      </c>
      <c r="J735" s="985">
        <v>2659.8</v>
      </c>
      <c r="K735" s="987">
        <v>85</v>
      </c>
      <c r="L735" s="1217">
        <v>1054510</v>
      </c>
      <c r="M735" s="1078">
        <v>0</v>
      </c>
      <c r="N735" s="1078">
        <v>0</v>
      </c>
      <c r="O735" s="1217">
        <v>1054510</v>
      </c>
      <c r="P735" s="1078">
        <v>0</v>
      </c>
      <c r="Q735" s="1078">
        <v>0</v>
      </c>
      <c r="R735" s="1078">
        <f t="shared" ref="R735:R738" si="260">L735/I735</f>
        <v>396.46214001052709</v>
      </c>
      <c r="S735" s="1032">
        <v>2021</v>
      </c>
      <c r="T735" s="1032">
        <v>2021</v>
      </c>
    </row>
    <row r="736" spans="1:20" s="992" customFormat="1" ht="43.15" customHeight="1">
      <c r="A736" s="1271">
        <v>218</v>
      </c>
      <c r="B736" s="1276" t="s">
        <v>1980</v>
      </c>
      <c r="C736" s="1279">
        <v>2000</v>
      </c>
      <c r="D736" s="1219"/>
      <c r="E736" s="1271" t="s">
        <v>218</v>
      </c>
      <c r="F736" s="1022" t="s">
        <v>74</v>
      </c>
      <c r="G736" s="1279">
        <v>11</v>
      </c>
      <c r="H736" s="1078">
        <v>11302</v>
      </c>
      <c r="I736" s="1078">
        <v>10577</v>
      </c>
      <c r="J736" s="1078">
        <v>7894</v>
      </c>
      <c r="K736" s="1064">
        <v>145</v>
      </c>
      <c r="L736" s="1217">
        <v>1136980</v>
      </c>
      <c r="M736" s="1078">
        <v>0</v>
      </c>
      <c r="N736" s="1078">
        <v>0</v>
      </c>
      <c r="O736" s="1217">
        <v>1136980</v>
      </c>
      <c r="P736" s="1078">
        <v>0</v>
      </c>
      <c r="Q736" s="1078">
        <v>0</v>
      </c>
      <c r="R736" s="1078">
        <f t="shared" si="260"/>
        <v>107.49550912357002</v>
      </c>
      <c r="S736" s="1032">
        <v>2021</v>
      </c>
      <c r="T736" s="1032">
        <v>2021</v>
      </c>
    </row>
    <row r="737" spans="1:20" s="992" customFormat="1" ht="43.15" customHeight="1">
      <c r="A737" s="1271">
        <v>219</v>
      </c>
      <c r="B737" s="1276" t="s">
        <v>2660</v>
      </c>
      <c r="C737" s="1279">
        <v>1962</v>
      </c>
      <c r="D737" s="1219"/>
      <c r="E737" s="1271" t="s">
        <v>218</v>
      </c>
      <c r="F737" s="1022" t="s">
        <v>74</v>
      </c>
      <c r="G737" s="1279">
        <v>2</v>
      </c>
      <c r="H737" s="1078">
        <v>897.6</v>
      </c>
      <c r="I737" s="1078">
        <v>835.6</v>
      </c>
      <c r="J737" s="1078">
        <v>835.6</v>
      </c>
      <c r="K737" s="1064">
        <v>75</v>
      </c>
      <c r="L737" s="1217">
        <v>400000</v>
      </c>
      <c r="M737" s="1078">
        <v>0</v>
      </c>
      <c r="N737" s="1078">
        <v>0</v>
      </c>
      <c r="O737" s="1217">
        <v>400000</v>
      </c>
      <c r="P737" s="1078">
        <v>0</v>
      </c>
      <c r="Q737" s="1078">
        <v>0</v>
      </c>
      <c r="R737" s="1078">
        <f t="shared" si="260"/>
        <v>478.69794159885112</v>
      </c>
      <c r="S737" s="1032">
        <v>2021</v>
      </c>
      <c r="T737" s="1032">
        <v>2021</v>
      </c>
    </row>
    <row r="738" spans="1:20" s="992" customFormat="1" ht="36" customHeight="1">
      <c r="A738" s="1271">
        <v>220</v>
      </c>
      <c r="B738" s="1276" t="s">
        <v>2661</v>
      </c>
      <c r="C738" s="1279">
        <v>2003</v>
      </c>
      <c r="D738" s="1219"/>
      <c r="E738" s="1271" t="s">
        <v>219</v>
      </c>
      <c r="F738" s="1022" t="s">
        <v>1148</v>
      </c>
      <c r="G738" s="1279">
        <v>2</v>
      </c>
      <c r="H738" s="1078">
        <v>2610</v>
      </c>
      <c r="I738" s="1078">
        <v>2512</v>
      </c>
      <c r="J738" s="1078">
        <v>2512</v>
      </c>
      <c r="K738" s="1064">
        <v>81</v>
      </c>
      <c r="L738" s="1217">
        <v>1050000</v>
      </c>
      <c r="M738" s="1078">
        <v>0</v>
      </c>
      <c r="N738" s="1078">
        <v>0</v>
      </c>
      <c r="O738" s="1217">
        <v>1050000</v>
      </c>
      <c r="P738" s="1078">
        <v>0</v>
      </c>
      <c r="Q738" s="1078">
        <v>0</v>
      </c>
      <c r="R738" s="1078">
        <f t="shared" si="260"/>
        <v>417.99363057324842</v>
      </c>
      <c r="S738" s="1032">
        <v>2021</v>
      </c>
      <c r="T738" s="1032">
        <v>2021</v>
      </c>
    </row>
    <row r="739" spans="1:20" s="992" customFormat="1" ht="36" customHeight="1">
      <c r="A739" s="1271"/>
      <c r="B739" s="1392" t="s">
        <v>1069</v>
      </c>
      <c r="C739" s="1392"/>
      <c r="D739" s="1392"/>
      <c r="E739" s="1392"/>
      <c r="F739" s="1392"/>
      <c r="G739" s="1392"/>
      <c r="H739" s="985">
        <f>H740+H741</f>
        <v>14389.9</v>
      </c>
      <c r="I739" s="985">
        <f t="shared" ref="I739:Q739" si="261">I740+I741</f>
        <v>9385.7999999999993</v>
      </c>
      <c r="J739" s="985">
        <f t="shared" si="261"/>
        <v>9385.7999999999993</v>
      </c>
      <c r="K739" s="1064">
        <f t="shared" si="261"/>
        <v>449</v>
      </c>
      <c r="L739" s="985">
        <f t="shared" si="261"/>
        <v>1104927.3</v>
      </c>
      <c r="M739" s="985">
        <f t="shared" si="261"/>
        <v>0</v>
      </c>
      <c r="N739" s="985">
        <f t="shared" si="261"/>
        <v>0</v>
      </c>
      <c r="O739" s="985">
        <f t="shared" si="261"/>
        <v>1104927.3</v>
      </c>
      <c r="P739" s="985">
        <f t="shared" si="261"/>
        <v>0</v>
      </c>
      <c r="Q739" s="985">
        <f t="shared" si="261"/>
        <v>0</v>
      </c>
      <c r="R739" s="991" t="s">
        <v>40</v>
      </c>
      <c r="S739" s="1279" t="s">
        <v>40</v>
      </c>
      <c r="T739" s="991" t="s">
        <v>40</v>
      </c>
    </row>
    <row r="740" spans="1:20" s="992" customFormat="1" ht="36" customHeight="1">
      <c r="A740" s="1271">
        <v>221</v>
      </c>
      <c r="B740" s="1272" t="s">
        <v>2017</v>
      </c>
      <c r="C740" s="1271">
        <v>2004</v>
      </c>
      <c r="D740" s="1219"/>
      <c r="E740" s="1271" t="s">
        <v>219</v>
      </c>
      <c r="F740" s="1279">
        <v>9</v>
      </c>
      <c r="G740" s="1279">
        <v>4</v>
      </c>
      <c r="H740" s="985">
        <v>8318.4</v>
      </c>
      <c r="I740" s="985">
        <v>4794.2</v>
      </c>
      <c r="J740" s="985">
        <v>4794.2</v>
      </c>
      <c r="K740" s="987">
        <v>268</v>
      </c>
      <c r="L740" s="1217">
        <v>321355.3</v>
      </c>
      <c r="M740" s="1078">
        <v>0</v>
      </c>
      <c r="N740" s="1078">
        <v>0</v>
      </c>
      <c r="O740" s="1217">
        <v>321355.3</v>
      </c>
      <c r="P740" s="1078">
        <v>0</v>
      </c>
      <c r="Q740" s="1078">
        <v>0</v>
      </c>
      <c r="R740" s="1078">
        <f>L740/I740</f>
        <v>67.030015435317679</v>
      </c>
      <c r="S740" s="1032">
        <v>2021</v>
      </c>
      <c r="T740" s="1032">
        <v>2021</v>
      </c>
    </row>
    <row r="741" spans="1:20" s="992" customFormat="1" ht="36" customHeight="1">
      <c r="A741" s="1271">
        <v>222</v>
      </c>
      <c r="B741" s="1272" t="s">
        <v>2020</v>
      </c>
      <c r="C741" s="1271">
        <v>1969</v>
      </c>
      <c r="D741" s="1219"/>
      <c r="E741" s="1271" t="s">
        <v>219</v>
      </c>
      <c r="F741" s="1279">
        <v>5</v>
      </c>
      <c r="G741" s="1279">
        <v>6</v>
      </c>
      <c r="H741" s="985">
        <v>6071.5</v>
      </c>
      <c r="I741" s="985">
        <v>4591.6000000000004</v>
      </c>
      <c r="J741" s="985">
        <v>4591.6000000000004</v>
      </c>
      <c r="K741" s="987">
        <v>181</v>
      </c>
      <c r="L741" s="1217">
        <v>783572</v>
      </c>
      <c r="M741" s="1078">
        <v>0</v>
      </c>
      <c r="N741" s="1078">
        <v>0</v>
      </c>
      <c r="O741" s="1217">
        <v>783572</v>
      </c>
      <c r="P741" s="1078">
        <v>0</v>
      </c>
      <c r="Q741" s="1078">
        <v>0</v>
      </c>
      <c r="R741" s="1078">
        <f>L741/I741</f>
        <v>170.65336701803292</v>
      </c>
      <c r="S741" s="1032">
        <v>2021</v>
      </c>
      <c r="T741" s="1032">
        <v>2021</v>
      </c>
    </row>
    <row r="742" spans="1:20" s="992" customFormat="1" ht="42.6" customHeight="1">
      <c r="A742" s="1271"/>
      <c r="B742" s="1392" t="s">
        <v>1969</v>
      </c>
      <c r="C742" s="1392"/>
      <c r="D742" s="1392"/>
      <c r="E742" s="1392"/>
      <c r="F742" s="1392"/>
      <c r="G742" s="1392"/>
      <c r="H742" s="985">
        <f>SUM(H743:H762)</f>
        <v>15827.900000000003</v>
      </c>
      <c r="I742" s="985">
        <f t="shared" ref="I742:Q742" si="262">SUM(I743:I762)</f>
        <v>15196.899999999998</v>
      </c>
      <c r="J742" s="985">
        <f t="shared" si="262"/>
        <v>14932.799999999997</v>
      </c>
      <c r="K742" s="1064">
        <f t="shared" si="262"/>
        <v>627</v>
      </c>
      <c r="L742" s="985">
        <f t="shared" si="262"/>
        <v>6212616</v>
      </c>
      <c r="M742" s="985">
        <f t="shared" si="262"/>
        <v>0</v>
      </c>
      <c r="N742" s="985">
        <f t="shared" si="262"/>
        <v>1850781</v>
      </c>
      <c r="O742" s="985">
        <f t="shared" si="262"/>
        <v>4361835</v>
      </c>
      <c r="P742" s="985">
        <f t="shared" si="262"/>
        <v>0</v>
      </c>
      <c r="Q742" s="985">
        <f t="shared" si="262"/>
        <v>0</v>
      </c>
      <c r="R742" s="991" t="s">
        <v>40</v>
      </c>
      <c r="S742" s="1279" t="s">
        <v>40</v>
      </c>
      <c r="T742" s="991" t="s">
        <v>40</v>
      </c>
    </row>
    <row r="743" spans="1:20" s="992" customFormat="1" ht="40.9" customHeight="1">
      <c r="A743" s="1031">
        <v>223</v>
      </c>
      <c r="B743" s="1276" t="s">
        <v>2224</v>
      </c>
      <c r="C743" s="1032">
        <v>1978</v>
      </c>
      <c r="D743" s="1068">
        <v>2016</v>
      </c>
      <c r="E743" s="1271" t="s">
        <v>218</v>
      </c>
      <c r="F743" s="1032">
        <v>2</v>
      </c>
      <c r="G743" s="1032">
        <v>2</v>
      </c>
      <c r="H743" s="1097">
        <v>750.6</v>
      </c>
      <c r="I743" s="1097">
        <v>733</v>
      </c>
      <c r="J743" s="1097">
        <v>733</v>
      </c>
      <c r="K743" s="1068">
        <v>30</v>
      </c>
      <c r="L743" s="1037">
        <f>N743+O743</f>
        <v>832356</v>
      </c>
      <c r="M743" s="1037">
        <v>0</v>
      </c>
      <c r="N743" s="1037">
        <v>249707</v>
      </c>
      <c r="O743" s="1037">
        <v>582649</v>
      </c>
      <c r="P743" s="1078">
        <f t="shared" ref="P743:P752" si="263">SUM(P744:P762)</f>
        <v>0</v>
      </c>
      <c r="Q743" s="1078">
        <f t="shared" ref="Q743:Q752" si="264">SUM(Q744:Q762)</f>
        <v>0</v>
      </c>
      <c r="R743" s="1042">
        <f t="shared" ref="R743:R757" si="265">SUM(L743/I743)</f>
        <v>1135.5470668485675</v>
      </c>
      <c r="S743" s="1032">
        <v>2021</v>
      </c>
      <c r="T743" s="1032">
        <v>2021</v>
      </c>
    </row>
    <row r="744" spans="1:20" s="992" customFormat="1" ht="42.6" customHeight="1">
      <c r="A744" s="1031">
        <v>224</v>
      </c>
      <c r="B744" s="1276" t="s">
        <v>2225</v>
      </c>
      <c r="C744" s="1032">
        <v>1983</v>
      </c>
      <c r="D744" s="1068">
        <v>2016</v>
      </c>
      <c r="E744" s="1271" t="s">
        <v>219</v>
      </c>
      <c r="F744" s="1032">
        <v>2</v>
      </c>
      <c r="G744" s="1032">
        <v>2</v>
      </c>
      <c r="H744" s="1097">
        <v>530.20000000000005</v>
      </c>
      <c r="I744" s="1097">
        <v>512.6</v>
      </c>
      <c r="J744" s="1097">
        <v>512.6</v>
      </c>
      <c r="K744" s="1068">
        <v>26</v>
      </c>
      <c r="L744" s="1037">
        <f t="shared" ref="L744:L762" si="266">N744+O744</f>
        <v>618527</v>
      </c>
      <c r="M744" s="1037">
        <v>0</v>
      </c>
      <c r="N744" s="1037">
        <v>185559</v>
      </c>
      <c r="O744" s="1037">
        <v>432968</v>
      </c>
      <c r="P744" s="1078">
        <f t="shared" si="263"/>
        <v>0</v>
      </c>
      <c r="Q744" s="1078">
        <f t="shared" si="264"/>
        <v>0</v>
      </c>
      <c r="R744" s="1037">
        <f t="shared" si="265"/>
        <v>1206.6465079984393</v>
      </c>
      <c r="S744" s="1032">
        <v>2021</v>
      </c>
      <c r="T744" s="1032">
        <v>2021</v>
      </c>
    </row>
    <row r="745" spans="1:20" s="992" customFormat="1" ht="40.9" customHeight="1">
      <c r="A745" s="1031">
        <v>225</v>
      </c>
      <c r="B745" s="1276" t="s">
        <v>2226</v>
      </c>
      <c r="C745" s="1032">
        <v>1994</v>
      </c>
      <c r="D745" s="1068">
        <v>2016</v>
      </c>
      <c r="E745" s="1271" t="s">
        <v>218</v>
      </c>
      <c r="F745" s="1032">
        <v>2</v>
      </c>
      <c r="G745" s="1032">
        <v>1</v>
      </c>
      <c r="H745" s="1097">
        <v>359.1</v>
      </c>
      <c r="I745" s="1097">
        <v>350.3</v>
      </c>
      <c r="J745" s="1097">
        <v>350.3</v>
      </c>
      <c r="K745" s="1068">
        <v>17</v>
      </c>
      <c r="L745" s="1037">
        <f t="shared" si="266"/>
        <v>568116</v>
      </c>
      <c r="M745" s="1037">
        <v>0</v>
      </c>
      <c r="N745" s="1037">
        <v>170435</v>
      </c>
      <c r="O745" s="1037">
        <v>397681</v>
      </c>
      <c r="P745" s="1078">
        <f t="shared" si="263"/>
        <v>0</v>
      </c>
      <c r="Q745" s="1078">
        <f t="shared" si="264"/>
        <v>0</v>
      </c>
      <c r="R745" s="1037">
        <f t="shared" si="265"/>
        <v>1621.7984584641736</v>
      </c>
      <c r="S745" s="1032">
        <v>2021</v>
      </c>
      <c r="T745" s="1032">
        <v>2021</v>
      </c>
    </row>
    <row r="746" spans="1:20" s="1060" customFormat="1" ht="42" customHeight="1">
      <c r="A746" s="1031">
        <v>226</v>
      </c>
      <c r="B746" s="1276" t="s">
        <v>2227</v>
      </c>
      <c r="C746" s="1032">
        <v>1985</v>
      </c>
      <c r="D746" s="1068">
        <v>2016</v>
      </c>
      <c r="E746" s="1271" t="s">
        <v>218</v>
      </c>
      <c r="F746" s="1032">
        <v>2</v>
      </c>
      <c r="G746" s="1032">
        <v>2</v>
      </c>
      <c r="H746" s="1097">
        <v>717.2</v>
      </c>
      <c r="I746" s="1097">
        <v>699.6</v>
      </c>
      <c r="J746" s="1097">
        <v>652.20000000000005</v>
      </c>
      <c r="K746" s="1068">
        <v>34</v>
      </c>
      <c r="L746" s="1037">
        <f t="shared" si="266"/>
        <v>250063</v>
      </c>
      <c r="M746" s="1037">
        <v>0</v>
      </c>
      <c r="N746" s="1037">
        <v>75019</v>
      </c>
      <c r="O746" s="1037">
        <v>175044</v>
      </c>
      <c r="P746" s="1078">
        <f t="shared" si="263"/>
        <v>0</v>
      </c>
      <c r="Q746" s="1078">
        <f t="shared" si="264"/>
        <v>0</v>
      </c>
      <c r="R746" s="1037">
        <f t="shared" si="265"/>
        <v>357.43710691823901</v>
      </c>
      <c r="S746" s="1032">
        <v>2021</v>
      </c>
      <c r="T746" s="1032">
        <v>2021</v>
      </c>
    </row>
    <row r="747" spans="1:20" s="1060" customFormat="1" ht="42" customHeight="1">
      <c r="A747" s="1031">
        <v>227</v>
      </c>
      <c r="B747" s="1276" t="s">
        <v>2228</v>
      </c>
      <c r="C747" s="1032">
        <v>1992</v>
      </c>
      <c r="D747" s="1068">
        <v>2016</v>
      </c>
      <c r="E747" s="1271" t="s">
        <v>218</v>
      </c>
      <c r="F747" s="1032">
        <v>2</v>
      </c>
      <c r="G747" s="1032">
        <v>3</v>
      </c>
      <c r="H747" s="1097">
        <v>960.1</v>
      </c>
      <c r="I747" s="1097">
        <v>933.7</v>
      </c>
      <c r="J747" s="1097">
        <v>933.7</v>
      </c>
      <c r="K747" s="1068">
        <v>35</v>
      </c>
      <c r="L747" s="1037">
        <f t="shared" si="266"/>
        <v>558779</v>
      </c>
      <c r="M747" s="1037">
        <v>0</v>
      </c>
      <c r="N747" s="1037">
        <v>167634</v>
      </c>
      <c r="O747" s="1037">
        <v>391145</v>
      </c>
      <c r="P747" s="1078">
        <f t="shared" si="263"/>
        <v>0</v>
      </c>
      <c r="Q747" s="1078">
        <f t="shared" si="264"/>
        <v>0</v>
      </c>
      <c r="R747" s="1037">
        <f t="shared" si="265"/>
        <v>598.45667773374748</v>
      </c>
      <c r="S747" s="1032">
        <v>2021</v>
      </c>
      <c r="T747" s="1032">
        <v>2021</v>
      </c>
    </row>
    <row r="748" spans="1:20" s="1060" customFormat="1" ht="39.6" customHeight="1">
      <c r="A748" s="1031">
        <v>228</v>
      </c>
      <c r="B748" s="1276" t="s">
        <v>2229</v>
      </c>
      <c r="C748" s="1032">
        <v>1985</v>
      </c>
      <c r="D748" s="1068">
        <v>2016</v>
      </c>
      <c r="E748" s="1271" t="s">
        <v>219</v>
      </c>
      <c r="F748" s="1032">
        <v>3</v>
      </c>
      <c r="G748" s="1032">
        <v>2</v>
      </c>
      <c r="H748" s="1097">
        <v>752.3</v>
      </c>
      <c r="I748" s="1097">
        <v>725.9</v>
      </c>
      <c r="J748" s="1097">
        <v>725.9</v>
      </c>
      <c r="K748" s="1068">
        <v>29</v>
      </c>
      <c r="L748" s="1037">
        <f t="shared" si="266"/>
        <v>450578</v>
      </c>
      <c r="M748" s="1037">
        <v>0</v>
      </c>
      <c r="N748" s="1037">
        <v>135173</v>
      </c>
      <c r="O748" s="1037">
        <v>315405</v>
      </c>
      <c r="P748" s="1078">
        <f t="shared" si="263"/>
        <v>0</v>
      </c>
      <c r="Q748" s="1078">
        <f t="shared" si="264"/>
        <v>0</v>
      </c>
      <c r="R748" s="1037">
        <f t="shared" si="265"/>
        <v>620.71635211461637</v>
      </c>
      <c r="S748" s="1032">
        <v>2021</v>
      </c>
      <c r="T748" s="1032">
        <v>2021</v>
      </c>
    </row>
    <row r="749" spans="1:20" s="1060" customFormat="1" ht="44.45" customHeight="1">
      <c r="A749" s="1031">
        <v>229</v>
      </c>
      <c r="B749" s="1276" t="s">
        <v>2230</v>
      </c>
      <c r="C749" s="1032">
        <v>1971</v>
      </c>
      <c r="D749" s="1068">
        <v>2016</v>
      </c>
      <c r="E749" s="1271" t="s">
        <v>218</v>
      </c>
      <c r="F749" s="1032">
        <v>2</v>
      </c>
      <c r="G749" s="1032">
        <v>1</v>
      </c>
      <c r="H749" s="1097">
        <v>352.1</v>
      </c>
      <c r="I749" s="1097">
        <v>343.3</v>
      </c>
      <c r="J749" s="1097">
        <v>303.3</v>
      </c>
      <c r="K749" s="1068">
        <v>12</v>
      </c>
      <c r="L749" s="1037">
        <f t="shared" si="266"/>
        <v>84436</v>
      </c>
      <c r="M749" s="1037">
        <v>0</v>
      </c>
      <c r="N749" s="1037">
        <v>25331</v>
      </c>
      <c r="O749" s="1037">
        <v>59105</v>
      </c>
      <c r="P749" s="1078">
        <f t="shared" si="263"/>
        <v>0</v>
      </c>
      <c r="Q749" s="1078">
        <f t="shared" si="264"/>
        <v>0</v>
      </c>
      <c r="R749" s="1037">
        <f t="shared" si="265"/>
        <v>245.95397611418585</v>
      </c>
      <c r="S749" s="1032">
        <v>2021</v>
      </c>
      <c r="T749" s="1032">
        <v>2021</v>
      </c>
    </row>
    <row r="750" spans="1:20" s="1060" customFormat="1" ht="39" customHeight="1">
      <c r="A750" s="1031">
        <v>230</v>
      </c>
      <c r="B750" s="1276" t="s">
        <v>2231</v>
      </c>
      <c r="C750" s="1032">
        <v>1983</v>
      </c>
      <c r="D750" s="1068">
        <v>2016</v>
      </c>
      <c r="E750" s="1271" t="s">
        <v>219</v>
      </c>
      <c r="F750" s="1032">
        <v>2</v>
      </c>
      <c r="G750" s="1032">
        <v>2</v>
      </c>
      <c r="H750" s="1097">
        <v>522.79999999999995</v>
      </c>
      <c r="I750" s="1097">
        <v>505.2</v>
      </c>
      <c r="J750" s="1097">
        <v>505.2</v>
      </c>
      <c r="K750" s="1068">
        <v>19</v>
      </c>
      <c r="L750" s="1037">
        <f t="shared" si="266"/>
        <v>130028</v>
      </c>
      <c r="M750" s="1037">
        <v>0</v>
      </c>
      <c r="N750" s="1037">
        <v>39008</v>
      </c>
      <c r="O750" s="1037">
        <v>91020</v>
      </c>
      <c r="P750" s="1078">
        <f t="shared" si="263"/>
        <v>0</v>
      </c>
      <c r="Q750" s="1078">
        <f t="shared" si="264"/>
        <v>0</v>
      </c>
      <c r="R750" s="1037">
        <f t="shared" si="265"/>
        <v>257.37925574030089</v>
      </c>
      <c r="S750" s="1032">
        <v>2021</v>
      </c>
      <c r="T750" s="1032">
        <v>2021</v>
      </c>
    </row>
    <row r="751" spans="1:20" s="1060" customFormat="1" ht="37.15" customHeight="1">
      <c r="A751" s="1031">
        <v>231</v>
      </c>
      <c r="B751" s="1276" t="s">
        <v>2232</v>
      </c>
      <c r="C751" s="1032">
        <v>1973</v>
      </c>
      <c r="D751" s="1221"/>
      <c r="E751" s="1271" t="s">
        <v>220</v>
      </c>
      <c r="F751" s="1032">
        <v>2</v>
      </c>
      <c r="G751" s="1032">
        <v>2</v>
      </c>
      <c r="H751" s="1097">
        <v>571.29999999999995</v>
      </c>
      <c r="I751" s="1097">
        <v>522.29999999999995</v>
      </c>
      <c r="J751" s="1097">
        <v>522.29999999999995</v>
      </c>
      <c r="K751" s="1068">
        <v>15</v>
      </c>
      <c r="L751" s="1037">
        <f t="shared" si="266"/>
        <v>130053</v>
      </c>
      <c r="M751" s="1037">
        <v>0</v>
      </c>
      <c r="N751" s="1037">
        <v>26011</v>
      </c>
      <c r="O751" s="1037">
        <v>104042</v>
      </c>
      <c r="P751" s="1078">
        <f t="shared" si="263"/>
        <v>0</v>
      </c>
      <c r="Q751" s="1078">
        <f t="shared" si="264"/>
        <v>0</v>
      </c>
      <c r="R751" s="1037">
        <f t="shared" si="265"/>
        <v>249.00057438253879</v>
      </c>
      <c r="S751" s="1032">
        <v>2021</v>
      </c>
      <c r="T751" s="1032">
        <v>2021</v>
      </c>
    </row>
    <row r="752" spans="1:20" s="992" customFormat="1" ht="42.6" customHeight="1">
      <c r="A752" s="1031">
        <v>232</v>
      </c>
      <c r="B752" s="1276" t="s">
        <v>2233</v>
      </c>
      <c r="C752" s="1032">
        <v>1975</v>
      </c>
      <c r="D752" s="1068">
        <v>2020</v>
      </c>
      <c r="E752" s="1271" t="s">
        <v>218</v>
      </c>
      <c r="F752" s="1032">
        <v>2</v>
      </c>
      <c r="G752" s="1032">
        <v>2</v>
      </c>
      <c r="H752" s="1097">
        <v>756.3</v>
      </c>
      <c r="I752" s="1097">
        <v>738.7</v>
      </c>
      <c r="J752" s="1097">
        <v>738.7</v>
      </c>
      <c r="K752" s="1068">
        <v>31</v>
      </c>
      <c r="L752" s="1037">
        <f t="shared" si="266"/>
        <v>217867</v>
      </c>
      <c r="M752" s="1037">
        <v>0</v>
      </c>
      <c r="N752" s="1037">
        <v>65360</v>
      </c>
      <c r="O752" s="1037">
        <v>152507</v>
      </c>
      <c r="P752" s="1078">
        <f t="shared" si="263"/>
        <v>0</v>
      </c>
      <c r="Q752" s="1078">
        <f t="shared" si="264"/>
        <v>0</v>
      </c>
      <c r="R752" s="1037">
        <f t="shared" si="265"/>
        <v>294.93299038852035</v>
      </c>
      <c r="S752" s="1032">
        <v>2021</v>
      </c>
      <c r="T752" s="1032">
        <v>2021</v>
      </c>
    </row>
    <row r="753" spans="1:20" s="1003" customFormat="1" ht="44.45" customHeight="1">
      <c r="A753" s="1031">
        <v>233</v>
      </c>
      <c r="B753" s="1276" t="s">
        <v>2234</v>
      </c>
      <c r="C753" s="1032">
        <v>1973</v>
      </c>
      <c r="D753" s="1068">
        <v>2018</v>
      </c>
      <c r="E753" s="1271" t="s">
        <v>218</v>
      </c>
      <c r="F753" s="1032">
        <v>2</v>
      </c>
      <c r="G753" s="1032">
        <v>2</v>
      </c>
      <c r="H753" s="1097">
        <v>517.6</v>
      </c>
      <c r="I753" s="1097">
        <v>500</v>
      </c>
      <c r="J753" s="1097">
        <v>420.9</v>
      </c>
      <c r="K753" s="1068">
        <v>30</v>
      </c>
      <c r="L753" s="1037">
        <f t="shared" si="266"/>
        <v>154034</v>
      </c>
      <c r="M753" s="1037">
        <v>0</v>
      </c>
      <c r="N753" s="1037">
        <v>46210</v>
      </c>
      <c r="O753" s="1037">
        <v>107824</v>
      </c>
      <c r="P753" s="1078">
        <f>SUM(P755:P772)</f>
        <v>0</v>
      </c>
      <c r="Q753" s="1078">
        <f>SUM(Q755:Q772)</f>
        <v>0</v>
      </c>
      <c r="R753" s="1037">
        <f t="shared" si="265"/>
        <v>308.06799999999998</v>
      </c>
      <c r="S753" s="1032">
        <v>2021</v>
      </c>
      <c r="T753" s="1032">
        <v>2021</v>
      </c>
    </row>
    <row r="754" spans="1:20" s="1003" customFormat="1" ht="47.25" customHeight="1">
      <c r="A754" s="1031">
        <v>234</v>
      </c>
      <c r="B754" s="1276" t="s">
        <v>1968</v>
      </c>
      <c r="C754" s="1032">
        <v>1989</v>
      </c>
      <c r="D754" s="1068">
        <v>2020</v>
      </c>
      <c r="E754" s="1271" t="s">
        <v>218</v>
      </c>
      <c r="F754" s="1032">
        <v>5</v>
      </c>
      <c r="G754" s="1032">
        <v>6</v>
      </c>
      <c r="H754" s="1097">
        <v>4131.5</v>
      </c>
      <c r="I754" s="1097">
        <v>3994.5</v>
      </c>
      <c r="J754" s="1097">
        <v>3994.5</v>
      </c>
      <c r="K754" s="1068">
        <v>178</v>
      </c>
      <c r="L754" s="1037">
        <f t="shared" si="266"/>
        <v>300000</v>
      </c>
      <c r="M754" s="1037">
        <v>0</v>
      </c>
      <c r="N754" s="1037">
        <v>90000</v>
      </c>
      <c r="O754" s="1037">
        <v>210000</v>
      </c>
      <c r="P754" s="1078">
        <v>0</v>
      </c>
      <c r="Q754" s="1078">
        <v>0</v>
      </c>
      <c r="R754" s="1037">
        <f t="shared" ref="R754" si="267">SUM(L754/I754)</f>
        <v>75.103266992114158</v>
      </c>
      <c r="S754" s="1032">
        <v>2021</v>
      </c>
      <c r="T754" s="1032">
        <v>2021</v>
      </c>
    </row>
    <row r="755" spans="1:20" s="1003" customFormat="1" ht="40.9" customHeight="1">
      <c r="A755" s="1031">
        <v>235</v>
      </c>
      <c r="B755" s="1276" t="s">
        <v>2235</v>
      </c>
      <c r="C755" s="1032">
        <v>1984</v>
      </c>
      <c r="D755" s="1068">
        <v>2016</v>
      </c>
      <c r="E755" s="1271" t="s">
        <v>220</v>
      </c>
      <c r="F755" s="1032">
        <v>2</v>
      </c>
      <c r="G755" s="1032">
        <v>2</v>
      </c>
      <c r="H755" s="1097">
        <v>759.6</v>
      </c>
      <c r="I755" s="1097">
        <v>742</v>
      </c>
      <c r="J755" s="1097">
        <v>742</v>
      </c>
      <c r="K755" s="1068">
        <v>29</v>
      </c>
      <c r="L755" s="1037">
        <f t="shared" si="266"/>
        <v>284612</v>
      </c>
      <c r="M755" s="1037">
        <v>0</v>
      </c>
      <c r="N755" s="1037">
        <v>85384</v>
      </c>
      <c r="O755" s="1037">
        <v>199228</v>
      </c>
      <c r="P755" s="1078">
        <f t="shared" ref="P755:P762" si="268">SUM(P756:P773)</f>
        <v>0</v>
      </c>
      <c r="Q755" s="1078">
        <f t="shared" ref="Q755:Q762" si="269">SUM(Q756:Q773)</f>
        <v>0</v>
      </c>
      <c r="R755" s="1037">
        <f t="shared" si="265"/>
        <v>383.57412398921832</v>
      </c>
      <c r="S755" s="1032">
        <v>2021</v>
      </c>
      <c r="T755" s="1032">
        <v>2021</v>
      </c>
    </row>
    <row r="756" spans="1:20" s="992" customFormat="1" ht="40.15" customHeight="1">
      <c r="A756" s="1031">
        <v>236</v>
      </c>
      <c r="B756" s="1276" t="s">
        <v>2236</v>
      </c>
      <c r="C756" s="1032">
        <v>1968</v>
      </c>
      <c r="D756" s="1068">
        <v>2016</v>
      </c>
      <c r="E756" s="1271" t="s">
        <v>220</v>
      </c>
      <c r="F756" s="1032">
        <v>2</v>
      </c>
      <c r="G756" s="1032">
        <v>2</v>
      </c>
      <c r="H756" s="1097">
        <v>547.9</v>
      </c>
      <c r="I756" s="1097">
        <v>530.29999999999995</v>
      </c>
      <c r="J756" s="1097">
        <v>530.29999999999995</v>
      </c>
      <c r="K756" s="1068">
        <v>22</v>
      </c>
      <c r="L756" s="1037">
        <f t="shared" si="266"/>
        <v>227146</v>
      </c>
      <c r="M756" s="1037">
        <v>0</v>
      </c>
      <c r="N756" s="1037">
        <v>68144</v>
      </c>
      <c r="O756" s="1037">
        <v>159002</v>
      </c>
      <c r="P756" s="1078">
        <f t="shared" si="268"/>
        <v>0</v>
      </c>
      <c r="Q756" s="1078">
        <f t="shared" si="269"/>
        <v>0</v>
      </c>
      <c r="R756" s="1037">
        <f t="shared" si="265"/>
        <v>428.33490477088446</v>
      </c>
      <c r="S756" s="1032">
        <v>2021</v>
      </c>
      <c r="T756" s="1032">
        <v>2021</v>
      </c>
    </row>
    <row r="757" spans="1:20" s="992" customFormat="1" ht="36" customHeight="1">
      <c r="A757" s="1031">
        <v>237</v>
      </c>
      <c r="B757" s="1276" t="s">
        <v>2237</v>
      </c>
      <c r="C757" s="1032">
        <v>1972</v>
      </c>
      <c r="D757" s="1068">
        <v>2016</v>
      </c>
      <c r="E757" s="1271" t="s">
        <v>220</v>
      </c>
      <c r="F757" s="1032">
        <v>2</v>
      </c>
      <c r="G757" s="1032">
        <v>2</v>
      </c>
      <c r="H757" s="1097">
        <v>531.1</v>
      </c>
      <c r="I757" s="1097">
        <v>513.5</v>
      </c>
      <c r="J757" s="1097">
        <v>513.5</v>
      </c>
      <c r="K757" s="1068">
        <v>21</v>
      </c>
      <c r="L757" s="1037">
        <f t="shared" si="266"/>
        <v>181597</v>
      </c>
      <c r="M757" s="1037">
        <v>0</v>
      </c>
      <c r="N757" s="1037">
        <v>54479</v>
      </c>
      <c r="O757" s="1037">
        <v>127118</v>
      </c>
      <c r="P757" s="1078">
        <f t="shared" si="268"/>
        <v>0</v>
      </c>
      <c r="Q757" s="1078">
        <f t="shared" si="269"/>
        <v>0</v>
      </c>
      <c r="R757" s="1037">
        <f t="shared" si="265"/>
        <v>353.64556962025318</v>
      </c>
      <c r="S757" s="1032">
        <v>2021</v>
      </c>
      <c r="T757" s="1032">
        <v>2021</v>
      </c>
    </row>
    <row r="758" spans="1:20" s="992" customFormat="1" ht="39.6" customHeight="1">
      <c r="A758" s="1031">
        <v>238</v>
      </c>
      <c r="B758" s="1276" t="s">
        <v>2238</v>
      </c>
      <c r="C758" s="1032">
        <v>1985</v>
      </c>
      <c r="D758" s="1068">
        <v>2017</v>
      </c>
      <c r="E758" s="1271" t="s">
        <v>218</v>
      </c>
      <c r="F758" s="1032">
        <v>2</v>
      </c>
      <c r="G758" s="1032">
        <v>1</v>
      </c>
      <c r="H758" s="1097">
        <v>396.4</v>
      </c>
      <c r="I758" s="1097">
        <v>361.4</v>
      </c>
      <c r="J758" s="1097">
        <v>361.4</v>
      </c>
      <c r="K758" s="1068">
        <v>7</v>
      </c>
      <c r="L758" s="1037">
        <f t="shared" si="266"/>
        <v>501430</v>
      </c>
      <c r="M758" s="1037">
        <v>0</v>
      </c>
      <c r="N758" s="1037">
        <v>150429</v>
      </c>
      <c r="O758" s="1037">
        <v>351001</v>
      </c>
      <c r="P758" s="1078">
        <f t="shared" si="268"/>
        <v>0</v>
      </c>
      <c r="Q758" s="1078">
        <f t="shared" si="269"/>
        <v>0</v>
      </c>
      <c r="R758" s="1037">
        <f>SUM(L758/I758)</f>
        <v>1387.4654122855563</v>
      </c>
      <c r="S758" s="1032">
        <v>2021</v>
      </c>
      <c r="T758" s="1032">
        <v>2021</v>
      </c>
    </row>
    <row r="759" spans="1:20" s="992" customFormat="1" ht="39.6" customHeight="1">
      <c r="A759" s="1031">
        <v>239</v>
      </c>
      <c r="B759" s="1276" t="s">
        <v>2239</v>
      </c>
      <c r="C759" s="1032">
        <v>1976</v>
      </c>
      <c r="D759" s="1068">
        <v>2017</v>
      </c>
      <c r="E759" s="1271" t="s">
        <v>218</v>
      </c>
      <c r="F759" s="1032">
        <v>2</v>
      </c>
      <c r="G759" s="1032">
        <v>2</v>
      </c>
      <c r="H759" s="1097">
        <v>768</v>
      </c>
      <c r="I759" s="1097">
        <v>710.9</v>
      </c>
      <c r="J759" s="1097">
        <v>710.9</v>
      </c>
      <c r="K759" s="1068">
        <v>34</v>
      </c>
      <c r="L759" s="1037">
        <f t="shared" si="266"/>
        <v>270472</v>
      </c>
      <c r="M759" s="1037">
        <v>0</v>
      </c>
      <c r="N759" s="1037">
        <v>81142</v>
      </c>
      <c r="O759" s="1037">
        <v>189330</v>
      </c>
      <c r="P759" s="1078">
        <f t="shared" si="268"/>
        <v>0</v>
      </c>
      <c r="Q759" s="1078">
        <f t="shared" si="269"/>
        <v>0</v>
      </c>
      <c r="R759" s="1037">
        <f>SUM(L759/I759)</f>
        <v>380.46420030946689</v>
      </c>
      <c r="S759" s="1032">
        <v>2021</v>
      </c>
      <c r="T759" s="1032">
        <v>2021</v>
      </c>
    </row>
    <row r="760" spans="1:20" ht="45" customHeight="1">
      <c r="A760" s="1031">
        <v>240</v>
      </c>
      <c r="B760" s="1276" t="s">
        <v>2240</v>
      </c>
      <c r="C760" s="1032">
        <v>1978</v>
      </c>
      <c r="D760" s="1068">
        <v>2017</v>
      </c>
      <c r="E760" s="1271" t="s">
        <v>218</v>
      </c>
      <c r="F760" s="1032">
        <v>2</v>
      </c>
      <c r="G760" s="1032">
        <v>1</v>
      </c>
      <c r="H760" s="1097">
        <v>354.6</v>
      </c>
      <c r="I760" s="1097">
        <v>354.6</v>
      </c>
      <c r="J760" s="1097">
        <v>354.6</v>
      </c>
      <c r="K760" s="1068">
        <v>10</v>
      </c>
      <c r="L760" s="1037">
        <f t="shared" si="266"/>
        <v>178956</v>
      </c>
      <c r="M760" s="1037">
        <v>0</v>
      </c>
      <c r="N760" s="1037">
        <v>53687</v>
      </c>
      <c r="O760" s="1037">
        <v>125269</v>
      </c>
      <c r="P760" s="1078">
        <f t="shared" si="268"/>
        <v>0</v>
      </c>
      <c r="Q760" s="1078">
        <f t="shared" si="269"/>
        <v>0</v>
      </c>
      <c r="R760" s="1037">
        <f>SUM(L760/I760)</f>
        <v>504.67005076142129</v>
      </c>
      <c r="S760" s="1032">
        <v>2021</v>
      </c>
      <c r="T760" s="1032">
        <v>2021</v>
      </c>
    </row>
    <row r="761" spans="1:20" s="992" customFormat="1" ht="44.45" customHeight="1">
      <c r="A761" s="1031">
        <v>241</v>
      </c>
      <c r="B761" s="1276" t="s">
        <v>2241</v>
      </c>
      <c r="C761" s="1032">
        <v>1972</v>
      </c>
      <c r="D761" s="1068">
        <v>2019</v>
      </c>
      <c r="E761" s="1271" t="s">
        <v>218</v>
      </c>
      <c r="F761" s="1032">
        <v>2</v>
      </c>
      <c r="G761" s="1032">
        <v>2</v>
      </c>
      <c r="H761" s="1097">
        <v>768.7</v>
      </c>
      <c r="I761" s="1097">
        <v>709.1</v>
      </c>
      <c r="J761" s="1097">
        <v>611.5</v>
      </c>
      <c r="K761" s="1068">
        <v>27</v>
      </c>
      <c r="L761" s="1037">
        <f t="shared" si="266"/>
        <v>135418</v>
      </c>
      <c r="M761" s="1037">
        <v>0</v>
      </c>
      <c r="N761" s="1037">
        <v>40625</v>
      </c>
      <c r="O761" s="1037">
        <v>94793</v>
      </c>
      <c r="P761" s="1078">
        <f t="shared" si="268"/>
        <v>0</v>
      </c>
      <c r="Q761" s="1078">
        <f t="shared" si="269"/>
        <v>0</v>
      </c>
      <c r="R761" s="1037">
        <f>SUM(L761/I761)</f>
        <v>190.97165420956142</v>
      </c>
      <c r="S761" s="1032">
        <v>2021</v>
      </c>
      <c r="T761" s="1032">
        <v>2021</v>
      </c>
    </row>
    <row r="762" spans="1:20" s="992" customFormat="1" ht="45.6" customHeight="1">
      <c r="A762" s="1031">
        <v>242</v>
      </c>
      <c r="B762" s="1276" t="s">
        <v>2242</v>
      </c>
      <c r="C762" s="1032">
        <v>1973</v>
      </c>
      <c r="D762" s="1068">
        <v>2019</v>
      </c>
      <c r="E762" s="1271" t="s">
        <v>218</v>
      </c>
      <c r="F762" s="1032">
        <v>2</v>
      </c>
      <c r="G762" s="1032">
        <v>2</v>
      </c>
      <c r="H762" s="1097">
        <v>780.5</v>
      </c>
      <c r="I762" s="1097">
        <v>716</v>
      </c>
      <c r="J762" s="1097">
        <v>716</v>
      </c>
      <c r="K762" s="1068">
        <v>21</v>
      </c>
      <c r="L762" s="1037">
        <f t="shared" si="266"/>
        <v>138148</v>
      </c>
      <c r="M762" s="1037">
        <v>0</v>
      </c>
      <c r="N762" s="1037">
        <v>41444</v>
      </c>
      <c r="O762" s="1037">
        <v>96704</v>
      </c>
      <c r="P762" s="1078">
        <f t="shared" si="268"/>
        <v>0</v>
      </c>
      <c r="Q762" s="1078">
        <f t="shared" si="269"/>
        <v>0</v>
      </c>
      <c r="R762" s="1037">
        <f>SUM(L762/I762)</f>
        <v>192.9441340782123</v>
      </c>
      <c r="S762" s="1032">
        <v>2021</v>
      </c>
      <c r="T762" s="1032">
        <v>2021</v>
      </c>
    </row>
    <row r="763" spans="1:20" s="992" customFormat="1" ht="40.15" customHeight="1">
      <c r="A763" s="1399" t="s">
        <v>2792</v>
      </c>
      <c r="B763" s="1391"/>
      <c r="C763" s="1391"/>
      <c r="D763" s="1391"/>
      <c r="E763" s="1391"/>
      <c r="F763" s="1391"/>
      <c r="G763" s="1391"/>
      <c r="H763" s="1391"/>
      <c r="I763" s="1391"/>
      <c r="J763" s="1391"/>
      <c r="K763" s="1391"/>
      <c r="L763" s="1391"/>
      <c r="M763" s="1391"/>
      <c r="N763" s="1391"/>
      <c r="O763" s="1391"/>
      <c r="P763" s="1391"/>
      <c r="Q763" s="1391"/>
      <c r="R763" s="1391"/>
      <c r="S763" s="1391"/>
      <c r="T763" s="1391"/>
    </row>
    <row r="764" spans="1:20" s="992" customFormat="1" ht="42.6" customHeight="1">
      <c r="A764" s="1399" t="s">
        <v>1091</v>
      </c>
      <c r="B764" s="1399"/>
      <c r="C764" s="1399"/>
      <c r="D764" s="1399"/>
      <c r="E764" s="1399"/>
      <c r="F764" s="1399"/>
      <c r="G764" s="1399"/>
      <c r="H764" s="1399"/>
      <c r="I764" s="1399"/>
      <c r="J764" s="1399"/>
      <c r="K764" s="1399"/>
      <c r="L764" s="1399"/>
      <c r="M764" s="1399"/>
      <c r="N764" s="1399"/>
      <c r="O764" s="1399"/>
      <c r="P764" s="1399"/>
      <c r="Q764" s="1399"/>
      <c r="R764" s="1399"/>
      <c r="S764" s="1399"/>
      <c r="T764" s="1399"/>
    </row>
    <row r="765" spans="1:20" s="992" customFormat="1" ht="39.6" customHeight="1">
      <c r="A765" s="1271"/>
      <c r="B765" s="1392" t="s">
        <v>42</v>
      </c>
      <c r="C765" s="1392"/>
      <c r="D765" s="1392"/>
      <c r="E765" s="1392"/>
      <c r="F765" s="1392"/>
      <c r="G765" s="1392"/>
      <c r="H765" s="993">
        <f>H766+H797+H822+H836+H842+H845+H859+H862+H874+H877+H880+H885+H905+H910+H921+H944+H946+H951+H962+H964+H967+H982+H984+H987+H989+H992+H995+H1000+H1012+H1016+H1027+H1034+H1008+H840+H883+H816</f>
        <v>462056.98999999993</v>
      </c>
      <c r="I765" s="993">
        <f t="shared" ref="I765:Q765" si="270">I766+I797+I822+I836+I842+I845+I859+I862+I874+I877+I880+I885+I905+I910+I921+I944+I946+I951+I962+I964+I967+I982+I984+I987+I989+I992+I995+I1000+I1012+I1016+I1027+I1034+I1008+I840+I883+I816</f>
        <v>408644.35000000015</v>
      </c>
      <c r="J765" s="993">
        <f t="shared" si="270"/>
        <v>359020.32999999996</v>
      </c>
      <c r="K765" s="987">
        <f t="shared" si="270"/>
        <v>16580</v>
      </c>
      <c r="L765" s="993">
        <f t="shared" si="270"/>
        <v>1012300911.7499999</v>
      </c>
      <c r="M765" s="993">
        <f t="shared" si="270"/>
        <v>0</v>
      </c>
      <c r="N765" s="993">
        <f t="shared" si="270"/>
        <v>2026980.58</v>
      </c>
      <c r="O765" s="993">
        <f t="shared" si="270"/>
        <v>1010273931.17</v>
      </c>
      <c r="P765" s="993">
        <f t="shared" si="270"/>
        <v>0</v>
      </c>
      <c r="Q765" s="993">
        <f t="shared" si="270"/>
        <v>0</v>
      </c>
      <c r="R765" s="991" t="s">
        <v>40</v>
      </c>
      <c r="S765" s="991" t="s">
        <v>40</v>
      </c>
      <c r="T765" s="991" t="s">
        <v>40</v>
      </c>
    </row>
    <row r="766" spans="1:20" s="992" customFormat="1" ht="40.9" customHeight="1">
      <c r="A766" s="1271"/>
      <c r="B766" s="1272" t="s">
        <v>1083</v>
      </c>
      <c r="C766" s="1272"/>
      <c r="D766" s="1272"/>
      <c r="E766" s="1272"/>
      <c r="F766" s="1272"/>
      <c r="G766" s="1272"/>
      <c r="H766" s="993">
        <f t="shared" ref="H766:Q766" si="271">SUM(H767:H796)</f>
        <v>110826.50000000003</v>
      </c>
      <c r="I766" s="993">
        <f t="shared" si="271"/>
        <v>98300.800000000032</v>
      </c>
      <c r="J766" s="993">
        <f t="shared" si="271"/>
        <v>90456.139999999985</v>
      </c>
      <c r="K766" s="987">
        <f t="shared" si="271"/>
        <v>4142</v>
      </c>
      <c r="L766" s="993">
        <f t="shared" si="271"/>
        <v>419146020.49000001</v>
      </c>
      <c r="M766" s="993">
        <f t="shared" si="271"/>
        <v>0</v>
      </c>
      <c r="N766" s="993">
        <f t="shared" si="271"/>
        <v>0</v>
      </c>
      <c r="O766" s="993">
        <f t="shared" si="271"/>
        <v>419146020.49000001</v>
      </c>
      <c r="P766" s="993">
        <f t="shared" si="271"/>
        <v>0</v>
      </c>
      <c r="Q766" s="993">
        <f t="shared" si="271"/>
        <v>0</v>
      </c>
      <c r="R766" s="991" t="s">
        <v>40</v>
      </c>
      <c r="S766" s="991" t="s">
        <v>40</v>
      </c>
      <c r="T766" s="991" t="s">
        <v>40</v>
      </c>
    </row>
    <row r="767" spans="1:20" s="1017" customFormat="1" ht="42.6" customHeight="1">
      <c r="A767" s="1271">
        <v>1</v>
      </c>
      <c r="B767" s="1272" t="s">
        <v>1596</v>
      </c>
      <c r="C767" s="1271">
        <v>1978</v>
      </c>
      <c r="D767" s="1271"/>
      <c r="E767" s="1271" t="s">
        <v>219</v>
      </c>
      <c r="F767" s="1271">
        <v>9</v>
      </c>
      <c r="G767" s="1271">
        <v>4</v>
      </c>
      <c r="H767" s="1033">
        <v>8775.2000000000007</v>
      </c>
      <c r="I767" s="1033">
        <v>7844.3</v>
      </c>
      <c r="J767" s="1033">
        <v>7541.2</v>
      </c>
      <c r="K767" s="987">
        <v>368</v>
      </c>
      <c r="L767" s="1240">
        <v>36623453.219999999</v>
      </c>
      <c r="M767" s="1231">
        <v>0</v>
      </c>
      <c r="N767" s="1231">
        <v>0</v>
      </c>
      <c r="O767" s="1240">
        <v>36623453.219999999</v>
      </c>
      <c r="P767" s="1070">
        <v>0</v>
      </c>
      <c r="Q767" s="1070">
        <v>0</v>
      </c>
      <c r="R767" s="1033">
        <f t="shared" ref="R767:R787" si="272">L767/I767</f>
        <v>4668.7981362263045</v>
      </c>
      <c r="S767" s="1271">
        <v>2022</v>
      </c>
      <c r="T767" s="1071" t="s">
        <v>1433</v>
      </c>
    </row>
    <row r="768" spans="1:20" s="1017" customFormat="1" ht="39.6" customHeight="1">
      <c r="A768" s="1271">
        <v>2</v>
      </c>
      <c r="B768" s="1272" t="s">
        <v>1669</v>
      </c>
      <c r="C768" s="1271">
        <v>1975</v>
      </c>
      <c r="D768" s="1271"/>
      <c r="E768" s="1271" t="s">
        <v>219</v>
      </c>
      <c r="F768" s="1271">
        <v>5</v>
      </c>
      <c r="G768" s="1271">
        <v>4</v>
      </c>
      <c r="H768" s="1033">
        <v>3380.4</v>
      </c>
      <c r="I768" s="1033">
        <v>2669.3</v>
      </c>
      <c r="J768" s="1033">
        <v>2593.4</v>
      </c>
      <c r="K768" s="987">
        <v>113</v>
      </c>
      <c r="L768" s="1240">
        <v>4415865.05</v>
      </c>
      <c r="M768" s="1231">
        <v>0</v>
      </c>
      <c r="N768" s="1231">
        <v>0</v>
      </c>
      <c r="O768" s="1240">
        <v>4415865.05</v>
      </c>
      <c r="P768" s="1070">
        <v>0</v>
      </c>
      <c r="Q768" s="1070">
        <v>0</v>
      </c>
      <c r="R768" s="1033">
        <f t="shared" si="272"/>
        <v>1654.3157569400216</v>
      </c>
      <c r="S768" s="1271">
        <v>2022</v>
      </c>
      <c r="T768" s="1071" t="s">
        <v>1433</v>
      </c>
    </row>
    <row r="769" spans="1:20" s="1017" customFormat="1" ht="37.9" customHeight="1">
      <c r="A769" s="1271">
        <v>3</v>
      </c>
      <c r="B769" s="1272" t="s">
        <v>325</v>
      </c>
      <c r="C769" s="1271">
        <v>1978</v>
      </c>
      <c r="D769" s="1271"/>
      <c r="E769" s="1271" t="s">
        <v>219</v>
      </c>
      <c r="F769" s="1271">
        <v>9</v>
      </c>
      <c r="G769" s="1271">
        <v>5</v>
      </c>
      <c r="H769" s="1033">
        <v>10953.9</v>
      </c>
      <c r="I769" s="1033">
        <v>9753.7000000000007</v>
      </c>
      <c r="J769" s="1033">
        <v>9378.6</v>
      </c>
      <c r="K769" s="987">
        <v>395</v>
      </c>
      <c r="L769" s="1240">
        <v>44714681.260000005</v>
      </c>
      <c r="M769" s="1231">
        <v>0</v>
      </c>
      <c r="N769" s="1231">
        <v>0</v>
      </c>
      <c r="O769" s="1240">
        <v>44714681.260000005</v>
      </c>
      <c r="P769" s="1070">
        <v>0</v>
      </c>
      <c r="Q769" s="1070">
        <v>0</v>
      </c>
      <c r="R769" s="1033">
        <f t="shared" si="272"/>
        <v>4584.3814408890985</v>
      </c>
      <c r="S769" s="1271">
        <v>2022</v>
      </c>
      <c r="T769" s="1071" t="s">
        <v>1433</v>
      </c>
    </row>
    <row r="770" spans="1:20" s="992" customFormat="1" ht="39.6" customHeight="1">
      <c r="A770" s="1271">
        <v>4</v>
      </c>
      <c r="B770" s="1272" t="s">
        <v>1597</v>
      </c>
      <c r="C770" s="1271">
        <v>1972</v>
      </c>
      <c r="D770" s="1271"/>
      <c r="E770" s="1271" t="s">
        <v>219</v>
      </c>
      <c r="F770" s="1271">
        <v>5</v>
      </c>
      <c r="G770" s="1271">
        <v>6</v>
      </c>
      <c r="H770" s="1033">
        <v>4792.2</v>
      </c>
      <c r="I770" s="1033">
        <v>4391.3999999999996</v>
      </c>
      <c r="J770" s="1033">
        <v>4211.8999999999996</v>
      </c>
      <c r="K770" s="987">
        <v>215</v>
      </c>
      <c r="L770" s="1240">
        <v>17787550.300000001</v>
      </c>
      <c r="M770" s="1231">
        <v>0</v>
      </c>
      <c r="N770" s="1231">
        <v>0</v>
      </c>
      <c r="O770" s="1240">
        <v>17787550.300000001</v>
      </c>
      <c r="P770" s="1070">
        <v>0</v>
      </c>
      <c r="Q770" s="1070">
        <v>0</v>
      </c>
      <c r="R770" s="1033">
        <f t="shared" si="272"/>
        <v>4050.5420367081119</v>
      </c>
      <c r="S770" s="1271">
        <v>2022</v>
      </c>
      <c r="T770" s="1071" t="s">
        <v>1433</v>
      </c>
    </row>
    <row r="771" spans="1:20" s="992" customFormat="1" ht="42.6" customHeight="1">
      <c r="A771" s="1271">
        <v>5</v>
      </c>
      <c r="B771" s="1272" t="s">
        <v>1598</v>
      </c>
      <c r="C771" s="1271">
        <v>1975</v>
      </c>
      <c r="D771" s="1271"/>
      <c r="E771" s="1271" t="s">
        <v>218</v>
      </c>
      <c r="F771" s="1271">
        <v>5</v>
      </c>
      <c r="G771" s="1271">
        <v>4</v>
      </c>
      <c r="H771" s="1033">
        <v>3496.2</v>
      </c>
      <c r="I771" s="1033">
        <v>3143.2</v>
      </c>
      <c r="J771" s="1033">
        <v>2803.7</v>
      </c>
      <c r="K771" s="987">
        <v>169</v>
      </c>
      <c r="L771" s="1240">
        <v>14377398.289999999</v>
      </c>
      <c r="M771" s="1231">
        <v>0</v>
      </c>
      <c r="N771" s="1231">
        <v>0</v>
      </c>
      <c r="O771" s="1240">
        <v>14377398.289999999</v>
      </c>
      <c r="P771" s="1070">
        <v>0</v>
      </c>
      <c r="Q771" s="1070">
        <v>0</v>
      </c>
      <c r="R771" s="1033">
        <f t="shared" si="272"/>
        <v>4574.127732883685</v>
      </c>
      <c r="S771" s="1271">
        <v>2022</v>
      </c>
      <c r="T771" s="1071" t="s">
        <v>1433</v>
      </c>
    </row>
    <row r="772" spans="1:20" s="992" customFormat="1" ht="39.6" customHeight="1">
      <c r="A772" s="1271">
        <v>6</v>
      </c>
      <c r="B772" s="1272" t="s">
        <v>1599</v>
      </c>
      <c r="C772" s="1271">
        <v>1960</v>
      </c>
      <c r="D772" s="1271"/>
      <c r="E772" s="1271" t="s">
        <v>218</v>
      </c>
      <c r="F772" s="1271">
        <v>5</v>
      </c>
      <c r="G772" s="1271">
        <v>4</v>
      </c>
      <c r="H772" s="1033">
        <v>3084</v>
      </c>
      <c r="I772" s="1033">
        <v>2725.9</v>
      </c>
      <c r="J772" s="1033">
        <v>2145.5</v>
      </c>
      <c r="K772" s="987">
        <v>82</v>
      </c>
      <c r="L772" s="1231">
        <v>4092143</v>
      </c>
      <c r="M772" s="1231">
        <v>0</v>
      </c>
      <c r="N772" s="1231">
        <v>0</v>
      </c>
      <c r="O772" s="1231">
        <v>4092143</v>
      </c>
      <c r="P772" s="1070">
        <v>0</v>
      </c>
      <c r="Q772" s="1070">
        <v>0</v>
      </c>
      <c r="R772" s="1033">
        <f t="shared" si="272"/>
        <v>1501.2080413808283</v>
      </c>
      <c r="S772" s="1271">
        <v>2022</v>
      </c>
      <c r="T772" s="1071" t="s">
        <v>1433</v>
      </c>
    </row>
    <row r="773" spans="1:20" s="992" customFormat="1" ht="42" customHeight="1">
      <c r="A773" s="1271">
        <v>7</v>
      </c>
      <c r="B773" s="1272" t="s">
        <v>1600</v>
      </c>
      <c r="C773" s="1271">
        <v>1977</v>
      </c>
      <c r="D773" s="1271"/>
      <c r="E773" s="1271" t="s">
        <v>218</v>
      </c>
      <c r="F773" s="1271">
        <v>5</v>
      </c>
      <c r="G773" s="1271">
        <v>6</v>
      </c>
      <c r="H773" s="1033">
        <v>5003.7</v>
      </c>
      <c r="I773" s="1033">
        <v>4552.5</v>
      </c>
      <c r="J773" s="1033">
        <v>4461.8</v>
      </c>
      <c r="K773" s="987">
        <v>191</v>
      </c>
      <c r="L773" s="1231">
        <v>21208937</v>
      </c>
      <c r="M773" s="1231">
        <v>0</v>
      </c>
      <c r="N773" s="1231">
        <v>0</v>
      </c>
      <c r="O773" s="1231">
        <v>21208937</v>
      </c>
      <c r="P773" s="1070">
        <v>0</v>
      </c>
      <c r="Q773" s="1070">
        <v>0</v>
      </c>
      <c r="R773" s="1033">
        <f t="shared" si="272"/>
        <v>4658.7450851180674</v>
      </c>
      <c r="S773" s="1271">
        <v>2022</v>
      </c>
      <c r="T773" s="1071" t="s">
        <v>1433</v>
      </c>
    </row>
    <row r="774" spans="1:20" s="992" customFormat="1" ht="40.15" customHeight="1">
      <c r="A774" s="1271">
        <v>8</v>
      </c>
      <c r="B774" s="1272" t="s">
        <v>264</v>
      </c>
      <c r="C774" s="1271">
        <v>1950</v>
      </c>
      <c r="D774" s="1271"/>
      <c r="E774" s="1271" t="s">
        <v>823</v>
      </c>
      <c r="F774" s="1271">
        <v>2</v>
      </c>
      <c r="G774" s="1271">
        <v>3</v>
      </c>
      <c r="H774" s="1033">
        <v>1372.8</v>
      </c>
      <c r="I774" s="1033">
        <v>1247.4000000000001</v>
      </c>
      <c r="J774" s="1033">
        <v>1028.0999999999999</v>
      </c>
      <c r="K774" s="987">
        <v>71</v>
      </c>
      <c r="L774" s="1240">
        <v>5062332.3899999997</v>
      </c>
      <c r="M774" s="1231">
        <v>0</v>
      </c>
      <c r="N774" s="1231">
        <v>0</v>
      </c>
      <c r="O774" s="1240">
        <v>5062332.3899999997</v>
      </c>
      <c r="P774" s="1070">
        <v>0</v>
      </c>
      <c r="Q774" s="1070">
        <v>0</v>
      </c>
      <c r="R774" s="1033">
        <f t="shared" si="272"/>
        <v>4058.3071909571904</v>
      </c>
      <c r="S774" s="1271">
        <v>2022</v>
      </c>
      <c r="T774" s="1071" t="s">
        <v>1433</v>
      </c>
    </row>
    <row r="775" spans="1:20" s="1017" customFormat="1" ht="37.9" customHeight="1">
      <c r="A775" s="1271">
        <v>9</v>
      </c>
      <c r="B775" s="1272" t="s">
        <v>1601</v>
      </c>
      <c r="C775" s="1271">
        <v>1974</v>
      </c>
      <c r="D775" s="1271"/>
      <c r="E775" s="1271" t="s">
        <v>219</v>
      </c>
      <c r="F775" s="1271">
        <v>9</v>
      </c>
      <c r="G775" s="1271">
        <v>6</v>
      </c>
      <c r="H775" s="1033">
        <v>13115.8</v>
      </c>
      <c r="I775" s="1033">
        <v>11200</v>
      </c>
      <c r="J775" s="1033">
        <v>10798.94</v>
      </c>
      <c r="K775" s="987">
        <v>491</v>
      </c>
      <c r="L775" s="1240">
        <v>47947227.060000002</v>
      </c>
      <c r="M775" s="1231">
        <v>0</v>
      </c>
      <c r="N775" s="1231">
        <v>0</v>
      </c>
      <c r="O775" s="1240">
        <v>47947227.060000002</v>
      </c>
      <c r="P775" s="1070">
        <v>0</v>
      </c>
      <c r="Q775" s="1070">
        <v>0</v>
      </c>
      <c r="R775" s="1033">
        <f t="shared" si="272"/>
        <v>4281.0024160714283</v>
      </c>
      <c r="S775" s="1271">
        <v>2022</v>
      </c>
      <c r="T775" s="1071" t="s">
        <v>1433</v>
      </c>
    </row>
    <row r="776" spans="1:20" s="1017" customFormat="1" ht="43.15" customHeight="1">
      <c r="A776" s="1271">
        <v>10</v>
      </c>
      <c r="B776" s="1272" t="s">
        <v>1763</v>
      </c>
      <c r="C776" s="1271">
        <v>1972</v>
      </c>
      <c r="D776" s="1271"/>
      <c r="E776" s="1271" t="s">
        <v>219</v>
      </c>
      <c r="F776" s="1271">
        <v>5</v>
      </c>
      <c r="G776" s="1271">
        <v>8</v>
      </c>
      <c r="H776" s="1033">
        <v>6342.7</v>
      </c>
      <c r="I776" s="1033">
        <v>5742.4</v>
      </c>
      <c r="J776" s="1033">
        <v>4987.5</v>
      </c>
      <c r="K776" s="987">
        <v>252</v>
      </c>
      <c r="L776" s="1070">
        <v>15399460</v>
      </c>
      <c r="M776" s="1070">
        <v>0</v>
      </c>
      <c r="N776" s="1070">
        <v>0</v>
      </c>
      <c r="O776" s="1070">
        <v>15399460</v>
      </c>
      <c r="P776" s="1070">
        <v>0</v>
      </c>
      <c r="Q776" s="1070">
        <v>0</v>
      </c>
      <c r="R776" s="1033">
        <f t="shared" si="272"/>
        <v>2681.7114795207581</v>
      </c>
      <c r="S776" s="1271">
        <v>2022</v>
      </c>
      <c r="T776" s="1071" t="s">
        <v>1433</v>
      </c>
    </row>
    <row r="777" spans="1:20" s="1017" customFormat="1" ht="42.6" customHeight="1">
      <c r="A777" s="1271">
        <v>11</v>
      </c>
      <c r="B777" s="1272" t="s">
        <v>1602</v>
      </c>
      <c r="C777" s="1271">
        <v>1958</v>
      </c>
      <c r="D777" s="1271"/>
      <c r="E777" s="1271" t="s">
        <v>218</v>
      </c>
      <c r="F777" s="1271">
        <v>4</v>
      </c>
      <c r="G777" s="1271">
        <v>5</v>
      </c>
      <c r="H777" s="1033">
        <v>6247.5</v>
      </c>
      <c r="I777" s="1033">
        <v>5713.3</v>
      </c>
      <c r="J777" s="1033">
        <v>3999.9</v>
      </c>
      <c r="K777" s="987">
        <v>117</v>
      </c>
      <c r="L777" s="1217">
        <v>8726101.4300000016</v>
      </c>
      <c r="M777" s="1070">
        <v>0</v>
      </c>
      <c r="N777" s="1070">
        <v>0</v>
      </c>
      <c r="O777" s="1217">
        <v>8726101.4300000016</v>
      </c>
      <c r="P777" s="1070">
        <v>0</v>
      </c>
      <c r="Q777" s="1070">
        <v>0</v>
      </c>
      <c r="R777" s="1033">
        <f t="shared" si="272"/>
        <v>1527.3312148845678</v>
      </c>
      <c r="S777" s="1271">
        <v>2022</v>
      </c>
      <c r="T777" s="1071" t="s">
        <v>1433</v>
      </c>
    </row>
    <row r="778" spans="1:20" s="1017" customFormat="1" ht="42.6" customHeight="1">
      <c r="A778" s="1271">
        <v>12</v>
      </c>
      <c r="B778" s="1272" t="s">
        <v>1603</v>
      </c>
      <c r="C778" s="1271">
        <v>1960</v>
      </c>
      <c r="D778" s="1271"/>
      <c r="E778" s="1271" t="s">
        <v>218</v>
      </c>
      <c r="F778" s="1271">
        <v>4</v>
      </c>
      <c r="G778" s="1271">
        <v>4</v>
      </c>
      <c r="H778" s="1033">
        <v>2758.7</v>
      </c>
      <c r="I778" s="1033">
        <v>2563.4</v>
      </c>
      <c r="J778" s="1033">
        <v>2405.4</v>
      </c>
      <c r="K778" s="987">
        <v>105</v>
      </c>
      <c r="L778" s="1217">
        <v>19763494.690000001</v>
      </c>
      <c r="M778" s="1070">
        <v>0</v>
      </c>
      <c r="N778" s="1070">
        <v>0</v>
      </c>
      <c r="O778" s="1217">
        <v>19763494.690000001</v>
      </c>
      <c r="P778" s="1070">
        <v>0</v>
      </c>
      <c r="Q778" s="1070">
        <v>0</v>
      </c>
      <c r="R778" s="1033">
        <f t="shared" si="272"/>
        <v>7709.8754349691817</v>
      </c>
      <c r="S778" s="1271">
        <v>2022</v>
      </c>
      <c r="T778" s="1071" t="s">
        <v>1433</v>
      </c>
    </row>
    <row r="779" spans="1:20" s="1017" customFormat="1" ht="39" customHeight="1">
      <c r="A779" s="1271">
        <v>13</v>
      </c>
      <c r="B779" s="1272" t="s">
        <v>1604</v>
      </c>
      <c r="C779" s="1271">
        <v>1973</v>
      </c>
      <c r="D779" s="1271"/>
      <c r="E779" s="1271" t="s">
        <v>219</v>
      </c>
      <c r="F779" s="1271">
        <v>5</v>
      </c>
      <c r="G779" s="1271">
        <v>4</v>
      </c>
      <c r="H779" s="1033">
        <v>3984.3</v>
      </c>
      <c r="I779" s="1033">
        <v>3386.1</v>
      </c>
      <c r="J779" s="1033">
        <v>3270.6</v>
      </c>
      <c r="K779" s="987">
        <v>68</v>
      </c>
      <c r="L779" s="1070">
        <v>10683407</v>
      </c>
      <c r="M779" s="1070">
        <v>0</v>
      </c>
      <c r="N779" s="1070">
        <v>0</v>
      </c>
      <c r="O779" s="1070">
        <v>10683407</v>
      </c>
      <c r="P779" s="1070">
        <v>0</v>
      </c>
      <c r="Q779" s="1070">
        <v>0</v>
      </c>
      <c r="R779" s="1033">
        <f t="shared" si="272"/>
        <v>3155.0772274888513</v>
      </c>
      <c r="S779" s="1271">
        <v>2022</v>
      </c>
      <c r="T779" s="1071" t="s">
        <v>1433</v>
      </c>
    </row>
    <row r="780" spans="1:20" s="1026" customFormat="1" ht="37.9" customHeight="1">
      <c r="A780" s="1271">
        <v>14</v>
      </c>
      <c r="B780" s="1272" t="s">
        <v>1605</v>
      </c>
      <c r="C780" s="1271">
        <v>1965</v>
      </c>
      <c r="D780" s="1271"/>
      <c r="E780" s="1271" t="s">
        <v>218</v>
      </c>
      <c r="F780" s="1271">
        <v>5</v>
      </c>
      <c r="G780" s="1271">
        <v>4</v>
      </c>
      <c r="H780" s="1033">
        <v>4172.8</v>
      </c>
      <c r="I780" s="1033">
        <v>3652.6</v>
      </c>
      <c r="J780" s="1033">
        <f>I780-84.2</f>
        <v>3568.4</v>
      </c>
      <c r="K780" s="987">
        <v>132</v>
      </c>
      <c r="L780" s="1217">
        <v>6953744.4100000001</v>
      </c>
      <c r="M780" s="1070">
        <v>0</v>
      </c>
      <c r="N780" s="1070">
        <v>0</v>
      </c>
      <c r="O780" s="1217">
        <v>6953744.4100000001</v>
      </c>
      <c r="P780" s="1070">
        <v>0</v>
      </c>
      <c r="Q780" s="1070">
        <v>0</v>
      </c>
      <c r="R780" s="1033">
        <f t="shared" si="272"/>
        <v>1903.7793380058042</v>
      </c>
      <c r="S780" s="1271">
        <v>2022</v>
      </c>
      <c r="T780" s="1071" t="s">
        <v>1433</v>
      </c>
    </row>
    <row r="781" spans="1:20" s="1026" customFormat="1" ht="37.9" customHeight="1">
      <c r="A781" s="1271">
        <v>15</v>
      </c>
      <c r="B781" s="1272" t="s">
        <v>1606</v>
      </c>
      <c r="C781" s="1271">
        <v>1961</v>
      </c>
      <c r="D781" s="1271"/>
      <c r="E781" s="1271" t="s">
        <v>218</v>
      </c>
      <c r="F781" s="1271">
        <v>4</v>
      </c>
      <c r="G781" s="1271">
        <v>2</v>
      </c>
      <c r="H781" s="1033">
        <v>1376</v>
      </c>
      <c r="I781" s="1033">
        <v>1278.0999999999999</v>
      </c>
      <c r="J781" s="1033">
        <v>1114.8</v>
      </c>
      <c r="K781" s="987">
        <v>46</v>
      </c>
      <c r="L781" s="1217">
        <v>4144700.6900000004</v>
      </c>
      <c r="M781" s="1070">
        <v>0</v>
      </c>
      <c r="N781" s="1070">
        <v>0</v>
      </c>
      <c r="O781" s="1217">
        <v>4144700.6900000004</v>
      </c>
      <c r="P781" s="1070">
        <v>0</v>
      </c>
      <c r="Q781" s="1070">
        <v>0</v>
      </c>
      <c r="R781" s="1033">
        <f t="shared" si="272"/>
        <v>3242.8610359126833</v>
      </c>
      <c r="S781" s="1271">
        <v>2022</v>
      </c>
      <c r="T781" s="1071" t="s">
        <v>1433</v>
      </c>
    </row>
    <row r="782" spans="1:20" s="1026" customFormat="1" ht="37.9" customHeight="1">
      <c r="A782" s="1271">
        <v>16</v>
      </c>
      <c r="B782" s="1272" t="s">
        <v>1607</v>
      </c>
      <c r="C782" s="1271">
        <v>1950</v>
      </c>
      <c r="D782" s="1271"/>
      <c r="E782" s="1271" t="s">
        <v>823</v>
      </c>
      <c r="F782" s="1271">
        <v>2</v>
      </c>
      <c r="G782" s="1271">
        <v>2</v>
      </c>
      <c r="H782" s="1033">
        <v>769.5</v>
      </c>
      <c r="I782" s="1033">
        <v>696.6</v>
      </c>
      <c r="J782" s="1033">
        <v>620.29999999999995</v>
      </c>
      <c r="K782" s="987">
        <v>45</v>
      </c>
      <c r="L782" s="1217">
        <v>4677348.3299999991</v>
      </c>
      <c r="M782" s="1070">
        <v>0</v>
      </c>
      <c r="N782" s="1070">
        <v>0</v>
      </c>
      <c r="O782" s="1217">
        <v>4677348.3299999991</v>
      </c>
      <c r="P782" s="1070">
        <v>0</v>
      </c>
      <c r="Q782" s="1070">
        <v>0</v>
      </c>
      <c r="R782" s="1033">
        <f t="shared" si="272"/>
        <v>6714.5396640826857</v>
      </c>
      <c r="S782" s="1271">
        <v>2022</v>
      </c>
      <c r="T782" s="1071" t="s">
        <v>1433</v>
      </c>
    </row>
    <row r="783" spans="1:20" s="1026" customFormat="1" ht="37.9" customHeight="1">
      <c r="A783" s="1271">
        <v>17</v>
      </c>
      <c r="B783" s="1272" t="s">
        <v>1608</v>
      </c>
      <c r="C783" s="1271">
        <v>1963</v>
      </c>
      <c r="D783" s="1271"/>
      <c r="E783" s="1271" t="s">
        <v>218</v>
      </c>
      <c r="F783" s="1271">
        <v>4</v>
      </c>
      <c r="G783" s="1271">
        <v>4</v>
      </c>
      <c r="H783" s="1033">
        <v>1911.1</v>
      </c>
      <c r="I783" s="1033">
        <v>1500.1</v>
      </c>
      <c r="J783" s="1033">
        <v>2256.6</v>
      </c>
      <c r="K783" s="987">
        <v>95</v>
      </c>
      <c r="L783" s="1070">
        <v>13906531</v>
      </c>
      <c r="M783" s="1070">
        <v>0</v>
      </c>
      <c r="N783" s="1070">
        <v>0</v>
      </c>
      <c r="O783" s="1070">
        <v>13906531</v>
      </c>
      <c r="P783" s="1070">
        <v>0</v>
      </c>
      <c r="Q783" s="1070">
        <v>0</v>
      </c>
      <c r="R783" s="1033">
        <f t="shared" si="272"/>
        <v>9270.402639824013</v>
      </c>
      <c r="S783" s="1271">
        <v>2022</v>
      </c>
      <c r="T783" s="1071" t="s">
        <v>1433</v>
      </c>
    </row>
    <row r="784" spans="1:20" s="1026" customFormat="1" ht="37.9" customHeight="1">
      <c r="A784" s="1271">
        <v>18</v>
      </c>
      <c r="B784" s="1272" t="s">
        <v>294</v>
      </c>
      <c r="C784" s="1271">
        <v>1960</v>
      </c>
      <c r="D784" s="1271"/>
      <c r="E784" s="1271" t="s">
        <v>218</v>
      </c>
      <c r="F784" s="1271">
        <v>5</v>
      </c>
      <c r="G784" s="1271">
        <v>2</v>
      </c>
      <c r="H784" s="1033">
        <v>1748.6</v>
      </c>
      <c r="I784" s="1033">
        <v>1625.2</v>
      </c>
      <c r="J784" s="1033">
        <v>1172</v>
      </c>
      <c r="K784" s="987">
        <v>79</v>
      </c>
      <c r="L784" s="1217">
        <v>4673677.9400000004</v>
      </c>
      <c r="M784" s="1070">
        <v>0</v>
      </c>
      <c r="N784" s="1070">
        <v>0</v>
      </c>
      <c r="O784" s="1217">
        <v>4673677.9400000004</v>
      </c>
      <c r="P784" s="1070">
        <v>0</v>
      </c>
      <c r="Q784" s="1070">
        <v>0</v>
      </c>
      <c r="R784" s="1033">
        <f t="shared" si="272"/>
        <v>2875.7555623923213</v>
      </c>
      <c r="S784" s="1271">
        <v>2022</v>
      </c>
      <c r="T784" s="1071" t="s">
        <v>1433</v>
      </c>
    </row>
    <row r="785" spans="1:20" s="1026" customFormat="1" ht="37.9" customHeight="1">
      <c r="A785" s="1271">
        <v>19</v>
      </c>
      <c r="B785" s="1272" t="s">
        <v>1609</v>
      </c>
      <c r="C785" s="1271">
        <v>1997</v>
      </c>
      <c r="D785" s="1271"/>
      <c r="E785" s="1271" t="s">
        <v>219</v>
      </c>
      <c r="F785" s="1271">
        <v>10</v>
      </c>
      <c r="G785" s="1271">
        <v>4</v>
      </c>
      <c r="H785" s="1033">
        <v>9952.9</v>
      </c>
      <c r="I785" s="1033">
        <v>8939.5</v>
      </c>
      <c r="J785" s="1033">
        <v>8298</v>
      </c>
      <c r="K785" s="987">
        <v>370</v>
      </c>
      <c r="L785" s="1217">
        <v>20220646.82</v>
      </c>
      <c r="M785" s="1070">
        <v>0</v>
      </c>
      <c r="N785" s="1070">
        <v>0</v>
      </c>
      <c r="O785" s="1217">
        <v>20220646.82</v>
      </c>
      <c r="P785" s="1070">
        <v>0</v>
      </c>
      <c r="Q785" s="1070">
        <v>0</v>
      </c>
      <c r="R785" s="1033">
        <f t="shared" si="272"/>
        <v>2261.9438245986912</v>
      </c>
      <c r="S785" s="1271">
        <v>2022</v>
      </c>
      <c r="T785" s="1071" t="s">
        <v>1433</v>
      </c>
    </row>
    <row r="786" spans="1:20" s="1026" customFormat="1" ht="37.9" customHeight="1">
      <c r="A786" s="1271">
        <v>20</v>
      </c>
      <c r="B786" s="1272" t="s">
        <v>1610</v>
      </c>
      <c r="C786" s="1271">
        <v>1965</v>
      </c>
      <c r="D786" s="1271"/>
      <c r="E786" s="1271" t="s">
        <v>218</v>
      </c>
      <c r="F786" s="1271">
        <v>5</v>
      </c>
      <c r="G786" s="1271">
        <v>2</v>
      </c>
      <c r="H786" s="1033">
        <v>1746.3</v>
      </c>
      <c r="I786" s="1033">
        <v>1592.2</v>
      </c>
      <c r="J786" s="1033">
        <v>504.4</v>
      </c>
      <c r="K786" s="987">
        <v>84</v>
      </c>
      <c r="L786" s="1070">
        <v>8026342</v>
      </c>
      <c r="M786" s="1070">
        <v>0</v>
      </c>
      <c r="N786" s="1070">
        <v>0</v>
      </c>
      <c r="O786" s="1070">
        <v>8026342</v>
      </c>
      <c r="P786" s="1070">
        <v>0</v>
      </c>
      <c r="Q786" s="1070">
        <v>0</v>
      </c>
      <c r="R786" s="1033">
        <f t="shared" si="272"/>
        <v>5041.0388142193187</v>
      </c>
      <c r="S786" s="1271">
        <v>2022</v>
      </c>
      <c r="T786" s="1071" t="s">
        <v>1433</v>
      </c>
    </row>
    <row r="787" spans="1:20" s="1026" customFormat="1" ht="37.9" customHeight="1">
      <c r="A787" s="1271">
        <v>21</v>
      </c>
      <c r="B787" s="1272" t="s">
        <v>1998</v>
      </c>
      <c r="C787" s="1271">
        <v>1950</v>
      </c>
      <c r="D787" s="1271"/>
      <c r="E787" s="1271" t="s">
        <v>823</v>
      </c>
      <c r="F787" s="1271">
        <v>2</v>
      </c>
      <c r="G787" s="1271">
        <v>2</v>
      </c>
      <c r="H787" s="1033">
        <v>799.3</v>
      </c>
      <c r="I787" s="1033">
        <v>722.8</v>
      </c>
      <c r="J787" s="1033">
        <v>543.20000000000005</v>
      </c>
      <c r="K787" s="987">
        <v>39</v>
      </c>
      <c r="L787" s="1217">
        <v>4238101.29</v>
      </c>
      <c r="M787" s="1070">
        <v>0</v>
      </c>
      <c r="N787" s="1070">
        <v>0</v>
      </c>
      <c r="O787" s="1217">
        <v>4238101.29</v>
      </c>
      <c r="P787" s="1070">
        <v>0</v>
      </c>
      <c r="Q787" s="1070">
        <v>0</v>
      </c>
      <c r="R787" s="1033">
        <f t="shared" si="272"/>
        <v>5863.4494881018263</v>
      </c>
      <c r="S787" s="1271">
        <v>2022</v>
      </c>
      <c r="T787" s="1071" t="s">
        <v>1433</v>
      </c>
    </row>
    <row r="788" spans="1:20" s="1026" customFormat="1" ht="37.9" customHeight="1">
      <c r="A788" s="1271">
        <v>22</v>
      </c>
      <c r="B788" s="1272" t="s">
        <v>2662</v>
      </c>
      <c r="C788" s="1279">
        <v>1953</v>
      </c>
      <c r="D788" s="1271"/>
      <c r="E788" s="1271" t="s">
        <v>218</v>
      </c>
      <c r="F788" s="1279">
        <v>2</v>
      </c>
      <c r="G788" s="1279">
        <v>2</v>
      </c>
      <c r="H788" s="1078">
        <v>697.1</v>
      </c>
      <c r="I788" s="1078">
        <v>627</v>
      </c>
      <c r="J788" s="1078">
        <v>607.70000000000005</v>
      </c>
      <c r="K788" s="1064">
        <v>42</v>
      </c>
      <c r="L788" s="1241">
        <v>6693380.4100000001</v>
      </c>
      <c r="M788" s="1070">
        <v>0</v>
      </c>
      <c r="N788" s="1070">
        <v>0</v>
      </c>
      <c r="O788" s="1241">
        <f t="shared" ref="O788:O796" si="273">L788</f>
        <v>6693380.4100000001</v>
      </c>
      <c r="P788" s="1070">
        <v>0</v>
      </c>
      <c r="Q788" s="1070">
        <v>0</v>
      </c>
      <c r="R788" s="1033">
        <f t="shared" ref="R788:R796" si="274">L788/I788</f>
        <v>10675.247862838916</v>
      </c>
      <c r="S788" s="1271">
        <v>2022</v>
      </c>
      <c r="T788" s="1071" t="s">
        <v>1433</v>
      </c>
    </row>
    <row r="789" spans="1:20" s="1026" customFormat="1" ht="37.9" customHeight="1">
      <c r="A789" s="1271">
        <v>23</v>
      </c>
      <c r="B789" s="1272" t="s">
        <v>1491</v>
      </c>
      <c r="C789" s="1279">
        <v>1957</v>
      </c>
      <c r="D789" s="1271"/>
      <c r="E789" s="1271" t="s">
        <v>218</v>
      </c>
      <c r="F789" s="1279">
        <v>4</v>
      </c>
      <c r="G789" s="1279">
        <v>4</v>
      </c>
      <c r="H789" s="1078">
        <v>3324.7</v>
      </c>
      <c r="I789" s="1078">
        <v>2981.4</v>
      </c>
      <c r="J789" s="1078">
        <v>2981.4</v>
      </c>
      <c r="K789" s="1064">
        <v>132</v>
      </c>
      <c r="L789" s="1241">
        <v>14422791.780000001</v>
      </c>
      <c r="M789" s="1070">
        <v>0</v>
      </c>
      <c r="N789" s="1070">
        <v>0</v>
      </c>
      <c r="O789" s="1241">
        <f>L789</f>
        <v>14422791.780000001</v>
      </c>
      <c r="P789" s="1070">
        <v>0</v>
      </c>
      <c r="Q789" s="1070">
        <v>0</v>
      </c>
      <c r="R789" s="1033">
        <f t="shared" si="274"/>
        <v>4837.5903199839004</v>
      </c>
      <c r="S789" s="1271">
        <v>2022</v>
      </c>
      <c r="T789" s="1071" t="s">
        <v>1433</v>
      </c>
    </row>
    <row r="790" spans="1:20" s="1026" customFormat="1" ht="37.9" customHeight="1">
      <c r="A790" s="1271">
        <v>24</v>
      </c>
      <c r="B790" s="1272" t="s">
        <v>2663</v>
      </c>
      <c r="C790" s="1279">
        <v>1951</v>
      </c>
      <c r="D790" s="1271"/>
      <c r="E790" s="1271" t="s">
        <v>218</v>
      </c>
      <c r="F790" s="1279">
        <v>2</v>
      </c>
      <c r="G790" s="1279">
        <v>3</v>
      </c>
      <c r="H790" s="1078">
        <v>1530.1</v>
      </c>
      <c r="I790" s="1078">
        <v>1366.3</v>
      </c>
      <c r="J790" s="1078">
        <v>1366.3</v>
      </c>
      <c r="K790" s="1064">
        <v>52</v>
      </c>
      <c r="L790" s="1241">
        <v>23954372.220000003</v>
      </c>
      <c r="M790" s="1070">
        <v>0</v>
      </c>
      <c r="N790" s="1070">
        <v>0</v>
      </c>
      <c r="O790" s="1241">
        <f t="shared" si="273"/>
        <v>23954372.220000003</v>
      </c>
      <c r="P790" s="1070">
        <v>0</v>
      </c>
      <c r="Q790" s="1070">
        <v>0</v>
      </c>
      <c r="R790" s="1033">
        <f t="shared" si="274"/>
        <v>17532.293215252874</v>
      </c>
      <c r="S790" s="1271">
        <v>2022</v>
      </c>
      <c r="T790" s="1071" t="s">
        <v>1433</v>
      </c>
    </row>
    <row r="791" spans="1:20" s="1026" customFormat="1" ht="37.9" customHeight="1">
      <c r="A791" s="1271">
        <v>25</v>
      </c>
      <c r="B791" s="1272" t="s">
        <v>2664</v>
      </c>
      <c r="C791" s="1279">
        <v>1956</v>
      </c>
      <c r="D791" s="1271"/>
      <c r="E791" s="1271" t="s">
        <v>218</v>
      </c>
      <c r="F791" s="1279">
        <v>2</v>
      </c>
      <c r="G791" s="1279">
        <v>2</v>
      </c>
      <c r="H791" s="1078">
        <v>430.6</v>
      </c>
      <c r="I791" s="1078">
        <v>385.8</v>
      </c>
      <c r="J791" s="1078">
        <v>365.4</v>
      </c>
      <c r="K791" s="1064">
        <v>36</v>
      </c>
      <c r="L791" s="1241">
        <v>2470545.9299999997</v>
      </c>
      <c r="M791" s="1070">
        <v>0</v>
      </c>
      <c r="N791" s="1070">
        <v>0</v>
      </c>
      <c r="O791" s="1241">
        <f t="shared" si="273"/>
        <v>2470545.9299999997</v>
      </c>
      <c r="P791" s="1070">
        <v>0</v>
      </c>
      <c r="Q791" s="1070">
        <v>0</v>
      </c>
      <c r="R791" s="1033">
        <f t="shared" si="274"/>
        <v>6403.6960342146176</v>
      </c>
      <c r="S791" s="1271">
        <v>2022</v>
      </c>
      <c r="T791" s="1071" t="s">
        <v>1433</v>
      </c>
    </row>
    <row r="792" spans="1:20" s="1026" customFormat="1" ht="37.9" customHeight="1">
      <c r="A792" s="1271">
        <v>26</v>
      </c>
      <c r="B792" s="1272" t="s">
        <v>1461</v>
      </c>
      <c r="C792" s="1279">
        <v>1972</v>
      </c>
      <c r="D792" s="1271"/>
      <c r="E792" s="1271" t="s">
        <v>218</v>
      </c>
      <c r="F792" s="1279">
        <v>5</v>
      </c>
      <c r="G792" s="1279">
        <v>4</v>
      </c>
      <c r="H792" s="1078">
        <v>3679.4</v>
      </c>
      <c r="I792" s="1078">
        <v>3386.1</v>
      </c>
      <c r="J792" s="1078">
        <v>3022.9</v>
      </c>
      <c r="K792" s="1064">
        <v>70</v>
      </c>
      <c r="L792" s="1241">
        <v>24976164.309999999</v>
      </c>
      <c r="M792" s="1070">
        <v>0</v>
      </c>
      <c r="N792" s="1070">
        <v>0</v>
      </c>
      <c r="O792" s="1241">
        <f t="shared" si="273"/>
        <v>24976164.309999999</v>
      </c>
      <c r="P792" s="1070">
        <v>0</v>
      </c>
      <c r="Q792" s="1070">
        <v>0</v>
      </c>
      <c r="R792" s="1033">
        <f t="shared" si="274"/>
        <v>7376.0858539322526</v>
      </c>
      <c r="S792" s="1271">
        <v>2022</v>
      </c>
      <c r="T792" s="1071" t="s">
        <v>1433</v>
      </c>
    </row>
    <row r="793" spans="1:20" s="1026" customFormat="1" ht="37.9" customHeight="1">
      <c r="A793" s="1271">
        <v>27</v>
      </c>
      <c r="B793" s="1272" t="s">
        <v>1561</v>
      </c>
      <c r="C793" s="1279">
        <v>1959</v>
      </c>
      <c r="D793" s="1271"/>
      <c r="E793" s="1271" t="s">
        <v>218</v>
      </c>
      <c r="F793" s="1279">
        <v>2</v>
      </c>
      <c r="G793" s="1279">
        <v>2</v>
      </c>
      <c r="H793" s="1078">
        <v>675.3</v>
      </c>
      <c r="I793" s="1078">
        <v>628.20000000000005</v>
      </c>
      <c r="J793" s="1078">
        <v>588.29999999999995</v>
      </c>
      <c r="K793" s="1064">
        <v>32</v>
      </c>
      <c r="L793" s="1241">
        <v>3598920.2600000002</v>
      </c>
      <c r="M793" s="1070">
        <v>0</v>
      </c>
      <c r="N793" s="1070">
        <v>0</v>
      </c>
      <c r="O793" s="1241">
        <f t="shared" si="273"/>
        <v>3598920.2600000002</v>
      </c>
      <c r="P793" s="1070">
        <v>0</v>
      </c>
      <c r="Q793" s="1070">
        <v>0</v>
      </c>
      <c r="R793" s="1033">
        <f t="shared" si="274"/>
        <v>5728.9402419611588</v>
      </c>
      <c r="S793" s="1271">
        <v>2022</v>
      </c>
      <c r="T793" s="1071" t="s">
        <v>1433</v>
      </c>
    </row>
    <row r="794" spans="1:20" s="1026" customFormat="1" ht="37.9" customHeight="1">
      <c r="A794" s="1271">
        <v>28</v>
      </c>
      <c r="B794" s="1272" t="s">
        <v>1551</v>
      </c>
      <c r="C794" s="1279">
        <v>1973</v>
      </c>
      <c r="D794" s="1271"/>
      <c r="E794" s="1271" t="s">
        <v>218</v>
      </c>
      <c r="F794" s="1279">
        <v>5</v>
      </c>
      <c r="G794" s="1279">
        <v>1</v>
      </c>
      <c r="H794" s="1078">
        <v>2502.5</v>
      </c>
      <c r="I794" s="1078">
        <v>1954.5</v>
      </c>
      <c r="J794" s="1078">
        <v>1830.2</v>
      </c>
      <c r="K794" s="1064">
        <v>143</v>
      </c>
      <c r="L794" s="1241">
        <v>15068524.040000001</v>
      </c>
      <c r="M794" s="1070">
        <v>0</v>
      </c>
      <c r="N794" s="1070">
        <v>0</v>
      </c>
      <c r="O794" s="1241">
        <f t="shared" si="273"/>
        <v>15068524.040000001</v>
      </c>
      <c r="P794" s="1070">
        <v>0</v>
      </c>
      <c r="Q794" s="1070">
        <v>0</v>
      </c>
      <c r="R794" s="1033">
        <f t="shared" si="274"/>
        <v>7709.6567101560504</v>
      </c>
      <c r="S794" s="1271">
        <v>2022</v>
      </c>
      <c r="T794" s="1071" t="s">
        <v>1433</v>
      </c>
    </row>
    <row r="795" spans="1:20" s="1026" customFormat="1" ht="37.9" customHeight="1">
      <c r="A795" s="1271">
        <v>29</v>
      </c>
      <c r="B795" s="1272" t="s">
        <v>2665</v>
      </c>
      <c r="C795" s="1279">
        <v>1969</v>
      </c>
      <c r="D795" s="1271"/>
      <c r="E795" s="1271" t="s">
        <v>218</v>
      </c>
      <c r="F795" s="1279">
        <v>4</v>
      </c>
      <c r="G795" s="1279">
        <v>2</v>
      </c>
      <c r="H795" s="1078">
        <v>1372.1</v>
      </c>
      <c r="I795" s="1078">
        <v>1275</v>
      </c>
      <c r="J795" s="1078">
        <v>1275</v>
      </c>
      <c r="K795" s="1064">
        <v>82</v>
      </c>
      <c r="L795" s="1241">
        <v>7601577.0300000003</v>
      </c>
      <c r="M795" s="1070">
        <v>0</v>
      </c>
      <c r="N795" s="1070">
        <v>0</v>
      </c>
      <c r="O795" s="1241">
        <f t="shared" si="273"/>
        <v>7601577.0300000003</v>
      </c>
      <c r="P795" s="1070">
        <v>0</v>
      </c>
      <c r="Q795" s="1070">
        <v>0</v>
      </c>
      <c r="R795" s="1033">
        <f t="shared" si="274"/>
        <v>5962.0212000000001</v>
      </c>
      <c r="S795" s="1271">
        <v>2022</v>
      </c>
      <c r="T795" s="1071" t="s">
        <v>1433</v>
      </c>
    </row>
    <row r="796" spans="1:20" s="1026" customFormat="1" ht="37.9" customHeight="1">
      <c r="A796" s="1271">
        <v>30</v>
      </c>
      <c r="B796" s="1272" t="s">
        <v>1567</v>
      </c>
      <c r="C796" s="1279">
        <v>1960</v>
      </c>
      <c r="D796" s="1271"/>
      <c r="E796" s="1271" t="s">
        <v>823</v>
      </c>
      <c r="F796" s="1279">
        <v>3</v>
      </c>
      <c r="G796" s="1279">
        <v>2</v>
      </c>
      <c r="H796" s="1078">
        <v>830.8</v>
      </c>
      <c r="I796" s="1078">
        <v>756.5</v>
      </c>
      <c r="J796" s="1078">
        <v>714.7</v>
      </c>
      <c r="K796" s="1064">
        <v>26</v>
      </c>
      <c r="L796" s="1241">
        <v>2716601.3400000003</v>
      </c>
      <c r="M796" s="1070">
        <v>0</v>
      </c>
      <c r="N796" s="1070">
        <v>0</v>
      </c>
      <c r="O796" s="1241">
        <f t="shared" si="273"/>
        <v>2716601.3400000003</v>
      </c>
      <c r="P796" s="1070">
        <v>0</v>
      </c>
      <c r="Q796" s="1070">
        <v>0</v>
      </c>
      <c r="R796" s="1033">
        <f t="shared" si="274"/>
        <v>3591.0130072703241</v>
      </c>
      <c r="S796" s="1271">
        <v>2022</v>
      </c>
      <c r="T796" s="1071" t="s">
        <v>1433</v>
      </c>
    </row>
    <row r="797" spans="1:20" s="1026" customFormat="1" ht="37.9" customHeight="1">
      <c r="A797" s="1271"/>
      <c r="B797" s="1392" t="s">
        <v>1393</v>
      </c>
      <c r="C797" s="1392"/>
      <c r="D797" s="1392"/>
      <c r="E797" s="1392"/>
      <c r="F797" s="1392"/>
      <c r="G797" s="1392"/>
      <c r="H797" s="993">
        <f t="shared" ref="H797:Q797" si="275">H798+H799+H800+H801+H802+H803+H804+H805+H806+H807+H808+H809+H810+H811+H812+H813+H814+H815</f>
        <v>27708.889999999996</v>
      </c>
      <c r="I797" s="993">
        <f t="shared" si="275"/>
        <v>26533.059999999998</v>
      </c>
      <c r="J797" s="993">
        <f t="shared" si="275"/>
        <v>18747</v>
      </c>
      <c r="K797" s="987">
        <f t="shared" si="275"/>
        <v>1126</v>
      </c>
      <c r="L797" s="993">
        <f t="shared" si="275"/>
        <v>46355676.599999994</v>
      </c>
      <c r="M797" s="993">
        <f t="shared" si="275"/>
        <v>0</v>
      </c>
      <c r="N797" s="993">
        <f t="shared" si="275"/>
        <v>0</v>
      </c>
      <c r="O797" s="993">
        <f t="shared" si="275"/>
        <v>46355676.599999994</v>
      </c>
      <c r="P797" s="993">
        <f t="shared" si="275"/>
        <v>0</v>
      </c>
      <c r="Q797" s="993">
        <f t="shared" si="275"/>
        <v>0</v>
      </c>
      <c r="R797" s="991" t="s">
        <v>40</v>
      </c>
      <c r="S797" s="991" t="s">
        <v>40</v>
      </c>
      <c r="T797" s="991" t="s">
        <v>40</v>
      </c>
    </row>
    <row r="798" spans="1:20" s="1026" customFormat="1" ht="41.45" customHeight="1">
      <c r="A798" s="1031">
        <v>31</v>
      </c>
      <c r="B798" s="1041" t="s">
        <v>2116</v>
      </c>
      <c r="C798" s="1032">
        <v>1961</v>
      </c>
      <c r="D798" s="1032"/>
      <c r="E798" s="1271" t="s">
        <v>218</v>
      </c>
      <c r="F798" s="1032">
        <v>3</v>
      </c>
      <c r="G798" s="1032">
        <v>3</v>
      </c>
      <c r="H798" s="1037">
        <v>1481.3</v>
      </c>
      <c r="I798" s="1037">
        <v>1481.3</v>
      </c>
      <c r="J798" s="1037">
        <v>1069.6400000000001</v>
      </c>
      <c r="K798" s="1068">
        <v>56</v>
      </c>
      <c r="L798" s="1037">
        <v>3498474.04</v>
      </c>
      <c r="M798" s="986">
        <v>0</v>
      </c>
      <c r="N798" s="986">
        <v>0</v>
      </c>
      <c r="O798" s="1037">
        <f>L798</f>
        <v>3498474.04</v>
      </c>
      <c r="P798" s="986">
        <v>0</v>
      </c>
      <c r="Q798" s="986">
        <v>0</v>
      </c>
      <c r="R798" s="1037">
        <f>L798/I798</f>
        <v>2361.7592925133331</v>
      </c>
      <c r="S798" s="1032">
        <v>2022</v>
      </c>
      <c r="T798" s="1032">
        <v>2022</v>
      </c>
    </row>
    <row r="799" spans="1:20" s="1026" customFormat="1" ht="42" customHeight="1">
      <c r="A799" s="1031">
        <v>32</v>
      </c>
      <c r="B799" s="1041" t="s">
        <v>2916</v>
      </c>
      <c r="C799" s="1032">
        <v>1966</v>
      </c>
      <c r="D799" s="1032"/>
      <c r="E799" s="1271" t="s">
        <v>218</v>
      </c>
      <c r="F799" s="1032">
        <v>5</v>
      </c>
      <c r="G799" s="1032">
        <v>4</v>
      </c>
      <c r="H799" s="1037">
        <v>3238.8</v>
      </c>
      <c r="I799" s="1037">
        <v>3238.8</v>
      </c>
      <c r="J799" s="1037">
        <v>2190.0700000000002</v>
      </c>
      <c r="K799" s="1068">
        <v>135</v>
      </c>
      <c r="L799" s="1037">
        <v>3480854.04</v>
      </c>
      <c r="M799" s="986">
        <v>0</v>
      </c>
      <c r="N799" s="986">
        <v>0</v>
      </c>
      <c r="O799" s="1037">
        <f t="shared" ref="O799:O815" si="276">L799</f>
        <v>3480854.04</v>
      </c>
      <c r="P799" s="986">
        <v>0</v>
      </c>
      <c r="Q799" s="986">
        <v>0</v>
      </c>
      <c r="R799" s="1037">
        <f t="shared" ref="R799:R808" si="277">L799/I799</f>
        <v>1074.735716932197</v>
      </c>
      <c r="S799" s="1032">
        <v>2022</v>
      </c>
      <c r="T799" s="1032">
        <v>2022</v>
      </c>
    </row>
    <row r="800" spans="1:20" s="1017" customFormat="1" ht="42" customHeight="1">
      <c r="A800" s="1031">
        <v>33</v>
      </c>
      <c r="B800" s="1041" t="s">
        <v>2917</v>
      </c>
      <c r="C800" s="1032">
        <v>1985</v>
      </c>
      <c r="D800" s="1032"/>
      <c r="E800" s="1271" t="s">
        <v>218</v>
      </c>
      <c r="F800" s="1032">
        <v>5</v>
      </c>
      <c r="G800" s="1032">
        <v>2</v>
      </c>
      <c r="H800" s="1037">
        <v>1480.7</v>
      </c>
      <c r="I800" s="1037">
        <v>1480.7</v>
      </c>
      <c r="J800" s="1037">
        <v>1285.24</v>
      </c>
      <c r="K800" s="1068">
        <v>59</v>
      </c>
      <c r="L800" s="1037">
        <v>1669526.35</v>
      </c>
      <c r="M800" s="986">
        <v>0</v>
      </c>
      <c r="N800" s="986">
        <v>0</v>
      </c>
      <c r="O800" s="1037">
        <f t="shared" si="276"/>
        <v>1669526.35</v>
      </c>
      <c r="P800" s="986">
        <v>0</v>
      </c>
      <c r="Q800" s="986">
        <v>0</v>
      </c>
      <c r="R800" s="1037">
        <f t="shared" si="277"/>
        <v>1127.5250557168906</v>
      </c>
      <c r="S800" s="1032">
        <v>2022</v>
      </c>
      <c r="T800" s="1032">
        <v>2022</v>
      </c>
    </row>
    <row r="801" spans="1:20" s="1017" customFormat="1" ht="42" customHeight="1">
      <c r="A801" s="1031">
        <v>34</v>
      </c>
      <c r="B801" s="1041" t="s">
        <v>2918</v>
      </c>
      <c r="C801" s="1032">
        <v>1958</v>
      </c>
      <c r="D801" s="1032"/>
      <c r="E801" s="1271" t="s">
        <v>218</v>
      </c>
      <c r="F801" s="1032">
        <v>2</v>
      </c>
      <c r="G801" s="1032">
        <v>4</v>
      </c>
      <c r="H801" s="1037">
        <v>1207.3</v>
      </c>
      <c r="I801" s="1037">
        <v>1207.3</v>
      </c>
      <c r="J801" s="1037">
        <v>1084.3</v>
      </c>
      <c r="K801" s="1068">
        <v>32</v>
      </c>
      <c r="L801" s="1037">
        <v>5798386.3799999999</v>
      </c>
      <c r="M801" s="986">
        <v>0</v>
      </c>
      <c r="N801" s="986">
        <v>0</v>
      </c>
      <c r="O801" s="1037">
        <f t="shared" si="276"/>
        <v>5798386.3799999999</v>
      </c>
      <c r="P801" s="986">
        <v>0</v>
      </c>
      <c r="Q801" s="986">
        <v>0</v>
      </c>
      <c r="R801" s="1037">
        <f t="shared" si="277"/>
        <v>4802.7717882879151</v>
      </c>
      <c r="S801" s="1032">
        <v>2022</v>
      </c>
      <c r="T801" s="1032">
        <v>2022</v>
      </c>
    </row>
    <row r="802" spans="1:20" s="1017" customFormat="1" ht="42" customHeight="1">
      <c r="A802" s="1031">
        <v>35</v>
      </c>
      <c r="B802" s="1041" t="s">
        <v>2919</v>
      </c>
      <c r="C802" s="1032">
        <v>1931</v>
      </c>
      <c r="D802" s="1032"/>
      <c r="E802" s="1271" t="s">
        <v>218</v>
      </c>
      <c r="F802" s="1032">
        <v>4</v>
      </c>
      <c r="G802" s="1032">
        <v>6</v>
      </c>
      <c r="H802" s="1037">
        <v>3183.9</v>
      </c>
      <c r="I802" s="1037">
        <v>2757.87</v>
      </c>
      <c r="J802" s="1037">
        <v>453.3</v>
      </c>
      <c r="K802" s="1068">
        <v>110</v>
      </c>
      <c r="L802" s="1037">
        <v>519420.24</v>
      </c>
      <c r="M802" s="986">
        <v>0</v>
      </c>
      <c r="N802" s="986">
        <v>0</v>
      </c>
      <c r="O802" s="1037">
        <f t="shared" si="276"/>
        <v>519420.24</v>
      </c>
      <c r="P802" s="986">
        <v>0</v>
      </c>
      <c r="Q802" s="986">
        <v>0</v>
      </c>
      <c r="R802" s="1037">
        <f t="shared" si="277"/>
        <v>188.34108931893093</v>
      </c>
      <c r="S802" s="1032">
        <v>2022</v>
      </c>
      <c r="T802" s="1032">
        <v>2022</v>
      </c>
    </row>
    <row r="803" spans="1:20" s="1017" customFormat="1" ht="42" customHeight="1">
      <c r="A803" s="1031">
        <v>36</v>
      </c>
      <c r="B803" s="1041" t="s">
        <v>2920</v>
      </c>
      <c r="C803" s="1032">
        <v>1923</v>
      </c>
      <c r="D803" s="1032"/>
      <c r="E803" s="1032" t="s">
        <v>221</v>
      </c>
      <c r="F803" s="1032">
        <v>2</v>
      </c>
      <c r="G803" s="1032">
        <v>2</v>
      </c>
      <c r="H803" s="1037">
        <v>413.3</v>
      </c>
      <c r="I803" s="1037">
        <v>413.3</v>
      </c>
      <c r="J803" s="1037">
        <v>413.3</v>
      </c>
      <c r="K803" s="1068">
        <v>20</v>
      </c>
      <c r="L803" s="1037">
        <v>60340</v>
      </c>
      <c r="M803" s="986">
        <v>0</v>
      </c>
      <c r="N803" s="986">
        <v>0</v>
      </c>
      <c r="O803" s="1037">
        <f t="shared" si="276"/>
        <v>60340</v>
      </c>
      <c r="P803" s="986">
        <v>0</v>
      </c>
      <c r="Q803" s="986">
        <v>0</v>
      </c>
      <c r="R803" s="1037">
        <f t="shared" si="277"/>
        <v>145.99564481006533</v>
      </c>
      <c r="S803" s="1032">
        <v>2022</v>
      </c>
      <c r="T803" s="1032">
        <v>2022</v>
      </c>
    </row>
    <row r="804" spans="1:20" s="1017" customFormat="1" ht="42" customHeight="1">
      <c r="A804" s="1031">
        <v>37</v>
      </c>
      <c r="B804" s="1272" t="s">
        <v>2924</v>
      </c>
      <c r="C804" s="1032">
        <v>1932</v>
      </c>
      <c r="D804" s="1032"/>
      <c r="E804" s="1271" t="s">
        <v>218</v>
      </c>
      <c r="F804" s="1032">
        <v>2</v>
      </c>
      <c r="G804" s="1032">
        <v>1</v>
      </c>
      <c r="H804" s="1037">
        <v>288.69</v>
      </c>
      <c r="I804" s="1037">
        <v>288.69</v>
      </c>
      <c r="J804" s="1037">
        <v>259.19</v>
      </c>
      <c r="K804" s="1068">
        <v>11</v>
      </c>
      <c r="L804" s="1037">
        <v>1230835.42</v>
      </c>
      <c r="M804" s="986">
        <v>0</v>
      </c>
      <c r="N804" s="986">
        <v>0</v>
      </c>
      <c r="O804" s="1037">
        <f t="shared" si="276"/>
        <v>1230835.42</v>
      </c>
      <c r="P804" s="986">
        <v>0</v>
      </c>
      <c r="Q804" s="986">
        <v>0</v>
      </c>
      <c r="R804" s="1037">
        <f t="shared" si="277"/>
        <v>4263.5194152897566</v>
      </c>
      <c r="S804" s="1032">
        <v>2022</v>
      </c>
      <c r="T804" s="1032">
        <v>2022</v>
      </c>
    </row>
    <row r="805" spans="1:20" s="1017" customFormat="1" ht="42" customHeight="1">
      <c r="A805" s="1031">
        <v>38</v>
      </c>
      <c r="B805" s="1272" t="s">
        <v>2623</v>
      </c>
      <c r="C805" s="1032">
        <v>1961</v>
      </c>
      <c r="D805" s="1032"/>
      <c r="E805" s="1271" t="s">
        <v>218</v>
      </c>
      <c r="F805" s="1032">
        <v>2</v>
      </c>
      <c r="G805" s="1032">
        <v>2</v>
      </c>
      <c r="H805" s="1037">
        <v>852</v>
      </c>
      <c r="I805" s="1037">
        <v>852</v>
      </c>
      <c r="J805" s="1037">
        <v>653.6</v>
      </c>
      <c r="K805" s="1068">
        <v>22</v>
      </c>
      <c r="L805" s="1037">
        <v>958754.61</v>
      </c>
      <c r="M805" s="986">
        <v>0</v>
      </c>
      <c r="N805" s="986">
        <v>0</v>
      </c>
      <c r="O805" s="1037">
        <f t="shared" si="276"/>
        <v>958754.61</v>
      </c>
      <c r="P805" s="986">
        <v>0</v>
      </c>
      <c r="Q805" s="986">
        <v>0</v>
      </c>
      <c r="R805" s="1037">
        <f t="shared" si="277"/>
        <v>1125.298838028169</v>
      </c>
      <c r="S805" s="1032">
        <v>2022</v>
      </c>
      <c r="T805" s="1032">
        <v>2022</v>
      </c>
    </row>
    <row r="806" spans="1:20" s="1017" customFormat="1" ht="42" customHeight="1">
      <c r="A806" s="1031">
        <v>39</v>
      </c>
      <c r="B806" s="1272" t="s">
        <v>2921</v>
      </c>
      <c r="C806" s="1032">
        <v>1917</v>
      </c>
      <c r="D806" s="1032"/>
      <c r="E806" s="1032" t="s">
        <v>824</v>
      </c>
      <c r="F806" s="1032">
        <v>1</v>
      </c>
      <c r="G806" s="1032">
        <v>4</v>
      </c>
      <c r="H806" s="1037">
        <v>163.80000000000001</v>
      </c>
      <c r="I806" s="1037">
        <v>163.80000000000001</v>
      </c>
      <c r="J806" s="1037">
        <v>163.80000000000001</v>
      </c>
      <c r="K806" s="1068">
        <v>17</v>
      </c>
      <c r="L806" s="1037">
        <v>1496495.31</v>
      </c>
      <c r="M806" s="986">
        <v>0</v>
      </c>
      <c r="N806" s="986">
        <v>0</v>
      </c>
      <c r="O806" s="1037">
        <f t="shared" si="276"/>
        <v>1496495.31</v>
      </c>
      <c r="P806" s="986">
        <v>0</v>
      </c>
      <c r="Q806" s="986">
        <v>0</v>
      </c>
      <c r="R806" s="1037">
        <f t="shared" si="277"/>
        <v>9136.1130036630038</v>
      </c>
      <c r="S806" s="1032">
        <v>2022</v>
      </c>
      <c r="T806" s="1032">
        <v>2022</v>
      </c>
    </row>
    <row r="807" spans="1:20" s="1017" customFormat="1" ht="42" customHeight="1">
      <c r="A807" s="1031">
        <v>40</v>
      </c>
      <c r="B807" s="1041" t="s">
        <v>2922</v>
      </c>
      <c r="C807" s="1032" t="s">
        <v>190</v>
      </c>
      <c r="D807" s="1032"/>
      <c r="E807" s="1271" t="s">
        <v>218</v>
      </c>
      <c r="F807" s="1032">
        <v>3</v>
      </c>
      <c r="G807" s="1032">
        <v>2</v>
      </c>
      <c r="H807" s="1037">
        <v>681.3</v>
      </c>
      <c r="I807" s="1037">
        <v>681.3</v>
      </c>
      <c r="J807" s="1037">
        <v>681.3</v>
      </c>
      <c r="K807" s="1068">
        <v>25</v>
      </c>
      <c r="L807" s="1037">
        <v>1961218.92</v>
      </c>
      <c r="M807" s="986">
        <v>0</v>
      </c>
      <c r="N807" s="986">
        <v>0</v>
      </c>
      <c r="O807" s="1037">
        <f t="shared" si="276"/>
        <v>1961218.92</v>
      </c>
      <c r="P807" s="986">
        <v>0</v>
      </c>
      <c r="Q807" s="986">
        <v>0</v>
      </c>
      <c r="R807" s="1037">
        <f t="shared" si="277"/>
        <v>2878.6421840598855</v>
      </c>
      <c r="S807" s="1032">
        <v>2022</v>
      </c>
      <c r="T807" s="1032">
        <v>2022</v>
      </c>
    </row>
    <row r="808" spans="1:20" s="1017" customFormat="1" ht="42" customHeight="1">
      <c r="A808" s="1031">
        <v>41</v>
      </c>
      <c r="B808" s="1041" t="s">
        <v>2923</v>
      </c>
      <c r="C808" s="1023">
        <v>1963</v>
      </c>
      <c r="D808" s="1023"/>
      <c r="E808" s="1271" t="s">
        <v>218</v>
      </c>
      <c r="F808" s="1023">
        <v>4</v>
      </c>
      <c r="G808" s="1023">
        <v>4</v>
      </c>
      <c r="H808" s="1024">
        <v>2548</v>
      </c>
      <c r="I808" s="1024">
        <v>2548</v>
      </c>
      <c r="J808" s="1024">
        <v>405.7</v>
      </c>
      <c r="K808" s="1011">
        <v>98</v>
      </c>
      <c r="L808" s="1024">
        <v>3339052.7</v>
      </c>
      <c r="M808" s="986">
        <v>0</v>
      </c>
      <c r="N808" s="986">
        <v>0</v>
      </c>
      <c r="O808" s="1037">
        <f t="shared" si="276"/>
        <v>3339052.7</v>
      </c>
      <c r="P808" s="986">
        <v>0</v>
      </c>
      <c r="Q808" s="986">
        <v>0</v>
      </c>
      <c r="R808" s="1037">
        <f t="shared" si="277"/>
        <v>1310.4602433281004</v>
      </c>
      <c r="S808" s="1032">
        <v>2022</v>
      </c>
      <c r="T808" s="1032">
        <v>2022</v>
      </c>
    </row>
    <row r="809" spans="1:20" s="1017" customFormat="1" ht="42" customHeight="1">
      <c r="A809" s="1031">
        <v>42</v>
      </c>
      <c r="B809" s="1014" t="s">
        <v>2117</v>
      </c>
      <c r="C809" s="1023">
        <v>1925</v>
      </c>
      <c r="D809" s="1023"/>
      <c r="E809" s="1032" t="s">
        <v>824</v>
      </c>
      <c r="F809" s="1023">
        <v>2</v>
      </c>
      <c r="G809" s="1023">
        <v>2</v>
      </c>
      <c r="H809" s="1024">
        <v>564.29999999999995</v>
      </c>
      <c r="I809" s="1024">
        <v>564.29999999999995</v>
      </c>
      <c r="J809" s="1024">
        <v>564.29999999999995</v>
      </c>
      <c r="K809" s="1011">
        <v>17</v>
      </c>
      <c r="L809" s="1024">
        <v>1416852.77</v>
      </c>
      <c r="M809" s="986">
        <v>0</v>
      </c>
      <c r="N809" s="986">
        <v>0</v>
      </c>
      <c r="O809" s="1037">
        <f t="shared" si="276"/>
        <v>1416852.77</v>
      </c>
      <c r="P809" s="986">
        <v>0</v>
      </c>
      <c r="Q809" s="986">
        <v>0</v>
      </c>
      <c r="R809" s="1024">
        <f>L809/I809</f>
        <v>2510.8147616516039</v>
      </c>
      <c r="S809" s="1032">
        <v>2022</v>
      </c>
      <c r="T809" s="1032">
        <v>2022</v>
      </c>
    </row>
    <row r="810" spans="1:20" s="1017" customFormat="1" ht="42" customHeight="1">
      <c r="A810" s="1031">
        <v>43</v>
      </c>
      <c r="B810" s="1014" t="s">
        <v>2925</v>
      </c>
      <c r="C810" s="1023">
        <v>1966</v>
      </c>
      <c r="D810" s="1023"/>
      <c r="E810" s="1271" t="s">
        <v>218</v>
      </c>
      <c r="F810" s="1023">
        <v>5</v>
      </c>
      <c r="G810" s="1023">
        <v>3</v>
      </c>
      <c r="H810" s="1024">
        <v>2510.9</v>
      </c>
      <c r="I810" s="1024">
        <v>2510.9</v>
      </c>
      <c r="J810" s="1024">
        <v>1790.28</v>
      </c>
      <c r="K810" s="1011">
        <v>96</v>
      </c>
      <c r="L810" s="1024">
        <v>6158670.2300000004</v>
      </c>
      <c r="M810" s="986">
        <v>0</v>
      </c>
      <c r="N810" s="986">
        <v>0</v>
      </c>
      <c r="O810" s="1037">
        <f t="shared" si="276"/>
        <v>6158670.2300000004</v>
      </c>
      <c r="P810" s="986">
        <v>0</v>
      </c>
      <c r="Q810" s="986">
        <v>0</v>
      </c>
      <c r="R810" s="1024">
        <v>2064.055119678203</v>
      </c>
      <c r="S810" s="1032">
        <v>2022</v>
      </c>
      <c r="T810" s="1032">
        <v>2022</v>
      </c>
    </row>
    <row r="811" spans="1:20" s="1026" customFormat="1" ht="39.6" customHeight="1">
      <c r="A811" s="1031">
        <v>44</v>
      </c>
      <c r="B811" s="1014" t="s">
        <v>2979</v>
      </c>
      <c r="C811" s="1023" t="s">
        <v>190</v>
      </c>
      <c r="D811" s="1023"/>
      <c r="E811" s="1271" t="s">
        <v>218</v>
      </c>
      <c r="F811" s="1023">
        <v>2</v>
      </c>
      <c r="G811" s="1023">
        <v>2</v>
      </c>
      <c r="H811" s="1024">
        <v>337.8</v>
      </c>
      <c r="I811" s="1024">
        <v>337.8</v>
      </c>
      <c r="J811" s="1024">
        <v>337.8</v>
      </c>
      <c r="K811" s="1011">
        <v>11</v>
      </c>
      <c r="L811" s="1024">
        <v>2305340.34</v>
      </c>
      <c r="M811" s="986">
        <v>0</v>
      </c>
      <c r="N811" s="986">
        <v>0</v>
      </c>
      <c r="O811" s="1037">
        <f t="shared" si="276"/>
        <v>2305340.34</v>
      </c>
      <c r="P811" s="986">
        <v>0</v>
      </c>
      <c r="Q811" s="986">
        <v>0</v>
      </c>
      <c r="R811" s="1024">
        <v>4338.1083481349906</v>
      </c>
      <c r="S811" s="1032">
        <v>2022</v>
      </c>
      <c r="T811" s="1032">
        <v>2022</v>
      </c>
    </row>
    <row r="812" spans="1:20" s="1026" customFormat="1" ht="41.45" customHeight="1">
      <c r="A812" s="1031">
        <v>45</v>
      </c>
      <c r="B812" s="1041" t="s">
        <v>2966</v>
      </c>
      <c r="C812" s="1031">
        <v>1918</v>
      </c>
      <c r="D812" s="1031"/>
      <c r="E812" s="1271" t="s">
        <v>218</v>
      </c>
      <c r="F812" s="1031">
        <v>3</v>
      </c>
      <c r="G812" s="1031">
        <v>3</v>
      </c>
      <c r="H812" s="1059">
        <v>918.8</v>
      </c>
      <c r="I812" s="1059">
        <v>918.8</v>
      </c>
      <c r="J812" s="1059">
        <v>634.98</v>
      </c>
      <c r="K812" s="1266">
        <v>45</v>
      </c>
      <c r="L812" s="1059">
        <v>1965482.44</v>
      </c>
      <c r="M812" s="986">
        <v>0</v>
      </c>
      <c r="N812" s="986">
        <v>0</v>
      </c>
      <c r="O812" s="1037">
        <f t="shared" si="276"/>
        <v>1965482.44</v>
      </c>
      <c r="P812" s="986">
        <v>0</v>
      </c>
      <c r="Q812" s="986">
        <v>0</v>
      </c>
      <c r="R812" s="1059">
        <f>L812/I812</f>
        <v>2139.1841967784067</v>
      </c>
      <c r="S812" s="1032">
        <v>2022</v>
      </c>
      <c r="T812" s="1032">
        <v>2022</v>
      </c>
    </row>
    <row r="813" spans="1:20" s="1026" customFormat="1" ht="37.9" customHeight="1">
      <c r="A813" s="1031">
        <v>46</v>
      </c>
      <c r="B813" s="1014" t="s">
        <v>2926</v>
      </c>
      <c r="C813" s="1015">
        <v>1975</v>
      </c>
      <c r="D813" s="1015"/>
      <c r="E813" s="1271" t="s">
        <v>219</v>
      </c>
      <c r="F813" s="1015">
        <v>5</v>
      </c>
      <c r="G813" s="1015">
        <v>8</v>
      </c>
      <c r="H813" s="1033">
        <v>6317.7</v>
      </c>
      <c r="I813" s="1033">
        <v>5663.2</v>
      </c>
      <c r="J813" s="1033">
        <v>5431</v>
      </c>
      <c r="K813" s="1110">
        <v>316</v>
      </c>
      <c r="L813" s="1033">
        <v>8130810.1500000004</v>
      </c>
      <c r="M813" s="986">
        <v>0</v>
      </c>
      <c r="N813" s="986">
        <v>0</v>
      </c>
      <c r="O813" s="1037">
        <f t="shared" si="276"/>
        <v>8130810.1500000004</v>
      </c>
      <c r="P813" s="986">
        <v>0</v>
      </c>
      <c r="Q813" s="986">
        <v>0</v>
      </c>
      <c r="R813" s="1059">
        <f t="shared" ref="R813:R821" si="278">L813/I813</f>
        <v>1435.7271772142958</v>
      </c>
      <c r="S813" s="1032">
        <v>2022</v>
      </c>
      <c r="T813" s="1032">
        <v>2022</v>
      </c>
    </row>
    <row r="814" spans="1:20" s="1026" customFormat="1" ht="37.9" customHeight="1">
      <c r="A814" s="1031">
        <v>47</v>
      </c>
      <c r="B814" s="1014" t="s">
        <v>2927</v>
      </c>
      <c r="C814" s="1015">
        <v>1971</v>
      </c>
      <c r="D814" s="1015"/>
      <c r="E814" s="1271" t="s">
        <v>218</v>
      </c>
      <c r="F814" s="1015">
        <v>2</v>
      </c>
      <c r="G814" s="1015">
        <v>2</v>
      </c>
      <c r="H814" s="1033">
        <v>561.79999999999995</v>
      </c>
      <c r="I814" s="1033">
        <v>511.8</v>
      </c>
      <c r="J814" s="1033">
        <v>460.3</v>
      </c>
      <c r="K814" s="1110">
        <v>22</v>
      </c>
      <c r="L814" s="1033">
        <v>204411.03</v>
      </c>
      <c r="M814" s="986">
        <v>0</v>
      </c>
      <c r="N814" s="986">
        <v>0</v>
      </c>
      <c r="O814" s="1037">
        <f t="shared" si="276"/>
        <v>204411.03</v>
      </c>
      <c r="P814" s="986">
        <v>0</v>
      </c>
      <c r="Q814" s="986">
        <v>0</v>
      </c>
      <c r="R814" s="1059">
        <f t="shared" si="278"/>
        <v>399.39630715123093</v>
      </c>
      <c r="S814" s="1032">
        <v>2022</v>
      </c>
      <c r="T814" s="1032">
        <v>2022</v>
      </c>
    </row>
    <row r="815" spans="1:20" s="992" customFormat="1" ht="37.9" customHeight="1">
      <c r="A815" s="1031">
        <v>48</v>
      </c>
      <c r="B815" s="1014" t="s">
        <v>2928</v>
      </c>
      <c r="C815" s="1015">
        <v>1972</v>
      </c>
      <c r="D815" s="1015"/>
      <c r="E815" s="1271" t="s">
        <v>218</v>
      </c>
      <c r="F815" s="1015">
        <v>2</v>
      </c>
      <c r="G815" s="1015">
        <v>3</v>
      </c>
      <c r="H815" s="1033">
        <v>958.5</v>
      </c>
      <c r="I815" s="1033">
        <v>913.2</v>
      </c>
      <c r="J815" s="1033">
        <v>868.9</v>
      </c>
      <c r="K815" s="1110">
        <v>34</v>
      </c>
      <c r="L815" s="1033">
        <v>2160751.63</v>
      </c>
      <c r="M815" s="986">
        <v>0</v>
      </c>
      <c r="N815" s="986">
        <v>0</v>
      </c>
      <c r="O815" s="1037">
        <f t="shared" si="276"/>
        <v>2160751.63</v>
      </c>
      <c r="P815" s="986">
        <v>0</v>
      </c>
      <c r="Q815" s="986">
        <v>0</v>
      </c>
      <c r="R815" s="1059">
        <f t="shared" si="278"/>
        <v>2366.1318769163381</v>
      </c>
      <c r="S815" s="1032">
        <v>2022</v>
      </c>
      <c r="T815" s="1032">
        <v>2022</v>
      </c>
    </row>
    <row r="816" spans="1:20" s="992" customFormat="1" ht="37.9" customHeight="1">
      <c r="A816" s="1031"/>
      <c r="B816" s="1392" t="s">
        <v>2703</v>
      </c>
      <c r="C816" s="1392"/>
      <c r="D816" s="1392"/>
      <c r="E816" s="1392"/>
      <c r="F816" s="1392"/>
      <c r="G816" s="1392"/>
      <c r="H816" s="985">
        <f>SUM(H817:H821)</f>
        <v>11486.800000000001</v>
      </c>
      <c r="I816" s="985">
        <f t="shared" ref="I816:Q816" si="279">SUM(I817:I821)</f>
        <v>8816.1999999999989</v>
      </c>
      <c r="J816" s="985">
        <f t="shared" si="279"/>
        <v>6473.2999999999993</v>
      </c>
      <c r="K816" s="1064">
        <f t="shared" si="279"/>
        <v>378</v>
      </c>
      <c r="L816" s="985">
        <f t="shared" si="279"/>
        <v>42663587.089999996</v>
      </c>
      <c r="M816" s="985">
        <f t="shared" si="279"/>
        <v>0</v>
      </c>
      <c r="N816" s="985">
        <f t="shared" si="279"/>
        <v>0</v>
      </c>
      <c r="O816" s="985">
        <f t="shared" si="279"/>
        <v>42663587.089999996</v>
      </c>
      <c r="P816" s="985">
        <f t="shared" si="279"/>
        <v>0</v>
      </c>
      <c r="Q816" s="985">
        <f t="shared" si="279"/>
        <v>0</v>
      </c>
      <c r="R816" s="991" t="s">
        <v>40</v>
      </c>
      <c r="S816" s="991" t="s">
        <v>40</v>
      </c>
      <c r="T816" s="991" t="s">
        <v>40</v>
      </c>
    </row>
    <row r="817" spans="1:20" s="992" customFormat="1" ht="37.9" customHeight="1">
      <c r="A817" s="1271">
        <v>49</v>
      </c>
      <c r="B817" s="997" t="s">
        <v>2712</v>
      </c>
      <c r="C817" s="1257">
        <v>1972</v>
      </c>
      <c r="D817" s="1257"/>
      <c r="E817" s="1271" t="s">
        <v>218</v>
      </c>
      <c r="F817" s="1257">
        <v>5</v>
      </c>
      <c r="G817" s="1257">
        <v>1</v>
      </c>
      <c r="H817" s="1258">
        <v>3999.2</v>
      </c>
      <c r="I817" s="1258">
        <v>2344.5</v>
      </c>
      <c r="J817" s="1258">
        <v>1987.8</v>
      </c>
      <c r="K817" s="1268">
        <v>231</v>
      </c>
      <c r="L817" s="1259">
        <v>11555142.050000001</v>
      </c>
      <c r="M817" s="986">
        <v>0</v>
      </c>
      <c r="N817" s="986">
        <v>0</v>
      </c>
      <c r="O817" s="1259">
        <v>11555142.050000001</v>
      </c>
      <c r="P817" s="986">
        <v>0</v>
      </c>
      <c r="Q817" s="986">
        <v>0</v>
      </c>
      <c r="R817" s="1259">
        <f t="shared" si="278"/>
        <v>4928.6167839624659</v>
      </c>
      <c r="S817" s="1032">
        <v>2022</v>
      </c>
      <c r="T817" s="1032">
        <v>2022</v>
      </c>
    </row>
    <row r="818" spans="1:20" s="992" customFormat="1" ht="37.9" customHeight="1">
      <c r="A818" s="1257">
        <v>50</v>
      </c>
      <c r="B818" s="997" t="s">
        <v>2713</v>
      </c>
      <c r="C818" s="1257">
        <v>1979</v>
      </c>
      <c r="D818" s="1257"/>
      <c r="E818" s="1271" t="s">
        <v>218</v>
      </c>
      <c r="F818" s="1257">
        <v>5</v>
      </c>
      <c r="G818" s="1257">
        <v>1</v>
      </c>
      <c r="H818" s="1258">
        <v>3234.5</v>
      </c>
      <c r="I818" s="1258">
        <v>2950.2</v>
      </c>
      <c r="J818" s="1258">
        <v>1228.4000000000001</v>
      </c>
      <c r="K818" s="1268">
        <v>27</v>
      </c>
      <c r="L818" s="1259">
        <v>8723563.8100000005</v>
      </c>
      <c r="M818" s="986">
        <v>0</v>
      </c>
      <c r="N818" s="986">
        <v>0</v>
      </c>
      <c r="O818" s="1259">
        <v>8723563.8100000005</v>
      </c>
      <c r="P818" s="986">
        <v>0</v>
      </c>
      <c r="Q818" s="986">
        <v>0</v>
      </c>
      <c r="R818" s="1259">
        <f t="shared" si="278"/>
        <v>2956.9398040810797</v>
      </c>
      <c r="S818" s="1032">
        <v>2022</v>
      </c>
      <c r="T818" s="1032">
        <v>2022</v>
      </c>
    </row>
    <row r="819" spans="1:20" s="1004" customFormat="1" ht="37.9" customHeight="1">
      <c r="A819" s="1257">
        <v>51</v>
      </c>
      <c r="B819" s="997" t="s">
        <v>2714</v>
      </c>
      <c r="C819" s="1257">
        <v>1939</v>
      </c>
      <c r="D819" s="1257"/>
      <c r="E819" s="1271" t="s">
        <v>218</v>
      </c>
      <c r="F819" s="1257">
        <v>3</v>
      </c>
      <c r="G819" s="1257">
        <v>4</v>
      </c>
      <c r="H819" s="1258">
        <v>2643.9</v>
      </c>
      <c r="I819" s="1258">
        <v>2432.6999999999998</v>
      </c>
      <c r="J819" s="1258">
        <v>2331.1</v>
      </c>
      <c r="K819" s="1268">
        <v>66</v>
      </c>
      <c r="L819" s="1259">
        <v>12909905.9</v>
      </c>
      <c r="M819" s="986">
        <v>0</v>
      </c>
      <c r="N819" s="986">
        <v>0</v>
      </c>
      <c r="O819" s="1259">
        <v>12909905.9</v>
      </c>
      <c r="P819" s="986">
        <v>0</v>
      </c>
      <c r="Q819" s="986">
        <v>0</v>
      </c>
      <c r="R819" s="1259">
        <f t="shared" si="278"/>
        <v>5306.8220084679579</v>
      </c>
      <c r="S819" s="1032">
        <v>2022</v>
      </c>
      <c r="T819" s="1032">
        <v>2022</v>
      </c>
    </row>
    <row r="820" spans="1:20" s="1004" customFormat="1" ht="40.15" customHeight="1">
      <c r="A820" s="1257">
        <v>52</v>
      </c>
      <c r="B820" s="997" t="s">
        <v>2715</v>
      </c>
      <c r="C820" s="1257">
        <v>1960</v>
      </c>
      <c r="D820" s="1257"/>
      <c r="E820" s="1271" t="s">
        <v>218</v>
      </c>
      <c r="F820" s="1257">
        <v>2</v>
      </c>
      <c r="G820" s="1257">
        <v>2</v>
      </c>
      <c r="H820" s="1258">
        <v>532.5</v>
      </c>
      <c r="I820" s="1258">
        <v>472</v>
      </c>
      <c r="J820" s="1258">
        <v>436.8</v>
      </c>
      <c r="K820" s="1268">
        <v>31</v>
      </c>
      <c r="L820" s="1259">
        <v>5511607.6900000004</v>
      </c>
      <c r="M820" s="986">
        <v>0</v>
      </c>
      <c r="N820" s="986">
        <v>0</v>
      </c>
      <c r="O820" s="1259">
        <v>5511607.6900000004</v>
      </c>
      <c r="P820" s="986">
        <v>0</v>
      </c>
      <c r="Q820" s="986">
        <v>0</v>
      </c>
      <c r="R820" s="1259">
        <f t="shared" si="278"/>
        <v>11677.13493644068</v>
      </c>
      <c r="S820" s="1032">
        <v>2022</v>
      </c>
      <c r="T820" s="1032">
        <v>2022</v>
      </c>
    </row>
    <row r="821" spans="1:20" s="992" customFormat="1" ht="42.6" customHeight="1">
      <c r="A821" s="1257">
        <v>53</v>
      </c>
      <c r="B821" s="997" t="s">
        <v>2716</v>
      </c>
      <c r="C821" s="1257">
        <v>1953</v>
      </c>
      <c r="D821" s="1257"/>
      <c r="E821" s="1271" t="s">
        <v>218</v>
      </c>
      <c r="F821" s="1257">
        <v>2</v>
      </c>
      <c r="G821" s="1257">
        <v>2</v>
      </c>
      <c r="H821" s="1258">
        <v>1076.7</v>
      </c>
      <c r="I821" s="1258">
        <v>616.79999999999995</v>
      </c>
      <c r="J821" s="1258">
        <v>489.2</v>
      </c>
      <c r="K821" s="1268">
        <v>23</v>
      </c>
      <c r="L821" s="1259">
        <v>3963367.64</v>
      </c>
      <c r="M821" s="986">
        <v>0</v>
      </c>
      <c r="N821" s="986">
        <v>0</v>
      </c>
      <c r="O821" s="1259">
        <v>3963367.64</v>
      </c>
      <c r="P821" s="986">
        <v>0</v>
      </c>
      <c r="Q821" s="986">
        <v>0</v>
      </c>
      <c r="R821" s="1259">
        <f t="shared" si="278"/>
        <v>6425.6933203631652</v>
      </c>
      <c r="S821" s="1032">
        <v>2022</v>
      </c>
      <c r="T821" s="1032">
        <v>2022</v>
      </c>
    </row>
    <row r="822" spans="1:20" s="1004" customFormat="1" ht="37.9" customHeight="1">
      <c r="A822" s="1271"/>
      <c r="B822" s="1391" t="s">
        <v>1062</v>
      </c>
      <c r="C822" s="1391"/>
      <c r="D822" s="1391"/>
      <c r="E822" s="1391"/>
      <c r="F822" s="1391"/>
      <c r="G822" s="1391"/>
      <c r="H822" s="985">
        <f>SUM(H823:H835)</f>
        <v>10789.4</v>
      </c>
      <c r="I822" s="985">
        <f t="shared" ref="I822:Q822" si="280">SUM(I823:I835)</f>
        <v>10789.4</v>
      </c>
      <c r="J822" s="985">
        <f t="shared" si="280"/>
        <v>9247.6</v>
      </c>
      <c r="K822" s="1064">
        <f t="shared" si="280"/>
        <v>329</v>
      </c>
      <c r="L822" s="985">
        <f t="shared" si="280"/>
        <v>25636485.390000001</v>
      </c>
      <c r="M822" s="985">
        <f t="shared" si="280"/>
        <v>0</v>
      </c>
      <c r="N822" s="985">
        <f t="shared" si="280"/>
        <v>0</v>
      </c>
      <c r="O822" s="985">
        <f t="shared" si="280"/>
        <v>25636485.390000001</v>
      </c>
      <c r="P822" s="985">
        <f t="shared" si="280"/>
        <v>0</v>
      </c>
      <c r="Q822" s="985">
        <f t="shared" si="280"/>
        <v>0</v>
      </c>
      <c r="R822" s="991" t="s">
        <v>40</v>
      </c>
      <c r="S822" s="991" t="s">
        <v>40</v>
      </c>
      <c r="T822" s="991" t="s">
        <v>40</v>
      </c>
    </row>
    <row r="823" spans="1:20" s="1004" customFormat="1" ht="37.9" customHeight="1">
      <c r="A823" s="1279">
        <v>54</v>
      </c>
      <c r="B823" s="1276" t="s">
        <v>1282</v>
      </c>
      <c r="C823" s="1279">
        <v>1917</v>
      </c>
      <c r="D823" s="1279"/>
      <c r="E823" s="1271" t="s">
        <v>218</v>
      </c>
      <c r="F823" s="1279">
        <v>2</v>
      </c>
      <c r="G823" s="1279">
        <v>2</v>
      </c>
      <c r="H823" s="985">
        <v>552.5</v>
      </c>
      <c r="I823" s="985">
        <v>552.5</v>
      </c>
      <c r="J823" s="985">
        <v>289.2</v>
      </c>
      <c r="K823" s="1064">
        <v>24</v>
      </c>
      <c r="L823" s="985">
        <v>603654.91</v>
      </c>
      <c r="M823" s="985">
        <v>0</v>
      </c>
      <c r="N823" s="985">
        <v>0</v>
      </c>
      <c r="O823" s="985">
        <f>L823</f>
        <v>603654.91</v>
      </c>
      <c r="P823" s="985">
        <v>0</v>
      </c>
      <c r="Q823" s="985">
        <v>0</v>
      </c>
      <c r="R823" s="985">
        <f t="shared" ref="R823:R835" si="281">L823/I823</f>
        <v>1092.5880723981902</v>
      </c>
      <c r="S823" s="987">
        <v>2022</v>
      </c>
      <c r="T823" s="987">
        <v>2022</v>
      </c>
    </row>
    <row r="824" spans="1:20" s="1004" customFormat="1" ht="39.6" customHeight="1">
      <c r="A824" s="1279">
        <v>55</v>
      </c>
      <c r="B824" s="1276" t="s">
        <v>1611</v>
      </c>
      <c r="C824" s="1279">
        <v>1977</v>
      </c>
      <c r="D824" s="1279"/>
      <c r="E824" s="1271" t="s">
        <v>218</v>
      </c>
      <c r="F824" s="1279">
        <v>2</v>
      </c>
      <c r="G824" s="1279">
        <v>1</v>
      </c>
      <c r="H824" s="985">
        <v>374.5</v>
      </c>
      <c r="I824" s="985">
        <v>374.5</v>
      </c>
      <c r="J824" s="985">
        <v>334.9</v>
      </c>
      <c r="K824" s="1064">
        <v>18</v>
      </c>
      <c r="L824" s="985">
        <v>713926.33</v>
      </c>
      <c r="M824" s="985">
        <v>0</v>
      </c>
      <c r="N824" s="985">
        <v>0</v>
      </c>
      <c r="O824" s="985">
        <f t="shared" ref="O824:O833" si="282">L824</f>
        <v>713926.33</v>
      </c>
      <c r="P824" s="985">
        <v>0</v>
      </c>
      <c r="Q824" s="985">
        <v>0</v>
      </c>
      <c r="R824" s="985">
        <f t="shared" si="281"/>
        <v>1906.3453404539384</v>
      </c>
      <c r="S824" s="987">
        <v>2022</v>
      </c>
      <c r="T824" s="987">
        <v>2022</v>
      </c>
    </row>
    <row r="825" spans="1:20" s="1004" customFormat="1" ht="37.9" customHeight="1">
      <c r="A825" s="1279">
        <v>56</v>
      </c>
      <c r="B825" s="1276" t="s">
        <v>1612</v>
      </c>
      <c r="C825" s="1279">
        <v>1940</v>
      </c>
      <c r="D825" s="1279"/>
      <c r="E825" s="1271" t="s">
        <v>218</v>
      </c>
      <c r="F825" s="1279">
        <v>3</v>
      </c>
      <c r="G825" s="1279">
        <v>2</v>
      </c>
      <c r="H825" s="985">
        <v>755.4</v>
      </c>
      <c r="I825" s="985">
        <v>755.4</v>
      </c>
      <c r="J825" s="985">
        <v>656.1</v>
      </c>
      <c r="K825" s="1064">
        <v>16</v>
      </c>
      <c r="L825" s="985">
        <v>1782577.46</v>
      </c>
      <c r="M825" s="985">
        <v>0</v>
      </c>
      <c r="N825" s="985">
        <v>0</v>
      </c>
      <c r="O825" s="985">
        <f t="shared" si="282"/>
        <v>1782577.46</v>
      </c>
      <c r="P825" s="985">
        <v>0</v>
      </c>
      <c r="Q825" s="985">
        <v>0</v>
      </c>
      <c r="R825" s="985">
        <f t="shared" si="281"/>
        <v>2359.7795340217103</v>
      </c>
      <c r="S825" s="987">
        <v>2022</v>
      </c>
      <c r="T825" s="987">
        <v>2022</v>
      </c>
    </row>
    <row r="826" spans="1:20" s="1004" customFormat="1" ht="37.9" customHeight="1">
      <c r="A826" s="1279">
        <v>57</v>
      </c>
      <c r="B826" s="1276" t="s">
        <v>1288</v>
      </c>
      <c r="C826" s="1279">
        <v>2001</v>
      </c>
      <c r="D826" s="1279"/>
      <c r="E826" s="1271" t="s">
        <v>218</v>
      </c>
      <c r="F826" s="1279">
        <v>5</v>
      </c>
      <c r="G826" s="1279">
        <v>2</v>
      </c>
      <c r="H826" s="985">
        <v>3429.7</v>
      </c>
      <c r="I826" s="985">
        <v>3429.7</v>
      </c>
      <c r="J826" s="985">
        <v>3098</v>
      </c>
      <c r="K826" s="1064">
        <v>113</v>
      </c>
      <c r="L826" s="985">
        <v>3180050.19</v>
      </c>
      <c r="M826" s="985">
        <v>0</v>
      </c>
      <c r="N826" s="985">
        <v>0</v>
      </c>
      <c r="O826" s="985">
        <f t="shared" si="282"/>
        <v>3180050.19</v>
      </c>
      <c r="P826" s="985">
        <v>0</v>
      </c>
      <c r="Q826" s="985">
        <v>0</v>
      </c>
      <c r="R826" s="985">
        <f t="shared" si="281"/>
        <v>927.20943231186402</v>
      </c>
      <c r="S826" s="987">
        <v>2022</v>
      </c>
      <c r="T826" s="987">
        <v>2022</v>
      </c>
    </row>
    <row r="827" spans="1:20" s="1004" customFormat="1" ht="37.9" customHeight="1">
      <c r="A827" s="1279">
        <v>58</v>
      </c>
      <c r="B827" s="1276" t="s">
        <v>1289</v>
      </c>
      <c r="C827" s="1279">
        <v>1959</v>
      </c>
      <c r="D827" s="1279"/>
      <c r="E827" s="1271" t="s">
        <v>218</v>
      </c>
      <c r="F827" s="1279">
        <v>2</v>
      </c>
      <c r="G827" s="1279">
        <v>1</v>
      </c>
      <c r="H827" s="985">
        <v>373.4</v>
      </c>
      <c r="I827" s="985">
        <v>373.4</v>
      </c>
      <c r="J827" s="985">
        <v>235.3</v>
      </c>
      <c r="K827" s="1064">
        <v>13</v>
      </c>
      <c r="L827" s="985">
        <v>59818</v>
      </c>
      <c r="M827" s="985">
        <v>0</v>
      </c>
      <c r="N827" s="985">
        <v>0</v>
      </c>
      <c r="O827" s="985">
        <f t="shared" si="282"/>
        <v>59818</v>
      </c>
      <c r="P827" s="985">
        <v>0</v>
      </c>
      <c r="Q827" s="985">
        <v>0</v>
      </c>
      <c r="R827" s="985">
        <f t="shared" si="281"/>
        <v>160.19817889662562</v>
      </c>
      <c r="S827" s="987">
        <v>2022</v>
      </c>
      <c r="T827" s="987">
        <v>2022</v>
      </c>
    </row>
    <row r="828" spans="1:20" s="1004" customFormat="1" ht="37.9" customHeight="1">
      <c r="A828" s="1279">
        <v>59</v>
      </c>
      <c r="B828" s="1276" t="s">
        <v>1290</v>
      </c>
      <c r="C828" s="1279">
        <v>1956</v>
      </c>
      <c r="D828" s="1279"/>
      <c r="E828" s="1271" t="s">
        <v>218</v>
      </c>
      <c r="F828" s="1279">
        <v>2</v>
      </c>
      <c r="G828" s="1279">
        <v>2</v>
      </c>
      <c r="H828" s="985">
        <v>855.4</v>
      </c>
      <c r="I828" s="985">
        <v>855.4</v>
      </c>
      <c r="J828" s="985">
        <v>802.2</v>
      </c>
      <c r="K828" s="1064">
        <v>19</v>
      </c>
      <c r="L828" s="985">
        <v>3143066.51</v>
      </c>
      <c r="M828" s="985">
        <v>0</v>
      </c>
      <c r="N828" s="985">
        <v>0</v>
      </c>
      <c r="O828" s="985">
        <f t="shared" si="282"/>
        <v>3143066.51</v>
      </c>
      <c r="P828" s="985">
        <v>0</v>
      </c>
      <c r="Q828" s="985">
        <v>0</v>
      </c>
      <c r="R828" s="985">
        <f t="shared" si="281"/>
        <v>3674.3821720832357</v>
      </c>
      <c r="S828" s="987">
        <v>2022</v>
      </c>
      <c r="T828" s="987">
        <v>2022</v>
      </c>
    </row>
    <row r="829" spans="1:20" s="1004" customFormat="1" ht="41.45" customHeight="1">
      <c r="A829" s="1279">
        <v>60</v>
      </c>
      <c r="B829" s="1276" t="s">
        <v>1291</v>
      </c>
      <c r="C829" s="1279">
        <v>1958</v>
      </c>
      <c r="D829" s="1279"/>
      <c r="E829" s="1279" t="s">
        <v>221</v>
      </c>
      <c r="F829" s="1279">
        <v>2</v>
      </c>
      <c r="G829" s="1279">
        <v>2</v>
      </c>
      <c r="H829" s="985">
        <v>518.9</v>
      </c>
      <c r="I829" s="985">
        <v>518.9</v>
      </c>
      <c r="J829" s="985">
        <v>455.6</v>
      </c>
      <c r="K829" s="1064">
        <v>19</v>
      </c>
      <c r="L829" s="985">
        <v>1086771.0900000001</v>
      </c>
      <c r="M829" s="985">
        <v>0</v>
      </c>
      <c r="N829" s="985">
        <v>0</v>
      </c>
      <c r="O829" s="985">
        <f t="shared" si="282"/>
        <v>1086771.0900000001</v>
      </c>
      <c r="P829" s="985">
        <v>0</v>
      </c>
      <c r="Q829" s="985">
        <v>0</v>
      </c>
      <c r="R829" s="985">
        <f t="shared" si="281"/>
        <v>2094.3748121025246</v>
      </c>
      <c r="S829" s="987">
        <v>2022</v>
      </c>
      <c r="T829" s="987">
        <v>2022</v>
      </c>
    </row>
    <row r="830" spans="1:20" s="1004" customFormat="1" ht="41.45" customHeight="1">
      <c r="A830" s="1279">
        <v>61</v>
      </c>
      <c r="B830" s="1276" t="s">
        <v>1284</v>
      </c>
      <c r="C830" s="1279">
        <v>1952</v>
      </c>
      <c r="D830" s="1279"/>
      <c r="E830" s="1271" t="s">
        <v>218</v>
      </c>
      <c r="F830" s="1279">
        <v>2</v>
      </c>
      <c r="G830" s="1279">
        <v>1</v>
      </c>
      <c r="H830" s="985">
        <v>487.8</v>
      </c>
      <c r="I830" s="985">
        <v>487.8</v>
      </c>
      <c r="J830" s="985">
        <v>305.3</v>
      </c>
      <c r="K830" s="1064">
        <v>12</v>
      </c>
      <c r="L830" s="985">
        <v>2021760.9</v>
      </c>
      <c r="M830" s="985">
        <v>0</v>
      </c>
      <c r="N830" s="985">
        <v>0</v>
      </c>
      <c r="O830" s="985">
        <f t="shared" si="282"/>
        <v>2021760.9</v>
      </c>
      <c r="P830" s="985">
        <v>0</v>
      </c>
      <c r="Q830" s="985">
        <v>0</v>
      </c>
      <c r="R830" s="985">
        <f t="shared" si="281"/>
        <v>4144.6512915129151</v>
      </c>
      <c r="S830" s="987">
        <v>2022</v>
      </c>
      <c r="T830" s="987">
        <v>2022</v>
      </c>
    </row>
    <row r="831" spans="1:20" s="1004" customFormat="1" ht="42" customHeight="1">
      <c r="A831" s="1279">
        <v>62</v>
      </c>
      <c r="B831" s="1276" t="s">
        <v>1285</v>
      </c>
      <c r="C831" s="1279">
        <v>1951</v>
      </c>
      <c r="D831" s="1279"/>
      <c r="E831" s="1271" t="s">
        <v>218</v>
      </c>
      <c r="F831" s="1279">
        <v>2</v>
      </c>
      <c r="G831" s="1279">
        <v>1</v>
      </c>
      <c r="H831" s="985">
        <v>402.4</v>
      </c>
      <c r="I831" s="985">
        <v>402.4</v>
      </c>
      <c r="J831" s="985">
        <v>369.1</v>
      </c>
      <c r="K831" s="1064">
        <v>12</v>
      </c>
      <c r="L831" s="985">
        <v>1470914.19</v>
      </c>
      <c r="M831" s="985">
        <v>0</v>
      </c>
      <c r="N831" s="985">
        <v>0</v>
      </c>
      <c r="O831" s="985">
        <f t="shared" si="282"/>
        <v>1470914.19</v>
      </c>
      <c r="P831" s="985">
        <v>0</v>
      </c>
      <c r="Q831" s="985">
        <v>0</v>
      </c>
      <c r="R831" s="985">
        <f t="shared" si="281"/>
        <v>3655.3533548707755</v>
      </c>
      <c r="S831" s="987">
        <v>2022</v>
      </c>
      <c r="T831" s="987">
        <v>2022</v>
      </c>
    </row>
    <row r="832" spans="1:20" s="1004" customFormat="1" ht="42" customHeight="1">
      <c r="A832" s="1279">
        <v>63</v>
      </c>
      <c r="B832" s="1276" t="s">
        <v>1286</v>
      </c>
      <c r="C832" s="1279">
        <v>1956</v>
      </c>
      <c r="D832" s="1279"/>
      <c r="E832" s="1271" t="s">
        <v>218</v>
      </c>
      <c r="F832" s="1279">
        <v>2</v>
      </c>
      <c r="G832" s="1279">
        <v>1</v>
      </c>
      <c r="H832" s="985">
        <v>386.2</v>
      </c>
      <c r="I832" s="985">
        <v>386.2</v>
      </c>
      <c r="J832" s="985">
        <v>245.4</v>
      </c>
      <c r="K832" s="1064">
        <v>14</v>
      </c>
      <c r="L832" s="985">
        <v>1556184.58</v>
      </c>
      <c r="M832" s="985">
        <v>0</v>
      </c>
      <c r="N832" s="985">
        <v>0</v>
      </c>
      <c r="O832" s="985">
        <f t="shared" si="282"/>
        <v>1556184.58</v>
      </c>
      <c r="P832" s="985">
        <v>0</v>
      </c>
      <c r="Q832" s="985">
        <v>0</v>
      </c>
      <c r="R832" s="985">
        <f t="shared" si="281"/>
        <v>4029.4784567581569</v>
      </c>
      <c r="S832" s="987">
        <v>2022</v>
      </c>
      <c r="T832" s="987">
        <v>2022</v>
      </c>
    </row>
    <row r="833" spans="1:20" s="1004" customFormat="1" ht="37.9" customHeight="1">
      <c r="A833" s="1279">
        <v>64</v>
      </c>
      <c r="B833" s="1276" t="s">
        <v>1287</v>
      </c>
      <c r="C833" s="1279">
        <v>1959</v>
      </c>
      <c r="D833" s="1279"/>
      <c r="E833" s="1271" t="s">
        <v>218</v>
      </c>
      <c r="F833" s="1279">
        <v>3</v>
      </c>
      <c r="G833" s="1279">
        <v>2</v>
      </c>
      <c r="H833" s="985">
        <v>996.5</v>
      </c>
      <c r="I833" s="985">
        <v>996.5</v>
      </c>
      <c r="J833" s="985">
        <v>919.3</v>
      </c>
      <c r="K833" s="1064">
        <v>14</v>
      </c>
      <c r="L833" s="985">
        <v>2347493.7799999998</v>
      </c>
      <c r="M833" s="985">
        <v>0</v>
      </c>
      <c r="N833" s="985">
        <v>0</v>
      </c>
      <c r="O833" s="985">
        <f t="shared" si="282"/>
        <v>2347493.7799999998</v>
      </c>
      <c r="P833" s="985">
        <v>0</v>
      </c>
      <c r="Q833" s="985">
        <v>0</v>
      </c>
      <c r="R833" s="985">
        <f t="shared" si="281"/>
        <v>2355.7388660311085</v>
      </c>
      <c r="S833" s="987">
        <v>2022</v>
      </c>
      <c r="T833" s="987">
        <v>2022</v>
      </c>
    </row>
    <row r="834" spans="1:20" s="1004" customFormat="1" ht="41.45" customHeight="1">
      <c r="A834" s="1279">
        <v>65</v>
      </c>
      <c r="B834" s="1276" t="s">
        <v>1582</v>
      </c>
      <c r="C834" s="1279">
        <v>1963</v>
      </c>
      <c r="D834" s="1279"/>
      <c r="E834" s="1271" t="s">
        <v>218</v>
      </c>
      <c r="F834" s="1279">
        <v>3</v>
      </c>
      <c r="G834" s="1279">
        <v>2</v>
      </c>
      <c r="H834" s="985">
        <v>999</v>
      </c>
      <c r="I834" s="985">
        <v>999</v>
      </c>
      <c r="J834" s="985">
        <v>929.3</v>
      </c>
      <c r="K834" s="1064">
        <v>33</v>
      </c>
      <c r="L834" s="985">
        <v>1561115.55</v>
      </c>
      <c r="M834" s="985">
        <v>0</v>
      </c>
      <c r="N834" s="985">
        <v>0</v>
      </c>
      <c r="O834" s="985">
        <f>L834</f>
        <v>1561115.55</v>
      </c>
      <c r="P834" s="985">
        <v>0</v>
      </c>
      <c r="Q834" s="985">
        <v>0</v>
      </c>
      <c r="R834" s="985">
        <f>L834/I834</f>
        <v>1562.6782282282284</v>
      </c>
      <c r="S834" s="1279">
        <v>2022</v>
      </c>
      <c r="T834" s="1279">
        <v>2022</v>
      </c>
    </row>
    <row r="835" spans="1:20" s="1004" customFormat="1" ht="41.45" customHeight="1">
      <c r="A835" s="1279">
        <v>66</v>
      </c>
      <c r="B835" s="1276" t="s">
        <v>2666</v>
      </c>
      <c r="C835" s="1279">
        <v>1958</v>
      </c>
      <c r="D835" s="1279"/>
      <c r="E835" s="1271" t="s">
        <v>218</v>
      </c>
      <c r="F835" s="1279">
        <v>2</v>
      </c>
      <c r="G835" s="1279">
        <v>2</v>
      </c>
      <c r="H835" s="1192">
        <v>657.7</v>
      </c>
      <c r="I835" s="1192">
        <v>657.7</v>
      </c>
      <c r="J835" s="1192">
        <v>607.9</v>
      </c>
      <c r="K835" s="1064">
        <v>22</v>
      </c>
      <c r="L835" s="985">
        <v>6109151.9000000004</v>
      </c>
      <c r="M835" s="985">
        <v>0</v>
      </c>
      <c r="N835" s="985">
        <v>0</v>
      </c>
      <c r="O835" s="985">
        <v>6109151.9000000004</v>
      </c>
      <c r="P835" s="985">
        <v>0</v>
      </c>
      <c r="Q835" s="985">
        <v>0</v>
      </c>
      <c r="R835" s="985">
        <f t="shared" si="281"/>
        <v>9288.6603314581116</v>
      </c>
      <c r="S835" s="987">
        <v>2022</v>
      </c>
      <c r="T835" s="987">
        <v>2022</v>
      </c>
    </row>
    <row r="836" spans="1:20" s="1004" customFormat="1" ht="41.45" customHeight="1">
      <c r="A836" s="1271"/>
      <c r="B836" s="1391" t="s">
        <v>1124</v>
      </c>
      <c r="C836" s="1391"/>
      <c r="D836" s="1391"/>
      <c r="E836" s="1391"/>
      <c r="F836" s="1391"/>
      <c r="G836" s="1391"/>
      <c r="H836" s="985">
        <f>SUM(H837:H839)</f>
        <v>9704.9599999999991</v>
      </c>
      <c r="I836" s="985">
        <f t="shared" ref="I836:Q836" si="283">SUM(I837:I839)</f>
        <v>7445.4</v>
      </c>
      <c r="J836" s="985">
        <f t="shared" si="283"/>
        <v>3146.8999999999996</v>
      </c>
      <c r="K836" s="1064">
        <f t="shared" si="283"/>
        <v>229</v>
      </c>
      <c r="L836" s="985">
        <f t="shared" si="283"/>
        <v>14315386.510000002</v>
      </c>
      <c r="M836" s="985">
        <f t="shared" si="283"/>
        <v>0</v>
      </c>
      <c r="N836" s="985">
        <f t="shared" si="283"/>
        <v>0</v>
      </c>
      <c r="O836" s="985">
        <f t="shared" si="283"/>
        <v>14315386.510000002</v>
      </c>
      <c r="P836" s="985">
        <f t="shared" si="283"/>
        <v>0</v>
      </c>
      <c r="Q836" s="985">
        <f t="shared" si="283"/>
        <v>0</v>
      </c>
      <c r="R836" s="991" t="s">
        <v>40</v>
      </c>
      <c r="S836" s="1279" t="s">
        <v>40</v>
      </c>
      <c r="T836" s="991" t="s">
        <v>40</v>
      </c>
    </row>
    <row r="837" spans="1:20" s="1004" customFormat="1" ht="42" customHeight="1">
      <c r="A837" s="1271">
        <v>67</v>
      </c>
      <c r="B837" s="1274" t="s">
        <v>1331</v>
      </c>
      <c r="C837" s="1271">
        <v>1937</v>
      </c>
      <c r="D837" s="1274"/>
      <c r="E837" s="1271" t="s">
        <v>218</v>
      </c>
      <c r="F837" s="1271">
        <v>4</v>
      </c>
      <c r="G837" s="1271">
        <v>4</v>
      </c>
      <c r="H837" s="993">
        <v>3100.5</v>
      </c>
      <c r="I837" s="993">
        <v>2302.1999999999998</v>
      </c>
      <c r="J837" s="993">
        <v>653.79999999999995</v>
      </c>
      <c r="K837" s="987">
        <v>80</v>
      </c>
      <c r="L837" s="993">
        <v>4452132.22</v>
      </c>
      <c r="M837" s="985">
        <v>0</v>
      </c>
      <c r="N837" s="985">
        <v>0</v>
      </c>
      <c r="O837" s="993">
        <v>4452132.22</v>
      </c>
      <c r="P837" s="985">
        <v>0</v>
      </c>
      <c r="Q837" s="985">
        <v>0</v>
      </c>
      <c r="R837" s="993">
        <f>ROUND(L837/I837,2)</f>
        <v>1933.86</v>
      </c>
      <c r="S837" s="987">
        <v>2022</v>
      </c>
      <c r="T837" s="987">
        <v>2022</v>
      </c>
    </row>
    <row r="838" spans="1:20" s="1004" customFormat="1" ht="40.15" customHeight="1">
      <c r="A838" s="1271">
        <v>68</v>
      </c>
      <c r="B838" s="1274" t="s">
        <v>1332</v>
      </c>
      <c r="C838" s="1271">
        <v>1936</v>
      </c>
      <c r="D838" s="1274"/>
      <c r="E838" s="1271" t="s">
        <v>218</v>
      </c>
      <c r="F838" s="1271">
        <v>4</v>
      </c>
      <c r="G838" s="1271">
        <v>4</v>
      </c>
      <c r="H838" s="993">
        <v>3206.3</v>
      </c>
      <c r="I838" s="993">
        <v>2598.8000000000002</v>
      </c>
      <c r="J838" s="993">
        <v>1050.8</v>
      </c>
      <c r="K838" s="987">
        <v>76</v>
      </c>
      <c r="L838" s="993">
        <v>4980039.4000000004</v>
      </c>
      <c r="M838" s="985">
        <v>0</v>
      </c>
      <c r="N838" s="985">
        <v>0</v>
      </c>
      <c r="O838" s="993">
        <v>4980039.4000000004</v>
      </c>
      <c r="P838" s="985">
        <v>0</v>
      </c>
      <c r="Q838" s="985">
        <v>0</v>
      </c>
      <c r="R838" s="993">
        <f>ROUND(L838/I838,2)</f>
        <v>1916.28</v>
      </c>
      <c r="S838" s="987">
        <v>2022</v>
      </c>
      <c r="T838" s="987">
        <v>2022</v>
      </c>
    </row>
    <row r="839" spans="1:20" s="1004" customFormat="1" ht="41.45" customHeight="1">
      <c r="A839" s="1271">
        <v>69</v>
      </c>
      <c r="B839" s="1274" t="s">
        <v>1333</v>
      </c>
      <c r="C839" s="1271">
        <v>1934</v>
      </c>
      <c r="D839" s="1274"/>
      <c r="E839" s="1271" t="s">
        <v>218</v>
      </c>
      <c r="F839" s="1271">
        <v>4</v>
      </c>
      <c r="G839" s="1271">
        <v>4</v>
      </c>
      <c r="H839" s="993">
        <v>3398.16</v>
      </c>
      <c r="I839" s="993">
        <v>2544.4</v>
      </c>
      <c r="J839" s="993">
        <v>1442.3</v>
      </c>
      <c r="K839" s="987">
        <v>73</v>
      </c>
      <c r="L839" s="993">
        <v>4883214.8899999997</v>
      </c>
      <c r="M839" s="985">
        <v>0</v>
      </c>
      <c r="N839" s="985">
        <v>0</v>
      </c>
      <c r="O839" s="993">
        <v>4883214.8899999997</v>
      </c>
      <c r="P839" s="985">
        <v>0</v>
      </c>
      <c r="Q839" s="985">
        <v>0</v>
      </c>
      <c r="R839" s="993">
        <f>ROUND(L839/I839,2)</f>
        <v>1919.2</v>
      </c>
      <c r="S839" s="987">
        <v>2022</v>
      </c>
      <c r="T839" s="987">
        <v>2022</v>
      </c>
    </row>
    <row r="840" spans="1:20" s="992" customFormat="1" ht="39.6" customHeight="1">
      <c r="A840" s="1271"/>
      <c r="B840" s="1391" t="s">
        <v>1123</v>
      </c>
      <c r="C840" s="1391"/>
      <c r="D840" s="1391"/>
      <c r="E840" s="1391"/>
      <c r="F840" s="1391"/>
      <c r="G840" s="1391"/>
      <c r="H840" s="993">
        <f>H841</f>
        <v>2739.4</v>
      </c>
      <c r="I840" s="993">
        <f t="shared" ref="I840:Q840" si="284">I841</f>
        <v>2739.4</v>
      </c>
      <c r="J840" s="993">
        <f t="shared" si="284"/>
        <v>2042</v>
      </c>
      <c r="K840" s="987">
        <f t="shared" si="284"/>
        <v>82</v>
      </c>
      <c r="L840" s="993">
        <f t="shared" si="284"/>
        <v>11459859.27</v>
      </c>
      <c r="M840" s="993">
        <f t="shared" si="284"/>
        <v>0</v>
      </c>
      <c r="N840" s="993">
        <f t="shared" si="284"/>
        <v>0</v>
      </c>
      <c r="O840" s="993">
        <f t="shared" si="284"/>
        <v>11459859.27</v>
      </c>
      <c r="P840" s="993">
        <f t="shared" si="284"/>
        <v>0</v>
      </c>
      <c r="Q840" s="993">
        <f t="shared" si="284"/>
        <v>0</v>
      </c>
      <c r="R840" s="991" t="s">
        <v>40</v>
      </c>
      <c r="S840" s="1279" t="s">
        <v>40</v>
      </c>
      <c r="T840" s="991" t="s">
        <v>40</v>
      </c>
    </row>
    <row r="841" spans="1:20" s="992" customFormat="1" ht="37.9" customHeight="1">
      <c r="A841" s="1271">
        <v>70</v>
      </c>
      <c r="B841" s="1274" t="s">
        <v>867</v>
      </c>
      <c r="C841" s="1271">
        <v>1962</v>
      </c>
      <c r="D841" s="1274"/>
      <c r="E841" s="1271" t="s">
        <v>218</v>
      </c>
      <c r="F841" s="1271">
        <v>4</v>
      </c>
      <c r="G841" s="1271">
        <v>4</v>
      </c>
      <c r="H841" s="993">
        <v>2739.4</v>
      </c>
      <c r="I841" s="993">
        <v>2739.4</v>
      </c>
      <c r="J841" s="993">
        <v>2042</v>
      </c>
      <c r="K841" s="987">
        <v>82</v>
      </c>
      <c r="L841" s="993">
        <v>11459859.27</v>
      </c>
      <c r="M841" s="985">
        <v>0</v>
      </c>
      <c r="N841" s="985">
        <v>0</v>
      </c>
      <c r="O841" s="993">
        <v>11459859.27</v>
      </c>
      <c r="P841" s="985">
        <v>0</v>
      </c>
      <c r="Q841" s="985">
        <v>0</v>
      </c>
      <c r="R841" s="993">
        <f t="shared" ref="R841" si="285">ROUND(L841/I841,2)</f>
        <v>4183.3500000000004</v>
      </c>
      <c r="S841" s="987">
        <v>2022</v>
      </c>
      <c r="T841" s="987">
        <v>2022</v>
      </c>
    </row>
    <row r="842" spans="1:20" s="992" customFormat="1" ht="37.9" customHeight="1">
      <c r="A842" s="1271"/>
      <c r="B842" s="1391" t="s">
        <v>1435</v>
      </c>
      <c r="C842" s="1391"/>
      <c r="D842" s="1391"/>
      <c r="E842" s="1391"/>
      <c r="F842" s="1391"/>
      <c r="G842" s="1391"/>
      <c r="H842" s="985">
        <f>H843+H844</f>
        <v>1303.6999999999998</v>
      </c>
      <c r="I842" s="985">
        <f t="shared" ref="I842:Q842" si="286">I843+I844</f>
        <v>878.2</v>
      </c>
      <c r="J842" s="985">
        <f t="shared" si="286"/>
        <v>846.5</v>
      </c>
      <c r="K842" s="1064">
        <f t="shared" si="286"/>
        <v>34</v>
      </c>
      <c r="L842" s="985">
        <f t="shared" si="286"/>
        <v>3519986</v>
      </c>
      <c r="M842" s="985">
        <f t="shared" si="286"/>
        <v>0</v>
      </c>
      <c r="N842" s="985">
        <f t="shared" si="286"/>
        <v>0</v>
      </c>
      <c r="O842" s="985">
        <f t="shared" si="286"/>
        <v>3519986</v>
      </c>
      <c r="P842" s="985">
        <f t="shared" si="286"/>
        <v>0</v>
      </c>
      <c r="Q842" s="985">
        <f t="shared" si="286"/>
        <v>0</v>
      </c>
      <c r="R842" s="991" t="s">
        <v>40</v>
      </c>
      <c r="S842" s="1279" t="s">
        <v>40</v>
      </c>
      <c r="T842" s="991" t="s">
        <v>40</v>
      </c>
    </row>
    <row r="843" spans="1:20" s="992" customFormat="1" ht="37.9" customHeight="1">
      <c r="A843" s="1271">
        <v>71</v>
      </c>
      <c r="B843" s="1274" t="s">
        <v>2118</v>
      </c>
      <c r="C843" s="1279">
        <v>1972</v>
      </c>
      <c r="D843" s="1279"/>
      <c r="E843" s="1271" t="s">
        <v>220</v>
      </c>
      <c r="F843" s="1279">
        <v>2</v>
      </c>
      <c r="G843" s="1279">
        <v>1</v>
      </c>
      <c r="H843" s="985">
        <v>383.9</v>
      </c>
      <c r="I843" s="985">
        <v>351.1</v>
      </c>
      <c r="J843" s="985">
        <v>351.1</v>
      </c>
      <c r="K843" s="1064">
        <v>8</v>
      </c>
      <c r="L843" s="986">
        <v>1556917</v>
      </c>
      <c r="M843" s="986">
        <v>0</v>
      </c>
      <c r="N843" s="986">
        <v>0</v>
      </c>
      <c r="O843" s="986">
        <v>1556917</v>
      </c>
      <c r="P843" s="993">
        <v>0</v>
      </c>
      <c r="Q843" s="986">
        <v>0</v>
      </c>
      <c r="R843" s="985">
        <f t="shared" ref="R843:R844" si="287">L843/I843</f>
        <v>4434.3976075192249</v>
      </c>
      <c r="S843" s="987">
        <v>2022</v>
      </c>
      <c r="T843" s="987">
        <v>2022</v>
      </c>
    </row>
    <row r="844" spans="1:20" s="992" customFormat="1" ht="37.9" customHeight="1">
      <c r="A844" s="1271">
        <v>72</v>
      </c>
      <c r="B844" s="1274" t="s">
        <v>2119</v>
      </c>
      <c r="C844" s="1279">
        <v>1978</v>
      </c>
      <c r="D844" s="1279"/>
      <c r="E844" s="1271" t="s">
        <v>220</v>
      </c>
      <c r="F844" s="1279">
        <v>2</v>
      </c>
      <c r="G844" s="1279">
        <v>2</v>
      </c>
      <c r="H844" s="985">
        <v>919.8</v>
      </c>
      <c r="I844" s="985">
        <v>527.1</v>
      </c>
      <c r="J844" s="985">
        <v>495.4</v>
      </c>
      <c r="K844" s="1064">
        <v>26</v>
      </c>
      <c r="L844" s="986">
        <v>1963069</v>
      </c>
      <c r="M844" s="986">
        <v>0</v>
      </c>
      <c r="N844" s="986">
        <v>0</v>
      </c>
      <c r="O844" s="986">
        <f t="shared" ref="O844" si="288">L844</f>
        <v>1963069</v>
      </c>
      <c r="P844" s="993">
        <v>0</v>
      </c>
      <c r="Q844" s="986">
        <v>0</v>
      </c>
      <c r="R844" s="985">
        <f t="shared" si="287"/>
        <v>3724.2819199392902</v>
      </c>
      <c r="S844" s="987">
        <v>2022</v>
      </c>
      <c r="T844" s="987">
        <v>2022</v>
      </c>
    </row>
    <row r="845" spans="1:20" s="992" customFormat="1" ht="37.9" customHeight="1">
      <c r="A845" s="1271"/>
      <c r="B845" s="1393" t="s">
        <v>41</v>
      </c>
      <c r="C845" s="1393"/>
      <c r="D845" s="1393"/>
      <c r="E845" s="1393"/>
      <c r="F845" s="1393"/>
      <c r="G845" s="1393"/>
      <c r="H845" s="985">
        <f>H846+H857</f>
        <v>15155.359999999999</v>
      </c>
      <c r="I845" s="985">
        <f t="shared" ref="I845:Q845" si="289">I846+I857</f>
        <v>13936.759999999998</v>
      </c>
      <c r="J845" s="985">
        <f t="shared" si="289"/>
        <v>12418.66</v>
      </c>
      <c r="K845" s="1064">
        <f t="shared" si="289"/>
        <v>687</v>
      </c>
      <c r="L845" s="985">
        <f t="shared" si="289"/>
        <v>51535617.820000008</v>
      </c>
      <c r="M845" s="985">
        <f t="shared" si="289"/>
        <v>0</v>
      </c>
      <c r="N845" s="985">
        <f t="shared" si="289"/>
        <v>0</v>
      </c>
      <c r="O845" s="985">
        <f t="shared" si="289"/>
        <v>51535617.820000008</v>
      </c>
      <c r="P845" s="985">
        <f t="shared" si="289"/>
        <v>0</v>
      </c>
      <c r="Q845" s="985">
        <f t="shared" si="289"/>
        <v>0</v>
      </c>
      <c r="R845" s="991" t="s">
        <v>40</v>
      </c>
      <c r="S845" s="991" t="s">
        <v>40</v>
      </c>
      <c r="T845" s="1008" t="s">
        <v>40</v>
      </c>
    </row>
    <row r="846" spans="1:20" s="992" customFormat="1" ht="37.9" customHeight="1">
      <c r="A846" s="1271"/>
      <c r="B846" s="1393" t="s">
        <v>1063</v>
      </c>
      <c r="C846" s="1391"/>
      <c r="D846" s="1391"/>
      <c r="E846" s="1391"/>
      <c r="F846" s="1391"/>
      <c r="G846" s="1391"/>
      <c r="H846" s="1035">
        <f>SUM(H847:H856)</f>
        <v>14091.46</v>
      </c>
      <c r="I846" s="1035">
        <f t="shared" ref="I846:Q846" si="290">SUM(I847:I856)</f>
        <v>12872.859999999999</v>
      </c>
      <c r="J846" s="1035">
        <f t="shared" si="290"/>
        <v>11470.16</v>
      </c>
      <c r="K846" s="1064">
        <f t="shared" si="290"/>
        <v>638</v>
      </c>
      <c r="L846" s="1035">
        <f t="shared" si="290"/>
        <v>48842910.820000008</v>
      </c>
      <c r="M846" s="1035">
        <f t="shared" si="290"/>
        <v>0</v>
      </c>
      <c r="N846" s="1035">
        <f t="shared" si="290"/>
        <v>0</v>
      </c>
      <c r="O846" s="1035">
        <f t="shared" si="290"/>
        <v>48842910.820000008</v>
      </c>
      <c r="P846" s="1035">
        <f t="shared" si="290"/>
        <v>0</v>
      </c>
      <c r="Q846" s="1035">
        <f t="shared" si="290"/>
        <v>0</v>
      </c>
      <c r="R846" s="991" t="s">
        <v>40</v>
      </c>
      <c r="S846" s="991" t="s">
        <v>40</v>
      </c>
      <c r="T846" s="1008" t="s">
        <v>40</v>
      </c>
    </row>
    <row r="847" spans="1:20" s="992" customFormat="1" ht="37.9" customHeight="1">
      <c r="A847" s="1015">
        <v>73</v>
      </c>
      <c r="B847" s="1274" t="s">
        <v>1589</v>
      </c>
      <c r="C847" s="1279">
        <v>1987</v>
      </c>
      <c r="D847" s="1036"/>
      <c r="E847" s="1271" t="s">
        <v>219</v>
      </c>
      <c r="F847" s="1279">
        <v>5</v>
      </c>
      <c r="G847" s="1279">
        <v>4</v>
      </c>
      <c r="H847" s="1035">
        <v>2511</v>
      </c>
      <c r="I847" s="1035">
        <v>2511</v>
      </c>
      <c r="J847" s="1035">
        <v>1151.5999999999999</v>
      </c>
      <c r="K847" s="1011">
        <v>117</v>
      </c>
      <c r="L847" s="1035">
        <f>O847</f>
        <v>7940208.2999999998</v>
      </c>
      <c r="M847" s="1035">
        <v>0</v>
      </c>
      <c r="N847" s="1035">
        <v>0</v>
      </c>
      <c r="O847" s="1035">
        <v>7940208.2999999998</v>
      </c>
      <c r="P847" s="1035">
        <v>0</v>
      </c>
      <c r="Q847" s="1035">
        <v>0</v>
      </c>
      <c r="R847" s="985">
        <f t="shared" ref="R847:R856" si="291">L847/I847</f>
        <v>3162.169772998805</v>
      </c>
      <c r="S847" s="987">
        <v>2022</v>
      </c>
      <c r="T847" s="987">
        <v>2022</v>
      </c>
    </row>
    <row r="848" spans="1:20" s="992" customFormat="1" ht="39" customHeight="1">
      <c r="A848" s="1015">
        <v>74</v>
      </c>
      <c r="B848" s="1014" t="s">
        <v>1613</v>
      </c>
      <c r="C848" s="1015">
        <v>1960</v>
      </c>
      <c r="D848" s="1015"/>
      <c r="E848" s="1015" t="s">
        <v>218</v>
      </c>
      <c r="F848" s="1015">
        <v>2</v>
      </c>
      <c r="G848" s="1015">
        <v>2</v>
      </c>
      <c r="H848" s="1033">
        <v>694.8</v>
      </c>
      <c r="I848" s="1033">
        <v>694.8</v>
      </c>
      <c r="J848" s="1033">
        <v>694.8</v>
      </c>
      <c r="K848" s="1110">
        <v>45</v>
      </c>
      <c r="L848" s="1035">
        <f t="shared" ref="L848:L855" si="292">O848</f>
        <v>3567608.18</v>
      </c>
      <c r="M848" s="1033">
        <v>0</v>
      </c>
      <c r="N848" s="1033">
        <v>0</v>
      </c>
      <c r="O848" s="1033">
        <v>3567608.18</v>
      </c>
      <c r="P848" s="1033">
        <v>0</v>
      </c>
      <c r="Q848" s="1033">
        <v>0</v>
      </c>
      <c r="R848" s="985">
        <f t="shared" si="291"/>
        <v>5134.7267990788723</v>
      </c>
      <c r="S848" s="987">
        <v>2022</v>
      </c>
      <c r="T848" s="987">
        <v>2022</v>
      </c>
    </row>
    <row r="849" spans="1:20" s="1026" customFormat="1" ht="43.15" customHeight="1">
      <c r="A849" s="1015">
        <v>75</v>
      </c>
      <c r="B849" s="1014" t="s">
        <v>1614</v>
      </c>
      <c r="C849" s="1015">
        <v>1949</v>
      </c>
      <c r="D849" s="1015"/>
      <c r="E849" s="1015" t="s">
        <v>218</v>
      </c>
      <c r="F849" s="1015">
        <v>2</v>
      </c>
      <c r="G849" s="1015">
        <v>1</v>
      </c>
      <c r="H849" s="1033">
        <v>380.29</v>
      </c>
      <c r="I849" s="1033">
        <v>380.29</v>
      </c>
      <c r="J849" s="1033">
        <v>380.29</v>
      </c>
      <c r="K849" s="1110">
        <v>17</v>
      </c>
      <c r="L849" s="1035">
        <f>O849</f>
        <v>2922326.26</v>
      </c>
      <c r="M849" s="1033">
        <v>0</v>
      </c>
      <c r="N849" s="1033">
        <v>0</v>
      </c>
      <c r="O849" s="1033">
        <v>2922326.26</v>
      </c>
      <c r="P849" s="1033">
        <v>0</v>
      </c>
      <c r="Q849" s="1033">
        <v>0</v>
      </c>
      <c r="R849" s="985">
        <f t="shared" si="291"/>
        <v>7684.467800888794</v>
      </c>
      <c r="S849" s="987">
        <v>2022</v>
      </c>
      <c r="T849" s="987">
        <v>2022</v>
      </c>
    </row>
    <row r="850" spans="1:20" s="1026" customFormat="1" ht="42" customHeight="1">
      <c r="A850" s="1015">
        <v>76</v>
      </c>
      <c r="B850" s="1014" t="s">
        <v>1615</v>
      </c>
      <c r="C850" s="1015">
        <v>1965</v>
      </c>
      <c r="D850" s="1036"/>
      <c r="E850" s="1015" t="s">
        <v>218</v>
      </c>
      <c r="F850" s="1015">
        <v>4</v>
      </c>
      <c r="G850" s="1015">
        <v>2</v>
      </c>
      <c r="H850" s="1033">
        <v>1276</v>
      </c>
      <c r="I850" s="1033">
        <v>1276</v>
      </c>
      <c r="J850" s="1033">
        <v>1232.7</v>
      </c>
      <c r="K850" s="1011">
        <v>41</v>
      </c>
      <c r="L850" s="1035">
        <f t="shared" si="292"/>
        <v>6004689.1299999999</v>
      </c>
      <c r="M850" s="1033">
        <v>0</v>
      </c>
      <c r="N850" s="1033">
        <v>0</v>
      </c>
      <c r="O850" s="1033">
        <v>6004689.1299999999</v>
      </c>
      <c r="P850" s="1033">
        <v>0</v>
      </c>
      <c r="Q850" s="1033">
        <v>0</v>
      </c>
      <c r="R850" s="985">
        <f t="shared" si="291"/>
        <v>4705.8692241379313</v>
      </c>
      <c r="S850" s="987">
        <v>2022</v>
      </c>
      <c r="T850" s="987">
        <v>2022</v>
      </c>
    </row>
    <row r="851" spans="1:20" s="1026" customFormat="1" ht="45.6" customHeight="1">
      <c r="A851" s="1015">
        <v>77</v>
      </c>
      <c r="B851" s="1014" t="s">
        <v>1616</v>
      </c>
      <c r="C851" s="1015">
        <v>1973</v>
      </c>
      <c r="D851" s="1036"/>
      <c r="E851" s="1015" t="s">
        <v>218</v>
      </c>
      <c r="F851" s="1015">
        <v>5</v>
      </c>
      <c r="G851" s="1015">
        <v>4</v>
      </c>
      <c r="H851" s="1033">
        <v>946.4</v>
      </c>
      <c r="I851" s="1033">
        <v>946.4</v>
      </c>
      <c r="J851" s="1033">
        <v>946.4</v>
      </c>
      <c r="K851" s="1011">
        <v>145</v>
      </c>
      <c r="L851" s="1035">
        <f>O851</f>
        <v>4859505.4400000004</v>
      </c>
      <c r="M851" s="1033">
        <v>0</v>
      </c>
      <c r="N851" s="1033">
        <v>0</v>
      </c>
      <c r="O851" s="1033">
        <v>4859505.4400000004</v>
      </c>
      <c r="P851" s="1033">
        <v>0</v>
      </c>
      <c r="Q851" s="1033">
        <v>0</v>
      </c>
      <c r="R851" s="985">
        <f t="shared" si="291"/>
        <v>5134.7267962806427</v>
      </c>
      <c r="S851" s="987">
        <v>2022</v>
      </c>
      <c r="T851" s="987">
        <v>2022</v>
      </c>
    </row>
    <row r="852" spans="1:20" s="1026" customFormat="1" ht="42" customHeight="1">
      <c r="A852" s="1015">
        <v>78</v>
      </c>
      <c r="B852" s="1014" t="s">
        <v>1523</v>
      </c>
      <c r="C852" s="1015">
        <v>1959</v>
      </c>
      <c r="D852" s="1036"/>
      <c r="E852" s="1015" t="s">
        <v>218</v>
      </c>
      <c r="F852" s="1015">
        <v>2</v>
      </c>
      <c r="G852" s="1015">
        <v>2</v>
      </c>
      <c r="H852" s="1033">
        <v>698.3</v>
      </c>
      <c r="I852" s="1033">
        <v>649.1</v>
      </c>
      <c r="J852" s="1033">
        <v>649.1</v>
      </c>
      <c r="K852" s="1011">
        <v>29</v>
      </c>
      <c r="L852" s="1035">
        <f t="shared" si="292"/>
        <v>6693171</v>
      </c>
      <c r="M852" s="1033">
        <v>0</v>
      </c>
      <c r="N852" s="1033">
        <v>0</v>
      </c>
      <c r="O852" s="1033">
        <v>6693171</v>
      </c>
      <c r="P852" s="1033">
        <v>0</v>
      </c>
      <c r="Q852" s="1033">
        <v>0</v>
      </c>
      <c r="R852" s="985">
        <f t="shared" si="291"/>
        <v>10311.463564936064</v>
      </c>
      <c r="S852" s="987">
        <v>2022</v>
      </c>
      <c r="T852" s="987">
        <v>2022</v>
      </c>
    </row>
    <row r="853" spans="1:20" s="1026" customFormat="1" ht="38.450000000000003" customHeight="1">
      <c r="A853" s="1015">
        <v>79</v>
      </c>
      <c r="B853" s="1014" t="s">
        <v>1978</v>
      </c>
      <c r="C853" s="1015">
        <v>1969</v>
      </c>
      <c r="D853" s="1036"/>
      <c r="E853" s="1015" t="s">
        <v>823</v>
      </c>
      <c r="F853" s="1015">
        <v>2</v>
      </c>
      <c r="G853" s="1015">
        <v>2</v>
      </c>
      <c r="H853" s="1033">
        <v>624.4</v>
      </c>
      <c r="I853" s="1033">
        <v>624.4</v>
      </c>
      <c r="J853" s="1033">
        <v>624.4</v>
      </c>
      <c r="K853" s="1011">
        <v>28</v>
      </c>
      <c r="L853" s="1035">
        <f t="shared" si="292"/>
        <v>5148593</v>
      </c>
      <c r="M853" s="1033">
        <v>0</v>
      </c>
      <c r="N853" s="1033">
        <v>0</v>
      </c>
      <c r="O853" s="1033">
        <v>5148593</v>
      </c>
      <c r="P853" s="1033">
        <v>0</v>
      </c>
      <c r="Q853" s="1033">
        <v>0</v>
      </c>
      <c r="R853" s="985">
        <f t="shared" si="291"/>
        <v>8245.6646380525308</v>
      </c>
      <c r="S853" s="987">
        <v>2022</v>
      </c>
      <c r="T853" s="987">
        <v>2022</v>
      </c>
    </row>
    <row r="854" spans="1:20" s="992" customFormat="1" ht="37.9" customHeight="1">
      <c r="A854" s="1015">
        <v>80</v>
      </c>
      <c r="B854" s="1272" t="s">
        <v>1976</v>
      </c>
      <c r="C854" s="1279">
        <v>1960</v>
      </c>
      <c r="D854" s="1279"/>
      <c r="E854" s="1271" t="s">
        <v>1380</v>
      </c>
      <c r="F854" s="1279">
        <v>2</v>
      </c>
      <c r="G854" s="1279">
        <v>2</v>
      </c>
      <c r="H854" s="1035">
        <v>351.57</v>
      </c>
      <c r="I854" s="1035">
        <v>351.57</v>
      </c>
      <c r="J854" s="1035">
        <v>351.57</v>
      </c>
      <c r="K854" s="1064">
        <v>21</v>
      </c>
      <c r="L854" s="1035">
        <f t="shared" si="292"/>
        <v>2701628.34</v>
      </c>
      <c r="M854" s="1035">
        <v>0</v>
      </c>
      <c r="N854" s="1035">
        <v>0</v>
      </c>
      <c r="O854" s="1035">
        <v>2701628.34</v>
      </c>
      <c r="P854" s="1035">
        <v>0</v>
      </c>
      <c r="Q854" s="1035">
        <v>0</v>
      </c>
      <c r="R854" s="985">
        <f t="shared" si="291"/>
        <v>7684.4677873538694</v>
      </c>
      <c r="S854" s="1279">
        <v>2022</v>
      </c>
      <c r="T854" s="1279">
        <v>2022</v>
      </c>
    </row>
    <row r="855" spans="1:20" s="992" customFormat="1" ht="45" customHeight="1">
      <c r="A855" s="1015">
        <v>81</v>
      </c>
      <c r="B855" s="1272" t="s">
        <v>1977</v>
      </c>
      <c r="C855" s="1279">
        <v>1987</v>
      </c>
      <c r="D855" s="1279"/>
      <c r="E855" s="1271" t="s">
        <v>218</v>
      </c>
      <c r="F855" s="1279">
        <v>5</v>
      </c>
      <c r="G855" s="1279">
        <v>4</v>
      </c>
      <c r="H855" s="1035">
        <v>3094.1</v>
      </c>
      <c r="I855" s="1035">
        <v>2699.9</v>
      </c>
      <c r="J855" s="1035">
        <v>2699.9</v>
      </c>
      <c r="K855" s="1064">
        <v>85</v>
      </c>
      <c r="L855" s="1035">
        <f t="shared" si="292"/>
        <v>3815102.01</v>
      </c>
      <c r="M855" s="1035">
        <v>0</v>
      </c>
      <c r="N855" s="1035">
        <v>0</v>
      </c>
      <c r="O855" s="1035">
        <v>3815102.01</v>
      </c>
      <c r="P855" s="1035">
        <v>0</v>
      </c>
      <c r="Q855" s="1035">
        <v>0</v>
      </c>
      <c r="R855" s="985">
        <f t="shared" si="291"/>
        <v>1413.0530797436941</v>
      </c>
      <c r="S855" s="1279">
        <v>2021</v>
      </c>
      <c r="T855" s="1279">
        <v>2021</v>
      </c>
    </row>
    <row r="856" spans="1:20" s="992" customFormat="1" ht="37.9" customHeight="1">
      <c r="A856" s="1015">
        <v>82</v>
      </c>
      <c r="B856" s="1272" t="s">
        <v>2624</v>
      </c>
      <c r="C856" s="1279">
        <v>1981</v>
      </c>
      <c r="D856" s="1279"/>
      <c r="E856" s="1271" t="s">
        <v>219</v>
      </c>
      <c r="F856" s="1279">
        <v>5</v>
      </c>
      <c r="G856" s="1279">
        <v>4</v>
      </c>
      <c r="H856" s="1035">
        <v>3514.6</v>
      </c>
      <c r="I856" s="1035">
        <v>2739.4</v>
      </c>
      <c r="J856" s="1035">
        <v>2739.4</v>
      </c>
      <c r="K856" s="1064">
        <v>110</v>
      </c>
      <c r="L856" s="1035">
        <v>5190079.16</v>
      </c>
      <c r="M856" s="1035">
        <v>0</v>
      </c>
      <c r="N856" s="1035">
        <v>0</v>
      </c>
      <c r="O856" s="1035">
        <v>5190079.16</v>
      </c>
      <c r="P856" s="1035">
        <v>0</v>
      </c>
      <c r="Q856" s="1035">
        <v>0</v>
      </c>
      <c r="R856" s="985">
        <f t="shared" si="291"/>
        <v>1894.6043513178067</v>
      </c>
      <c r="S856" s="1279">
        <v>2022</v>
      </c>
      <c r="T856" s="1279">
        <v>2022</v>
      </c>
    </row>
    <row r="857" spans="1:20" s="992" customFormat="1" ht="37.9" customHeight="1">
      <c r="A857" s="1015"/>
      <c r="B857" s="1393" t="s">
        <v>2640</v>
      </c>
      <c r="C857" s="1391"/>
      <c r="D857" s="1391"/>
      <c r="E857" s="1391"/>
      <c r="F857" s="1391"/>
      <c r="G857" s="1391"/>
      <c r="H857" s="1035">
        <f>H858</f>
        <v>1063.9000000000001</v>
      </c>
      <c r="I857" s="1035">
        <f t="shared" ref="I857:Q857" si="293">I858</f>
        <v>1063.9000000000001</v>
      </c>
      <c r="J857" s="1035">
        <f t="shared" si="293"/>
        <v>948.5</v>
      </c>
      <c r="K857" s="1064">
        <f t="shared" si="293"/>
        <v>49</v>
      </c>
      <c r="L857" s="1035">
        <f t="shared" si="293"/>
        <v>2692707</v>
      </c>
      <c r="M857" s="1035">
        <f t="shared" si="293"/>
        <v>0</v>
      </c>
      <c r="N857" s="1035">
        <f t="shared" si="293"/>
        <v>0</v>
      </c>
      <c r="O857" s="1035">
        <f t="shared" si="293"/>
        <v>2692707</v>
      </c>
      <c r="P857" s="1035">
        <f t="shared" si="293"/>
        <v>0</v>
      </c>
      <c r="Q857" s="1035">
        <f t="shared" si="293"/>
        <v>0</v>
      </c>
      <c r="R857" s="991" t="s">
        <v>40</v>
      </c>
      <c r="S857" s="991" t="s">
        <v>40</v>
      </c>
      <c r="T857" s="1008" t="s">
        <v>40</v>
      </c>
    </row>
    <row r="858" spans="1:20" s="992" customFormat="1" ht="45" customHeight="1">
      <c r="A858" s="1015">
        <v>83</v>
      </c>
      <c r="B858" s="1272" t="s">
        <v>2641</v>
      </c>
      <c r="C858" s="1279">
        <v>1988</v>
      </c>
      <c r="D858" s="1279"/>
      <c r="E858" s="1271" t="s">
        <v>218</v>
      </c>
      <c r="F858" s="1279">
        <v>2</v>
      </c>
      <c r="G858" s="1279">
        <v>3</v>
      </c>
      <c r="H858" s="1035">
        <v>1063.9000000000001</v>
      </c>
      <c r="I858" s="1035">
        <v>1063.9000000000001</v>
      </c>
      <c r="J858" s="1035">
        <v>948.5</v>
      </c>
      <c r="K858" s="1064">
        <v>49</v>
      </c>
      <c r="L858" s="1035">
        <v>2692707</v>
      </c>
      <c r="M858" s="1035">
        <v>0</v>
      </c>
      <c r="N858" s="1035">
        <v>0</v>
      </c>
      <c r="O858" s="1035">
        <v>2692707</v>
      </c>
      <c r="P858" s="1035">
        <v>0</v>
      </c>
      <c r="Q858" s="1035">
        <v>0</v>
      </c>
      <c r="R858" s="985">
        <f t="shared" ref="R858" si="294">L858/I858</f>
        <v>2530.9775354826579</v>
      </c>
      <c r="S858" s="1279">
        <v>2022</v>
      </c>
      <c r="T858" s="1279">
        <v>2022</v>
      </c>
    </row>
    <row r="859" spans="1:20" s="992" customFormat="1" ht="37.9" customHeight="1">
      <c r="A859" s="1271"/>
      <c r="B859" s="1393" t="s">
        <v>2673</v>
      </c>
      <c r="C859" s="1393"/>
      <c r="D859" s="1393"/>
      <c r="E859" s="1393"/>
      <c r="F859" s="1393"/>
      <c r="G859" s="1393"/>
      <c r="H859" s="993">
        <f>H860+H861</f>
        <v>732.9</v>
      </c>
      <c r="I859" s="993">
        <f t="shared" ref="I859:Q859" si="295">I860+I861</f>
        <v>540.6</v>
      </c>
      <c r="J859" s="993">
        <f t="shared" si="295"/>
        <v>459.20000000000005</v>
      </c>
      <c r="K859" s="987">
        <f t="shared" si="295"/>
        <v>33</v>
      </c>
      <c r="L859" s="993">
        <f t="shared" si="295"/>
        <v>431415.74</v>
      </c>
      <c r="M859" s="993">
        <f t="shared" si="295"/>
        <v>0</v>
      </c>
      <c r="N859" s="993">
        <f t="shared" si="295"/>
        <v>0</v>
      </c>
      <c r="O859" s="993">
        <f t="shared" si="295"/>
        <v>431415.74</v>
      </c>
      <c r="P859" s="993">
        <f t="shared" si="295"/>
        <v>0</v>
      </c>
      <c r="Q859" s="993">
        <f t="shared" si="295"/>
        <v>0</v>
      </c>
      <c r="R859" s="991" t="s">
        <v>40</v>
      </c>
      <c r="S859" s="991" t="s">
        <v>40</v>
      </c>
      <c r="T859" s="1008" t="s">
        <v>40</v>
      </c>
    </row>
    <row r="860" spans="1:20" s="992" customFormat="1" ht="43.9" customHeight="1">
      <c r="A860" s="1271">
        <v>84</v>
      </c>
      <c r="B860" s="1274" t="s">
        <v>2696</v>
      </c>
      <c r="C860" s="1271">
        <v>1962</v>
      </c>
      <c r="D860" s="1274"/>
      <c r="E860" s="1271" t="s">
        <v>218</v>
      </c>
      <c r="F860" s="1271">
        <v>2</v>
      </c>
      <c r="G860" s="1271">
        <v>3</v>
      </c>
      <c r="H860" s="993">
        <v>466.9</v>
      </c>
      <c r="I860" s="993">
        <v>386.7</v>
      </c>
      <c r="J860" s="993">
        <v>305.3</v>
      </c>
      <c r="K860" s="987">
        <v>18</v>
      </c>
      <c r="L860" s="993">
        <v>286827.58</v>
      </c>
      <c r="M860" s="986">
        <v>0</v>
      </c>
      <c r="N860" s="986">
        <v>0</v>
      </c>
      <c r="O860" s="986">
        <f>L860</f>
        <v>286827.58</v>
      </c>
      <c r="P860" s="993">
        <v>0</v>
      </c>
      <c r="Q860" s="986">
        <v>0</v>
      </c>
      <c r="R860" s="985">
        <f t="shared" ref="R860:R861" si="296">L860/I860</f>
        <v>741.7315231445566</v>
      </c>
      <c r="S860" s="987">
        <v>2022</v>
      </c>
      <c r="T860" s="987">
        <v>2022</v>
      </c>
    </row>
    <row r="861" spans="1:20" s="992" customFormat="1" ht="45" customHeight="1">
      <c r="A861" s="1271">
        <v>85</v>
      </c>
      <c r="B861" s="1274" t="s">
        <v>2697</v>
      </c>
      <c r="C861" s="1271">
        <v>1940</v>
      </c>
      <c r="D861" s="1274"/>
      <c r="E861" s="1271" t="s">
        <v>218</v>
      </c>
      <c r="F861" s="1271">
        <v>2</v>
      </c>
      <c r="G861" s="1271">
        <v>1</v>
      </c>
      <c r="H861" s="993">
        <v>266</v>
      </c>
      <c r="I861" s="993">
        <v>153.9</v>
      </c>
      <c r="J861" s="993">
        <v>153.9</v>
      </c>
      <c r="K861" s="987">
        <v>15</v>
      </c>
      <c r="L861" s="993">
        <v>144588.16</v>
      </c>
      <c r="M861" s="986">
        <v>0</v>
      </c>
      <c r="N861" s="986">
        <v>0</v>
      </c>
      <c r="O861" s="986">
        <f t="shared" ref="O861" si="297">L861</f>
        <v>144588.16</v>
      </c>
      <c r="P861" s="993">
        <v>0</v>
      </c>
      <c r="Q861" s="986">
        <v>0</v>
      </c>
      <c r="R861" s="985">
        <f t="shared" si="296"/>
        <v>939.49421702404152</v>
      </c>
      <c r="S861" s="987">
        <v>2022</v>
      </c>
      <c r="T861" s="987">
        <v>2022</v>
      </c>
    </row>
    <row r="862" spans="1:20" s="992" customFormat="1" ht="37.9" customHeight="1">
      <c r="A862" s="1271"/>
      <c r="B862" s="1391" t="s">
        <v>43</v>
      </c>
      <c r="C862" s="1391"/>
      <c r="D862" s="1391"/>
      <c r="E862" s="1391"/>
      <c r="F862" s="1391"/>
      <c r="G862" s="1391"/>
      <c r="H862" s="985">
        <f>H863</f>
        <v>13975.140000000001</v>
      </c>
      <c r="I862" s="985">
        <f t="shared" ref="I862:Q862" si="298">I863</f>
        <v>11846.5</v>
      </c>
      <c r="J862" s="985">
        <f t="shared" si="298"/>
        <v>11846.5</v>
      </c>
      <c r="K862" s="1064">
        <f t="shared" si="298"/>
        <v>440</v>
      </c>
      <c r="L862" s="985">
        <f t="shared" si="298"/>
        <v>18668404</v>
      </c>
      <c r="M862" s="985">
        <f t="shared" si="298"/>
        <v>0</v>
      </c>
      <c r="N862" s="985">
        <f t="shared" si="298"/>
        <v>0</v>
      </c>
      <c r="O862" s="985">
        <f t="shared" si="298"/>
        <v>18668404</v>
      </c>
      <c r="P862" s="985">
        <f t="shared" si="298"/>
        <v>0</v>
      </c>
      <c r="Q862" s="985">
        <f t="shared" si="298"/>
        <v>0</v>
      </c>
      <c r="R862" s="991" t="s">
        <v>40</v>
      </c>
      <c r="S862" s="991" t="s">
        <v>40</v>
      </c>
      <c r="T862" s="991" t="s">
        <v>40</v>
      </c>
    </row>
    <row r="863" spans="1:20" s="992" customFormat="1" ht="37.9" customHeight="1">
      <c r="A863" s="1271"/>
      <c r="B863" s="1393" t="s">
        <v>1090</v>
      </c>
      <c r="C863" s="1393"/>
      <c r="D863" s="1393"/>
      <c r="E863" s="1393"/>
      <c r="F863" s="1393"/>
      <c r="G863" s="1393"/>
      <c r="H863" s="1035">
        <f>SUM(H864:H873)</f>
        <v>13975.140000000001</v>
      </c>
      <c r="I863" s="1035">
        <f t="shared" ref="I863:Q863" si="299">SUM(I864:I873)</f>
        <v>11846.5</v>
      </c>
      <c r="J863" s="1035">
        <f t="shared" si="299"/>
        <v>11846.5</v>
      </c>
      <c r="K863" s="1064">
        <f t="shared" si="299"/>
        <v>440</v>
      </c>
      <c r="L863" s="1035">
        <f t="shared" si="299"/>
        <v>18668404</v>
      </c>
      <c r="M863" s="1035">
        <f t="shared" si="299"/>
        <v>0</v>
      </c>
      <c r="N863" s="1035">
        <f t="shared" si="299"/>
        <v>0</v>
      </c>
      <c r="O863" s="1035">
        <f t="shared" si="299"/>
        <v>18668404</v>
      </c>
      <c r="P863" s="1035">
        <f t="shared" si="299"/>
        <v>0</v>
      </c>
      <c r="Q863" s="1035">
        <f t="shared" si="299"/>
        <v>0</v>
      </c>
      <c r="R863" s="991" t="s">
        <v>40</v>
      </c>
      <c r="S863" s="991" t="s">
        <v>40</v>
      </c>
      <c r="T863" s="991" t="s">
        <v>40</v>
      </c>
    </row>
    <row r="864" spans="1:20" s="992" customFormat="1" ht="41.45" customHeight="1">
      <c r="A864" s="1271">
        <v>86</v>
      </c>
      <c r="B864" s="1273" t="s">
        <v>1341</v>
      </c>
      <c r="C864" s="1271">
        <v>1955</v>
      </c>
      <c r="D864" s="1271"/>
      <c r="E864" s="1271" t="s">
        <v>218</v>
      </c>
      <c r="F864" s="1279">
        <v>2</v>
      </c>
      <c r="G864" s="1279">
        <v>2</v>
      </c>
      <c r="H864" s="986">
        <v>410</v>
      </c>
      <c r="I864" s="986">
        <v>407.5</v>
      </c>
      <c r="J864" s="986">
        <v>407.5</v>
      </c>
      <c r="K864" s="1064">
        <v>8</v>
      </c>
      <c r="L864" s="986">
        <v>1523071</v>
      </c>
      <c r="M864" s="986">
        <v>0</v>
      </c>
      <c r="N864" s="986">
        <v>0</v>
      </c>
      <c r="O864" s="986">
        <f>L864</f>
        <v>1523071</v>
      </c>
      <c r="P864" s="993">
        <v>0</v>
      </c>
      <c r="Q864" s="986">
        <v>0</v>
      </c>
      <c r="R864" s="985">
        <f t="shared" ref="R864:R873" si="300">L864/I864</f>
        <v>3737.59754601227</v>
      </c>
      <c r="S864" s="987">
        <v>2022</v>
      </c>
      <c r="T864" s="987">
        <v>2022</v>
      </c>
    </row>
    <row r="865" spans="1:20" s="992" customFormat="1" ht="37.9" customHeight="1">
      <c r="A865" s="1271">
        <v>87</v>
      </c>
      <c r="B865" s="1274" t="s">
        <v>2294</v>
      </c>
      <c r="C865" s="1271">
        <v>2010</v>
      </c>
      <c r="D865" s="1271"/>
      <c r="E865" s="1271" t="s">
        <v>222</v>
      </c>
      <c r="F865" s="1279">
        <v>3</v>
      </c>
      <c r="G865" s="1279">
        <v>1</v>
      </c>
      <c r="H865" s="986">
        <v>1380.7</v>
      </c>
      <c r="I865" s="986">
        <v>1063.3</v>
      </c>
      <c r="J865" s="986">
        <v>1063.3</v>
      </c>
      <c r="K865" s="1064">
        <v>47</v>
      </c>
      <c r="L865" s="986">
        <v>1967908</v>
      </c>
      <c r="M865" s="986">
        <v>0</v>
      </c>
      <c r="N865" s="986">
        <v>0</v>
      </c>
      <c r="O865" s="986">
        <f t="shared" ref="O865:O873" si="301">L865</f>
        <v>1967908</v>
      </c>
      <c r="P865" s="993">
        <v>0</v>
      </c>
      <c r="Q865" s="986">
        <v>0</v>
      </c>
      <c r="R865" s="985">
        <f t="shared" si="300"/>
        <v>1850.7551960876517</v>
      </c>
      <c r="S865" s="987">
        <v>2022</v>
      </c>
      <c r="T865" s="987">
        <v>2022</v>
      </c>
    </row>
    <row r="866" spans="1:20" s="992" customFormat="1" ht="43.9" customHeight="1">
      <c r="A866" s="1271">
        <v>88</v>
      </c>
      <c r="B866" s="1274" t="s">
        <v>1617</v>
      </c>
      <c r="C866" s="1271">
        <v>1980</v>
      </c>
      <c r="D866" s="1271"/>
      <c r="E866" s="1271" t="s">
        <v>218</v>
      </c>
      <c r="F866" s="1279">
        <v>2</v>
      </c>
      <c r="G866" s="1279">
        <v>3</v>
      </c>
      <c r="H866" s="986">
        <v>1056.3</v>
      </c>
      <c r="I866" s="986">
        <v>929.1</v>
      </c>
      <c r="J866" s="986">
        <v>929.1</v>
      </c>
      <c r="K866" s="1064">
        <v>28</v>
      </c>
      <c r="L866" s="986">
        <v>2193560</v>
      </c>
      <c r="M866" s="986">
        <v>0</v>
      </c>
      <c r="N866" s="986">
        <v>0</v>
      </c>
      <c r="O866" s="986">
        <f t="shared" si="301"/>
        <v>2193560</v>
      </c>
      <c r="P866" s="993">
        <v>0</v>
      </c>
      <c r="Q866" s="986">
        <v>0</v>
      </c>
      <c r="R866" s="985">
        <f t="shared" si="300"/>
        <v>2360.9514584006029</v>
      </c>
      <c r="S866" s="987">
        <v>2022</v>
      </c>
      <c r="T866" s="987">
        <v>2022</v>
      </c>
    </row>
    <row r="867" spans="1:20" s="992" customFormat="1" ht="37.9" customHeight="1">
      <c r="A867" s="1271">
        <v>89</v>
      </c>
      <c r="B867" s="1274" t="s">
        <v>1302</v>
      </c>
      <c r="C867" s="1271">
        <v>1938</v>
      </c>
      <c r="D867" s="1271"/>
      <c r="E867" s="1271" t="s">
        <v>221</v>
      </c>
      <c r="F867" s="1279">
        <v>2</v>
      </c>
      <c r="G867" s="1279">
        <v>2</v>
      </c>
      <c r="H867" s="986">
        <v>479.9</v>
      </c>
      <c r="I867" s="986">
        <v>479.9</v>
      </c>
      <c r="J867" s="986">
        <v>479.9</v>
      </c>
      <c r="K867" s="1064">
        <v>10</v>
      </c>
      <c r="L867" s="986">
        <v>53033</v>
      </c>
      <c r="M867" s="986">
        <v>0</v>
      </c>
      <c r="N867" s="986">
        <v>0</v>
      </c>
      <c r="O867" s="986">
        <f t="shared" si="301"/>
        <v>53033</v>
      </c>
      <c r="P867" s="993">
        <v>0</v>
      </c>
      <c r="Q867" s="986">
        <v>0</v>
      </c>
      <c r="R867" s="985">
        <f t="shared" si="300"/>
        <v>110.5084392581788</v>
      </c>
      <c r="S867" s="987">
        <v>2022</v>
      </c>
      <c r="T867" s="987">
        <v>2022</v>
      </c>
    </row>
    <row r="868" spans="1:20" s="992" customFormat="1" ht="37.9" customHeight="1">
      <c r="A868" s="1271">
        <v>90</v>
      </c>
      <c r="B868" s="1274" t="s">
        <v>1031</v>
      </c>
      <c r="C868" s="1271">
        <v>1946</v>
      </c>
      <c r="D868" s="1271"/>
      <c r="E868" s="1271" t="s">
        <v>221</v>
      </c>
      <c r="F868" s="1279">
        <v>2</v>
      </c>
      <c r="G868" s="1279">
        <v>2</v>
      </c>
      <c r="H868" s="1086">
        <v>840.64</v>
      </c>
      <c r="I868" s="1086">
        <v>481.1</v>
      </c>
      <c r="J868" s="1086">
        <v>481.1</v>
      </c>
      <c r="K868" s="1064">
        <v>23</v>
      </c>
      <c r="L868" s="986">
        <v>67897</v>
      </c>
      <c r="M868" s="986">
        <v>0</v>
      </c>
      <c r="N868" s="986">
        <v>0</v>
      </c>
      <c r="O868" s="986">
        <f t="shared" si="301"/>
        <v>67897</v>
      </c>
      <c r="P868" s="993">
        <v>0</v>
      </c>
      <c r="Q868" s="986">
        <v>0</v>
      </c>
      <c r="R868" s="985">
        <f t="shared" si="300"/>
        <v>141.12866347952607</v>
      </c>
      <c r="S868" s="987">
        <v>2022</v>
      </c>
      <c r="T868" s="987">
        <v>2022</v>
      </c>
    </row>
    <row r="869" spans="1:20" s="992" customFormat="1" ht="37.9" customHeight="1">
      <c r="A869" s="1271">
        <v>91</v>
      </c>
      <c r="B869" s="1274" t="s">
        <v>758</v>
      </c>
      <c r="C869" s="1271">
        <v>1881</v>
      </c>
      <c r="D869" s="1271"/>
      <c r="E869" s="1271" t="s">
        <v>221</v>
      </c>
      <c r="F869" s="1279">
        <v>2</v>
      </c>
      <c r="G869" s="1279">
        <v>2</v>
      </c>
      <c r="H869" s="986">
        <v>516.20000000000005</v>
      </c>
      <c r="I869" s="986">
        <v>515.5</v>
      </c>
      <c r="J869" s="986">
        <v>515.5</v>
      </c>
      <c r="K869" s="1064">
        <v>24</v>
      </c>
      <c r="L869" s="986">
        <v>708406</v>
      </c>
      <c r="M869" s="986">
        <v>0</v>
      </c>
      <c r="N869" s="986">
        <v>0</v>
      </c>
      <c r="O869" s="986">
        <f t="shared" si="301"/>
        <v>708406</v>
      </c>
      <c r="P869" s="993">
        <v>0</v>
      </c>
      <c r="Q869" s="986">
        <v>0</v>
      </c>
      <c r="R869" s="985">
        <f t="shared" si="300"/>
        <v>1374.2114451988361</v>
      </c>
      <c r="S869" s="987">
        <v>2022</v>
      </c>
      <c r="T869" s="987">
        <v>2022</v>
      </c>
    </row>
    <row r="870" spans="1:20" s="992" customFormat="1" ht="40.15" customHeight="1">
      <c r="A870" s="1271">
        <v>92</v>
      </c>
      <c r="B870" s="1274" t="s">
        <v>1343</v>
      </c>
      <c r="C870" s="1271">
        <v>1986</v>
      </c>
      <c r="D870" s="1271"/>
      <c r="E870" s="1271" t="s">
        <v>218</v>
      </c>
      <c r="F870" s="1279">
        <v>2</v>
      </c>
      <c r="G870" s="1279">
        <v>3</v>
      </c>
      <c r="H870" s="986">
        <v>929.8</v>
      </c>
      <c r="I870" s="986">
        <v>884.7</v>
      </c>
      <c r="J870" s="986">
        <v>884.7</v>
      </c>
      <c r="K870" s="1064">
        <v>32</v>
      </c>
      <c r="L870" s="986">
        <v>2037865</v>
      </c>
      <c r="M870" s="986">
        <v>0</v>
      </c>
      <c r="N870" s="986">
        <v>0</v>
      </c>
      <c r="O870" s="986">
        <f t="shared" si="301"/>
        <v>2037865</v>
      </c>
      <c r="P870" s="993">
        <v>0</v>
      </c>
      <c r="Q870" s="986">
        <v>0</v>
      </c>
      <c r="R870" s="985">
        <f t="shared" si="300"/>
        <v>2303.4531479597604</v>
      </c>
      <c r="S870" s="987">
        <v>2022</v>
      </c>
      <c r="T870" s="987">
        <v>2022</v>
      </c>
    </row>
    <row r="871" spans="1:20" s="992" customFormat="1" ht="37.9" customHeight="1">
      <c r="A871" s="1271">
        <v>93</v>
      </c>
      <c r="B871" s="1274" t="s">
        <v>1273</v>
      </c>
      <c r="C871" s="1271">
        <v>1975</v>
      </c>
      <c r="D871" s="1271"/>
      <c r="E871" s="1271" t="s">
        <v>219</v>
      </c>
      <c r="F871" s="1279">
        <v>5</v>
      </c>
      <c r="G871" s="1279">
        <v>4</v>
      </c>
      <c r="H871" s="986">
        <v>3420.5</v>
      </c>
      <c r="I871" s="986">
        <v>2587.4</v>
      </c>
      <c r="J871" s="986">
        <v>2587.4</v>
      </c>
      <c r="K871" s="1064">
        <v>104</v>
      </c>
      <c r="L871" s="986">
        <v>2587273</v>
      </c>
      <c r="M871" s="986">
        <v>0</v>
      </c>
      <c r="N871" s="986">
        <v>0</v>
      </c>
      <c r="O871" s="986">
        <f t="shared" si="301"/>
        <v>2587273</v>
      </c>
      <c r="P871" s="993">
        <v>0</v>
      </c>
      <c r="Q871" s="986">
        <v>0</v>
      </c>
      <c r="R871" s="985">
        <f t="shared" si="300"/>
        <v>999.95091597742908</v>
      </c>
      <c r="S871" s="987">
        <v>2022</v>
      </c>
      <c r="T871" s="987">
        <v>2022</v>
      </c>
    </row>
    <row r="872" spans="1:20" s="992" customFormat="1" ht="42.6" customHeight="1">
      <c r="A872" s="1271">
        <v>94</v>
      </c>
      <c r="B872" s="1274" t="s">
        <v>2293</v>
      </c>
      <c r="C872" s="1271">
        <v>1979</v>
      </c>
      <c r="D872" s="1271"/>
      <c r="E872" s="1271" t="s">
        <v>218</v>
      </c>
      <c r="F872" s="1279">
        <v>5</v>
      </c>
      <c r="G872" s="1279">
        <v>6</v>
      </c>
      <c r="H872" s="986">
        <v>4770.3999999999996</v>
      </c>
      <c r="I872" s="986">
        <v>4347.1000000000004</v>
      </c>
      <c r="J872" s="986">
        <v>4347.1000000000004</v>
      </c>
      <c r="K872" s="1064">
        <v>156</v>
      </c>
      <c r="L872" s="986">
        <v>6881521</v>
      </c>
      <c r="M872" s="986">
        <v>0</v>
      </c>
      <c r="N872" s="986">
        <v>0</v>
      </c>
      <c r="O872" s="986">
        <f t="shared" si="301"/>
        <v>6881521</v>
      </c>
      <c r="P872" s="993">
        <v>0</v>
      </c>
      <c r="Q872" s="986">
        <v>0</v>
      </c>
      <c r="R872" s="985">
        <f t="shared" si="300"/>
        <v>1583.0141933702928</v>
      </c>
      <c r="S872" s="987">
        <v>2022</v>
      </c>
      <c r="T872" s="987">
        <v>2022</v>
      </c>
    </row>
    <row r="873" spans="1:20" s="992" customFormat="1" ht="37.9" customHeight="1">
      <c r="A873" s="1271">
        <v>95</v>
      </c>
      <c r="B873" s="1274" t="s">
        <v>1026</v>
      </c>
      <c r="C873" s="1271">
        <v>1881</v>
      </c>
      <c r="D873" s="1271"/>
      <c r="E873" s="1271" t="s">
        <v>221</v>
      </c>
      <c r="F873" s="1279">
        <v>1</v>
      </c>
      <c r="G873" s="1279">
        <v>1</v>
      </c>
      <c r="H873" s="986">
        <v>170.7</v>
      </c>
      <c r="I873" s="986">
        <v>150.9</v>
      </c>
      <c r="J873" s="986">
        <v>150.9</v>
      </c>
      <c r="K873" s="1064">
        <v>8</v>
      </c>
      <c r="L873" s="986">
        <v>647870</v>
      </c>
      <c r="M873" s="986">
        <v>0</v>
      </c>
      <c r="N873" s="986">
        <v>0</v>
      </c>
      <c r="O873" s="986">
        <f t="shared" si="301"/>
        <v>647870</v>
      </c>
      <c r="P873" s="993">
        <v>0</v>
      </c>
      <c r="Q873" s="986">
        <v>0</v>
      </c>
      <c r="R873" s="985">
        <f t="shared" si="300"/>
        <v>4293.3730947647446</v>
      </c>
      <c r="S873" s="987">
        <v>2022</v>
      </c>
      <c r="T873" s="987">
        <v>2022</v>
      </c>
    </row>
    <row r="874" spans="1:20" s="992" customFormat="1" ht="37.9" customHeight="1">
      <c r="A874" s="1271"/>
      <c r="B874" s="1391" t="s">
        <v>1370</v>
      </c>
      <c r="C874" s="1391"/>
      <c r="D874" s="1391"/>
      <c r="E874" s="1391"/>
      <c r="F874" s="1391"/>
      <c r="G874" s="1391"/>
      <c r="H874" s="985">
        <f>H875+H876</f>
        <v>3282</v>
      </c>
      <c r="I874" s="985">
        <f t="shared" ref="I874:Q874" si="302">I875+I876</f>
        <v>3282</v>
      </c>
      <c r="J874" s="985">
        <f t="shared" si="302"/>
        <v>2924.8</v>
      </c>
      <c r="K874" s="1064">
        <f t="shared" si="302"/>
        <v>57</v>
      </c>
      <c r="L874" s="985">
        <f t="shared" si="302"/>
        <v>4515059.4799999995</v>
      </c>
      <c r="M874" s="985">
        <f t="shared" si="302"/>
        <v>0</v>
      </c>
      <c r="N874" s="985">
        <f t="shared" si="302"/>
        <v>108602.48</v>
      </c>
      <c r="O874" s="985">
        <f t="shared" si="302"/>
        <v>4406457</v>
      </c>
      <c r="P874" s="985">
        <f t="shared" si="302"/>
        <v>0</v>
      </c>
      <c r="Q874" s="985">
        <f t="shared" si="302"/>
        <v>0</v>
      </c>
      <c r="R874" s="991" t="s">
        <v>40</v>
      </c>
      <c r="S874" s="991" t="s">
        <v>40</v>
      </c>
      <c r="T874" s="991" t="s">
        <v>40</v>
      </c>
    </row>
    <row r="875" spans="1:20" s="992" customFormat="1" ht="43.9" customHeight="1">
      <c r="A875" s="1271">
        <v>96</v>
      </c>
      <c r="B875" s="1274" t="s">
        <v>2120</v>
      </c>
      <c r="C875" s="1271">
        <v>1972</v>
      </c>
      <c r="D875" s="1279"/>
      <c r="E875" s="1271" t="s">
        <v>218</v>
      </c>
      <c r="F875" s="1279">
        <v>2</v>
      </c>
      <c r="G875" s="1279">
        <v>2</v>
      </c>
      <c r="H875" s="985">
        <v>526</v>
      </c>
      <c r="I875" s="985">
        <v>526</v>
      </c>
      <c r="J875" s="985">
        <v>466</v>
      </c>
      <c r="K875" s="1064">
        <v>12</v>
      </c>
      <c r="L875" s="986">
        <v>1432534.95</v>
      </c>
      <c r="M875" s="986">
        <v>0</v>
      </c>
      <c r="N875" s="986">
        <v>0</v>
      </c>
      <c r="O875" s="986">
        <v>1432534.95</v>
      </c>
      <c r="P875" s="993">
        <v>0</v>
      </c>
      <c r="Q875" s="986">
        <v>0</v>
      </c>
      <c r="R875" s="1078">
        <f>L875/I875</f>
        <v>2723.4504752851708</v>
      </c>
      <c r="S875" s="987">
        <v>2022</v>
      </c>
      <c r="T875" s="987">
        <v>2022</v>
      </c>
    </row>
    <row r="876" spans="1:20" s="992" customFormat="1" ht="46.15" customHeight="1">
      <c r="A876" s="1271">
        <v>97</v>
      </c>
      <c r="B876" s="1274" t="s">
        <v>2980</v>
      </c>
      <c r="C876" s="1271">
        <v>1985</v>
      </c>
      <c r="D876" s="1279"/>
      <c r="E876" s="1271" t="s">
        <v>218</v>
      </c>
      <c r="F876" s="1279">
        <v>5</v>
      </c>
      <c r="G876" s="1279">
        <v>4</v>
      </c>
      <c r="H876" s="985">
        <v>2756</v>
      </c>
      <c r="I876" s="985">
        <v>2756</v>
      </c>
      <c r="J876" s="985">
        <v>2458.8000000000002</v>
      </c>
      <c r="K876" s="1064">
        <v>45</v>
      </c>
      <c r="L876" s="986">
        <v>3082524.53</v>
      </c>
      <c r="M876" s="986">
        <v>0</v>
      </c>
      <c r="N876" s="986">
        <v>108602.48</v>
      </c>
      <c r="O876" s="986">
        <v>2973922.05</v>
      </c>
      <c r="P876" s="993">
        <v>0</v>
      </c>
      <c r="Q876" s="986">
        <v>0</v>
      </c>
      <c r="R876" s="1078">
        <f t="shared" ref="R876" si="303">L876/I876</f>
        <v>1118.4776959361393</v>
      </c>
      <c r="S876" s="987">
        <v>2022</v>
      </c>
      <c r="T876" s="987">
        <v>2022</v>
      </c>
    </row>
    <row r="877" spans="1:20" s="992" customFormat="1" ht="37.9" customHeight="1">
      <c r="A877" s="1271"/>
      <c r="B877" s="1391" t="s">
        <v>46</v>
      </c>
      <c r="C877" s="1391"/>
      <c r="D877" s="1391"/>
      <c r="E877" s="1391"/>
      <c r="F877" s="1391"/>
      <c r="G877" s="1391"/>
      <c r="H877" s="985">
        <f>H878</f>
        <v>1653.4</v>
      </c>
      <c r="I877" s="985">
        <f t="shared" ref="I877:Q878" si="304">I878</f>
        <v>1510.4</v>
      </c>
      <c r="J877" s="985">
        <f t="shared" si="304"/>
        <v>1137.0999999999999</v>
      </c>
      <c r="K877" s="1064">
        <f t="shared" si="304"/>
        <v>46</v>
      </c>
      <c r="L877" s="986">
        <f t="shared" si="304"/>
        <v>2688304.17</v>
      </c>
      <c r="M877" s="986">
        <f t="shared" si="304"/>
        <v>0</v>
      </c>
      <c r="N877" s="986">
        <f t="shared" si="304"/>
        <v>0</v>
      </c>
      <c r="O877" s="986">
        <f t="shared" si="304"/>
        <v>2688304.17</v>
      </c>
      <c r="P877" s="993">
        <v>0</v>
      </c>
      <c r="Q877" s="986">
        <f t="shared" si="304"/>
        <v>0</v>
      </c>
      <c r="R877" s="991" t="s">
        <v>40</v>
      </c>
      <c r="S877" s="991" t="s">
        <v>40</v>
      </c>
      <c r="T877" s="991" t="s">
        <v>40</v>
      </c>
    </row>
    <row r="878" spans="1:20" s="992" customFormat="1" ht="37.9" customHeight="1">
      <c r="A878" s="1271"/>
      <c r="B878" s="1391" t="s">
        <v>1064</v>
      </c>
      <c r="C878" s="1391"/>
      <c r="D878" s="1391"/>
      <c r="E878" s="1391"/>
      <c r="F878" s="1391"/>
      <c r="G878" s="1391"/>
      <c r="H878" s="985">
        <f>H879</f>
        <v>1653.4</v>
      </c>
      <c r="I878" s="985">
        <f t="shared" si="304"/>
        <v>1510.4</v>
      </c>
      <c r="J878" s="985">
        <f t="shared" si="304"/>
        <v>1137.0999999999999</v>
      </c>
      <c r="K878" s="1064">
        <f t="shared" si="304"/>
        <v>46</v>
      </c>
      <c r="L878" s="985">
        <f t="shared" si="304"/>
        <v>2688304.17</v>
      </c>
      <c r="M878" s="985">
        <f t="shared" si="304"/>
        <v>0</v>
      </c>
      <c r="N878" s="985">
        <f t="shared" si="304"/>
        <v>0</v>
      </c>
      <c r="O878" s="985">
        <f t="shared" si="304"/>
        <v>2688304.17</v>
      </c>
      <c r="P878" s="985">
        <f t="shared" si="304"/>
        <v>0</v>
      </c>
      <c r="Q878" s="985">
        <f t="shared" si="304"/>
        <v>0</v>
      </c>
      <c r="R878" s="991" t="s">
        <v>40</v>
      </c>
      <c r="S878" s="991" t="s">
        <v>40</v>
      </c>
      <c r="T878" s="991" t="s">
        <v>40</v>
      </c>
    </row>
    <row r="879" spans="1:20" s="992" customFormat="1" ht="41.45" customHeight="1">
      <c r="A879" s="1271">
        <v>98</v>
      </c>
      <c r="B879" s="1274" t="s">
        <v>1202</v>
      </c>
      <c r="C879" s="1279">
        <v>1974</v>
      </c>
      <c r="D879" s="1087"/>
      <c r="E879" s="1271" t="s">
        <v>218</v>
      </c>
      <c r="F879" s="1279">
        <v>3</v>
      </c>
      <c r="G879" s="1279">
        <v>3</v>
      </c>
      <c r="H879" s="985">
        <v>1653.4</v>
      </c>
      <c r="I879" s="985">
        <v>1510.4</v>
      </c>
      <c r="J879" s="985">
        <v>1137.0999999999999</v>
      </c>
      <c r="K879" s="1064">
        <v>46</v>
      </c>
      <c r="L879" s="986">
        <v>2688304.17</v>
      </c>
      <c r="M879" s="986">
        <v>0</v>
      </c>
      <c r="N879" s="986">
        <v>0</v>
      </c>
      <c r="O879" s="986">
        <v>2688304.17</v>
      </c>
      <c r="P879" s="993">
        <v>0</v>
      </c>
      <c r="Q879" s="986">
        <v>0</v>
      </c>
      <c r="R879" s="985">
        <f>L879/I879</f>
        <v>1779.8624006885591</v>
      </c>
      <c r="S879" s="987">
        <v>2022</v>
      </c>
      <c r="T879" s="987">
        <v>2022</v>
      </c>
    </row>
    <row r="880" spans="1:20" s="992" customFormat="1" ht="37.9" customHeight="1">
      <c r="A880" s="1271"/>
      <c r="B880" s="1391" t="s">
        <v>1649</v>
      </c>
      <c r="C880" s="1391"/>
      <c r="D880" s="1391"/>
      <c r="E880" s="1391"/>
      <c r="F880" s="1391"/>
      <c r="G880" s="1391"/>
      <c r="H880" s="985">
        <f>H881+H882</f>
        <v>2539.1999999999998</v>
      </c>
      <c r="I880" s="985">
        <f t="shared" ref="I880:Q880" si="305">I881+I882</f>
        <v>2448</v>
      </c>
      <c r="J880" s="985">
        <f t="shared" si="305"/>
        <v>2448</v>
      </c>
      <c r="K880" s="1064">
        <f t="shared" si="305"/>
        <v>101</v>
      </c>
      <c r="L880" s="985">
        <f t="shared" si="305"/>
        <v>5475851.4199999999</v>
      </c>
      <c r="M880" s="985">
        <f t="shared" si="305"/>
        <v>0</v>
      </c>
      <c r="N880" s="985">
        <f t="shared" si="305"/>
        <v>0</v>
      </c>
      <c r="O880" s="985">
        <f t="shared" si="305"/>
        <v>5475851.4199999999</v>
      </c>
      <c r="P880" s="985">
        <f t="shared" si="305"/>
        <v>0</v>
      </c>
      <c r="Q880" s="985">
        <f t="shared" si="305"/>
        <v>0</v>
      </c>
      <c r="R880" s="991" t="s">
        <v>40</v>
      </c>
      <c r="S880" s="991" t="s">
        <v>40</v>
      </c>
      <c r="T880" s="991" t="s">
        <v>40</v>
      </c>
    </row>
    <row r="881" spans="1:20" s="992" customFormat="1" ht="42.6" customHeight="1">
      <c r="A881" s="1271">
        <v>99</v>
      </c>
      <c r="B881" s="1274" t="s">
        <v>2121</v>
      </c>
      <c r="C881" s="1022" t="s">
        <v>1187</v>
      </c>
      <c r="D881" s="1022"/>
      <c r="E881" s="1271" t="s">
        <v>218</v>
      </c>
      <c r="F881" s="1279">
        <v>4</v>
      </c>
      <c r="G881" s="1279">
        <v>2</v>
      </c>
      <c r="H881" s="985">
        <v>1738.1</v>
      </c>
      <c r="I881" s="985">
        <v>1727.3</v>
      </c>
      <c r="J881" s="985">
        <v>1727.3</v>
      </c>
      <c r="K881" s="1064">
        <v>67</v>
      </c>
      <c r="L881" s="986">
        <v>2312763.7799999998</v>
      </c>
      <c r="M881" s="986">
        <v>0</v>
      </c>
      <c r="N881" s="986">
        <v>0</v>
      </c>
      <c r="O881" s="985">
        <f>L881</f>
        <v>2312763.7799999998</v>
      </c>
      <c r="P881" s="993">
        <v>0</v>
      </c>
      <c r="Q881" s="986">
        <v>0</v>
      </c>
      <c r="R881" s="985">
        <f>L881/I881</f>
        <v>1338.9473629363747</v>
      </c>
      <c r="S881" s="987">
        <v>2022</v>
      </c>
      <c r="T881" s="987">
        <v>2022</v>
      </c>
    </row>
    <row r="882" spans="1:20" s="992" customFormat="1" ht="42.6" customHeight="1">
      <c r="A882" s="1271">
        <v>100</v>
      </c>
      <c r="B882" s="1041" t="s">
        <v>2981</v>
      </c>
      <c r="C882" s="1032">
        <v>1974</v>
      </c>
      <c r="D882" s="1032"/>
      <c r="E882" s="1031" t="s">
        <v>218</v>
      </c>
      <c r="F882" s="1032">
        <v>2</v>
      </c>
      <c r="G882" s="1032">
        <v>1</v>
      </c>
      <c r="H882" s="1037">
        <v>801.1</v>
      </c>
      <c r="I882" s="1037">
        <v>720.7</v>
      </c>
      <c r="J882" s="1037">
        <v>720.7</v>
      </c>
      <c r="K882" s="1068">
        <v>34</v>
      </c>
      <c r="L882" s="1037">
        <v>3163087.64</v>
      </c>
      <c r="M882" s="1037">
        <v>0</v>
      </c>
      <c r="N882" s="1037">
        <v>0</v>
      </c>
      <c r="O882" s="985">
        <f>L882</f>
        <v>3163087.64</v>
      </c>
      <c r="P882" s="1037">
        <v>0</v>
      </c>
      <c r="Q882" s="1037">
        <v>0</v>
      </c>
      <c r="R882" s="1042">
        <f>L882/I882</f>
        <v>4388.9102816705981</v>
      </c>
      <c r="S882" s="1015">
        <v>2022</v>
      </c>
      <c r="T882" s="1015">
        <v>2022</v>
      </c>
    </row>
    <row r="883" spans="1:20" s="992" customFormat="1" ht="37.9" customHeight="1">
      <c r="A883" s="1271"/>
      <c r="B883" s="1391" t="s">
        <v>2674</v>
      </c>
      <c r="C883" s="1391"/>
      <c r="D883" s="1391"/>
      <c r="E883" s="1391"/>
      <c r="F883" s="1391"/>
      <c r="G883" s="1391"/>
      <c r="H883" s="985">
        <f>H884</f>
        <v>662.8</v>
      </c>
      <c r="I883" s="985">
        <f t="shared" ref="I883:Q883" si="306">I884</f>
        <v>662.8</v>
      </c>
      <c r="J883" s="985">
        <f t="shared" si="306"/>
        <v>662.8</v>
      </c>
      <c r="K883" s="1064">
        <f t="shared" si="306"/>
        <v>17</v>
      </c>
      <c r="L883" s="985">
        <f t="shared" si="306"/>
        <v>1861026</v>
      </c>
      <c r="M883" s="985">
        <f t="shared" si="306"/>
        <v>0</v>
      </c>
      <c r="N883" s="985">
        <f t="shared" si="306"/>
        <v>0</v>
      </c>
      <c r="O883" s="985">
        <f t="shared" si="306"/>
        <v>1861026</v>
      </c>
      <c r="P883" s="985">
        <f t="shared" si="306"/>
        <v>0</v>
      </c>
      <c r="Q883" s="985">
        <f t="shared" si="306"/>
        <v>0</v>
      </c>
      <c r="R883" s="991" t="s">
        <v>40</v>
      </c>
      <c r="S883" s="991" t="s">
        <v>40</v>
      </c>
      <c r="T883" s="991" t="s">
        <v>40</v>
      </c>
    </row>
    <row r="884" spans="1:20" s="992" customFormat="1" ht="37.9" customHeight="1">
      <c r="A884" s="1271">
        <v>101</v>
      </c>
      <c r="B884" s="1274" t="s">
        <v>2686</v>
      </c>
      <c r="C884" s="1279">
        <v>1970</v>
      </c>
      <c r="D884" s="1087"/>
      <c r="E884" s="1271" t="s">
        <v>218</v>
      </c>
      <c r="F884" s="1279">
        <v>2</v>
      </c>
      <c r="G884" s="1279">
        <v>2</v>
      </c>
      <c r="H884" s="985">
        <v>662.8</v>
      </c>
      <c r="I884" s="985">
        <v>662.8</v>
      </c>
      <c r="J884" s="985">
        <v>662.8</v>
      </c>
      <c r="K884" s="1064">
        <v>17</v>
      </c>
      <c r="L884" s="986">
        <v>1861026</v>
      </c>
      <c r="M884" s="986">
        <v>0</v>
      </c>
      <c r="N884" s="986">
        <v>0</v>
      </c>
      <c r="O884" s="986">
        <v>1861026</v>
      </c>
      <c r="P884" s="993">
        <v>0</v>
      </c>
      <c r="Q884" s="986">
        <v>0</v>
      </c>
      <c r="R884" s="985">
        <f>L884/I884</f>
        <v>2807.8243814121911</v>
      </c>
      <c r="S884" s="987">
        <v>2022</v>
      </c>
      <c r="T884" s="987">
        <v>2022</v>
      </c>
    </row>
    <row r="885" spans="1:20" s="992" customFormat="1" ht="37.9" customHeight="1">
      <c r="A885" s="1271"/>
      <c r="B885" s="1391" t="s">
        <v>49</v>
      </c>
      <c r="C885" s="1391"/>
      <c r="D885" s="1391"/>
      <c r="E885" s="1391"/>
      <c r="F885" s="1391"/>
      <c r="G885" s="1391"/>
      <c r="H885" s="985">
        <f>H886+H888+H897+H899+H902+H891+H895</f>
        <v>27141.899999999998</v>
      </c>
      <c r="I885" s="985">
        <f t="shared" ref="I885:Q885" si="307">I886+I888+I897+I899+I902+I891+I895</f>
        <v>25760.600000000002</v>
      </c>
      <c r="J885" s="985">
        <f t="shared" si="307"/>
        <v>20506.800000000003</v>
      </c>
      <c r="K885" s="1064">
        <f t="shared" si="307"/>
        <v>1151</v>
      </c>
      <c r="L885" s="985">
        <f t="shared" si="307"/>
        <v>36973838.799999997</v>
      </c>
      <c r="M885" s="985">
        <f t="shared" si="307"/>
        <v>0</v>
      </c>
      <c r="N885" s="985">
        <f t="shared" si="307"/>
        <v>0</v>
      </c>
      <c r="O885" s="985">
        <f t="shared" si="307"/>
        <v>36973838.799999997</v>
      </c>
      <c r="P885" s="985">
        <f t="shared" si="307"/>
        <v>0</v>
      </c>
      <c r="Q885" s="985">
        <f t="shared" si="307"/>
        <v>0</v>
      </c>
      <c r="R885" s="991" t="s">
        <v>40</v>
      </c>
      <c r="S885" s="991" t="s">
        <v>40</v>
      </c>
      <c r="T885" s="991" t="s">
        <v>40</v>
      </c>
    </row>
    <row r="886" spans="1:20" s="992" customFormat="1" ht="37.9" customHeight="1">
      <c r="A886" s="1271"/>
      <c r="B886" s="1391" t="s">
        <v>1065</v>
      </c>
      <c r="C886" s="1391"/>
      <c r="D886" s="1391"/>
      <c r="E886" s="1391"/>
      <c r="F886" s="1391"/>
      <c r="G886" s="1391"/>
      <c r="H886" s="985">
        <f>H887</f>
        <v>631.29999999999995</v>
      </c>
      <c r="I886" s="985">
        <f t="shared" ref="I886:Q886" si="308">I887</f>
        <v>410.7</v>
      </c>
      <c r="J886" s="985">
        <f t="shared" si="308"/>
        <v>410.7</v>
      </c>
      <c r="K886" s="1064">
        <f t="shared" si="308"/>
        <v>32</v>
      </c>
      <c r="L886" s="985">
        <f t="shared" si="308"/>
        <v>2485631.81</v>
      </c>
      <c r="M886" s="985">
        <f t="shared" si="308"/>
        <v>0</v>
      </c>
      <c r="N886" s="985">
        <f t="shared" si="308"/>
        <v>0</v>
      </c>
      <c r="O886" s="985">
        <f t="shared" si="308"/>
        <v>2485631.81</v>
      </c>
      <c r="P886" s="993">
        <v>0</v>
      </c>
      <c r="Q886" s="985">
        <f t="shared" si="308"/>
        <v>0</v>
      </c>
      <c r="R886" s="991" t="s">
        <v>40</v>
      </c>
      <c r="S886" s="991" t="s">
        <v>40</v>
      </c>
      <c r="T886" s="991" t="s">
        <v>40</v>
      </c>
    </row>
    <row r="887" spans="1:20" s="992" customFormat="1" ht="40.15" customHeight="1">
      <c r="A887" s="1271">
        <v>102</v>
      </c>
      <c r="B887" s="1273" t="s">
        <v>1186</v>
      </c>
      <c r="C887" s="1279">
        <v>1966</v>
      </c>
      <c r="D887" s="1279"/>
      <c r="E887" s="1271" t="s">
        <v>218</v>
      </c>
      <c r="F887" s="1279">
        <v>2</v>
      </c>
      <c r="G887" s="1279">
        <v>2</v>
      </c>
      <c r="H887" s="985">
        <v>631.29999999999995</v>
      </c>
      <c r="I887" s="985">
        <v>410.7</v>
      </c>
      <c r="J887" s="985">
        <v>410.7</v>
      </c>
      <c r="K887" s="1064">
        <v>32</v>
      </c>
      <c r="L887" s="986">
        <v>2485631.81</v>
      </c>
      <c r="M887" s="986">
        <v>0</v>
      </c>
      <c r="N887" s="986">
        <v>0</v>
      </c>
      <c r="O887" s="986">
        <f>L887</f>
        <v>2485631.81</v>
      </c>
      <c r="P887" s="993">
        <v>0</v>
      </c>
      <c r="Q887" s="986">
        <v>0</v>
      </c>
      <c r="R887" s="985">
        <f>L887/I887</f>
        <v>6052.1836133430734</v>
      </c>
      <c r="S887" s="987">
        <v>2022</v>
      </c>
      <c r="T887" s="987">
        <v>2022</v>
      </c>
    </row>
    <row r="888" spans="1:20" s="992" customFormat="1" ht="37.9" customHeight="1">
      <c r="A888" s="1271"/>
      <c r="B888" s="1390" t="s">
        <v>1125</v>
      </c>
      <c r="C888" s="1390"/>
      <c r="D888" s="1390"/>
      <c r="E888" s="1390"/>
      <c r="F888" s="1390"/>
      <c r="G888" s="1390"/>
      <c r="H888" s="985">
        <f>H889+H890</f>
        <v>2749.1</v>
      </c>
      <c r="I888" s="985">
        <f t="shared" ref="I888:Q888" si="309">I889+I890</f>
        <v>2508.3000000000002</v>
      </c>
      <c r="J888" s="985">
        <f t="shared" si="309"/>
        <v>2300.6</v>
      </c>
      <c r="K888" s="1064">
        <f t="shared" si="309"/>
        <v>111</v>
      </c>
      <c r="L888" s="985">
        <f t="shared" si="309"/>
        <v>5275992.25</v>
      </c>
      <c r="M888" s="985">
        <f t="shared" si="309"/>
        <v>0</v>
      </c>
      <c r="N888" s="985">
        <f t="shared" si="309"/>
        <v>0</v>
      </c>
      <c r="O888" s="985">
        <f t="shared" si="309"/>
        <v>5275992.25</v>
      </c>
      <c r="P888" s="985">
        <f t="shared" si="309"/>
        <v>0</v>
      </c>
      <c r="Q888" s="985">
        <f t="shared" si="309"/>
        <v>0</v>
      </c>
      <c r="R888" s="991" t="s">
        <v>40</v>
      </c>
      <c r="S888" s="991" t="s">
        <v>40</v>
      </c>
      <c r="T888" s="991" t="s">
        <v>40</v>
      </c>
    </row>
    <row r="889" spans="1:20" s="992" customFormat="1" ht="37.9" customHeight="1">
      <c r="A889" s="1271">
        <v>103</v>
      </c>
      <c r="B889" s="1273" t="s">
        <v>1217</v>
      </c>
      <c r="C889" s="1279">
        <v>1982</v>
      </c>
      <c r="D889" s="1279"/>
      <c r="E889" s="1271" t="s">
        <v>219</v>
      </c>
      <c r="F889" s="1279">
        <v>3</v>
      </c>
      <c r="G889" s="1279">
        <v>3</v>
      </c>
      <c r="H889" s="985">
        <v>1488.1</v>
      </c>
      <c r="I889" s="985">
        <v>1375.1</v>
      </c>
      <c r="J889" s="985">
        <v>1195.5</v>
      </c>
      <c r="K889" s="1064">
        <v>64</v>
      </c>
      <c r="L889" s="986">
        <v>2601859.25</v>
      </c>
      <c r="M889" s="986">
        <v>0</v>
      </c>
      <c r="N889" s="986">
        <v>0</v>
      </c>
      <c r="O889" s="986">
        <v>2601859.25</v>
      </c>
      <c r="P889" s="993">
        <v>0</v>
      </c>
      <c r="Q889" s="986">
        <v>0</v>
      </c>
      <c r="R889" s="985">
        <f>L889/I889</f>
        <v>1892.1236637335467</v>
      </c>
      <c r="S889" s="987">
        <v>2022</v>
      </c>
      <c r="T889" s="987">
        <v>2022</v>
      </c>
    </row>
    <row r="890" spans="1:20" s="992" customFormat="1" ht="37.9" customHeight="1">
      <c r="A890" s="1271">
        <v>104</v>
      </c>
      <c r="B890" s="1273" t="s">
        <v>2631</v>
      </c>
      <c r="C890" s="1279">
        <v>1982</v>
      </c>
      <c r="D890" s="1279"/>
      <c r="E890" s="1271" t="s">
        <v>219</v>
      </c>
      <c r="F890" s="1279">
        <v>3</v>
      </c>
      <c r="G890" s="1279">
        <v>3</v>
      </c>
      <c r="H890" s="985">
        <v>1261</v>
      </c>
      <c r="I890" s="985">
        <v>1133.2</v>
      </c>
      <c r="J890" s="985">
        <v>1105.0999999999999</v>
      </c>
      <c r="K890" s="1064">
        <v>47</v>
      </c>
      <c r="L890" s="986">
        <v>2674133</v>
      </c>
      <c r="M890" s="986">
        <v>0</v>
      </c>
      <c r="N890" s="986">
        <v>0</v>
      </c>
      <c r="O890" s="986">
        <v>2674133</v>
      </c>
      <c r="P890" s="993">
        <v>0</v>
      </c>
      <c r="Q890" s="986">
        <v>0</v>
      </c>
      <c r="R890" s="985">
        <f>L890/I890</f>
        <v>2359.8067419696436</v>
      </c>
      <c r="S890" s="987">
        <v>2022</v>
      </c>
      <c r="T890" s="987">
        <v>2022</v>
      </c>
    </row>
    <row r="891" spans="1:20" s="992" customFormat="1" ht="37.9" customHeight="1">
      <c r="A891" s="1271"/>
      <c r="B891" s="1390" t="s">
        <v>1317</v>
      </c>
      <c r="C891" s="1390"/>
      <c r="D891" s="1390"/>
      <c r="E891" s="1390"/>
      <c r="F891" s="1390"/>
      <c r="G891" s="1390"/>
      <c r="H891" s="985">
        <f>H892+H893+H894</f>
        <v>8302.5</v>
      </c>
      <c r="I891" s="985">
        <f t="shared" ref="I891:Q891" si="310">I892+I893+I894</f>
        <v>7791.8</v>
      </c>
      <c r="J891" s="985">
        <f t="shared" si="310"/>
        <v>7472</v>
      </c>
      <c r="K891" s="1064">
        <f t="shared" si="310"/>
        <v>328</v>
      </c>
      <c r="L891" s="985">
        <f t="shared" si="310"/>
        <v>11161450</v>
      </c>
      <c r="M891" s="985">
        <f t="shared" si="310"/>
        <v>0</v>
      </c>
      <c r="N891" s="985">
        <f t="shared" si="310"/>
        <v>0</v>
      </c>
      <c r="O891" s="985">
        <f t="shared" si="310"/>
        <v>11161450</v>
      </c>
      <c r="P891" s="985">
        <f t="shared" si="310"/>
        <v>0</v>
      </c>
      <c r="Q891" s="985">
        <f t="shared" si="310"/>
        <v>0</v>
      </c>
      <c r="R891" s="991" t="s">
        <v>40</v>
      </c>
      <c r="S891" s="991" t="s">
        <v>40</v>
      </c>
      <c r="T891" s="991" t="s">
        <v>40</v>
      </c>
    </row>
    <row r="892" spans="1:20" s="1030" customFormat="1" ht="41.45" customHeight="1">
      <c r="A892" s="1271">
        <v>105</v>
      </c>
      <c r="B892" s="1273" t="s">
        <v>2625</v>
      </c>
      <c r="C892" s="1279">
        <v>1966</v>
      </c>
      <c r="D892" s="1279"/>
      <c r="E892" s="1271" t="s">
        <v>219</v>
      </c>
      <c r="F892" s="1279">
        <v>4</v>
      </c>
      <c r="G892" s="1279">
        <v>4</v>
      </c>
      <c r="H892" s="985">
        <v>1859.6</v>
      </c>
      <c r="I892" s="985">
        <v>1348.9</v>
      </c>
      <c r="J892" s="985">
        <v>1348.9</v>
      </c>
      <c r="K892" s="1064">
        <v>94</v>
      </c>
      <c r="L892" s="986">
        <v>2523803</v>
      </c>
      <c r="M892" s="986">
        <v>0</v>
      </c>
      <c r="N892" s="986">
        <v>0</v>
      </c>
      <c r="O892" s="986">
        <v>2523803</v>
      </c>
      <c r="P892" s="993">
        <v>0</v>
      </c>
      <c r="Q892" s="986">
        <v>0</v>
      </c>
      <c r="R892" s="985">
        <f>L892/I892</f>
        <v>1871.0082289272739</v>
      </c>
      <c r="S892" s="987">
        <v>2022</v>
      </c>
      <c r="T892" s="987">
        <v>2022</v>
      </c>
    </row>
    <row r="893" spans="1:20" s="992" customFormat="1" ht="36" customHeight="1">
      <c r="A893" s="1271">
        <v>106</v>
      </c>
      <c r="B893" s="1273" t="s">
        <v>2626</v>
      </c>
      <c r="C893" s="1279">
        <v>1966</v>
      </c>
      <c r="D893" s="1279"/>
      <c r="E893" s="1271" t="s">
        <v>219</v>
      </c>
      <c r="F893" s="1279">
        <v>4</v>
      </c>
      <c r="G893" s="1279">
        <v>4</v>
      </c>
      <c r="H893" s="985">
        <v>1932.6</v>
      </c>
      <c r="I893" s="985">
        <v>1932.6</v>
      </c>
      <c r="J893" s="985">
        <v>1852.8</v>
      </c>
      <c r="K893" s="1064">
        <v>105</v>
      </c>
      <c r="L893" s="986">
        <v>2536813</v>
      </c>
      <c r="M893" s="986">
        <v>0</v>
      </c>
      <c r="N893" s="986">
        <v>0</v>
      </c>
      <c r="O893" s="986">
        <v>2536813</v>
      </c>
      <c r="P893" s="993">
        <v>0</v>
      </c>
      <c r="Q893" s="986">
        <v>0</v>
      </c>
      <c r="R893" s="985">
        <f>L893/I893</f>
        <v>1312.6425540722344</v>
      </c>
      <c r="S893" s="987">
        <v>2022</v>
      </c>
      <c r="T893" s="987">
        <v>2022</v>
      </c>
    </row>
    <row r="894" spans="1:20" s="992" customFormat="1" ht="36" customHeight="1">
      <c r="A894" s="1271">
        <v>107</v>
      </c>
      <c r="B894" s="1273" t="s">
        <v>2627</v>
      </c>
      <c r="C894" s="1279">
        <v>1973</v>
      </c>
      <c r="D894" s="1279"/>
      <c r="E894" s="1271" t="s">
        <v>219</v>
      </c>
      <c r="F894" s="1279">
        <v>4</v>
      </c>
      <c r="G894" s="1279">
        <v>6</v>
      </c>
      <c r="H894" s="985">
        <v>4510.3</v>
      </c>
      <c r="I894" s="985">
        <v>4510.3</v>
      </c>
      <c r="J894" s="985">
        <v>4270.3</v>
      </c>
      <c r="K894" s="1064">
        <v>129</v>
      </c>
      <c r="L894" s="986">
        <v>6100834</v>
      </c>
      <c r="M894" s="986">
        <v>0</v>
      </c>
      <c r="N894" s="986">
        <v>0</v>
      </c>
      <c r="O894" s="986">
        <v>6100834</v>
      </c>
      <c r="P894" s="993">
        <v>0</v>
      </c>
      <c r="Q894" s="986">
        <v>0</v>
      </c>
      <c r="R894" s="985">
        <f>L894/I894</f>
        <v>1352.6448351550894</v>
      </c>
      <c r="S894" s="987">
        <v>2022</v>
      </c>
      <c r="T894" s="987">
        <v>2022</v>
      </c>
    </row>
    <row r="895" spans="1:20" s="992" customFormat="1" ht="36" customHeight="1">
      <c r="A895" s="1271"/>
      <c r="B895" s="1390" t="s">
        <v>2655</v>
      </c>
      <c r="C895" s="1390"/>
      <c r="D895" s="1390"/>
      <c r="E895" s="1390"/>
      <c r="F895" s="1390"/>
      <c r="G895" s="1390"/>
      <c r="H895" s="985">
        <f>H896</f>
        <v>844.8</v>
      </c>
      <c r="I895" s="985">
        <f t="shared" ref="I895:Q897" si="311">I896</f>
        <v>783.9</v>
      </c>
      <c r="J895" s="985">
        <f t="shared" si="311"/>
        <v>783.9</v>
      </c>
      <c r="K895" s="1064">
        <f t="shared" si="311"/>
        <v>30</v>
      </c>
      <c r="L895" s="985">
        <f t="shared" si="311"/>
        <v>1808834</v>
      </c>
      <c r="M895" s="985">
        <f t="shared" si="311"/>
        <v>0</v>
      </c>
      <c r="N895" s="985">
        <f t="shared" si="311"/>
        <v>0</v>
      </c>
      <c r="O895" s="985">
        <f t="shared" si="311"/>
        <v>1808834</v>
      </c>
      <c r="P895" s="985">
        <f t="shared" si="311"/>
        <v>0</v>
      </c>
      <c r="Q895" s="985">
        <f t="shared" si="311"/>
        <v>0</v>
      </c>
      <c r="R895" s="991" t="s">
        <v>40</v>
      </c>
      <c r="S895" s="991" t="s">
        <v>40</v>
      </c>
      <c r="T895" s="991" t="s">
        <v>40</v>
      </c>
    </row>
    <row r="896" spans="1:20" s="992" customFormat="1" ht="44.45" customHeight="1">
      <c r="A896" s="1271">
        <v>108</v>
      </c>
      <c r="B896" s="1274" t="s">
        <v>2656</v>
      </c>
      <c r="C896" s="1279">
        <v>1978</v>
      </c>
      <c r="D896" s="1279"/>
      <c r="E896" s="1271" t="s">
        <v>218</v>
      </c>
      <c r="F896" s="1279">
        <v>2</v>
      </c>
      <c r="G896" s="1279">
        <v>2</v>
      </c>
      <c r="H896" s="985">
        <v>844.8</v>
      </c>
      <c r="I896" s="985">
        <v>783.9</v>
      </c>
      <c r="J896" s="985">
        <v>783.9</v>
      </c>
      <c r="K896" s="1064">
        <v>30</v>
      </c>
      <c r="L896" s="986">
        <v>1808834</v>
      </c>
      <c r="M896" s="986">
        <v>0</v>
      </c>
      <c r="N896" s="986">
        <v>0</v>
      </c>
      <c r="O896" s="986">
        <v>1808834</v>
      </c>
      <c r="P896" s="993">
        <v>0</v>
      </c>
      <c r="Q896" s="986">
        <v>0</v>
      </c>
      <c r="R896" s="985">
        <f>L896/I896</f>
        <v>2307.4805459880085</v>
      </c>
      <c r="S896" s="987">
        <v>2022</v>
      </c>
      <c r="T896" s="987">
        <v>2022</v>
      </c>
    </row>
    <row r="897" spans="1:20" s="992" customFormat="1" ht="39.6" customHeight="1">
      <c r="A897" s="1271"/>
      <c r="B897" s="1390" t="s">
        <v>1140</v>
      </c>
      <c r="C897" s="1390"/>
      <c r="D897" s="1390"/>
      <c r="E897" s="1390"/>
      <c r="F897" s="1390"/>
      <c r="G897" s="1390"/>
      <c r="H897" s="985">
        <f>H898</f>
        <v>366.6</v>
      </c>
      <c r="I897" s="985">
        <f t="shared" si="311"/>
        <v>263.10000000000002</v>
      </c>
      <c r="J897" s="985">
        <f t="shared" si="311"/>
        <v>263.10000000000002</v>
      </c>
      <c r="K897" s="1064">
        <f t="shared" si="311"/>
        <v>16</v>
      </c>
      <c r="L897" s="985">
        <f t="shared" si="311"/>
        <v>1921117</v>
      </c>
      <c r="M897" s="985">
        <f t="shared" si="311"/>
        <v>0</v>
      </c>
      <c r="N897" s="985">
        <f t="shared" si="311"/>
        <v>0</v>
      </c>
      <c r="O897" s="985">
        <f t="shared" si="311"/>
        <v>1921117</v>
      </c>
      <c r="P897" s="985">
        <f t="shared" si="311"/>
        <v>0</v>
      </c>
      <c r="Q897" s="985">
        <f t="shared" si="311"/>
        <v>0</v>
      </c>
      <c r="R897" s="991" t="s">
        <v>40</v>
      </c>
      <c r="S897" s="991" t="s">
        <v>40</v>
      </c>
      <c r="T897" s="991" t="s">
        <v>40</v>
      </c>
    </row>
    <row r="898" spans="1:20" s="992" customFormat="1" ht="43.15" customHeight="1">
      <c r="A898" s="1271">
        <v>109</v>
      </c>
      <c r="B898" s="1274" t="s">
        <v>2280</v>
      </c>
      <c r="C898" s="1279">
        <v>1968</v>
      </c>
      <c r="D898" s="1279"/>
      <c r="E898" s="1271" t="s">
        <v>218</v>
      </c>
      <c r="F898" s="1279">
        <v>2</v>
      </c>
      <c r="G898" s="1279">
        <v>1</v>
      </c>
      <c r="H898" s="985">
        <v>366.6</v>
      </c>
      <c r="I898" s="985">
        <v>263.10000000000002</v>
      </c>
      <c r="J898" s="985">
        <v>263.10000000000002</v>
      </c>
      <c r="K898" s="1064">
        <v>16</v>
      </c>
      <c r="L898" s="986">
        <v>1921117</v>
      </c>
      <c r="M898" s="986">
        <v>0</v>
      </c>
      <c r="N898" s="986">
        <v>0</v>
      </c>
      <c r="O898" s="986">
        <v>1921117</v>
      </c>
      <c r="P898" s="993">
        <v>0</v>
      </c>
      <c r="Q898" s="986">
        <v>0</v>
      </c>
      <c r="R898" s="985">
        <v>4986.5</v>
      </c>
      <c r="S898" s="987">
        <v>2022</v>
      </c>
      <c r="T898" s="987">
        <v>2022</v>
      </c>
    </row>
    <row r="899" spans="1:20" s="992" customFormat="1" ht="36" customHeight="1">
      <c r="A899" s="1271"/>
      <c r="B899" s="1390" t="s">
        <v>1356</v>
      </c>
      <c r="C899" s="1390"/>
      <c r="D899" s="1390"/>
      <c r="E899" s="1390"/>
      <c r="F899" s="1390"/>
      <c r="G899" s="1390"/>
      <c r="H899" s="985">
        <f>H900+H901</f>
        <v>2970.8</v>
      </c>
      <c r="I899" s="985">
        <f t="shared" ref="I899:Q899" si="312">I900+I901</f>
        <v>2726</v>
      </c>
      <c r="J899" s="985">
        <f t="shared" si="312"/>
        <v>1630.6</v>
      </c>
      <c r="K899" s="1064">
        <f t="shared" si="312"/>
        <v>162</v>
      </c>
      <c r="L899" s="985">
        <f t="shared" si="312"/>
        <v>4383048.74</v>
      </c>
      <c r="M899" s="985">
        <f t="shared" si="312"/>
        <v>0</v>
      </c>
      <c r="N899" s="985">
        <f t="shared" si="312"/>
        <v>0</v>
      </c>
      <c r="O899" s="985">
        <f t="shared" si="312"/>
        <v>4383048.74</v>
      </c>
      <c r="P899" s="985">
        <f t="shared" si="312"/>
        <v>0</v>
      </c>
      <c r="Q899" s="985">
        <f t="shared" si="312"/>
        <v>0</v>
      </c>
      <c r="R899" s="991" t="s">
        <v>40</v>
      </c>
      <c r="S899" s="991" t="s">
        <v>40</v>
      </c>
      <c r="T899" s="991" t="s">
        <v>40</v>
      </c>
    </row>
    <row r="900" spans="1:20" s="992" customFormat="1" ht="37.9" customHeight="1">
      <c r="A900" s="1271">
        <v>110</v>
      </c>
      <c r="B900" s="1274" t="s">
        <v>2200</v>
      </c>
      <c r="C900" s="1279">
        <v>1987</v>
      </c>
      <c r="D900" s="1279"/>
      <c r="E900" s="1271" t="s">
        <v>219</v>
      </c>
      <c r="F900" s="1279">
        <v>3</v>
      </c>
      <c r="G900" s="1279">
        <v>3</v>
      </c>
      <c r="H900" s="985">
        <v>1485.4</v>
      </c>
      <c r="I900" s="985">
        <v>1363</v>
      </c>
      <c r="J900" s="985">
        <v>815</v>
      </c>
      <c r="K900" s="1064">
        <v>81</v>
      </c>
      <c r="L900" s="986">
        <v>2191524.37</v>
      </c>
      <c r="M900" s="986">
        <v>0</v>
      </c>
      <c r="N900" s="986">
        <v>0</v>
      </c>
      <c r="O900" s="986">
        <v>2191524.37</v>
      </c>
      <c r="P900" s="993">
        <v>0</v>
      </c>
      <c r="Q900" s="986">
        <v>0</v>
      </c>
      <c r="R900" s="985">
        <f>O900/H900</f>
        <v>1475.3765786993401</v>
      </c>
      <c r="S900" s="987">
        <v>2022</v>
      </c>
      <c r="T900" s="987">
        <v>2022</v>
      </c>
    </row>
    <row r="901" spans="1:20" s="992" customFormat="1" ht="37.9" customHeight="1">
      <c r="A901" s="1271">
        <v>111</v>
      </c>
      <c r="B901" s="1274" t="s">
        <v>2201</v>
      </c>
      <c r="C901" s="1279">
        <v>1987</v>
      </c>
      <c r="D901" s="1279"/>
      <c r="E901" s="1271" t="s">
        <v>219</v>
      </c>
      <c r="F901" s="1279">
        <v>3</v>
      </c>
      <c r="G901" s="1279">
        <v>3</v>
      </c>
      <c r="H901" s="985">
        <v>1485.4</v>
      </c>
      <c r="I901" s="985">
        <v>1363</v>
      </c>
      <c r="J901" s="985">
        <v>815.6</v>
      </c>
      <c r="K901" s="1064">
        <v>81</v>
      </c>
      <c r="L901" s="986">
        <v>2191524.37</v>
      </c>
      <c r="M901" s="986">
        <v>0</v>
      </c>
      <c r="N901" s="986">
        <v>0</v>
      </c>
      <c r="O901" s="986">
        <v>2191524.37</v>
      </c>
      <c r="P901" s="993">
        <v>0</v>
      </c>
      <c r="Q901" s="986">
        <v>0</v>
      </c>
      <c r="R901" s="985">
        <f>O901/H901</f>
        <v>1475.3765786993401</v>
      </c>
      <c r="S901" s="987">
        <v>2022</v>
      </c>
      <c r="T901" s="987">
        <v>2022</v>
      </c>
    </row>
    <row r="902" spans="1:20" s="992" customFormat="1" ht="37.9" customHeight="1">
      <c r="A902" s="1271"/>
      <c r="B902" s="1390" t="s">
        <v>1151</v>
      </c>
      <c r="C902" s="1390"/>
      <c r="D902" s="1390"/>
      <c r="E902" s="1390"/>
      <c r="F902" s="1390"/>
      <c r="G902" s="1390"/>
      <c r="H902" s="985">
        <f>H903+H904</f>
        <v>11276.800000000001</v>
      </c>
      <c r="I902" s="985">
        <f t="shared" ref="I902:Q902" si="313">I903+I904</f>
        <v>11276.800000000001</v>
      </c>
      <c r="J902" s="985">
        <f t="shared" si="313"/>
        <v>7645.9</v>
      </c>
      <c r="K902" s="1064">
        <f t="shared" si="313"/>
        <v>472</v>
      </c>
      <c r="L902" s="985">
        <f t="shared" si="313"/>
        <v>9937765</v>
      </c>
      <c r="M902" s="985">
        <f t="shared" si="313"/>
        <v>0</v>
      </c>
      <c r="N902" s="985">
        <f t="shared" si="313"/>
        <v>0</v>
      </c>
      <c r="O902" s="985">
        <f t="shared" si="313"/>
        <v>9937765</v>
      </c>
      <c r="P902" s="985">
        <f t="shared" si="313"/>
        <v>0</v>
      </c>
      <c r="Q902" s="985">
        <f t="shared" si="313"/>
        <v>0</v>
      </c>
      <c r="R902" s="991" t="s">
        <v>40</v>
      </c>
      <c r="S902" s="991" t="s">
        <v>40</v>
      </c>
      <c r="T902" s="991" t="s">
        <v>40</v>
      </c>
    </row>
    <row r="903" spans="1:20" s="992" customFormat="1" ht="37.9" customHeight="1">
      <c r="A903" s="1271">
        <v>112</v>
      </c>
      <c r="B903" s="1272" t="s">
        <v>1975</v>
      </c>
      <c r="C903" s="1279">
        <v>1990</v>
      </c>
      <c r="D903" s="1279"/>
      <c r="E903" s="1271" t="s">
        <v>219</v>
      </c>
      <c r="F903" s="1279">
        <v>5</v>
      </c>
      <c r="G903" s="1279">
        <v>10</v>
      </c>
      <c r="H903" s="985">
        <v>8430.2000000000007</v>
      </c>
      <c r="I903" s="985">
        <v>8430.2000000000007</v>
      </c>
      <c r="J903" s="985">
        <v>4828.2</v>
      </c>
      <c r="K903" s="1064">
        <v>359</v>
      </c>
      <c r="L903" s="986">
        <v>7203283</v>
      </c>
      <c r="M903" s="986">
        <v>0</v>
      </c>
      <c r="N903" s="986">
        <v>0</v>
      </c>
      <c r="O903" s="986">
        <v>7203283</v>
      </c>
      <c r="P903" s="993">
        <v>0</v>
      </c>
      <c r="Q903" s="986">
        <v>0</v>
      </c>
      <c r="R903" s="985">
        <f>L903/I903</f>
        <v>854.46169723138235</v>
      </c>
      <c r="S903" s="987">
        <v>2022</v>
      </c>
      <c r="T903" s="987">
        <v>2022</v>
      </c>
    </row>
    <row r="904" spans="1:20" s="992" customFormat="1" ht="37.9" customHeight="1">
      <c r="A904" s="1271">
        <v>113</v>
      </c>
      <c r="B904" s="1272" t="s">
        <v>2202</v>
      </c>
      <c r="C904" s="1279">
        <v>1980</v>
      </c>
      <c r="D904" s="1279"/>
      <c r="E904" s="1271" t="s">
        <v>219</v>
      </c>
      <c r="F904" s="1279">
        <v>5</v>
      </c>
      <c r="G904" s="1279">
        <v>4</v>
      </c>
      <c r="H904" s="985">
        <v>2846.6</v>
      </c>
      <c r="I904" s="985">
        <v>2846.6</v>
      </c>
      <c r="J904" s="985">
        <v>2817.7</v>
      </c>
      <c r="K904" s="1064">
        <v>113</v>
      </c>
      <c r="L904" s="986">
        <v>2734482</v>
      </c>
      <c r="M904" s="986">
        <v>0</v>
      </c>
      <c r="N904" s="986">
        <v>0</v>
      </c>
      <c r="O904" s="986">
        <v>2734482</v>
      </c>
      <c r="P904" s="993">
        <v>0</v>
      </c>
      <c r="Q904" s="986">
        <v>0</v>
      </c>
      <c r="R904" s="985">
        <f>L904/I904</f>
        <v>960.61336331061625</v>
      </c>
      <c r="S904" s="987">
        <v>2022</v>
      </c>
      <c r="T904" s="987">
        <v>2022</v>
      </c>
    </row>
    <row r="905" spans="1:20" s="992" customFormat="1" ht="37.9" customHeight="1">
      <c r="A905" s="1271"/>
      <c r="B905" s="1391" t="s">
        <v>50</v>
      </c>
      <c r="C905" s="1391"/>
      <c r="D905" s="1391"/>
      <c r="E905" s="1391"/>
      <c r="F905" s="1391"/>
      <c r="G905" s="1391"/>
      <c r="H905" s="985">
        <f>H906</f>
        <v>5638.2999999999993</v>
      </c>
      <c r="I905" s="985">
        <f t="shared" ref="I905:Q905" si="314">I906</f>
        <v>4985.2</v>
      </c>
      <c r="J905" s="985">
        <f t="shared" si="314"/>
        <v>4592.7</v>
      </c>
      <c r="K905" s="1064">
        <f t="shared" si="314"/>
        <v>201</v>
      </c>
      <c r="L905" s="986">
        <f t="shared" si="314"/>
        <v>9952296.6600000001</v>
      </c>
      <c r="M905" s="986">
        <f t="shared" si="314"/>
        <v>0</v>
      </c>
      <c r="N905" s="986">
        <f t="shared" si="314"/>
        <v>0</v>
      </c>
      <c r="O905" s="986">
        <f>O906</f>
        <v>9952296.6600000001</v>
      </c>
      <c r="P905" s="993">
        <v>0</v>
      </c>
      <c r="Q905" s="986">
        <f t="shared" si="314"/>
        <v>0</v>
      </c>
      <c r="R905" s="991" t="s">
        <v>40</v>
      </c>
      <c r="S905" s="991" t="s">
        <v>40</v>
      </c>
      <c r="T905" s="991" t="s">
        <v>40</v>
      </c>
    </row>
    <row r="906" spans="1:20" ht="40.15" customHeight="1">
      <c r="A906" s="1271"/>
      <c r="B906" s="1391" t="s">
        <v>1067</v>
      </c>
      <c r="C906" s="1391"/>
      <c r="D906" s="1391"/>
      <c r="E906" s="1391"/>
      <c r="F906" s="1391"/>
      <c r="G906" s="1391"/>
      <c r="H906" s="985">
        <f>SUM(H907:H909)</f>
        <v>5638.2999999999993</v>
      </c>
      <c r="I906" s="985">
        <f t="shared" ref="I906:Q906" si="315">SUM(I907:I909)</f>
        <v>4985.2</v>
      </c>
      <c r="J906" s="985">
        <f t="shared" si="315"/>
        <v>4592.7</v>
      </c>
      <c r="K906" s="1064">
        <f t="shared" si="315"/>
        <v>201</v>
      </c>
      <c r="L906" s="985">
        <f t="shared" si="315"/>
        <v>9952296.6600000001</v>
      </c>
      <c r="M906" s="1035">
        <f t="shared" si="315"/>
        <v>0</v>
      </c>
      <c r="N906" s="1035">
        <f t="shared" si="315"/>
        <v>0</v>
      </c>
      <c r="O906" s="985">
        <f t="shared" si="315"/>
        <v>9952296.6600000001</v>
      </c>
      <c r="P906" s="985">
        <f t="shared" si="315"/>
        <v>0</v>
      </c>
      <c r="Q906" s="985">
        <f t="shared" si="315"/>
        <v>0</v>
      </c>
      <c r="R906" s="991" t="s">
        <v>40</v>
      </c>
      <c r="S906" s="991" t="s">
        <v>40</v>
      </c>
      <c r="T906" s="991" t="s">
        <v>40</v>
      </c>
    </row>
    <row r="907" spans="1:20" ht="40.15" customHeight="1">
      <c r="A907" s="1031">
        <v>114</v>
      </c>
      <c r="B907" s="1080" t="s">
        <v>1256</v>
      </c>
      <c r="C907" s="1047">
        <v>1992</v>
      </c>
      <c r="D907" s="1081"/>
      <c r="E907" s="1271" t="s">
        <v>218</v>
      </c>
      <c r="F907" s="1047">
        <v>5</v>
      </c>
      <c r="G907" s="1047">
        <v>6</v>
      </c>
      <c r="H907" s="1050">
        <v>4511.3999999999996</v>
      </c>
      <c r="I907" s="1082">
        <v>3995.1</v>
      </c>
      <c r="J907" s="1082">
        <v>3995.1</v>
      </c>
      <c r="K907" s="1267">
        <v>152</v>
      </c>
      <c r="L907" s="1083">
        <v>5398857.9400000004</v>
      </c>
      <c r="M907" s="1084">
        <v>0</v>
      </c>
      <c r="N907" s="1084">
        <v>0</v>
      </c>
      <c r="O907" s="1083">
        <v>5398857.9400000004</v>
      </c>
      <c r="P907" s="1059">
        <v>0</v>
      </c>
      <c r="Q907" s="1059">
        <v>0</v>
      </c>
      <c r="R907" s="1225">
        <f>L907/I907</f>
        <v>1351.369913143601</v>
      </c>
      <c r="S907" s="1031">
        <v>2022</v>
      </c>
      <c r="T907" s="1031">
        <v>2022</v>
      </c>
    </row>
    <row r="908" spans="1:20" s="992" customFormat="1" ht="42.6" customHeight="1">
      <c r="A908" s="1031">
        <v>115</v>
      </c>
      <c r="B908" s="1080" t="s">
        <v>1257</v>
      </c>
      <c r="C908" s="1047">
        <v>1949</v>
      </c>
      <c r="D908" s="1081"/>
      <c r="E908" s="1271" t="s">
        <v>218</v>
      </c>
      <c r="F908" s="1047">
        <v>2</v>
      </c>
      <c r="G908" s="1047">
        <v>2</v>
      </c>
      <c r="H908" s="1050">
        <v>606.4</v>
      </c>
      <c r="I908" s="1082">
        <v>542.4</v>
      </c>
      <c r="J908" s="1082">
        <v>269.39999999999998</v>
      </c>
      <c r="K908" s="1267">
        <v>26</v>
      </c>
      <c r="L908" s="1083">
        <v>2506949.41</v>
      </c>
      <c r="M908" s="1084">
        <v>0</v>
      </c>
      <c r="N908" s="1084">
        <v>0</v>
      </c>
      <c r="O908" s="1083">
        <v>2506949.41</v>
      </c>
      <c r="P908" s="1059">
        <v>0</v>
      </c>
      <c r="Q908" s="1059">
        <v>0</v>
      </c>
      <c r="R908" s="1225">
        <f>L908/I908</f>
        <v>4621.9568768436584</v>
      </c>
      <c r="S908" s="1031">
        <v>2022</v>
      </c>
      <c r="T908" s="1031">
        <v>2022</v>
      </c>
    </row>
    <row r="909" spans="1:20" s="992" customFormat="1" ht="41.45" customHeight="1">
      <c r="A909" s="1031">
        <v>116</v>
      </c>
      <c r="B909" s="1080" t="s">
        <v>1258</v>
      </c>
      <c r="C909" s="1047">
        <v>1963</v>
      </c>
      <c r="D909" s="1081"/>
      <c r="E909" s="1271" t="s">
        <v>218</v>
      </c>
      <c r="F909" s="1047">
        <v>2</v>
      </c>
      <c r="G909" s="1047">
        <v>2</v>
      </c>
      <c r="H909" s="1050">
        <v>520.5</v>
      </c>
      <c r="I909" s="1197">
        <v>447.7</v>
      </c>
      <c r="J909" s="1082">
        <v>328.2</v>
      </c>
      <c r="K909" s="1267">
        <v>23</v>
      </c>
      <c r="L909" s="1083">
        <v>2046489.31</v>
      </c>
      <c r="M909" s="1084">
        <v>0</v>
      </c>
      <c r="N909" s="1084">
        <v>0</v>
      </c>
      <c r="O909" s="1083">
        <v>2046489.31</v>
      </c>
      <c r="P909" s="1059">
        <v>0</v>
      </c>
      <c r="Q909" s="1059">
        <v>0</v>
      </c>
      <c r="R909" s="1225">
        <f>L909/I909</f>
        <v>4571.117511726603</v>
      </c>
      <c r="S909" s="1031">
        <v>2022</v>
      </c>
      <c r="T909" s="1031">
        <v>2022</v>
      </c>
    </row>
    <row r="910" spans="1:20" s="992" customFormat="1" ht="37.9" customHeight="1">
      <c r="A910" s="1271"/>
      <c r="B910" s="1391" t="s">
        <v>1169</v>
      </c>
      <c r="C910" s="1391"/>
      <c r="D910" s="1391"/>
      <c r="E910" s="1391"/>
      <c r="F910" s="1391"/>
      <c r="G910" s="1391"/>
      <c r="H910" s="985">
        <f>H911+H912+H913+H914+H915+H916+H917+H918+H919+H920</f>
        <v>20881.999999999996</v>
      </c>
      <c r="I910" s="985">
        <f t="shared" ref="I910:Q910" si="316">I911+I912+I913+I914+I915+I916+I917+I918+I919+I920</f>
        <v>20881.999999999996</v>
      </c>
      <c r="J910" s="985">
        <f t="shared" si="316"/>
        <v>15240.9</v>
      </c>
      <c r="K910" s="1064">
        <f t="shared" si="316"/>
        <v>645</v>
      </c>
      <c r="L910" s="985">
        <f t="shared" si="316"/>
        <v>19159112.059999999</v>
      </c>
      <c r="M910" s="985">
        <f t="shared" si="316"/>
        <v>0</v>
      </c>
      <c r="N910" s="985">
        <f t="shared" si="316"/>
        <v>0</v>
      </c>
      <c r="O910" s="985">
        <f t="shared" si="316"/>
        <v>19159112.059999999</v>
      </c>
      <c r="P910" s="985">
        <f t="shared" si="316"/>
        <v>0</v>
      </c>
      <c r="Q910" s="985">
        <f t="shared" si="316"/>
        <v>0</v>
      </c>
      <c r="R910" s="991" t="s">
        <v>40</v>
      </c>
      <c r="S910" s="991" t="s">
        <v>40</v>
      </c>
      <c r="T910" s="991" t="s">
        <v>40</v>
      </c>
    </row>
    <row r="911" spans="1:20" s="992" customFormat="1" ht="40.15" customHeight="1">
      <c r="A911" s="1271">
        <v>117</v>
      </c>
      <c r="B911" s="1058" t="s">
        <v>2122</v>
      </c>
      <c r="C911" s="1032">
        <v>1980</v>
      </c>
      <c r="D911" s="1032"/>
      <c r="E911" s="1271" t="s">
        <v>218</v>
      </c>
      <c r="F911" s="1032">
        <v>5</v>
      </c>
      <c r="G911" s="1032">
        <v>5</v>
      </c>
      <c r="H911" s="1037">
        <v>3502.1</v>
      </c>
      <c r="I911" s="1037">
        <v>3502.1</v>
      </c>
      <c r="J911" s="1037">
        <v>2091.9</v>
      </c>
      <c r="K911" s="1068">
        <v>129</v>
      </c>
      <c r="L911" s="985">
        <v>2799891</v>
      </c>
      <c r="M911" s="985">
        <v>0</v>
      </c>
      <c r="N911" s="985">
        <v>0</v>
      </c>
      <c r="O911" s="985">
        <v>2799891</v>
      </c>
      <c r="P911" s="1037">
        <v>0</v>
      </c>
      <c r="Q911" s="1037">
        <v>0</v>
      </c>
      <c r="R911" s="1088">
        <f t="shared" ref="R911:R916" si="317">L911/I911</f>
        <v>799.48916364467038</v>
      </c>
      <c r="S911" s="1032">
        <v>2022</v>
      </c>
      <c r="T911" s="1032">
        <v>2022</v>
      </c>
    </row>
    <row r="912" spans="1:20" s="992" customFormat="1" ht="42.6" customHeight="1">
      <c r="A912" s="1031">
        <v>118</v>
      </c>
      <c r="B912" s="1014" t="s">
        <v>2123</v>
      </c>
      <c r="C912" s="1031">
        <v>1968</v>
      </c>
      <c r="D912" s="1031"/>
      <c r="E912" s="1271" t="s">
        <v>218</v>
      </c>
      <c r="F912" s="1031">
        <v>5</v>
      </c>
      <c r="G912" s="1031">
        <v>4</v>
      </c>
      <c r="H912" s="1059">
        <v>4073.8</v>
      </c>
      <c r="I912" s="1059">
        <v>4073.8</v>
      </c>
      <c r="J912" s="1059">
        <v>3309.9</v>
      </c>
      <c r="K912" s="1266">
        <v>126</v>
      </c>
      <c r="L912" s="993">
        <v>2498424</v>
      </c>
      <c r="M912" s="993">
        <v>0</v>
      </c>
      <c r="N912" s="993">
        <v>0</v>
      </c>
      <c r="O912" s="993">
        <v>2498424</v>
      </c>
      <c r="P912" s="1059">
        <v>0</v>
      </c>
      <c r="Q912" s="1059">
        <v>0</v>
      </c>
      <c r="R912" s="1088">
        <f t="shared" si="317"/>
        <v>613.29078501644653</v>
      </c>
      <c r="S912" s="1032">
        <v>2022</v>
      </c>
      <c r="T912" s="1032">
        <v>2022</v>
      </c>
    </row>
    <row r="913" spans="1:20" s="992" customFormat="1" ht="42.6" customHeight="1">
      <c r="A913" s="1271">
        <v>119</v>
      </c>
      <c r="B913" s="1058" t="s">
        <v>2124</v>
      </c>
      <c r="C913" s="1032">
        <v>1971</v>
      </c>
      <c r="D913" s="1032"/>
      <c r="E913" s="1271" t="s">
        <v>218</v>
      </c>
      <c r="F913" s="1032">
        <v>5</v>
      </c>
      <c r="G913" s="1032">
        <v>4</v>
      </c>
      <c r="H913" s="1037">
        <v>4334.6000000000004</v>
      </c>
      <c r="I913" s="1037">
        <v>4334.6000000000004</v>
      </c>
      <c r="J913" s="1037">
        <v>3379.1</v>
      </c>
      <c r="K913" s="1068">
        <v>122</v>
      </c>
      <c r="L913" s="985">
        <v>2503042</v>
      </c>
      <c r="M913" s="985">
        <v>0</v>
      </c>
      <c r="N913" s="985">
        <v>0</v>
      </c>
      <c r="O913" s="985">
        <v>2503042</v>
      </c>
      <c r="P913" s="1037">
        <v>0</v>
      </c>
      <c r="Q913" s="1037">
        <v>0</v>
      </c>
      <c r="R913" s="1088">
        <f t="shared" si="317"/>
        <v>577.45628200987403</v>
      </c>
      <c r="S913" s="1032">
        <v>2022</v>
      </c>
      <c r="T913" s="1032">
        <v>2022</v>
      </c>
    </row>
    <row r="914" spans="1:20" s="992" customFormat="1" ht="43.9" customHeight="1">
      <c r="A914" s="1031">
        <v>120</v>
      </c>
      <c r="B914" s="1058" t="s">
        <v>2125</v>
      </c>
      <c r="C914" s="1015">
        <v>1973</v>
      </c>
      <c r="D914" s="1015"/>
      <c r="E914" s="1271" t="s">
        <v>218</v>
      </c>
      <c r="F914" s="1015">
        <v>5</v>
      </c>
      <c r="G914" s="1015">
        <v>4</v>
      </c>
      <c r="H914" s="1033">
        <v>4431.2</v>
      </c>
      <c r="I914" s="1033">
        <v>4431.2</v>
      </c>
      <c r="J914" s="1033">
        <v>3259.3</v>
      </c>
      <c r="K914" s="1110">
        <v>125</v>
      </c>
      <c r="L914" s="993">
        <v>2503586</v>
      </c>
      <c r="M914" s="993">
        <v>0</v>
      </c>
      <c r="N914" s="993">
        <v>0</v>
      </c>
      <c r="O914" s="993">
        <v>2503586</v>
      </c>
      <c r="P914" s="1033">
        <v>0</v>
      </c>
      <c r="Q914" s="1033">
        <v>0</v>
      </c>
      <c r="R914" s="1088">
        <f t="shared" si="317"/>
        <v>564.99052175482939</v>
      </c>
      <c r="S914" s="1032">
        <v>2022</v>
      </c>
      <c r="T914" s="1032">
        <v>2022</v>
      </c>
    </row>
    <row r="915" spans="1:20" s="992" customFormat="1" ht="43.9" customHeight="1">
      <c r="A915" s="1271">
        <v>121</v>
      </c>
      <c r="B915" s="1014" t="s">
        <v>2126</v>
      </c>
      <c r="C915" s="1023">
        <v>1962</v>
      </c>
      <c r="D915" s="1089"/>
      <c r="E915" s="1271" t="s">
        <v>218</v>
      </c>
      <c r="F915" s="1023">
        <v>2</v>
      </c>
      <c r="G915" s="1023">
        <v>2</v>
      </c>
      <c r="H915" s="1024">
        <v>469.3</v>
      </c>
      <c r="I915" s="1024">
        <v>469.3</v>
      </c>
      <c r="J915" s="1024">
        <v>302.89999999999998</v>
      </c>
      <c r="K915" s="1011">
        <v>30</v>
      </c>
      <c r="L915" s="985">
        <v>1502425</v>
      </c>
      <c r="M915" s="985">
        <v>0</v>
      </c>
      <c r="N915" s="985">
        <v>0</v>
      </c>
      <c r="O915" s="985">
        <v>1502425</v>
      </c>
      <c r="P915" s="1024">
        <v>0</v>
      </c>
      <c r="Q915" s="1024">
        <v>0</v>
      </c>
      <c r="R915" s="1088">
        <f t="shared" si="317"/>
        <v>3201.4170040485828</v>
      </c>
      <c r="S915" s="1032">
        <v>2022</v>
      </c>
      <c r="T915" s="1032">
        <v>2022</v>
      </c>
    </row>
    <row r="916" spans="1:20" s="992" customFormat="1" ht="46.15" customHeight="1">
      <c r="A916" s="1031">
        <v>122</v>
      </c>
      <c r="B916" s="1014" t="s">
        <v>2127</v>
      </c>
      <c r="C916" s="1023">
        <v>1991</v>
      </c>
      <c r="D916" s="1089"/>
      <c r="E916" s="1271" t="s">
        <v>218</v>
      </c>
      <c r="F916" s="1023">
        <v>2</v>
      </c>
      <c r="G916" s="1023">
        <v>2</v>
      </c>
      <c r="H916" s="1024">
        <v>1347.5</v>
      </c>
      <c r="I916" s="1024">
        <v>1347.5</v>
      </c>
      <c r="J916" s="1024">
        <v>527.5</v>
      </c>
      <c r="K916" s="1011">
        <v>25</v>
      </c>
      <c r="L916" s="985">
        <v>2425090</v>
      </c>
      <c r="M916" s="985">
        <v>0</v>
      </c>
      <c r="N916" s="985">
        <v>0</v>
      </c>
      <c r="O916" s="985">
        <v>2425090</v>
      </c>
      <c r="P916" s="1024">
        <v>0</v>
      </c>
      <c r="Q916" s="1024">
        <v>0</v>
      </c>
      <c r="R916" s="1088">
        <f t="shared" si="317"/>
        <v>1799.6957328385899</v>
      </c>
      <c r="S916" s="1032">
        <v>2022</v>
      </c>
      <c r="T916" s="1032">
        <v>2022</v>
      </c>
    </row>
    <row r="917" spans="1:20" s="992" customFormat="1" ht="46.15" customHeight="1">
      <c r="A917" s="1271">
        <v>123</v>
      </c>
      <c r="B917" s="1058" t="s">
        <v>2128</v>
      </c>
      <c r="C917" s="1032">
        <v>1917</v>
      </c>
      <c r="D917" s="1032"/>
      <c r="E917" s="1031" t="s">
        <v>218</v>
      </c>
      <c r="F917" s="1032">
        <v>1</v>
      </c>
      <c r="G917" s="1032">
        <v>1</v>
      </c>
      <c r="H917" s="1037">
        <v>148.6</v>
      </c>
      <c r="I917" s="1037">
        <v>148.6</v>
      </c>
      <c r="J917" s="1037">
        <v>88</v>
      </c>
      <c r="K917" s="1068">
        <v>5</v>
      </c>
      <c r="L917" s="985">
        <v>807936.93</v>
      </c>
      <c r="M917" s="985">
        <v>0</v>
      </c>
      <c r="N917" s="985">
        <v>0</v>
      </c>
      <c r="O917" s="985">
        <v>807936.93</v>
      </c>
      <c r="P917" s="1037">
        <v>0</v>
      </c>
      <c r="Q917" s="1037">
        <v>0</v>
      </c>
      <c r="R917" s="1037">
        <f t="shared" ref="R917:R920" si="318">L917/H917</f>
        <v>5436.9914535666221</v>
      </c>
      <c r="S917" s="1032">
        <v>2022</v>
      </c>
      <c r="T917" s="1032">
        <v>2022</v>
      </c>
    </row>
    <row r="918" spans="1:20" s="992" customFormat="1" ht="45" customHeight="1">
      <c r="A918" s="1031">
        <v>124</v>
      </c>
      <c r="B918" s="1058" t="s">
        <v>2129</v>
      </c>
      <c r="C918" s="1032">
        <v>1981</v>
      </c>
      <c r="D918" s="1032"/>
      <c r="E918" s="1031" t="s">
        <v>218</v>
      </c>
      <c r="F918" s="1032">
        <v>5</v>
      </c>
      <c r="G918" s="1032">
        <v>2</v>
      </c>
      <c r="H918" s="1037">
        <v>2000.8</v>
      </c>
      <c r="I918" s="1037">
        <v>2000.8</v>
      </c>
      <c r="J918" s="1037">
        <v>1846.6</v>
      </c>
      <c r="K918" s="1068">
        <v>61</v>
      </c>
      <c r="L918" s="985">
        <v>1822385.58</v>
      </c>
      <c r="M918" s="985">
        <v>0</v>
      </c>
      <c r="N918" s="985">
        <v>0</v>
      </c>
      <c r="O918" s="985">
        <v>1822385.58</v>
      </c>
      <c r="P918" s="1037">
        <v>0</v>
      </c>
      <c r="Q918" s="1037">
        <v>0</v>
      </c>
      <c r="R918" s="1037">
        <f t="shared" si="318"/>
        <v>910.82845861655346</v>
      </c>
      <c r="S918" s="1032">
        <v>2022</v>
      </c>
      <c r="T918" s="1032">
        <v>2022</v>
      </c>
    </row>
    <row r="919" spans="1:20" s="992" customFormat="1" ht="47.45" customHeight="1">
      <c r="A919" s="1271">
        <v>125</v>
      </c>
      <c r="B919" s="1058" t="s">
        <v>2130</v>
      </c>
      <c r="C919" s="1032">
        <v>1960</v>
      </c>
      <c r="D919" s="1032"/>
      <c r="E919" s="1031" t="s">
        <v>218</v>
      </c>
      <c r="F919" s="1032">
        <v>2</v>
      </c>
      <c r="G919" s="1032">
        <v>1</v>
      </c>
      <c r="H919" s="1037">
        <v>324.60000000000002</v>
      </c>
      <c r="I919" s="1037">
        <v>324.60000000000002</v>
      </c>
      <c r="J919" s="1037">
        <v>293.89999999999998</v>
      </c>
      <c r="K919" s="1068">
        <v>14</v>
      </c>
      <c r="L919" s="985">
        <v>1256032.82</v>
      </c>
      <c r="M919" s="985">
        <v>0</v>
      </c>
      <c r="N919" s="985">
        <v>0</v>
      </c>
      <c r="O919" s="985">
        <v>1256032.82</v>
      </c>
      <c r="P919" s="1037">
        <v>0</v>
      </c>
      <c r="Q919" s="1037">
        <v>0</v>
      </c>
      <c r="R919" s="1037">
        <f t="shared" si="318"/>
        <v>3869.4788046826861</v>
      </c>
      <c r="S919" s="1032">
        <v>2022</v>
      </c>
      <c r="T919" s="1032">
        <v>2022</v>
      </c>
    </row>
    <row r="920" spans="1:20" s="992" customFormat="1" ht="37.9" customHeight="1">
      <c r="A920" s="1031">
        <v>126</v>
      </c>
      <c r="B920" s="1058" t="s">
        <v>1974</v>
      </c>
      <c r="C920" s="1032">
        <v>1933</v>
      </c>
      <c r="D920" s="1032"/>
      <c r="E920" s="1031" t="s">
        <v>221</v>
      </c>
      <c r="F920" s="1032">
        <v>2</v>
      </c>
      <c r="G920" s="1032">
        <v>1</v>
      </c>
      <c r="H920" s="1037">
        <v>249.5</v>
      </c>
      <c r="I920" s="1037">
        <v>249.5</v>
      </c>
      <c r="J920" s="1037">
        <v>141.80000000000001</v>
      </c>
      <c r="K920" s="1068">
        <v>8</v>
      </c>
      <c r="L920" s="985">
        <v>1040298.73</v>
      </c>
      <c r="M920" s="985">
        <v>0</v>
      </c>
      <c r="N920" s="985">
        <v>0</v>
      </c>
      <c r="O920" s="985">
        <v>1040298.73</v>
      </c>
      <c r="P920" s="1037">
        <v>0</v>
      </c>
      <c r="Q920" s="1037">
        <v>0</v>
      </c>
      <c r="R920" s="1037">
        <f t="shared" si="318"/>
        <v>4169.5339879759522</v>
      </c>
      <c r="S920" s="1032">
        <v>2022</v>
      </c>
      <c r="T920" s="1032">
        <v>2022</v>
      </c>
    </row>
    <row r="921" spans="1:20" s="989" customFormat="1" ht="36" customHeight="1">
      <c r="A921" s="1271"/>
      <c r="B921" s="1391" t="s">
        <v>53</v>
      </c>
      <c r="C921" s="1391"/>
      <c r="D921" s="1391"/>
      <c r="E921" s="1391"/>
      <c r="F921" s="1391"/>
      <c r="G921" s="1391"/>
      <c r="H921" s="985">
        <f>H922+H940+H934+H936+H938+H942+H932</f>
        <v>66786.499999999985</v>
      </c>
      <c r="I921" s="985">
        <f t="shared" ref="I921:Q921" si="319">I922+I940+I934+I936+I938+I942+I932</f>
        <v>54373.299999999996</v>
      </c>
      <c r="J921" s="985">
        <f t="shared" si="319"/>
        <v>51917.399999999994</v>
      </c>
      <c r="K921" s="1064">
        <f t="shared" si="319"/>
        <v>2283</v>
      </c>
      <c r="L921" s="985">
        <f t="shared" si="319"/>
        <v>116429677.81999998</v>
      </c>
      <c r="M921" s="985">
        <f t="shared" si="319"/>
        <v>0</v>
      </c>
      <c r="N921" s="985">
        <f t="shared" si="319"/>
        <v>0</v>
      </c>
      <c r="O921" s="985">
        <f t="shared" si="319"/>
        <v>116429677.81999998</v>
      </c>
      <c r="P921" s="985">
        <f t="shared" si="319"/>
        <v>0</v>
      </c>
      <c r="Q921" s="985">
        <f t="shared" si="319"/>
        <v>0</v>
      </c>
      <c r="R921" s="991" t="s">
        <v>40</v>
      </c>
      <c r="S921" s="991" t="s">
        <v>40</v>
      </c>
      <c r="T921" s="991" t="s">
        <v>40</v>
      </c>
    </row>
    <row r="922" spans="1:20" s="989" customFormat="1" ht="36" customHeight="1">
      <c r="A922" s="1271"/>
      <c r="B922" s="1391" t="s">
        <v>1069</v>
      </c>
      <c r="C922" s="1391"/>
      <c r="D922" s="1391"/>
      <c r="E922" s="1391"/>
      <c r="F922" s="1391"/>
      <c r="G922" s="1391"/>
      <c r="H922" s="985">
        <f>SUM(H923:H931)</f>
        <v>49590.1</v>
      </c>
      <c r="I922" s="985">
        <f t="shared" ref="I922:Q922" si="320">SUM(I923:I931)</f>
        <v>37856.899999999994</v>
      </c>
      <c r="J922" s="985">
        <f t="shared" si="320"/>
        <v>36861.4</v>
      </c>
      <c r="K922" s="1064">
        <f t="shared" si="320"/>
        <v>1640</v>
      </c>
      <c r="L922" s="985">
        <f t="shared" si="320"/>
        <v>94534565.969999984</v>
      </c>
      <c r="M922" s="985">
        <f t="shared" si="320"/>
        <v>0</v>
      </c>
      <c r="N922" s="985">
        <f t="shared" si="320"/>
        <v>0</v>
      </c>
      <c r="O922" s="985">
        <f t="shared" si="320"/>
        <v>94534565.969999984</v>
      </c>
      <c r="P922" s="985">
        <f t="shared" si="320"/>
        <v>0</v>
      </c>
      <c r="Q922" s="985">
        <f t="shared" si="320"/>
        <v>0</v>
      </c>
      <c r="R922" s="991" t="s">
        <v>40</v>
      </c>
      <c r="S922" s="991" t="s">
        <v>40</v>
      </c>
      <c r="T922" s="991" t="s">
        <v>40</v>
      </c>
    </row>
    <row r="923" spans="1:20" s="989" customFormat="1" ht="43.15" customHeight="1">
      <c r="A923" s="1271">
        <v>127</v>
      </c>
      <c r="B923" s="1274" t="s">
        <v>2282</v>
      </c>
      <c r="C923" s="1064">
        <v>1994</v>
      </c>
      <c r="D923" s="1064"/>
      <c r="E923" s="1271" t="s">
        <v>219</v>
      </c>
      <c r="F923" s="990">
        <v>9</v>
      </c>
      <c r="G923" s="990">
        <v>5</v>
      </c>
      <c r="H923" s="985">
        <v>12100.9</v>
      </c>
      <c r="I923" s="985">
        <v>10253.799999999999</v>
      </c>
      <c r="J923" s="985">
        <f>I923-240.4</f>
        <v>10013.4</v>
      </c>
      <c r="K923" s="1064">
        <v>423</v>
      </c>
      <c r="L923" s="985">
        <v>14449200.52</v>
      </c>
      <c r="M923" s="986">
        <v>0</v>
      </c>
      <c r="N923" s="986">
        <v>0</v>
      </c>
      <c r="O923" s="985">
        <f>L923</f>
        <v>14449200.52</v>
      </c>
      <c r="P923" s="993">
        <v>0</v>
      </c>
      <c r="Q923" s="986">
        <v>0</v>
      </c>
      <c r="R923" s="985">
        <f t="shared" ref="R923:R927" si="321">L923/I923</f>
        <v>1409.155680820769</v>
      </c>
      <c r="S923" s="987">
        <v>2022</v>
      </c>
      <c r="T923" s="987">
        <v>2022</v>
      </c>
    </row>
    <row r="924" spans="1:20" s="989" customFormat="1" ht="39.6" customHeight="1">
      <c r="A924" s="1271">
        <v>128</v>
      </c>
      <c r="B924" s="1274" t="s">
        <v>1300</v>
      </c>
      <c r="C924" s="1064">
        <v>1994</v>
      </c>
      <c r="D924" s="1064"/>
      <c r="E924" s="1271" t="s">
        <v>219</v>
      </c>
      <c r="F924" s="1279">
        <v>5</v>
      </c>
      <c r="G924" s="1279">
        <v>4</v>
      </c>
      <c r="H924" s="993">
        <v>5493.7</v>
      </c>
      <c r="I924" s="993">
        <v>3577.3</v>
      </c>
      <c r="J924" s="993">
        <f>I924-57.2</f>
        <v>3520.1000000000004</v>
      </c>
      <c r="K924" s="987">
        <v>169</v>
      </c>
      <c r="L924" s="985">
        <v>20028876.719999999</v>
      </c>
      <c r="M924" s="986">
        <v>0</v>
      </c>
      <c r="N924" s="986">
        <v>0</v>
      </c>
      <c r="O924" s="985">
        <f t="shared" ref="O924:O927" si="322">L924</f>
        <v>20028876.719999999</v>
      </c>
      <c r="P924" s="993">
        <v>0</v>
      </c>
      <c r="Q924" s="986">
        <v>0</v>
      </c>
      <c r="R924" s="985">
        <f t="shared" si="321"/>
        <v>5598.8809213652748</v>
      </c>
      <c r="S924" s="987">
        <v>2022</v>
      </c>
      <c r="T924" s="987">
        <v>2022</v>
      </c>
    </row>
    <row r="925" spans="1:20" s="989" customFormat="1" ht="40.9" customHeight="1">
      <c r="A925" s="1271">
        <v>129</v>
      </c>
      <c r="B925" s="1274" t="s">
        <v>1301</v>
      </c>
      <c r="C925" s="1064">
        <v>1993</v>
      </c>
      <c r="D925" s="1064"/>
      <c r="E925" s="1271" t="s">
        <v>220</v>
      </c>
      <c r="F925" s="1279">
        <v>5</v>
      </c>
      <c r="G925" s="1279">
        <v>4</v>
      </c>
      <c r="H925" s="993">
        <v>5425.3</v>
      </c>
      <c r="I925" s="993">
        <v>3461.7</v>
      </c>
      <c r="J925" s="993">
        <f>I925-71.6</f>
        <v>3390.1</v>
      </c>
      <c r="K925" s="987">
        <v>126</v>
      </c>
      <c r="L925" s="985">
        <v>19395373.649999999</v>
      </c>
      <c r="M925" s="986">
        <v>0</v>
      </c>
      <c r="N925" s="986">
        <v>0</v>
      </c>
      <c r="O925" s="985">
        <f t="shared" si="322"/>
        <v>19395373.649999999</v>
      </c>
      <c r="P925" s="993">
        <v>0</v>
      </c>
      <c r="Q925" s="986">
        <v>0</v>
      </c>
      <c r="R925" s="985">
        <f t="shared" si="321"/>
        <v>5602.8464771643985</v>
      </c>
      <c r="S925" s="987">
        <v>2022</v>
      </c>
      <c r="T925" s="987">
        <v>2022</v>
      </c>
    </row>
    <row r="926" spans="1:20" s="1026" customFormat="1" ht="46.15" customHeight="1">
      <c r="A926" s="1271">
        <v>130</v>
      </c>
      <c r="B926" s="1274" t="s">
        <v>1302</v>
      </c>
      <c r="C926" s="1064">
        <v>1667</v>
      </c>
      <c r="D926" s="1064"/>
      <c r="E926" s="1271" t="s">
        <v>218</v>
      </c>
      <c r="F926" s="1279">
        <v>5</v>
      </c>
      <c r="G926" s="1279">
        <v>4</v>
      </c>
      <c r="H926" s="993">
        <v>3573.8</v>
      </c>
      <c r="I926" s="993">
        <v>2630</v>
      </c>
      <c r="J926" s="993">
        <f>I926</f>
        <v>2630</v>
      </c>
      <c r="K926" s="987">
        <v>104</v>
      </c>
      <c r="L926" s="985">
        <v>13916269.27</v>
      </c>
      <c r="M926" s="986">
        <v>0</v>
      </c>
      <c r="N926" s="986">
        <v>0</v>
      </c>
      <c r="O926" s="985">
        <f t="shared" si="322"/>
        <v>13916269.27</v>
      </c>
      <c r="P926" s="993">
        <v>0</v>
      </c>
      <c r="Q926" s="986">
        <v>0</v>
      </c>
      <c r="R926" s="985">
        <f t="shared" si="321"/>
        <v>5291.3571368821295</v>
      </c>
      <c r="S926" s="987">
        <v>2022</v>
      </c>
      <c r="T926" s="987">
        <v>2022</v>
      </c>
    </row>
    <row r="927" spans="1:20" s="1026" customFormat="1" ht="40.15" customHeight="1">
      <c r="A927" s="1271">
        <v>131</v>
      </c>
      <c r="B927" s="1274" t="s">
        <v>1303</v>
      </c>
      <c r="C927" s="1064">
        <v>1993</v>
      </c>
      <c r="D927" s="1064"/>
      <c r="E927" s="1271" t="s">
        <v>219</v>
      </c>
      <c r="F927" s="1279">
        <v>9</v>
      </c>
      <c r="G927" s="1279">
        <v>3</v>
      </c>
      <c r="H927" s="993">
        <v>7045.7</v>
      </c>
      <c r="I927" s="993">
        <v>6350</v>
      </c>
      <c r="J927" s="993">
        <f>I927-135.4</f>
        <v>6214.6</v>
      </c>
      <c r="K927" s="987">
        <v>244</v>
      </c>
      <c r="L927" s="985">
        <v>8669520.3100000005</v>
      </c>
      <c r="M927" s="986">
        <v>0</v>
      </c>
      <c r="N927" s="986">
        <v>0</v>
      </c>
      <c r="O927" s="985">
        <f t="shared" si="322"/>
        <v>8669520.3100000005</v>
      </c>
      <c r="P927" s="993">
        <v>0</v>
      </c>
      <c r="Q927" s="986">
        <v>0</v>
      </c>
      <c r="R927" s="985">
        <f t="shared" si="321"/>
        <v>1365.2787889763781</v>
      </c>
      <c r="S927" s="987">
        <v>2022</v>
      </c>
      <c r="T927" s="987">
        <v>2022</v>
      </c>
    </row>
    <row r="928" spans="1:20" s="1026" customFormat="1" ht="45" customHeight="1">
      <c r="A928" s="1271">
        <v>132</v>
      </c>
      <c r="B928" s="1274" t="s">
        <v>759</v>
      </c>
      <c r="C928" s="1064">
        <v>1975</v>
      </c>
      <c r="D928" s="1064"/>
      <c r="E928" s="1271" t="s">
        <v>218</v>
      </c>
      <c r="F928" s="1279">
        <v>12</v>
      </c>
      <c r="G928" s="1279">
        <v>1</v>
      </c>
      <c r="H928" s="993">
        <v>5393.6</v>
      </c>
      <c r="I928" s="993">
        <v>3815.1</v>
      </c>
      <c r="J928" s="993">
        <v>3741.2</v>
      </c>
      <c r="K928" s="987">
        <v>116</v>
      </c>
      <c r="L928" s="985">
        <v>4150636.91</v>
      </c>
      <c r="M928" s="986">
        <v>0</v>
      </c>
      <c r="N928" s="986">
        <v>0</v>
      </c>
      <c r="O928" s="985">
        <f t="shared" ref="O928:O930" si="323">L928</f>
        <v>4150636.91</v>
      </c>
      <c r="P928" s="993">
        <v>0</v>
      </c>
      <c r="Q928" s="986">
        <v>0</v>
      </c>
      <c r="R928" s="985">
        <f t="shared" ref="R928:R930" si="324">L928/I928</f>
        <v>1087.9497024979687</v>
      </c>
      <c r="S928" s="987">
        <v>2022</v>
      </c>
      <c r="T928" s="987">
        <v>2022</v>
      </c>
    </row>
    <row r="929" spans="1:20" s="1026" customFormat="1" ht="40.15" customHeight="1">
      <c r="A929" s="1271">
        <v>133</v>
      </c>
      <c r="B929" s="1274" t="s">
        <v>2628</v>
      </c>
      <c r="C929" s="1064">
        <v>1973</v>
      </c>
      <c r="D929" s="1064"/>
      <c r="E929" s="1271" t="s">
        <v>219</v>
      </c>
      <c r="F929" s="1279">
        <v>8</v>
      </c>
      <c r="G929" s="1279">
        <v>4</v>
      </c>
      <c r="H929" s="993">
        <v>4703.8</v>
      </c>
      <c r="I929" s="993">
        <v>3511.9</v>
      </c>
      <c r="J929" s="993">
        <v>3307.8</v>
      </c>
      <c r="K929" s="987">
        <v>240</v>
      </c>
      <c r="L929" s="985">
        <v>3605381.91</v>
      </c>
      <c r="M929" s="986">
        <v>0</v>
      </c>
      <c r="N929" s="986">
        <v>0</v>
      </c>
      <c r="O929" s="985">
        <f t="shared" si="323"/>
        <v>3605381.91</v>
      </c>
      <c r="P929" s="993">
        <v>0</v>
      </c>
      <c r="Q929" s="986">
        <v>0</v>
      </c>
      <c r="R929" s="985">
        <f t="shared" si="324"/>
        <v>1026.6186138557475</v>
      </c>
      <c r="S929" s="987">
        <v>2022</v>
      </c>
      <c r="T929" s="987">
        <v>2022</v>
      </c>
    </row>
    <row r="930" spans="1:20" s="1026" customFormat="1" ht="42.6" customHeight="1">
      <c r="A930" s="1271">
        <v>134</v>
      </c>
      <c r="B930" s="1274" t="s">
        <v>2629</v>
      </c>
      <c r="C930" s="1064">
        <v>1953</v>
      </c>
      <c r="D930" s="1064"/>
      <c r="E930" s="1271" t="s">
        <v>218</v>
      </c>
      <c r="F930" s="1279">
        <v>1</v>
      </c>
      <c r="G930" s="1279">
        <v>2</v>
      </c>
      <c r="H930" s="993">
        <v>486.4</v>
      </c>
      <c r="I930" s="993">
        <v>443.6</v>
      </c>
      <c r="J930" s="993">
        <v>335.3</v>
      </c>
      <c r="K930" s="987">
        <v>25</v>
      </c>
      <c r="L930" s="985">
        <v>4428285.97</v>
      </c>
      <c r="M930" s="986">
        <v>0</v>
      </c>
      <c r="N930" s="986">
        <v>0</v>
      </c>
      <c r="O930" s="985">
        <f t="shared" si="323"/>
        <v>4428285.97</v>
      </c>
      <c r="P930" s="993">
        <v>0</v>
      </c>
      <c r="Q930" s="986">
        <v>0</v>
      </c>
      <c r="R930" s="985">
        <f t="shared" si="324"/>
        <v>9982.6103922452658</v>
      </c>
      <c r="S930" s="987">
        <v>2022</v>
      </c>
      <c r="T930" s="987">
        <v>2022</v>
      </c>
    </row>
    <row r="931" spans="1:20" s="1026" customFormat="1" ht="47.45" customHeight="1">
      <c r="A931" s="1271">
        <v>135</v>
      </c>
      <c r="B931" s="1274" t="s">
        <v>2672</v>
      </c>
      <c r="C931" s="1064">
        <v>1980</v>
      </c>
      <c r="D931" s="1064"/>
      <c r="E931" s="1271" t="s">
        <v>218</v>
      </c>
      <c r="F931" s="1279">
        <v>5</v>
      </c>
      <c r="G931" s="1279">
        <v>6</v>
      </c>
      <c r="H931" s="993">
        <v>5366.9</v>
      </c>
      <c r="I931" s="993">
        <v>3813.5</v>
      </c>
      <c r="J931" s="993">
        <v>3708.9</v>
      </c>
      <c r="K931" s="987">
        <v>193</v>
      </c>
      <c r="L931" s="985">
        <v>5891020.71</v>
      </c>
      <c r="M931" s="986">
        <v>0</v>
      </c>
      <c r="N931" s="986">
        <v>0</v>
      </c>
      <c r="O931" s="985">
        <f t="shared" ref="O931" si="325">L931</f>
        <v>5891020.71</v>
      </c>
      <c r="P931" s="993">
        <v>0</v>
      </c>
      <c r="Q931" s="986">
        <v>0</v>
      </c>
      <c r="R931" s="985">
        <f t="shared" ref="R931" si="326">L931/I931</f>
        <v>1544.7805716533369</v>
      </c>
      <c r="S931" s="987">
        <v>2022</v>
      </c>
      <c r="T931" s="987">
        <v>2022</v>
      </c>
    </row>
    <row r="932" spans="1:20" s="1026" customFormat="1" ht="41.45" customHeight="1">
      <c r="A932" s="1271"/>
      <c r="B932" s="1412" t="s">
        <v>1071</v>
      </c>
      <c r="C932" s="1412"/>
      <c r="D932" s="1412"/>
      <c r="E932" s="1412"/>
      <c r="F932" s="1412"/>
      <c r="G932" s="1412"/>
      <c r="H932" s="993">
        <f>H933</f>
        <v>858.4</v>
      </c>
      <c r="I932" s="993">
        <f t="shared" ref="I932:Q932" si="327">I933</f>
        <v>810.4</v>
      </c>
      <c r="J932" s="993">
        <f t="shared" si="327"/>
        <v>592.20000000000005</v>
      </c>
      <c r="K932" s="987">
        <f t="shared" si="327"/>
        <v>43</v>
      </c>
      <c r="L932" s="993">
        <f t="shared" si="327"/>
        <v>3410816</v>
      </c>
      <c r="M932" s="993">
        <f t="shared" si="327"/>
        <v>0</v>
      </c>
      <c r="N932" s="993">
        <f t="shared" si="327"/>
        <v>0</v>
      </c>
      <c r="O932" s="993">
        <f t="shared" si="327"/>
        <v>3410816</v>
      </c>
      <c r="P932" s="993">
        <f t="shared" si="327"/>
        <v>0</v>
      </c>
      <c r="Q932" s="993">
        <f t="shared" si="327"/>
        <v>0</v>
      </c>
      <c r="R932" s="991" t="s">
        <v>40</v>
      </c>
      <c r="S932" s="991" t="s">
        <v>40</v>
      </c>
      <c r="T932" s="991" t="s">
        <v>40</v>
      </c>
    </row>
    <row r="933" spans="1:20" s="1026" customFormat="1" ht="42.6" customHeight="1">
      <c r="A933" s="1271">
        <v>136</v>
      </c>
      <c r="B933" s="1274" t="s">
        <v>1994</v>
      </c>
      <c r="C933" s="1279">
        <v>1952</v>
      </c>
      <c r="D933" s="1279"/>
      <c r="E933" s="1271" t="s">
        <v>218</v>
      </c>
      <c r="F933" s="1279">
        <v>2</v>
      </c>
      <c r="G933" s="1279">
        <v>3</v>
      </c>
      <c r="H933" s="985">
        <v>858.4</v>
      </c>
      <c r="I933" s="985">
        <v>810.4</v>
      </c>
      <c r="J933" s="985">
        <v>592.20000000000005</v>
      </c>
      <c r="K933" s="1064">
        <v>43</v>
      </c>
      <c r="L933" s="986">
        <v>3410816</v>
      </c>
      <c r="M933" s="986">
        <v>0</v>
      </c>
      <c r="N933" s="986">
        <v>0</v>
      </c>
      <c r="O933" s="986">
        <v>3410816</v>
      </c>
      <c r="P933" s="993">
        <v>0</v>
      </c>
      <c r="Q933" s="986">
        <v>0</v>
      </c>
      <c r="R933" s="985">
        <f t="shared" ref="R933" si="328">L933/I933</f>
        <v>4208.8055281342549</v>
      </c>
      <c r="S933" s="987">
        <v>2022</v>
      </c>
      <c r="T933" s="987">
        <v>2022</v>
      </c>
    </row>
    <row r="934" spans="1:20" s="1026" customFormat="1" ht="39" customHeight="1">
      <c r="A934" s="1271"/>
      <c r="B934" s="1392" t="s">
        <v>1074</v>
      </c>
      <c r="C934" s="1391"/>
      <c r="D934" s="1391"/>
      <c r="E934" s="1391"/>
      <c r="F934" s="1391"/>
      <c r="G934" s="1391"/>
      <c r="H934" s="985">
        <f>H935</f>
        <v>3390.7</v>
      </c>
      <c r="I934" s="985">
        <f t="shared" ref="I934:Q934" si="329">I935</f>
        <v>3115.7</v>
      </c>
      <c r="J934" s="985">
        <f t="shared" si="329"/>
        <v>3115.7</v>
      </c>
      <c r="K934" s="1064">
        <f t="shared" si="329"/>
        <v>126</v>
      </c>
      <c r="L934" s="985">
        <f t="shared" si="329"/>
        <v>4569906.8499999996</v>
      </c>
      <c r="M934" s="985">
        <f t="shared" si="329"/>
        <v>0</v>
      </c>
      <c r="N934" s="985">
        <f t="shared" si="329"/>
        <v>0</v>
      </c>
      <c r="O934" s="985">
        <f t="shared" si="329"/>
        <v>4569906.8499999996</v>
      </c>
      <c r="P934" s="985">
        <f t="shared" si="329"/>
        <v>0</v>
      </c>
      <c r="Q934" s="985">
        <f t="shared" si="329"/>
        <v>0</v>
      </c>
      <c r="R934" s="1090" t="s">
        <v>40</v>
      </c>
      <c r="S934" s="1090" t="s">
        <v>40</v>
      </c>
      <c r="T934" s="991" t="s">
        <v>40</v>
      </c>
    </row>
    <row r="935" spans="1:20" s="1026" customFormat="1" ht="45" customHeight="1">
      <c r="A935" s="1271">
        <v>137</v>
      </c>
      <c r="B935" s="1274" t="s">
        <v>1355</v>
      </c>
      <c r="C935" s="1271">
        <v>1972</v>
      </c>
      <c r="D935" s="1279"/>
      <c r="E935" s="1271" t="s">
        <v>218</v>
      </c>
      <c r="F935" s="1271">
        <v>5</v>
      </c>
      <c r="G935" s="1271">
        <v>4</v>
      </c>
      <c r="H935" s="993">
        <v>3390.7</v>
      </c>
      <c r="I935" s="993">
        <v>3115.7</v>
      </c>
      <c r="J935" s="993">
        <v>3115.7</v>
      </c>
      <c r="K935" s="987">
        <v>126</v>
      </c>
      <c r="L935" s="993">
        <v>4569906.8499999996</v>
      </c>
      <c r="M935" s="993">
        <v>0</v>
      </c>
      <c r="N935" s="993">
        <v>0</v>
      </c>
      <c r="O935" s="993">
        <f>L935</f>
        <v>4569906.8499999996</v>
      </c>
      <c r="P935" s="993">
        <v>0</v>
      </c>
      <c r="Q935" s="993">
        <v>0</v>
      </c>
      <c r="R935" s="993">
        <f t="shared" ref="R935" si="330">L935/I935</f>
        <v>1466.7351959431267</v>
      </c>
      <c r="S935" s="987">
        <v>2022</v>
      </c>
      <c r="T935" s="987">
        <v>2022</v>
      </c>
    </row>
    <row r="936" spans="1:20" s="1026" customFormat="1" ht="40.15" customHeight="1">
      <c r="A936" s="1271"/>
      <c r="B936" s="1392" t="s">
        <v>1073</v>
      </c>
      <c r="C936" s="1391"/>
      <c r="D936" s="1391"/>
      <c r="E936" s="1391"/>
      <c r="F936" s="1391"/>
      <c r="G936" s="1391"/>
      <c r="H936" s="993">
        <f>H937</f>
        <v>11049.9</v>
      </c>
      <c r="I936" s="993">
        <f t="shared" ref="I936:Q936" si="331">I937</f>
        <v>11049.9</v>
      </c>
      <c r="J936" s="993">
        <f t="shared" si="331"/>
        <v>10039.4</v>
      </c>
      <c r="K936" s="987">
        <f t="shared" si="331"/>
        <v>385</v>
      </c>
      <c r="L936" s="993">
        <f t="shared" si="331"/>
        <v>8518278</v>
      </c>
      <c r="M936" s="993">
        <f t="shared" si="331"/>
        <v>0</v>
      </c>
      <c r="N936" s="993">
        <f t="shared" si="331"/>
        <v>0</v>
      </c>
      <c r="O936" s="993">
        <f t="shared" si="331"/>
        <v>8518278</v>
      </c>
      <c r="P936" s="993">
        <f t="shared" si="331"/>
        <v>0</v>
      </c>
      <c r="Q936" s="993">
        <f t="shared" si="331"/>
        <v>0</v>
      </c>
      <c r="R936" s="1090" t="s">
        <v>40</v>
      </c>
      <c r="S936" s="1090" t="s">
        <v>40</v>
      </c>
      <c r="T936" s="991" t="s">
        <v>40</v>
      </c>
    </row>
    <row r="937" spans="1:20" s="1026" customFormat="1" ht="37.9" customHeight="1">
      <c r="A937" s="1271">
        <v>138</v>
      </c>
      <c r="B937" s="1274" t="s">
        <v>1041</v>
      </c>
      <c r="C937" s="1271">
        <v>1977</v>
      </c>
      <c r="D937" s="1279">
        <v>2010</v>
      </c>
      <c r="E937" s="1271" t="s">
        <v>219</v>
      </c>
      <c r="F937" s="1271">
        <v>5</v>
      </c>
      <c r="G937" s="1271">
        <v>14</v>
      </c>
      <c r="H937" s="993">
        <v>11049.9</v>
      </c>
      <c r="I937" s="993">
        <v>11049.9</v>
      </c>
      <c r="J937" s="993">
        <v>10039.4</v>
      </c>
      <c r="K937" s="987">
        <v>385</v>
      </c>
      <c r="L937" s="993">
        <v>8518278</v>
      </c>
      <c r="M937" s="993">
        <v>0</v>
      </c>
      <c r="N937" s="993">
        <v>0</v>
      </c>
      <c r="O937" s="993">
        <v>8518278</v>
      </c>
      <c r="P937" s="993">
        <v>0</v>
      </c>
      <c r="Q937" s="993">
        <v>0</v>
      </c>
      <c r="R937" s="993">
        <f t="shared" ref="R937" si="332">L937/I937</f>
        <v>770.8918632747808</v>
      </c>
      <c r="S937" s="987">
        <v>2022</v>
      </c>
      <c r="T937" s="987">
        <v>2022</v>
      </c>
    </row>
    <row r="938" spans="1:20" s="1026" customFormat="1" ht="35.450000000000003" customHeight="1">
      <c r="A938" s="1271"/>
      <c r="B938" s="1391" t="s">
        <v>1644</v>
      </c>
      <c r="C938" s="1391"/>
      <c r="D938" s="1391"/>
      <c r="E938" s="1391"/>
      <c r="F938" s="1391"/>
      <c r="G938" s="1391"/>
      <c r="H938" s="993">
        <f>H939</f>
        <v>525.4</v>
      </c>
      <c r="I938" s="993">
        <f t="shared" ref="I938:Q938" si="333">I939</f>
        <v>525.4</v>
      </c>
      <c r="J938" s="993">
        <f t="shared" si="333"/>
        <v>293.7</v>
      </c>
      <c r="K938" s="987">
        <f t="shared" si="333"/>
        <v>24</v>
      </c>
      <c r="L938" s="993">
        <f t="shared" si="333"/>
        <v>1992274</v>
      </c>
      <c r="M938" s="993">
        <f t="shared" si="333"/>
        <v>0</v>
      </c>
      <c r="N938" s="993">
        <f t="shared" si="333"/>
        <v>0</v>
      </c>
      <c r="O938" s="993">
        <f t="shared" si="333"/>
        <v>1992274</v>
      </c>
      <c r="P938" s="993">
        <f t="shared" si="333"/>
        <v>0</v>
      </c>
      <c r="Q938" s="993">
        <f t="shared" si="333"/>
        <v>0</v>
      </c>
      <c r="R938" s="1090" t="s">
        <v>40</v>
      </c>
      <c r="S938" s="1090" t="s">
        <v>40</v>
      </c>
      <c r="T938" s="991" t="s">
        <v>40</v>
      </c>
    </row>
    <row r="939" spans="1:20" s="1026" customFormat="1" ht="40.15" customHeight="1">
      <c r="A939" s="1271">
        <v>139</v>
      </c>
      <c r="B939" s="1274" t="s">
        <v>1645</v>
      </c>
      <c r="C939" s="1271">
        <v>1967</v>
      </c>
      <c r="D939" s="1279"/>
      <c r="E939" s="1271" t="s">
        <v>218</v>
      </c>
      <c r="F939" s="1271">
        <v>2</v>
      </c>
      <c r="G939" s="1271">
        <v>2</v>
      </c>
      <c r="H939" s="993">
        <v>525.4</v>
      </c>
      <c r="I939" s="993">
        <v>525.4</v>
      </c>
      <c r="J939" s="993">
        <v>293.7</v>
      </c>
      <c r="K939" s="987">
        <v>24</v>
      </c>
      <c r="L939" s="993">
        <v>1992274</v>
      </c>
      <c r="M939" s="993">
        <v>0</v>
      </c>
      <c r="N939" s="993">
        <v>0</v>
      </c>
      <c r="O939" s="993">
        <v>1992274</v>
      </c>
      <c r="P939" s="993">
        <v>0</v>
      </c>
      <c r="Q939" s="993">
        <v>0</v>
      </c>
      <c r="R939" s="993">
        <f t="shared" ref="R939" si="334">L939/I939</f>
        <v>3791.9185382565665</v>
      </c>
      <c r="S939" s="987">
        <v>2022</v>
      </c>
      <c r="T939" s="987">
        <v>2022</v>
      </c>
    </row>
    <row r="940" spans="1:20" s="1026" customFormat="1" ht="39" customHeight="1">
      <c r="A940" s="1271"/>
      <c r="B940" s="1391" t="s">
        <v>1109</v>
      </c>
      <c r="C940" s="1391"/>
      <c r="D940" s="1391"/>
      <c r="E940" s="1391"/>
      <c r="F940" s="1391"/>
      <c r="G940" s="1391"/>
      <c r="H940" s="985">
        <f>H941</f>
        <v>627.1</v>
      </c>
      <c r="I940" s="985">
        <f t="shared" ref="I940:Q940" si="335">I941</f>
        <v>530.1</v>
      </c>
      <c r="J940" s="985">
        <f t="shared" si="335"/>
        <v>530.1</v>
      </c>
      <c r="K940" s="1064">
        <f t="shared" si="335"/>
        <v>33</v>
      </c>
      <c r="L940" s="985">
        <f t="shared" si="335"/>
        <v>1039583</v>
      </c>
      <c r="M940" s="985">
        <f t="shared" si="335"/>
        <v>0</v>
      </c>
      <c r="N940" s="985">
        <f t="shared" si="335"/>
        <v>0</v>
      </c>
      <c r="O940" s="985">
        <f t="shared" si="335"/>
        <v>1039583</v>
      </c>
      <c r="P940" s="985">
        <f t="shared" si="335"/>
        <v>0</v>
      </c>
      <c r="Q940" s="985">
        <f t="shared" si="335"/>
        <v>0</v>
      </c>
      <c r="R940" s="991" t="s">
        <v>40</v>
      </c>
      <c r="S940" s="991" t="s">
        <v>40</v>
      </c>
      <c r="T940" s="991" t="s">
        <v>40</v>
      </c>
    </row>
    <row r="941" spans="1:20" s="1026" customFormat="1" ht="40.15" customHeight="1">
      <c r="A941" s="1271">
        <v>140</v>
      </c>
      <c r="B941" s="1274" t="s">
        <v>1655</v>
      </c>
      <c r="C941" s="1279">
        <v>1986</v>
      </c>
      <c r="D941" s="1279"/>
      <c r="E941" s="1271" t="s">
        <v>219</v>
      </c>
      <c r="F941" s="1279">
        <v>2</v>
      </c>
      <c r="G941" s="1279">
        <v>2</v>
      </c>
      <c r="H941" s="993">
        <v>627.1</v>
      </c>
      <c r="I941" s="985">
        <v>530.1</v>
      </c>
      <c r="J941" s="985">
        <v>530.1</v>
      </c>
      <c r="K941" s="1064">
        <v>33</v>
      </c>
      <c r="L941" s="986">
        <v>1039583</v>
      </c>
      <c r="M941" s="986">
        <v>0</v>
      </c>
      <c r="N941" s="986">
        <v>0</v>
      </c>
      <c r="O941" s="986">
        <v>1039583</v>
      </c>
      <c r="P941" s="993">
        <v>0</v>
      </c>
      <c r="Q941" s="986">
        <v>0</v>
      </c>
      <c r="R941" s="985">
        <f>L941/I941</f>
        <v>1961.1073382380682</v>
      </c>
      <c r="S941" s="987">
        <v>2022</v>
      </c>
      <c r="T941" s="987">
        <v>2022</v>
      </c>
    </row>
    <row r="942" spans="1:20" s="1026" customFormat="1" ht="35.450000000000003" customHeight="1">
      <c r="A942" s="1271"/>
      <c r="B942" s="1391" t="s">
        <v>1971</v>
      </c>
      <c r="C942" s="1391"/>
      <c r="D942" s="1391"/>
      <c r="E942" s="1391"/>
      <c r="F942" s="1391"/>
      <c r="G942" s="1391"/>
      <c r="H942" s="993">
        <f>H943</f>
        <v>744.9</v>
      </c>
      <c r="I942" s="993">
        <f t="shared" ref="I942:Q942" si="336">I943</f>
        <v>484.9</v>
      </c>
      <c r="J942" s="993">
        <f t="shared" si="336"/>
        <v>484.9</v>
      </c>
      <c r="K942" s="987">
        <f t="shared" si="336"/>
        <v>32</v>
      </c>
      <c r="L942" s="993">
        <f t="shared" si="336"/>
        <v>2364254</v>
      </c>
      <c r="M942" s="993">
        <f t="shared" si="336"/>
        <v>0</v>
      </c>
      <c r="N942" s="993">
        <f t="shared" si="336"/>
        <v>0</v>
      </c>
      <c r="O942" s="993">
        <f t="shared" si="336"/>
        <v>2364254</v>
      </c>
      <c r="P942" s="993">
        <f t="shared" si="336"/>
        <v>0</v>
      </c>
      <c r="Q942" s="993">
        <f t="shared" si="336"/>
        <v>0</v>
      </c>
      <c r="R942" s="991" t="s">
        <v>40</v>
      </c>
      <c r="S942" s="991" t="s">
        <v>40</v>
      </c>
      <c r="T942" s="991" t="s">
        <v>40</v>
      </c>
    </row>
    <row r="943" spans="1:20" s="1026" customFormat="1" ht="40.15" customHeight="1">
      <c r="A943" s="1271">
        <v>141</v>
      </c>
      <c r="B943" s="1274" t="s">
        <v>1972</v>
      </c>
      <c r="C943" s="1279">
        <v>1974</v>
      </c>
      <c r="D943" s="1279"/>
      <c r="E943" s="1271" t="s">
        <v>218</v>
      </c>
      <c r="F943" s="1279">
        <v>2</v>
      </c>
      <c r="G943" s="1279">
        <v>2</v>
      </c>
      <c r="H943" s="993">
        <v>744.9</v>
      </c>
      <c r="I943" s="985">
        <v>484.9</v>
      </c>
      <c r="J943" s="985">
        <v>484.9</v>
      </c>
      <c r="K943" s="1064">
        <v>32</v>
      </c>
      <c r="L943" s="986">
        <v>2364254</v>
      </c>
      <c r="M943" s="986">
        <v>0</v>
      </c>
      <c r="N943" s="986">
        <v>0</v>
      </c>
      <c r="O943" s="986">
        <v>2364254</v>
      </c>
      <c r="P943" s="993">
        <v>0</v>
      </c>
      <c r="Q943" s="986">
        <v>0</v>
      </c>
      <c r="R943" s="985">
        <f>L943/I943</f>
        <v>4875.7558259434936</v>
      </c>
      <c r="S943" s="987">
        <v>2022</v>
      </c>
      <c r="T943" s="987">
        <v>2022</v>
      </c>
    </row>
    <row r="944" spans="1:20" s="1026" customFormat="1" ht="39.6" customHeight="1">
      <c r="A944" s="1271"/>
      <c r="B944" s="1391" t="s">
        <v>1652</v>
      </c>
      <c r="C944" s="1391"/>
      <c r="D944" s="1391"/>
      <c r="E944" s="1391"/>
      <c r="F944" s="1391"/>
      <c r="G944" s="1391"/>
      <c r="H944" s="985">
        <f>H945</f>
        <v>215</v>
      </c>
      <c r="I944" s="985">
        <f t="shared" ref="I944:Q944" si="337">I945</f>
        <v>136</v>
      </c>
      <c r="J944" s="985">
        <f t="shared" si="337"/>
        <v>128.80000000000001</v>
      </c>
      <c r="K944" s="1064">
        <f t="shared" si="337"/>
        <v>10</v>
      </c>
      <c r="L944" s="985">
        <f t="shared" si="337"/>
        <v>201991.25</v>
      </c>
      <c r="M944" s="985">
        <f t="shared" si="337"/>
        <v>0</v>
      </c>
      <c r="N944" s="985">
        <f t="shared" si="337"/>
        <v>0</v>
      </c>
      <c r="O944" s="985">
        <f t="shared" si="337"/>
        <v>201991.25</v>
      </c>
      <c r="P944" s="985">
        <f t="shared" si="337"/>
        <v>0</v>
      </c>
      <c r="Q944" s="985">
        <f t="shared" si="337"/>
        <v>0</v>
      </c>
      <c r="R944" s="991" t="s">
        <v>40</v>
      </c>
      <c r="S944" s="991" t="s">
        <v>40</v>
      </c>
      <c r="T944" s="991" t="s">
        <v>40</v>
      </c>
    </row>
    <row r="945" spans="1:20" s="992" customFormat="1" ht="44.45" customHeight="1">
      <c r="A945" s="1271">
        <v>142</v>
      </c>
      <c r="B945" s="1274" t="s">
        <v>2982</v>
      </c>
      <c r="C945" s="1271">
        <v>1972</v>
      </c>
      <c r="D945" s="1271"/>
      <c r="E945" s="1271" t="s">
        <v>218</v>
      </c>
      <c r="F945" s="1279">
        <v>2</v>
      </c>
      <c r="G945" s="1279">
        <v>2</v>
      </c>
      <c r="H945" s="985">
        <v>215</v>
      </c>
      <c r="I945" s="985">
        <v>136</v>
      </c>
      <c r="J945" s="985">
        <v>128.80000000000001</v>
      </c>
      <c r="K945" s="1064">
        <v>10</v>
      </c>
      <c r="L945" s="985">
        <v>201991.25</v>
      </c>
      <c r="M945" s="985">
        <v>0</v>
      </c>
      <c r="N945" s="985">
        <v>0</v>
      </c>
      <c r="O945" s="985">
        <v>201991.25</v>
      </c>
      <c r="P945" s="993">
        <v>0</v>
      </c>
      <c r="Q945" s="985">
        <v>0</v>
      </c>
      <c r="R945" s="985">
        <f>L945/I945</f>
        <v>1485.2297794117646</v>
      </c>
      <c r="S945" s="987">
        <v>2022</v>
      </c>
      <c r="T945" s="987">
        <v>2022</v>
      </c>
    </row>
    <row r="946" spans="1:20" s="988" customFormat="1" ht="40.15" customHeight="1">
      <c r="A946" s="1271"/>
      <c r="B946" s="1391" t="s">
        <v>55</v>
      </c>
      <c r="C946" s="1391"/>
      <c r="D946" s="1391"/>
      <c r="E946" s="1391"/>
      <c r="F946" s="1391"/>
      <c r="G946" s="1391"/>
      <c r="H946" s="985">
        <f>H947</f>
        <v>2345.6</v>
      </c>
      <c r="I946" s="985">
        <f t="shared" ref="I946:T946" si="338">I947</f>
        <v>2224.1</v>
      </c>
      <c r="J946" s="985">
        <f t="shared" si="338"/>
        <v>1288.8</v>
      </c>
      <c r="K946" s="1064">
        <f t="shared" si="338"/>
        <v>62</v>
      </c>
      <c r="L946" s="986">
        <f t="shared" si="338"/>
        <v>5986278</v>
      </c>
      <c r="M946" s="986">
        <f t="shared" si="338"/>
        <v>0</v>
      </c>
      <c r="N946" s="986">
        <f t="shared" si="338"/>
        <v>0</v>
      </c>
      <c r="O946" s="986">
        <f t="shared" si="338"/>
        <v>5986278</v>
      </c>
      <c r="P946" s="993">
        <v>0</v>
      </c>
      <c r="Q946" s="986">
        <f t="shared" si="338"/>
        <v>0</v>
      </c>
      <c r="R946" s="991" t="str">
        <f t="shared" si="338"/>
        <v>Х</v>
      </c>
      <c r="S946" s="991" t="str">
        <f t="shared" si="338"/>
        <v>Х</v>
      </c>
      <c r="T946" s="991" t="str">
        <f t="shared" si="338"/>
        <v>Х</v>
      </c>
    </row>
    <row r="947" spans="1:20" s="988" customFormat="1" ht="38.450000000000003" customHeight="1">
      <c r="A947" s="1271"/>
      <c r="B947" s="1391" t="s">
        <v>1076</v>
      </c>
      <c r="C947" s="1391"/>
      <c r="D947" s="1391"/>
      <c r="E947" s="1391"/>
      <c r="F947" s="1391"/>
      <c r="G947" s="1391"/>
      <c r="H947" s="985">
        <f>H948+H949+H950</f>
        <v>2345.6</v>
      </c>
      <c r="I947" s="985">
        <f t="shared" ref="I947:Q947" si="339">I948+I949+I950</f>
        <v>2224.1</v>
      </c>
      <c r="J947" s="985">
        <f t="shared" si="339"/>
        <v>1288.8</v>
      </c>
      <c r="K947" s="1064">
        <f t="shared" si="339"/>
        <v>62</v>
      </c>
      <c r="L947" s="985">
        <f t="shared" si="339"/>
        <v>5986278</v>
      </c>
      <c r="M947" s="985">
        <f t="shared" si="339"/>
        <v>0</v>
      </c>
      <c r="N947" s="985">
        <f t="shared" si="339"/>
        <v>0</v>
      </c>
      <c r="O947" s="985">
        <f t="shared" si="339"/>
        <v>5986278</v>
      </c>
      <c r="P947" s="985">
        <f t="shared" si="339"/>
        <v>0</v>
      </c>
      <c r="Q947" s="985">
        <f t="shared" si="339"/>
        <v>0</v>
      </c>
      <c r="R947" s="991" t="s">
        <v>40</v>
      </c>
      <c r="S947" s="991" t="s">
        <v>40</v>
      </c>
      <c r="T947" s="991" t="s">
        <v>40</v>
      </c>
    </row>
    <row r="948" spans="1:20" s="988" customFormat="1" ht="42" customHeight="1">
      <c r="A948" s="1271">
        <v>143</v>
      </c>
      <c r="B948" s="1274" t="s">
        <v>1324</v>
      </c>
      <c r="C948" s="1022" t="s">
        <v>1325</v>
      </c>
      <c r="D948" s="1279"/>
      <c r="E948" s="1271" t="s">
        <v>218</v>
      </c>
      <c r="F948" s="1279">
        <v>3</v>
      </c>
      <c r="G948" s="1279">
        <v>1</v>
      </c>
      <c r="H948" s="985">
        <v>819.4</v>
      </c>
      <c r="I948" s="985">
        <v>819.4</v>
      </c>
      <c r="J948" s="985">
        <v>460.5</v>
      </c>
      <c r="K948" s="1064">
        <v>33</v>
      </c>
      <c r="L948" s="986">
        <v>2114314</v>
      </c>
      <c r="M948" s="986">
        <v>0</v>
      </c>
      <c r="N948" s="986">
        <v>0</v>
      </c>
      <c r="O948" s="986">
        <v>2114314</v>
      </c>
      <c r="P948" s="993">
        <v>0</v>
      </c>
      <c r="Q948" s="986">
        <v>0</v>
      </c>
      <c r="R948" s="985">
        <f>L948/I948</f>
        <v>2580.3197461557238</v>
      </c>
      <c r="S948" s="987">
        <v>2022</v>
      </c>
      <c r="T948" s="987">
        <v>2022</v>
      </c>
    </row>
    <row r="949" spans="1:20" s="988" customFormat="1" ht="48" customHeight="1">
      <c r="A949" s="1271">
        <v>144</v>
      </c>
      <c r="B949" s="1274" t="s">
        <v>390</v>
      </c>
      <c r="C949" s="1022" t="s">
        <v>604</v>
      </c>
      <c r="D949" s="1279"/>
      <c r="E949" s="1271" t="s">
        <v>218</v>
      </c>
      <c r="F949" s="1279">
        <v>2</v>
      </c>
      <c r="G949" s="1279">
        <v>3</v>
      </c>
      <c r="H949" s="985">
        <v>1110.3</v>
      </c>
      <c r="I949" s="985">
        <v>988.8</v>
      </c>
      <c r="J949" s="985">
        <v>525.79999999999995</v>
      </c>
      <c r="K949" s="1064">
        <v>14</v>
      </c>
      <c r="L949" s="986">
        <v>2954489</v>
      </c>
      <c r="M949" s="986">
        <v>0</v>
      </c>
      <c r="N949" s="986">
        <v>0</v>
      </c>
      <c r="O949" s="986">
        <v>2954489</v>
      </c>
      <c r="P949" s="993">
        <v>0</v>
      </c>
      <c r="Q949" s="986">
        <v>0</v>
      </c>
      <c r="R949" s="985">
        <f t="shared" ref="R949:R950" si="340">L949/I949</f>
        <v>2987.954085760518</v>
      </c>
      <c r="S949" s="987">
        <v>2022</v>
      </c>
      <c r="T949" s="987">
        <v>2022</v>
      </c>
    </row>
    <row r="950" spans="1:20" s="988" customFormat="1" ht="40.9" customHeight="1">
      <c r="A950" s="1271">
        <v>145</v>
      </c>
      <c r="B950" s="1274" t="s">
        <v>1112</v>
      </c>
      <c r="C950" s="1022" t="s">
        <v>1177</v>
      </c>
      <c r="D950" s="1279">
        <v>2017</v>
      </c>
      <c r="E950" s="1271" t="s">
        <v>824</v>
      </c>
      <c r="F950" s="1279">
        <v>2</v>
      </c>
      <c r="G950" s="1279">
        <v>2</v>
      </c>
      <c r="H950" s="985">
        <v>415.9</v>
      </c>
      <c r="I950" s="985">
        <v>415.9</v>
      </c>
      <c r="J950" s="985">
        <v>302.5</v>
      </c>
      <c r="K950" s="1064">
        <v>15</v>
      </c>
      <c r="L950" s="986">
        <v>917475</v>
      </c>
      <c r="M950" s="986">
        <v>0</v>
      </c>
      <c r="N950" s="986">
        <v>0</v>
      </c>
      <c r="O950" s="986">
        <v>917475</v>
      </c>
      <c r="P950" s="993">
        <v>0</v>
      </c>
      <c r="Q950" s="986">
        <v>0</v>
      </c>
      <c r="R950" s="985">
        <f t="shared" si="340"/>
        <v>2205.999038230344</v>
      </c>
      <c r="S950" s="987">
        <v>2022</v>
      </c>
      <c r="T950" s="987">
        <v>2022</v>
      </c>
    </row>
    <row r="951" spans="1:20" s="988" customFormat="1" ht="36" customHeight="1">
      <c r="A951" s="1271"/>
      <c r="B951" s="1391" t="s">
        <v>1989</v>
      </c>
      <c r="C951" s="1391"/>
      <c r="D951" s="1391"/>
      <c r="E951" s="1391"/>
      <c r="F951" s="1391"/>
      <c r="G951" s="1391"/>
      <c r="H951" s="985">
        <f>H952+H954+H957+H960</f>
        <v>11252.599999999999</v>
      </c>
      <c r="I951" s="985">
        <f t="shared" ref="I951:Q951" si="341">I952+I954+I957+I960</f>
        <v>7851.9000000000005</v>
      </c>
      <c r="J951" s="985">
        <f t="shared" si="341"/>
        <v>7469.1</v>
      </c>
      <c r="K951" s="1064">
        <f t="shared" si="341"/>
        <v>402</v>
      </c>
      <c r="L951" s="985">
        <f t="shared" si="341"/>
        <v>15850714.51</v>
      </c>
      <c r="M951" s="985">
        <f t="shared" si="341"/>
        <v>0</v>
      </c>
      <c r="N951" s="985">
        <f t="shared" si="341"/>
        <v>0</v>
      </c>
      <c r="O951" s="985">
        <f t="shared" si="341"/>
        <v>15850714.51</v>
      </c>
      <c r="P951" s="985">
        <f t="shared" si="341"/>
        <v>0</v>
      </c>
      <c r="Q951" s="985">
        <f t="shared" si="341"/>
        <v>0</v>
      </c>
      <c r="R951" s="991" t="str">
        <f t="shared" ref="R951:T951" si="342">R952</f>
        <v>Х</v>
      </c>
      <c r="S951" s="991" t="str">
        <f t="shared" si="342"/>
        <v>Х</v>
      </c>
      <c r="T951" s="991" t="str">
        <f t="shared" si="342"/>
        <v>Х</v>
      </c>
    </row>
    <row r="952" spans="1:20" s="988" customFormat="1" ht="39.6" customHeight="1">
      <c r="A952" s="1271"/>
      <c r="B952" s="1393" t="s">
        <v>2024</v>
      </c>
      <c r="C952" s="1391"/>
      <c r="D952" s="1391"/>
      <c r="E952" s="1391"/>
      <c r="F952" s="1391"/>
      <c r="G952" s="1391"/>
      <c r="H952" s="985">
        <f t="shared" ref="H952:Q952" si="343">SUM(H953:H953)</f>
        <v>4189.5</v>
      </c>
      <c r="I952" s="985">
        <f t="shared" si="343"/>
        <v>2919.4</v>
      </c>
      <c r="J952" s="985">
        <f t="shared" si="343"/>
        <v>2665.7</v>
      </c>
      <c r="K952" s="1064">
        <f t="shared" si="343"/>
        <v>160</v>
      </c>
      <c r="L952" s="985">
        <f t="shared" si="343"/>
        <v>8465841.5099999998</v>
      </c>
      <c r="M952" s="985">
        <f t="shared" si="343"/>
        <v>0</v>
      </c>
      <c r="N952" s="985">
        <f t="shared" si="343"/>
        <v>0</v>
      </c>
      <c r="O952" s="985">
        <f t="shared" si="343"/>
        <v>8465841.5099999998</v>
      </c>
      <c r="P952" s="985">
        <f t="shared" si="343"/>
        <v>0</v>
      </c>
      <c r="Q952" s="985">
        <f t="shared" si="343"/>
        <v>0</v>
      </c>
      <c r="R952" s="991" t="s">
        <v>40</v>
      </c>
      <c r="S952" s="991" t="s">
        <v>40</v>
      </c>
      <c r="T952" s="991" t="s">
        <v>40</v>
      </c>
    </row>
    <row r="953" spans="1:20" s="988" customFormat="1" ht="44.45" customHeight="1">
      <c r="A953" s="1271">
        <v>146</v>
      </c>
      <c r="B953" s="1274" t="s">
        <v>2965</v>
      </c>
      <c r="C953" s="1271">
        <v>1974</v>
      </c>
      <c r="D953" s="1271"/>
      <c r="E953" s="1271" t="s">
        <v>219</v>
      </c>
      <c r="F953" s="1279">
        <v>5</v>
      </c>
      <c r="G953" s="1279">
        <v>6</v>
      </c>
      <c r="H953" s="985">
        <v>4189.5</v>
      </c>
      <c r="I953" s="985">
        <v>2919.4</v>
      </c>
      <c r="J953" s="985">
        <v>2665.7</v>
      </c>
      <c r="K953" s="1064">
        <v>160</v>
      </c>
      <c r="L953" s="985">
        <v>8465841.5099999998</v>
      </c>
      <c r="M953" s="985">
        <v>0</v>
      </c>
      <c r="N953" s="985">
        <v>0</v>
      </c>
      <c r="O953" s="985">
        <v>8465841.5099999998</v>
      </c>
      <c r="P953" s="993">
        <v>0</v>
      </c>
      <c r="Q953" s="985">
        <v>0</v>
      </c>
      <c r="R953" s="985">
        <f>L953/I953</f>
        <v>2899.8566520517911</v>
      </c>
      <c r="S953" s="987">
        <v>2022</v>
      </c>
      <c r="T953" s="987">
        <v>2022</v>
      </c>
    </row>
    <row r="954" spans="1:20" s="988" customFormat="1" ht="42.6" customHeight="1">
      <c r="A954" s="1271"/>
      <c r="B954" s="1393" t="s">
        <v>2025</v>
      </c>
      <c r="C954" s="1393"/>
      <c r="D954" s="1393"/>
      <c r="E954" s="1393"/>
      <c r="F954" s="1393"/>
      <c r="G954" s="1393"/>
      <c r="H954" s="985">
        <f>H956+H955</f>
        <v>3692.3</v>
      </c>
      <c r="I954" s="985">
        <f t="shared" ref="I954:Q954" si="344">I956+I955</f>
        <v>2415.6999999999998</v>
      </c>
      <c r="J954" s="985">
        <f t="shared" si="344"/>
        <v>2386.9</v>
      </c>
      <c r="K954" s="1064">
        <f t="shared" si="344"/>
        <v>107</v>
      </c>
      <c r="L954" s="985">
        <f t="shared" si="344"/>
        <v>3625770</v>
      </c>
      <c r="M954" s="985">
        <f t="shared" si="344"/>
        <v>0</v>
      </c>
      <c r="N954" s="985">
        <f t="shared" si="344"/>
        <v>0</v>
      </c>
      <c r="O954" s="985">
        <f t="shared" si="344"/>
        <v>3625770</v>
      </c>
      <c r="P954" s="985">
        <f t="shared" si="344"/>
        <v>0</v>
      </c>
      <c r="Q954" s="985">
        <f t="shared" si="344"/>
        <v>0</v>
      </c>
      <c r="R954" s="991" t="s">
        <v>40</v>
      </c>
      <c r="S954" s="991" t="s">
        <v>40</v>
      </c>
      <c r="T954" s="991" t="s">
        <v>40</v>
      </c>
    </row>
    <row r="955" spans="1:20" s="992" customFormat="1" ht="44.45" customHeight="1">
      <c r="A955" s="1271">
        <v>147</v>
      </c>
      <c r="B955" s="1274" t="s">
        <v>2983</v>
      </c>
      <c r="C955" s="1271">
        <v>1968</v>
      </c>
      <c r="D955" s="1271"/>
      <c r="E955" s="1271" t="s">
        <v>218</v>
      </c>
      <c r="F955" s="1271">
        <v>4</v>
      </c>
      <c r="G955" s="1271">
        <v>4</v>
      </c>
      <c r="H955" s="985">
        <v>2461</v>
      </c>
      <c r="I955" s="985">
        <v>1596.7</v>
      </c>
      <c r="J955" s="985">
        <v>1567.9</v>
      </c>
      <c r="K955" s="1064">
        <v>79</v>
      </c>
      <c r="L955" s="986">
        <v>2382401</v>
      </c>
      <c r="M955" s="986">
        <v>0</v>
      </c>
      <c r="N955" s="986">
        <v>0</v>
      </c>
      <c r="O955" s="986">
        <v>2382401</v>
      </c>
      <c r="P955" s="993">
        <v>0</v>
      </c>
      <c r="Q955" s="986">
        <v>0</v>
      </c>
      <c r="R955" s="985">
        <f>L955/I955</f>
        <v>1492.078035949145</v>
      </c>
      <c r="S955" s="987">
        <v>2022</v>
      </c>
      <c r="T955" s="987">
        <v>2022</v>
      </c>
    </row>
    <row r="956" spans="1:20" s="988" customFormat="1" ht="43.15" customHeight="1">
      <c r="A956" s="1271">
        <v>148</v>
      </c>
      <c r="B956" s="1274" t="s">
        <v>2302</v>
      </c>
      <c r="C956" s="1271">
        <v>1972</v>
      </c>
      <c r="D956" s="1279"/>
      <c r="E956" s="1271" t="s">
        <v>218</v>
      </c>
      <c r="F956" s="1279">
        <v>4</v>
      </c>
      <c r="G956" s="1279">
        <v>2</v>
      </c>
      <c r="H956" s="985">
        <v>1231.3</v>
      </c>
      <c r="I956" s="985">
        <v>819</v>
      </c>
      <c r="J956" s="985">
        <v>819</v>
      </c>
      <c r="K956" s="1064">
        <v>28</v>
      </c>
      <c r="L956" s="986">
        <v>1243369</v>
      </c>
      <c r="M956" s="986">
        <v>0</v>
      </c>
      <c r="N956" s="986">
        <v>0</v>
      </c>
      <c r="O956" s="986">
        <f>L956</f>
        <v>1243369</v>
      </c>
      <c r="P956" s="993">
        <v>0</v>
      </c>
      <c r="Q956" s="986">
        <v>0</v>
      </c>
      <c r="R956" s="985">
        <f>L956/I956</f>
        <v>1518.1550671550672</v>
      </c>
      <c r="S956" s="987">
        <v>2022</v>
      </c>
      <c r="T956" s="987">
        <v>2022</v>
      </c>
    </row>
    <row r="957" spans="1:20" s="988" customFormat="1" ht="36" customHeight="1">
      <c r="A957" s="1271"/>
      <c r="B957" s="1393" t="s">
        <v>807</v>
      </c>
      <c r="C957" s="1393"/>
      <c r="D957" s="1393"/>
      <c r="E957" s="1393"/>
      <c r="F957" s="1393"/>
      <c r="G957" s="1393"/>
      <c r="H957" s="985">
        <f>H958+H959</f>
        <v>1981.5</v>
      </c>
      <c r="I957" s="985">
        <f t="shared" ref="I957:Q957" si="345">I958+I959</f>
        <v>1687.2</v>
      </c>
      <c r="J957" s="985">
        <f t="shared" si="345"/>
        <v>1687.2</v>
      </c>
      <c r="K957" s="1064">
        <f t="shared" si="345"/>
        <v>73</v>
      </c>
      <c r="L957" s="985">
        <f t="shared" si="345"/>
        <v>3276658</v>
      </c>
      <c r="M957" s="985">
        <f t="shared" si="345"/>
        <v>0</v>
      </c>
      <c r="N957" s="985">
        <f t="shared" si="345"/>
        <v>0</v>
      </c>
      <c r="O957" s="985">
        <f t="shared" si="345"/>
        <v>3276658</v>
      </c>
      <c r="P957" s="985">
        <f t="shared" si="345"/>
        <v>0</v>
      </c>
      <c r="Q957" s="985">
        <f t="shared" si="345"/>
        <v>0</v>
      </c>
      <c r="R957" s="991" t="s">
        <v>40</v>
      </c>
      <c r="S957" s="991" t="s">
        <v>40</v>
      </c>
      <c r="T957" s="991" t="s">
        <v>40</v>
      </c>
    </row>
    <row r="958" spans="1:20" s="988" customFormat="1" ht="44.45" customHeight="1">
      <c r="A958" s="1271">
        <v>149</v>
      </c>
      <c r="B958" s="1274" t="s">
        <v>1618</v>
      </c>
      <c r="C958" s="1271">
        <v>1963</v>
      </c>
      <c r="D958" s="1279"/>
      <c r="E958" s="1271" t="s">
        <v>218</v>
      </c>
      <c r="F958" s="1279">
        <v>2</v>
      </c>
      <c r="G958" s="1279">
        <v>1</v>
      </c>
      <c r="H958" s="985">
        <v>452</v>
      </c>
      <c r="I958" s="985">
        <v>330.8</v>
      </c>
      <c r="J958" s="985">
        <v>330.8</v>
      </c>
      <c r="K958" s="1064">
        <v>12</v>
      </c>
      <c r="L958" s="986">
        <v>1242149</v>
      </c>
      <c r="M958" s="986">
        <v>0</v>
      </c>
      <c r="N958" s="986">
        <v>0</v>
      </c>
      <c r="O958" s="986">
        <v>1242149</v>
      </c>
      <c r="P958" s="993">
        <v>0</v>
      </c>
      <c r="Q958" s="986">
        <v>0</v>
      </c>
      <c r="R958" s="985">
        <f>L958/I958</f>
        <v>3754.9848851269649</v>
      </c>
      <c r="S958" s="987">
        <v>2022</v>
      </c>
      <c r="T958" s="987">
        <v>2022</v>
      </c>
    </row>
    <row r="959" spans="1:20" s="988" customFormat="1" ht="42" customHeight="1">
      <c r="A959" s="1271">
        <v>150</v>
      </c>
      <c r="B959" s="1274" t="s">
        <v>1999</v>
      </c>
      <c r="C959" s="1271">
        <v>1983</v>
      </c>
      <c r="D959" s="1279"/>
      <c r="E959" s="1271" t="s">
        <v>219</v>
      </c>
      <c r="F959" s="1279">
        <v>3</v>
      </c>
      <c r="G959" s="1279">
        <v>3</v>
      </c>
      <c r="H959" s="985">
        <v>1529.5</v>
      </c>
      <c r="I959" s="985">
        <v>1356.4</v>
      </c>
      <c r="J959" s="985">
        <v>1356.4</v>
      </c>
      <c r="K959" s="1064">
        <v>61</v>
      </c>
      <c r="L959" s="986">
        <v>2034509</v>
      </c>
      <c r="M959" s="986">
        <v>0</v>
      </c>
      <c r="N959" s="986">
        <v>0</v>
      </c>
      <c r="O959" s="986">
        <v>2034509</v>
      </c>
      <c r="P959" s="993">
        <v>0</v>
      </c>
      <c r="Q959" s="986">
        <v>0</v>
      </c>
      <c r="R959" s="985">
        <f>L959/I959</f>
        <v>1499.9329106458272</v>
      </c>
      <c r="S959" s="987">
        <v>2022</v>
      </c>
      <c r="T959" s="987">
        <v>2022</v>
      </c>
    </row>
    <row r="960" spans="1:20" s="988" customFormat="1" ht="36" customHeight="1">
      <c r="A960" s="1271"/>
      <c r="B960" s="1393" t="s">
        <v>2026</v>
      </c>
      <c r="C960" s="1393"/>
      <c r="D960" s="1393"/>
      <c r="E960" s="1393"/>
      <c r="F960" s="1393"/>
      <c r="G960" s="1393"/>
      <c r="H960" s="985">
        <f>H961</f>
        <v>1389.3</v>
      </c>
      <c r="I960" s="985">
        <f t="shared" ref="I960:Q960" si="346">I961</f>
        <v>829.6</v>
      </c>
      <c r="J960" s="985">
        <f t="shared" si="346"/>
        <v>729.3</v>
      </c>
      <c r="K960" s="1064">
        <f t="shared" si="346"/>
        <v>62</v>
      </c>
      <c r="L960" s="985">
        <f t="shared" si="346"/>
        <v>482445</v>
      </c>
      <c r="M960" s="985">
        <f t="shared" si="346"/>
        <v>0</v>
      </c>
      <c r="N960" s="985">
        <f t="shared" si="346"/>
        <v>0</v>
      </c>
      <c r="O960" s="985">
        <f t="shared" si="346"/>
        <v>482445</v>
      </c>
      <c r="P960" s="985">
        <f t="shared" si="346"/>
        <v>0</v>
      </c>
      <c r="Q960" s="985">
        <f t="shared" si="346"/>
        <v>0</v>
      </c>
      <c r="R960" s="991" t="s">
        <v>40</v>
      </c>
      <c r="S960" s="991" t="s">
        <v>40</v>
      </c>
      <c r="T960" s="991" t="s">
        <v>40</v>
      </c>
    </row>
    <row r="961" spans="1:20" s="992" customFormat="1" ht="36" customHeight="1">
      <c r="A961" s="1271">
        <v>151</v>
      </c>
      <c r="B961" s="1274" t="s">
        <v>1232</v>
      </c>
      <c r="C961" s="1271">
        <v>1985</v>
      </c>
      <c r="D961" s="1279"/>
      <c r="E961" s="1271" t="s">
        <v>219</v>
      </c>
      <c r="F961" s="1279">
        <v>3</v>
      </c>
      <c r="G961" s="1279">
        <v>3</v>
      </c>
      <c r="H961" s="985">
        <v>1389.3</v>
      </c>
      <c r="I961" s="985">
        <v>829.6</v>
      </c>
      <c r="J961" s="985">
        <v>729.3</v>
      </c>
      <c r="K961" s="1064">
        <v>62</v>
      </c>
      <c r="L961" s="986">
        <v>482445</v>
      </c>
      <c r="M961" s="986">
        <v>0</v>
      </c>
      <c r="N961" s="986">
        <v>0</v>
      </c>
      <c r="O961" s="986">
        <v>482445</v>
      </c>
      <c r="P961" s="993">
        <v>0</v>
      </c>
      <c r="Q961" s="986">
        <v>0</v>
      </c>
      <c r="R961" s="985">
        <f>L961/I961</f>
        <v>581.5392960462874</v>
      </c>
      <c r="S961" s="987">
        <v>2022</v>
      </c>
      <c r="T961" s="987">
        <v>2022</v>
      </c>
    </row>
    <row r="962" spans="1:20" s="992" customFormat="1" ht="36" customHeight="1">
      <c r="A962" s="1271"/>
      <c r="B962" s="1391" t="s">
        <v>2676</v>
      </c>
      <c r="C962" s="1391"/>
      <c r="D962" s="1391"/>
      <c r="E962" s="1391"/>
      <c r="F962" s="1391"/>
      <c r="G962" s="1391"/>
      <c r="H962" s="985">
        <f>H963</f>
        <v>808</v>
      </c>
      <c r="I962" s="985">
        <f t="shared" ref="I962:Q962" si="347">I963</f>
        <v>471</v>
      </c>
      <c r="J962" s="985">
        <f t="shared" si="347"/>
        <v>471</v>
      </c>
      <c r="K962" s="1064">
        <f t="shared" si="347"/>
        <v>25</v>
      </c>
      <c r="L962" s="985">
        <f t="shared" si="347"/>
        <v>3004703.75</v>
      </c>
      <c r="M962" s="985">
        <f t="shared" si="347"/>
        <v>0</v>
      </c>
      <c r="N962" s="985">
        <f t="shared" si="347"/>
        <v>0</v>
      </c>
      <c r="O962" s="985">
        <f t="shared" si="347"/>
        <v>3004703.75</v>
      </c>
      <c r="P962" s="985">
        <f t="shared" si="347"/>
        <v>0</v>
      </c>
      <c r="Q962" s="985">
        <f t="shared" si="347"/>
        <v>0</v>
      </c>
      <c r="R962" s="991" t="s">
        <v>40</v>
      </c>
      <c r="S962" s="991" t="s">
        <v>40</v>
      </c>
      <c r="T962" s="991" t="s">
        <v>40</v>
      </c>
    </row>
    <row r="963" spans="1:20" s="1004" customFormat="1" ht="41.25" customHeight="1">
      <c r="A963" s="1271">
        <v>152</v>
      </c>
      <c r="B963" s="1274" t="s">
        <v>2677</v>
      </c>
      <c r="C963" s="1271">
        <v>1978</v>
      </c>
      <c r="D963" s="1279"/>
      <c r="E963" s="1271" t="s">
        <v>218</v>
      </c>
      <c r="F963" s="1279">
        <v>2</v>
      </c>
      <c r="G963" s="1279">
        <v>2</v>
      </c>
      <c r="H963" s="985">
        <v>808</v>
      </c>
      <c r="I963" s="985">
        <v>471</v>
      </c>
      <c r="J963" s="985">
        <v>471</v>
      </c>
      <c r="K963" s="1064">
        <v>25</v>
      </c>
      <c r="L963" s="986">
        <v>3004703.75</v>
      </c>
      <c r="M963" s="986">
        <v>0</v>
      </c>
      <c r="N963" s="986">
        <v>0</v>
      </c>
      <c r="O963" s="986">
        <f>L963</f>
        <v>3004703.75</v>
      </c>
      <c r="P963" s="993">
        <v>0</v>
      </c>
      <c r="Q963" s="986">
        <v>0</v>
      </c>
      <c r="R963" s="985">
        <f>L963/I963</f>
        <v>6379.413481953291</v>
      </c>
      <c r="S963" s="987">
        <v>2022</v>
      </c>
      <c r="T963" s="987">
        <v>2022</v>
      </c>
    </row>
    <row r="964" spans="1:20" s="1004" customFormat="1" ht="41.25" customHeight="1">
      <c r="A964" s="1271"/>
      <c r="B964" s="1391" t="s">
        <v>1168</v>
      </c>
      <c r="C964" s="1391"/>
      <c r="D964" s="1391"/>
      <c r="E964" s="1391"/>
      <c r="F964" s="1391"/>
      <c r="G964" s="1391"/>
      <c r="H964" s="985">
        <f>H965+H966</f>
        <v>2505.5</v>
      </c>
      <c r="I964" s="985">
        <f t="shared" ref="I964:Q964" si="348">I965+I966</f>
        <v>2295.3999999999996</v>
      </c>
      <c r="J964" s="985">
        <f t="shared" si="348"/>
        <v>1816</v>
      </c>
      <c r="K964" s="1064">
        <f t="shared" si="348"/>
        <v>58</v>
      </c>
      <c r="L964" s="985">
        <f t="shared" si="348"/>
        <v>5202205.28</v>
      </c>
      <c r="M964" s="985">
        <f t="shared" si="348"/>
        <v>0</v>
      </c>
      <c r="N964" s="985">
        <f t="shared" si="348"/>
        <v>0</v>
      </c>
      <c r="O964" s="985">
        <f t="shared" si="348"/>
        <v>5202205.28</v>
      </c>
      <c r="P964" s="985">
        <f t="shared" si="348"/>
        <v>0</v>
      </c>
      <c r="Q964" s="985">
        <f t="shared" si="348"/>
        <v>0</v>
      </c>
      <c r="R964" s="991" t="s">
        <v>40</v>
      </c>
      <c r="S964" s="991" t="s">
        <v>40</v>
      </c>
      <c r="T964" s="991" t="s">
        <v>40</v>
      </c>
    </row>
    <row r="965" spans="1:20" s="1004" customFormat="1" ht="44.45" customHeight="1">
      <c r="A965" s="1271">
        <v>153</v>
      </c>
      <c r="B965" s="1273" t="s">
        <v>2131</v>
      </c>
      <c r="C965" s="1271">
        <v>1979</v>
      </c>
      <c r="D965" s="1274"/>
      <c r="E965" s="1271" t="s">
        <v>218</v>
      </c>
      <c r="F965" s="1279">
        <v>2</v>
      </c>
      <c r="G965" s="1279">
        <v>3</v>
      </c>
      <c r="H965" s="985">
        <v>1347</v>
      </c>
      <c r="I965" s="985">
        <v>1228.0999999999999</v>
      </c>
      <c r="J965" s="985">
        <v>1112.7</v>
      </c>
      <c r="K965" s="1064">
        <v>33</v>
      </c>
      <c r="L965" s="986">
        <v>3623991.49</v>
      </c>
      <c r="M965" s="986">
        <v>0</v>
      </c>
      <c r="N965" s="986">
        <v>0</v>
      </c>
      <c r="O965" s="985">
        <v>3623991.49</v>
      </c>
      <c r="P965" s="993">
        <v>0</v>
      </c>
      <c r="Q965" s="986">
        <v>0</v>
      </c>
      <c r="R965" s="985">
        <f t="shared" ref="R965:R966" si="349">L965/I965</f>
        <v>2950.8928344597348</v>
      </c>
      <c r="S965" s="987">
        <v>2022</v>
      </c>
      <c r="T965" s="987">
        <v>2022</v>
      </c>
    </row>
    <row r="966" spans="1:20" s="1017" customFormat="1" ht="41.25" customHeight="1">
      <c r="A966" s="1271">
        <v>154</v>
      </c>
      <c r="B966" s="1274" t="s">
        <v>2132</v>
      </c>
      <c r="C966" s="1271">
        <v>1959</v>
      </c>
      <c r="D966" s="1274"/>
      <c r="E966" s="1271" t="s">
        <v>218</v>
      </c>
      <c r="F966" s="1279">
        <v>3</v>
      </c>
      <c r="G966" s="1279">
        <v>3</v>
      </c>
      <c r="H966" s="985">
        <v>1158.5</v>
      </c>
      <c r="I966" s="985">
        <v>1067.3</v>
      </c>
      <c r="J966" s="985">
        <v>703.3</v>
      </c>
      <c r="K966" s="1064">
        <v>25</v>
      </c>
      <c r="L966" s="986">
        <v>1578213.79</v>
      </c>
      <c r="M966" s="986">
        <v>0</v>
      </c>
      <c r="N966" s="986">
        <v>0</v>
      </c>
      <c r="O966" s="985">
        <v>1578213.79</v>
      </c>
      <c r="P966" s="993">
        <v>0</v>
      </c>
      <c r="Q966" s="986">
        <v>0</v>
      </c>
      <c r="R966" s="985">
        <f t="shared" si="349"/>
        <v>1478.6974515131642</v>
      </c>
      <c r="S966" s="987">
        <v>2022</v>
      </c>
      <c r="T966" s="987">
        <v>2022</v>
      </c>
    </row>
    <row r="967" spans="1:20" s="1017" customFormat="1" ht="41.25" customHeight="1">
      <c r="A967" s="1271"/>
      <c r="B967" s="1391" t="s">
        <v>1119</v>
      </c>
      <c r="C967" s="1391"/>
      <c r="D967" s="1391"/>
      <c r="E967" s="1391"/>
      <c r="F967" s="1391"/>
      <c r="G967" s="1391"/>
      <c r="H967" s="985">
        <f>SUM(H968:H981)</f>
        <v>25024.000000000004</v>
      </c>
      <c r="I967" s="985">
        <f t="shared" ref="I967:Q967" si="350">SUM(I968:I981)</f>
        <v>24104.000000000004</v>
      </c>
      <c r="J967" s="985">
        <f t="shared" si="350"/>
        <v>17665.699999999997</v>
      </c>
      <c r="K967" s="1064">
        <f t="shared" si="350"/>
        <v>750</v>
      </c>
      <c r="L967" s="985">
        <f t="shared" si="350"/>
        <v>36470935.25</v>
      </c>
      <c r="M967" s="985">
        <f t="shared" si="350"/>
        <v>0</v>
      </c>
      <c r="N967" s="985">
        <f t="shared" si="350"/>
        <v>0</v>
      </c>
      <c r="O967" s="985">
        <f t="shared" si="350"/>
        <v>36470935.25</v>
      </c>
      <c r="P967" s="985">
        <f t="shared" si="350"/>
        <v>0</v>
      </c>
      <c r="Q967" s="985">
        <f t="shared" si="350"/>
        <v>0</v>
      </c>
      <c r="R967" s="991" t="s">
        <v>40</v>
      </c>
      <c r="S967" s="991" t="s">
        <v>40</v>
      </c>
      <c r="T967" s="991" t="s">
        <v>40</v>
      </c>
    </row>
    <row r="968" spans="1:20" s="1017" customFormat="1" ht="41.25" customHeight="1">
      <c r="A968" s="1271">
        <v>155</v>
      </c>
      <c r="B968" s="1276" t="s">
        <v>2133</v>
      </c>
      <c r="C968" s="1279">
        <v>1994</v>
      </c>
      <c r="D968" s="1279"/>
      <c r="E968" s="1271" t="s">
        <v>218</v>
      </c>
      <c r="F968" s="1279">
        <v>4</v>
      </c>
      <c r="G968" s="1279">
        <v>3</v>
      </c>
      <c r="H968" s="985">
        <v>2605.6999999999998</v>
      </c>
      <c r="I968" s="985">
        <v>2605.6999999999998</v>
      </c>
      <c r="J968" s="985">
        <v>2386.1999999999998</v>
      </c>
      <c r="K968" s="1064">
        <v>91</v>
      </c>
      <c r="L968" s="1062">
        <v>1969462.9</v>
      </c>
      <c r="M968" s="985">
        <v>0</v>
      </c>
      <c r="N968" s="985">
        <v>0</v>
      </c>
      <c r="O968" s="1062">
        <f>L968</f>
        <v>1969462.9</v>
      </c>
      <c r="P968" s="1035">
        <v>0</v>
      </c>
      <c r="Q968" s="985">
        <v>0</v>
      </c>
      <c r="R968" s="985">
        <f>L968/I968</f>
        <v>755.82872164869332</v>
      </c>
      <c r="S968" s="1279">
        <v>2022</v>
      </c>
      <c r="T968" s="1279">
        <v>2022</v>
      </c>
    </row>
    <row r="969" spans="1:20" s="1017" customFormat="1" ht="41.25" customHeight="1">
      <c r="A969" s="1271">
        <v>156</v>
      </c>
      <c r="B969" s="1276" t="s">
        <v>2134</v>
      </c>
      <c r="C969" s="1279">
        <v>1968</v>
      </c>
      <c r="D969" s="1279"/>
      <c r="E969" s="1271" t="s">
        <v>218</v>
      </c>
      <c r="F969" s="1279">
        <v>2</v>
      </c>
      <c r="G969" s="1279">
        <v>1</v>
      </c>
      <c r="H969" s="985">
        <v>452.6</v>
      </c>
      <c r="I969" s="985">
        <v>452.6</v>
      </c>
      <c r="J969" s="985">
        <v>250.7</v>
      </c>
      <c r="K969" s="1064">
        <v>12</v>
      </c>
      <c r="L969" s="1062">
        <v>942237.79</v>
      </c>
      <c r="M969" s="985">
        <v>0</v>
      </c>
      <c r="N969" s="985">
        <v>0</v>
      </c>
      <c r="O969" s="1062">
        <f t="shared" ref="O969:O981" si="351">L969</f>
        <v>942237.79</v>
      </c>
      <c r="P969" s="1035">
        <v>0</v>
      </c>
      <c r="Q969" s="985">
        <v>0</v>
      </c>
      <c r="R969" s="985">
        <f t="shared" ref="R969:R981" si="352">L969/I969</f>
        <v>2081.8333848873176</v>
      </c>
      <c r="S969" s="1279">
        <v>2022</v>
      </c>
      <c r="T969" s="1279">
        <v>2022</v>
      </c>
    </row>
    <row r="970" spans="1:20" s="1017" customFormat="1" ht="52.5" customHeight="1">
      <c r="A970" s="1271">
        <v>157</v>
      </c>
      <c r="B970" s="1272" t="s">
        <v>2303</v>
      </c>
      <c r="C970" s="1279">
        <v>1967</v>
      </c>
      <c r="D970" s="1277"/>
      <c r="E970" s="1271" t="s">
        <v>218</v>
      </c>
      <c r="F970" s="1279">
        <v>2</v>
      </c>
      <c r="G970" s="1279">
        <v>2</v>
      </c>
      <c r="H970" s="985">
        <v>388.9</v>
      </c>
      <c r="I970" s="985">
        <v>388.9</v>
      </c>
      <c r="J970" s="985">
        <v>340.7</v>
      </c>
      <c r="K970" s="1064">
        <v>14</v>
      </c>
      <c r="L970" s="993">
        <v>1810569.75</v>
      </c>
      <c r="M970" s="985">
        <v>0</v>
      </c>
      <c r="N970" s="985">
        <v>0</v>
      </c>
      <c r="O970" s="1062">
        <f t="shared" si="351"/>
        <v>1810569.75</v>
      </c>
      <c r="P970" s="1035">
        <v>0</v>
      </c>
      <c r="Q970" s="985">
        <v>0</v>
      </c>
      <c r="R970" s="985">
        <f t="shared" si="352"/>
        <v>4655.6177680637702</v>
      </c>
      <c r="S970" s="1279">
        <v>2022</v>
      </c>
      <c r="T970" s="1279">
        <v>2022</v>
      </c>
    </row>
    <row r="971" spans="1:20" s="1017" customFormat="1" ht="41.25" customHeight="1">
      <c r="A971" s="1271">
        <v>158</v>
      </c>
      <c r="B971" s="1276" t="s">
        <v>2135</v>
      </c>
      <c r="C971" s="1279">
        <v>1937</v>
      </c>
      <c r="D971" s="1279">
        <v>2013</v>
      </c>
      <c r="E971" s="1271" t="s">
        <v>218</v>
      </c>
      <c r="F971" s="1279">
        <v>4</v>
      </c>
      <c r="G971" s="1279">
        <v>5</v>
      </c>
      <c r="H971" s="985">
        <v>2238.6</v>
      </c>
      <c r="I971" s="985">
        <v>2238.6</v>
      </c>
      <c r="J971" s="985">
        <v>1525.7</v>
      </c>
      <c r="K971" s="1064">
        <v>77</v>
      </c>
      <c r="L971" s="993">
        <v>5530327.4400000004</v>
      </c>
      <c r="M971" s="985">
        <v>0</v>
      </c>
      <c r="N971" s="985">
        <v>0</v>
      </c>
      <c r="O971" s="1062">
        <f t="shared" si="351"/>
        <v>5530327.4400000004</v>
      </c>
      <c r="P971" s="1035">
        <v>0</v>
      </c>
      <c r="Q971" s="985">
        <v>0</v>
      </c>
      <c r="R971" s="985">
        <f t="shared" si="352"/>
        <v>2470.4402036987408</v>
      </c>
      <c r="S971" s="1279">
        <v>2022</v>
      </c>
      <c r="T971" s="1279">
        <v>2022</v>
      </c>
    </row>
    <row r="972" spans="1:20" s="1017" customFormat="1" ht="41.25" customHeight="1">
      <c r="A972" s="1271">
        <v>159</v>
      </c>
      <c r="B972" s="1276" t="s">
        <v>1269</v>
      </c>
      <c r="C972" s="1279">
        <v>1983</v>
      </c>
      <c r="D972" s="1279"/>
      <c r="E972" s="1271" t="s">
        <v>218</v>
      </c>
      <c r="F972" s="1279">
        <v>2</v>
      </c>
      <c r="G972" s="1279">
        <v>2</v>
      </c>
      <c r="H972" s="985">
        <v>844.5</v>
      </c>
      <c r="I972" s="985">
        <v>844.5</v>
      </c>
      <c r="J972" s="985">
        <v>764.4</v>
      </c>
      <c r="K972" s="1064">
        <v>12</v>
      </c>
      <c r="L972" s="993">
        <v>1409340.43</v>
      </c>
      <c r="M972" s="985">
        <v>0</v>
      </c>
      <c r="N972" s="985">
        <v>0</v>
      </c>
      <c r="O972" s="1062">
        <f t="shared" si="351"/>
        <v>1409340.43</v>
      </c>
      <c r="P972" s="985">
        <v>0</v>
      </c>
      <c r="Q972" s="985">
        <v>0</v>
      </c>
      <c r="R972" s="985">
        <f t="shared" si="352"/>
        <v>1668.8459798697454</v>
      </c>
      <c r="S972" s="1279">
        <v>2022</v>
      </c>
      <c r="T972" s="1279">
        <v>2022</v>
      </c>
    </row>
    <row r="973" spans="1:20" s="1017" customFormat="1" ht="41.25" customHeight="1">
      <c r="A973" s="1271">
        <v>160</v>
      </c>
      <c r="B973" s="1272" t="s">
        <v>2304</v>
      </c>
      <c r="C973" s="1279">
        <v>1963</v>
      </c>
      <c r="D973" s="1279"/>
      <c r="E973" s="1271" t="s">
        <v>218</v>
      </c>
      <c r="F973" s="1279">
        <v>2</v>
      </c>
      <c r="G973" s="1279">
        <v>2</v>
      </c>
      <c r="H973" s="985">
        <v>523.79999999999995</v>
      </c>
      <c r="I973" s="985">
        <v>523.79999999999995</v>
      </c>
      <c r="J973" s="985">
        <v>460.5</v>
      </c>
      <c r="K973" s="1064">
        <v>19</v>
      </c>
      <c r="L973" s="1035">
        <v>1449596.6</v>
      </c>
      <c r="M973" s="985">
        <v>0</v>
      </c>
      <c r="N973" s="985">
        <v>0</v>
      </c>
      <c r="O973" s="1062">
        <f t="shared" si="351"/>
        <v>1449596.6</v>
      </c>
      <c r="P973" s="985">
        <v>0</v>
      </c>
      <c r="Q973" s="985">
        <v>0</v>
      </c>
      <c r="R973" s="985">
        <f t="shared" si="352"/>
        <v>2767.4620084001531</v>
      </c>
      <c r="S973" s="1279">
        <v>2022</v>
      </c>
      <c r="T973" s="1279">
        <v>2022</v>
      </c>
    </row>
    <row r="974" spans="1:20" s="1017" customFormat="1" ht="41.25" customHeight="1">
      <c r="A974" s="1271">
        <v>161</v>
      </c>
      <c r="B974" s="1276" t="s">
        <v>2136</v>
      </c>
      <c r="C974" s="1279">
        <v>1987</v>
      </c>
      <c r="D974" s="1279"/>
      <c r="E974" s="1271" t="s">
        <v>218</v>
      </c>
      <c r="F974" s="1279">
        <v>5</v>
      </c>
      <c r="G974" s="1279">
        <v>5</v>
      </c>
      <c r="H974" s="985">
        <v>4705.6000000000004</v>
      </c>
      <c r="I974" s="985">
        <v>4705.6000000000004</v>
      </c>
      <c r="J974" s="985">
        <v>4256</v>
      </c>
      <c r="K974" s="1064">
        <v>171</v>
      </c>
      <c r="L974" s="1062">
        <v>4770075.29</v>
      </c>
      <c r="M974" s="985">
        <v>0</v>
      </c>
      <c r="N974" s="985">
        <v>0</v>
      </c>
      <c r="O974" s="1062">
        <f t="shared" si="351"/>
        <v>4770075.29</v>
      </c>
      <c r="P974" s="985">
        <v>0</v>
      </c>
      <c r="Q974" s="985">
        <v>0</v>
      </c>
      <c r="R974" s="985">
        <f t="shared" si="352"/>
        <v>1013.701821234274</v>
      </c>
      <c r="S974" s="1279">
        <v>2022</v>
      </c>
      <c r="T974" s="1279">
        <v>2022</v>
      </c>
    </row>
    <row r="975" spans="1:20" s="1017" customFormat="1" ht="41.25" customHeight="1">
      <c r="A975" s="1271">
        <v>162</v>
      </c>
      <c r="B975" s="1272" t="s">
        <v>2964</v>
      </c>
      <c r="C975" s="1279">
        <v>1984</v>
      </c>
      <c r="D975" s="1279"/>
      <c r="E975" s="1271" t="s">
        <v>218</v>
      </c>
      <c r="F975" s="1279">
        <v>4</v>
      </c>
      <c r="G975" s="1279">
        <v>3</v>
      </c>
      <c r="H975" s="985">
        <v>3248.7</v>
      </c>
      <c r="I975" s="985">
        <v>2298.6999999999998</v>
      </c>
      <c r="J975" s="985">
        <v>950</v>
      </c>
      <c r="K975" s="1064">
        <v>67</v>
      </c>
      <c r="L975" s="1035">
        <v>3685967.27</v>
      </c>
      <c r="M975" s="985">
        <v>0</v>
      </c>
      <c r="N975" s="985">
        <v>0</v>
      </c>
      <c r="O975" s="1062">
        <f t="shared" si="351"/>
        <v>3685967.27</v>
      </c>
      <c r="P975" s="985">
        <v>0</v>
      </c>
      <c r="Q975" s="985">
        <v>0</v>
      </c>
      <c r="R975" s="985">
        <f t="shared" si="352"/>
        <v>1603.5007917518599</v>
      </c>
      <c r="S975" s="1279">
        <v>2022</v>
      </c>
      <c r="T975" s="1279">
        <v>2022</v>
      </c>
    </row>
    <row r="976" spans="1:20" s="1017" customFormat="1" ht="41.25" customHeight="1">
      <c r="A976" s="1271">
        <v>163</v>
      </c>
      <c r="B976" s="1276" t="s">
        <v>2137</v>
      </c>
      <c r="C976" s="1279">
        <v>1972</v>
      </c>
      <c r="D976" s="1279"/>
      <c r="E976" s="1271" t="s">
        <v>218</v>
      </c>
      <c r="F976" s="1279">
        <v>5</v>
      </c>
      <c r="G976" s="1279">
        <v>2</v>
      </c>
      <c r="H976" s="985">
        <v>1774.6</v>
      </c>
      <c r="I976" s="985">
        <v>1774.6</v>
      </c>
      <c r="J976" s="985">
        <v>1190.8</v>
      </c>
      <c r="K976" s="1064">
        <v>74</v>
      </c>
      <c r="L976" s="1035">
        <v>1855631.56</v>
      </c>
      <c r="M976" s="985">
        <v>0</v>
      </c>
      <c r="N976" s="985">
        <v>0</v>
      </c>
      <c r="O976" s="1062">
        <f t="shared" si="351"/>
        <v>1855631.56</v>
      </c>
      <c r="P976" s="985">
        <v>0</v>
      </c>
      <c r="Q976" s="985">
        <v>0</v>
      </c>
      <c r="R976" s="985">
        <f t="shared" si="352"/>
        <v>1045.6618730981631</v>
      </c>
      <c r="S976" s="1279">
        <v>2022</v>
      </c>
      <c r="T976" s="1279">
        <v>2022</v>
      </c>
    </row>
    <row r="977" spans="1:20" s="1017" customFormat="1" ht="41.25" customHeight="1">
      <c r="A977" s="1271">
        <v>164</v>
      </c>
      <c r="B977" s="1276" t="s">
        <v>2138</v>
      </c>
      <c r="C977" s="1279">
        <v>1957</v>
      </c>
      <c r="D977" s="1279">
        <v>2016</v>
      </c>
      <c r="E977" s="1271" t="s">
        <v>218</v>
      </c>
      <c r="F977" s="1279">
        <v>3</v>
      </c>
      <c r="G977" s="1279">
        <v>2</v>
      </c>
      <c r="H977" s="985">
        <v>1414</v>
      </c>
      <c r="I977" s="985">
        <v>1414</v>
      </c>
      <c r="J977" s="985">
        <v>1243</v>
      </c>
      <c r="K977" s="1064">
        <v>51</v>
      </c>
      <c r="L977" s="993">
        <v>2875930.52</v>
      </c>
      <c r="M977" s="985">
        <v>0</v>
      </c>
      <c r="N977" s="985">
        <v>0</v>
      </c>
      <c r="O977" s="1062">
        <f t="shared" si="351"/>
        <v>2875930.52</v>
      </c>
      <c r="P977" s="985">
        <v>0</v>
      </c>
      <c r="Q977" s="985">
        <v>0</v>
      </c>
      <c r="R977" s="985">
        <f t="shared" si="352"/>
        <v>2033.8971145685998</v>
      </c>
      <c r="S977" s="1279">
        <v>2022</v>
      </c>
      <c r="T977" s="1279">
        <v>2022</v>
      </c>
    </row>
    <row r="978" spans="1:20" s="1017" customFormat="1" ht="41.25" customHeight="1">
      <c r="A978" s="1271">
        <v>165</v>
      </c>
      <c r="B978" s="1276" t="s">
        <v>1270</v>
      </c>
      <c r="C978" s="1279">
        <v>1983</v>
      </c>
      <c r="D978" s="1277"/>
      <c r="E978" s="1271" t="s">
        <v>218</v>
      </c>
      <c r="F978" s="1279">
        <v>3</v>
      </c>
      <c r="G978" s="1279">
        <v>3</v>
      </c>
      <c r="H978" s="985">
        <v>1506.4</v>
      </c>
      <c r="I978" s="985">
        <v>1506.4</v>
      </c>
      <c r="J978" s="985">
        <v>1392.5</v>
      </c>
      <c r="K978" s="1064">
        <v>41</v>
      </c>
      <c r="L978" s="993">
        <v>1806846.7</v>
      </c>
      <c r="M978" s="985">
        <v>0</v>
      </c>
      <c r="N978" s="985">
        <v>0</v>
      </c>
      <c r="O978" s="1062">
        <f t="shared" si="351"/>
        <v>1806846.7</v>
      </c>
      <c r="P978" s="985">
        <v>0</v>
      </c>
      <c r="Q978" s="985">
        <v>0</v>
      </c>
      <c r="R978" s="985">
        <f t="shared" si="352"/>
        <v>1199.4468268720127</v>
      </c>
      <c r="S978" s="1279">
        <v>2022</v>
      </c>
      <c r="T978" s="1279">
        <v>2022</v>
      </c>
    </row>
    <row r="979" spans="1:20" s="1017" customFormat="1" ht="41.25" customHeight="1">
      <c r="A979" s="1271">
        <v>166</v>
      </c>
      <c r="B979" s="1276" t="s">
        <v>2139</v>
      </c>
      <c r="C979" s="1279">
        <v>1957</v>
      </c>
      <c r="D979" s="1277"/>
      <c r="E979" s="1271" t="s">
        <v>218</v>
      </c>
      <c r="F979" s="1279">
        <v>3</v>
      </c>
      <c r="G979" s="1279">
        <v>2</v>
      </c>
      <c r="H979" s="985">
        <v>958</v>
      </c>
      <c r="I979" s="985">
        <v>958</v>
      </c>
      <c r="J979" s="985">
        <v>105</v>
      </c>
      <c r="K979" s="1064">
        <v>29</v>
      </c>
      <c r="L979" s="993">
        <v>1401233</v>
      </c>
      <c r="M979" s="985">
        <v>0</v>
      </c>
      <c r="N979" s="985">
        <v>0</v>
      </c>
      <c r="O979" s="1062">
        <f t="shared" si="351"/>
        <v>1401233</v>
      </c>
      <c r="P979" s="985">
        <v>0</v>
      </c>
      <c r="Q979" s="985">
        <v>0</v>
      </c>
      <c r="R979" s="985">
        <f t="shared" si="352"/>
        <v>1462.6649269311065</v>
      </c>
      <c r="S979" s="1279">
        <v>2022</v>
      </c>
      <c r="T979" s="1279">
        <v>2022</v>
      </c>
    </row>
    <row r="980" spans="1:20" s="1017" customFormat="1" ht="41.25" customHeight="1">
      <c r="A980" s="1271">
        <v>167</v>
      </c>
      <c r="B980" s="1276" t="s">
        <v>2021</v>
      </c>
      <c r="C980" s="1279">
        <v>1990</v>
      </c>
      <c r="D980" s="1277"/>
      <c r="E980" s="1271" t="s">
        <v>219</v>
      </c>
      <c r="F980" s="1279">
        <v>3</v>
      </c>
      <c r="G980" s="1279">
        <v>3</v>
      </c>
      <c r="H980" s="985">
        <v>2114.1999999999998</v>
      </c>
      <c r="I980" s="985">
        <v>2144.1999999999998</v>
      </c>
      <c r="J980" s="985">
        <v>1379.2</v>
      </c>
      <c r="K980" s="1064">
        <v>39</v>
      </c>
      <c r="L980" s="993">
        <v>3744242</v>
      </c>
      <c r="M980" s="985">
        <v>0</v>
      </c>
      <c r="N980" s="985">
        <v>0</v>
      </c>
      <c r="O980" s="1062">
        <f t="shared" si="351"/>
        <v>3744242</v>
      </c>
      <c r="P980" s="985">
        <v>0</v>
      </c>
      <c r="Q980" s="985">
        <v>0</v>
      </c>
      <c r="R980" s="985">
        <f t="shared" si="352"/>
        <v>1746.2186363212388</v>
      </c>
      <c r="S980" s="1279">
        <v>2022</v>
      </c>
      <c r="T980" s="1279">
        <v>2022</v>
      </c>
    </row>
    <row r="981" spans="1:20" s="1017" customFormat="1" ht="41.25" customHeight="1">
      <c r="A981" s="1271">
        <v>168</v>
      </c>
      <c r="B981" s="1276" t="s">
        <v>2022</v>
      </c>
      <c r="C981" s="1279">
        <v>1993</v>
      </c>
      <c r="D981" s="1277"/>
      <c r="E981" s="1271" t="s">
        <v>219</v>
      </c>
      <c r="F981" s="1279">
        <v>3</v>
      </c>
      <c r="G981" s="1279">
        <v>3</v>
      </c>
      <c r="H981" s="985">
        <v>2248.4</v>
      </c>
      <c r="I981" s="985">
        <v>2248.4</v>
      </c>
      <c r="J981" s="985">
        <v>1421</v>
      </c>
      <c r="K981" s="1064">
        <v>53</v>
      </c>
      <c r="L981" s="993">
        <v>3219474</v>
      </c>
      <c r="M981" s="985">
        <v>0</v>
      </c>
      <c r="N981" s="985">
        <v>0</v>
      </c>
      <c r="O981" s="1062">
        <f t="shared" si="351"/>
        <v>3219474</v>
      </c>
      <c r="P981" s="985">
        <v>0</v>
      </c>
      <c r="Q981" s="985">
        <v>0</v>
      </c>
      <c r="R981" s="985">
        <f t="shared" si="352"/>
        <v>1431.8955701832413</v>
      </c>
      <c r="S981" s="1279">
        <v>2022</v>
      </c>
      <c r="T981" s="1279">
        <v>2022</v>
      </c>
    </row>
    <row r="982" spans="1:20" s="1017" customFormat="1" ht="41.25" customHeight="1">
      <c r="A982" s="1271"/>
      <c r="B982" s="1392" t="s">
        <v>1650</v>
      </c>
      <c r="C982" s="1392"/>
      <c r="D982" s="1392"/>
      <c r="E982" s="1392"/>
      <c r="F982" s="1392"/>
      <c r="G982" s="1392"/>
      <c r="H982" s="985">
        <f>H983</f>
        <v>816.2</v>
      </c>
      <c r="I982" s="985">
        <f t="shared" ref="I982:Q982" si="353">I983</f>
        <v>753.8</v>
      </c>
      <c r="J982" s="985">
        <f t="shared" si="353"/>
        <v>542.9</v>
      </c>
      <c r="K982" s="1064">
        <f t="shared" si="353"/>
        <v>22</v>
      </c>
      <c r="L982" s="985">
        <f t="shared" si="353"/>
        <v>7956256.3099999996</v>
      </c>
      <c r="M982" s="985">
        <f t="shared" si="353"/>
        <v>0</v>
      </c>
      <c r="N982" s="985">
        <f t="shared" si="353"/>
        <v>66475.100000000006</v>
      </c>
      <c r="O982" s="985">
        <f t="shared" si="353"/>
        <v>7889781.21</v>
      </c>
      <c r="P982" s="985">
        <f t="shared" si="353"/>
        <v>0</v>
      </c>
      <c r="Q982" s="985">
        <f t="shared" si="353"/>
        <v>0</v>
      </c>
      <c r="R982" s="991" t="s">
        <v>40</v>
      </c>
      <c r="S982" s="991" t="s">
        <v>40</v>
      </c>
      <c r="T982" s="991" t="s">
        <v>40</v>
      </c>
    </row>
    <row r="983" spans="1:20" s="1017" customFormat="1" ht="41.25" customHeight="1">
      <c r="A983" s="1271">
        <v>169</v>
      </c>
      <c r="B983" s="1274" t="s">
        <v>2140</v>
      </c>
      <c r="C983" s="1279">
        <v>1980</v>
      </c>
      <c r="D983" s="1279"/>
      <c r="E983" s="1271" t="s">
        <v>218</v>
      </c>
      <c r="F983" s="1279">
        <v>2</v>
      </c>
      <c r="G983" s="1279">
        <v>2</v>
      </c>
      <c r="H983" s="985">
        <v>816.2</v>
      </c>
      <c r="I983" s="985">
        <v>753.8</v>
      </c>
      <c r="J983" s="985">
        <v>542.9</v>
      </c>
      <c r="K983" s="1064">
        <v>22</v>
      </c>
      <c r="L983" s="986">
        <v>7956256.3099999996</v>
      </c>
      <c r="M983" s="986">
        <v>0</v>
      </c>
      <c r="N983" s="986">
        <v>66475.100000000006</v>
      </c>
      <c r="O983" s="986">
        <v>7889781.21</v>
      </c>
      <c r="P983" s="993">
        <v>0</v>
      </c>
      <c r="Q983" s="986">
        <v>0</v>
      </c>
      <c r="R983" s="985">
        <f>L983/I983</f>
        <v>10554.86377023083</v>
      </c>
      <c r="S983" s="987">
        <v>2022</v>
      </c>
      <c r="T983" s="987">
        <v>2022</v>
      </c>
    </row>
    <row r="984" spans="1:20" s="1004" customFormat="1" ht="41.25" customHeight="1">
      <c r="A984" s="1271"/>
      <c r="B984" s="1391" t="s">
        <v>1988</v>
      </c>
      <c r="C984" s="1391"/>
      <c r="D984" s="1391"/>
      <c r="E984" s="1391"/>
      <c r="F984" s="1391"/>
      <c r="G984" s="1391"/>
      <c r="H984" s="985">
        <f>H985</f>
        <v>3720</v>
      </c>
      <c r="I984" s="985">
        <f t="shared" ref="I984:Q985" si="354">I985</f>
        <v>3423.2</v>
      </c>
      <c r="J984" s="985">
        <f t="shared" si="354"/>
        <v>3280.8</v>
      </c>
      <c r="K984" s="1064">
        <f t="shared" si="354"/>
        <v>123</v>
      </c>
      <c r="L984" s="986">
        <f t="shared" si="354"/>
        <v>3061493.73</v>
      </c>
      <c r="M984" s="986">
        <f t="shared" si="354"/>
        <v>0</v>
      </c>
      <c r="N984" s="986">
        <f t="shared" si="354"/>
        <v>0</v>
      </c>
      <c r="O984" s="986">
        <f t="shared" si="354"/>
        <v>3061493.73</v>
      </c>
      <c r="P984" s="993">
        <v>0</v>
      </c>
      <c r="Q984" s="986">
        <f t="shared" si="354"/>
        <v>0</v>
      </c>
      <c r="R984" s="991" t="s">
        <v>40</v>
      </c>
      <c r="S984" s="991" t="s">
        <v>40</v>
      </c>
      <c r="T984" s="991" t="s">
        <v>40</v>
      </c>
    </row>
    <row r="985" spans="1:20" s="1004" customFormat="1" ht="41.25" customHeight="1">
      <c r="A985" s="1271"/>
      <c r="B985" s="1391" t="s">
        <v>2027</v>
      </c>
      <c r="C985" s="1391"/>
      <c r="D985" s="1391"/>
      <c r="E985" s="1391"/>
      <c r="F985" s="1391"/>
      <c r="G985" s="1391"/>
      <c r="H985" s="985">
        <f>H986</f>
        <v>3720</v>
      </c>
      <c r="I985" s="985">
        <f t="shared" si="354"/>
        <v>3423.2</v>
      </c>
      <c r="J985" s="985">
        <f t="shared" si="354"/>
        <v>3280.8</v>
      </c>
      <c r="K985" s="1064">
        <f t="shared" si="354"/>
        <v>123</v>
      </c>
      <c r="L985" s="985">
        <f t="shared" si="354"/>
        <v>3061493.73</v>
      </c>
      <c r="M985" s="985">
        <f t="shared" si="354"/>
        <v>0</v>
      </c>
      <c r="N985" s="985">
        <f t="shared" si="354"/>
        <v>0</v>
      </c>
      <c r="O985" s="985">
        <f t="shared" si="354"/>
        <v>3061493.73</v>
      </c>
      <c r="P985" s="985">
        <f t="shared" si="354"/>
        <v>0</v>
      </c>
      <c r="Q985" s="985">
        <f t="shared" si="354"/>
        <v>0</v>
      </c>
      <c r="R985" s="991" t="s">
        <v>40</v>
      </c>
      <c r="S985" s="991" t="s">
        <v>40</v>
      </c>
      <c r="T985" s="991" t="s">
        <v>40</v>
      </c>
    </row>
    <row r="986" spans="1:20" s="1004" customFormat="1" ht="41.25" customHeight="1">
      <c r="A986" s="1271">
        <v>170</v>
      </c>
      <c r="B986" s="1274" t="s">
        <v>2141</v>
      </c>
      <c r="C986" s="1279">
        <v>1981</v>
      </c>
      <c r="D986" s="1279">
        <v>2018</v>
      </c>
      <c r="E986" s="1271" t="s">
        <v>219</v>
      </c>
      <c r="F986" s="1279">
        <v>5</v>
      </c>
      <c r="G986" s="1279">
        <v>4</v>
      </c>
      <c r="H986" s="985">
        <v>3720</v>
      </c>
      <c r="I986" s="985">
        <v>3423.2</v>
      </c>
      <c r="J986" s="985">
        <v>3280.8</v>
      </c>
      <c r="K986" s="1064">
        <v>123</v>
      </c>
      <c r="L986" s="986">
        <v>3061493.73</v>
      </c>
      <c r="M986" s="986">
        <v>0</v>
      </c>
      <c r="N986" s="986">
        <v>0</v>
      </c>
      <c r="O986" s="986">
        <v>3061493.73</v>
      </c>
      <c r="P986" s="993">
        <v>0</v>
      </c>
      <c r="Q986" s="986">
        <v>0</v>
      </c>
      <c r="R986" s="985">
        <f>L986/I986</f>
        <v>894.33679890161261</v>
      </c>
      <c r="S986" s="987">
        <v>2022</v>
      </c>
      <c r="T986" s="987">
        <v>2022</v>
      </c>
    </row>
    <row r="987" spans="1:20" s="1004" customFormat="1" ht="41.25" customHeight="1">
      <c r="A987" s="1271"/>
      <c r="B987" s="1391" t="s">
        <v>1651</v>
      </c>
      <c r="C987" s="1391"/>
      <c r="D987" s="1391"/>
      <c r="E987" s="1391"/>
      <c r="F987" s="1391"/>
      <c r="G987" s="1391"/>
      <c r="H987" s="985">
        <f>H988</f>
        <v>414.2</v>
      </c>
      <c r="I987" s="985">
        <f t="shared" ref="I987:Q987" si="355">I988</f>
        <v>374</v>
      </c>
      <c r="J987" s="985">
        <f t="shared" si="355"/>
        <v>374</v>
      </c>
      <c r="K987" s="1064">
        <f t="shared" si="355"/>
        <v>15</v>
      </c>
      <c r="L987" s="985">
        <f t="shared" si="355"/>
        <v>1590292.74</v>
      </c>
      <c r="M987" s="985">
        <f t="shared" si="355"/>
        <v>0</v>
      </c>
      <c r="N987" s="985">
        <f t="shared" si="355"/>
        <v>0</v>
      </c>
      <c r="O987" s="985">
        <f t="shared" si="355"/>
        <v>1590292.74</v>
      </c>
      <c r="P987" s="985">
        <f t="shared" si="355"/>
        <v>0</v>
      </c>
      <c r="Q987" s="985">
        <f t="shared" si="355"/>
        <v>0</v>
      </c>
      <c r="R987" s="991" t="s">
        <v>40</v>
      </c>
      <c r="S987" s="991" t="s">
        <v>40</v>
      </c>
      <c r="T987" s="991" t="s">
        <v>40</v>
      </c>
    </row>
    <row r="988" spans="1:20" s="1004" customFormat="1" ht="41.25" customHeight="1">
      <c r="A988" s="1271">
        <v>172</v>
      </c>
      <c r="B988" s="1274" t="s">
        <v>2142</v>
      </c>
      <c r="C988" s="1279">
        <v>1967</v>
      </c>
      <c r="D988" s="1279"/>
      <c r="E988" s="1271" t="s">
        <v>218</v>
      </c>
      <c r="F988" s="1279">
        <v>2</v>
      </c>
      <c r="G988" s="1279">
        <v>2</v>
      </c>
      <c r="H988" s="985">
        <v>414.2</v>
      </c>
      <c r="I988" s="985">
        <v>374</v>
      </c>
      <c r="J988" s="985">
        <v>374</v>
      </c>
      <c r="K988" s="1064">
        <v>15</v>
      </c>
      <c r="L988" s="986">
        <v>1590292.74</v>
      </c>
      <c r="M988" s="986">
        <v>0</v>
      </c>
      <c r="N988" s="986">
        <v>0</v>
      </c>
      <c r="O988" s="986">
        <f>L988</f>
        <v>1590292.74</v>
      </c>
      <c r="P988" s="993">
        <v>0</v>
      </c>
      <c r="Q988" s="986">
        <v>0</v>
      </c>
      <c r="R988" s="985">
        <f>L988/I988</f>
        <v>4252.1196256684489</v>
      </c>
      <c r="S988" s="987">
        <v>2022</v>
      </c>
      <c r="T988" s="987">
        <v>2022</v>
      </c>
    </row>
    <row r="989" spans="1:20" s="1004" customFormat="1" ht="41.25" customHeight="1">
      <c r="A989" s="1271">
        <v>171</v>
      </c>
      <c r="B989" s="1391" t="s">
        <v>1653</v>
      </c>
      <c r="C989" s="1391"/>
      <c r="D989" s="1391"/>
      <c r="E989" s="1391"/>
      <c r="F989" s="1391"/>
      <c r="G989" s="1391"/>
      <c r="H989" s="985">
        <f>H990+H991</f>
        <v>1833</v>
      </c>
      <c r="I989" s="985">
        <f t="shared" ref="I989:Q989" si="356">I990+I991</f>
        <v>1676.3000000000002</v>
      </c>
      <c r="J989" s="985">
        <f t="shared" si="356"/>
        <v>1676.3000000000002</v>
      </c>
      <c r="K989" s="1064">
        <f t="shared" si="356"/>
        <v>82</v>
      </c>
      <c r="L989" s="985">
        <f t="shared" si="356"/>
        <v>4779405.25</v>
      </c>
      <c r="M989" s="985">
        <f t="shared" si="356"/>
        <v>0</v>
      </c>
      <c r="N989" s="985">
        <f t="shared" si="356"/>
        <v>0</v>
      </c>
      <c r="O989" s="985">
        <f t="shared" si="356"/>
        <v>4779405.25</v>
      </c>
      <c r="P989" s="985">
        <f t="shared" si="356"/>
        <v>0</v>
      </c>
      <c r="Q989" s="985">
        <f t="shared" si="356"/>
        <v>0</v>
      </c>
      <c r="R989" s="991" t="s">
        <v>40</v>
      </c>
      <c r="S989" s="991" t="s">
        <v>40</v>
      </c>
      <c r="T989" s="991" t="s">
        <v>40</v>
      </c>
    </row>
    <row r="990" spans="1:20" s="1004" customFormat="1" ht="41.25" customHeight="1">
      <c r="A990" s="1271">
        <v>172</v>
      </c>
      <c r="B990" s="1274" t="s">
        <v>2143</v>
      </c>
      <c r="C990" s="1279">
        <v>1993</v>
      </c>
      <c r="D990" s="1279"/>
      <c r="E990" s="1271" t="s">
        <v>218</v>
      </c>
      <c r="F990" s="1279">
        <v>3</v>
      </c>
      <c r="G990" s="1279">
        <v>3</v>
      </c>
      <c r="H990" s="985">
        <v>1460.4</v>
      </c>
      <c r="I990" s="985">
        <v>1460.4</v>
      </c>
      <c r="J990" s="985">
        <v>1460.4</v>
      </c>
      <c r="K990" s="1064">
        <v>63</v>
      </c>
      <c r="L990" s="985">
        <v>3479031.83</v>
      </c>
      <c r="M990" s="985">
        <v>0</v>
      </c>
      <c r="N990" s="985">
        <v>0</v>
      </c>
      <c r="O990" s="985">
        <v>3479031.83</v>
      </c>
      <c r="P990" s="993">
        <v>0</v>
      </c>
      <c r="Q990" s="985">
        <v>0</v>
      </c>
      <c r="R990" s="993">
        <f>L990/I990</f>
        <v>2382.2458436044917</v>
      </c>
      <c r="S990" s="987">
        <v>2022</v>
      </c>
      <c r="T990" s="987">
        <v>2022</v>
      </c>
    </row>
    <row r="991" spans="1:20" s="1004" customFormat="1" ht="41.25" customHeight="1">
      <c r="A991" s="1271">
        <v>173</v>
      </c>
      <c r="B991" s="1063" t="s">
        <v>2984</v>
      </c>
      <c r="C991" s="1064">
        <v>1969</v>
      </c>
      <c r="D991" s="1065"/>
      <c r="E991" s="1271" t="s">
        <v>218</v>
      </c>
      <c r="F991" s="987">
        <v>2</v>
      </c>
      <c r="G991" s="987">
        <v>1</v>
      </c>
      <c r="H991" s="993">
        <v>372.6</v>
      </c>
      <c r="I991" s="993">
        <v>215.9</v>
      </c>
      <c r="J991" s="993">
        <v>215.9</v>
      </c>
      <c r="K991" s="987">
        <v>19</v>
      </c>
      <c r="L991" s="986">
        <v>1300373.42</v>
      </c>
      <c r="M991" s="986">
        <v>0</v>
      </c>
      <c r="N991" s="986">
        <v>0</v>
      </c>
      <c r="O991" s="986">
        <v>1300373.42</v>
      </c>
      <c r="P991" s="993">
        <v>0</v>
      </c>
      <c r="Q991" s="986">
        <v>0</v>
      </c>
      <c r="R991" s="993">
        <f>L991/I991</f>
        <v>6023.0357572950434</v>
      </c>
      <c r="S991" s="987">
        <v>2022</v>
      </c>
      <c r="T991" s="987">
        <v>2022</v>
      </c>
    </row>
    <row r="992" spans="1:20" s="1016" customFormat="1" ht="41.25" customHeight="1">
      <c r="A992" s="1271"/>
      <c r="B992" s="1398" t="s">
        <v>2675</v>
      </c>
      <c r="C992" s="1391"/>
      <c r="D992" s="1391"/>
      <c r="E992" s="1391"/>
      <c r="F992" s="1391"/>
      <c r="G992" s="1391"/>
      <c r="H992" s="993">
        <f t="shared" ref="H992:Q992" si="357">H993+H994</f>
        <v>1649.6</v>
      </c>
      <c r="I992" s="993">
        <f t="shared" si="357"/>
        <v>1590.4</v>
      </c>
      <c r="J992" s="993">
        <f t="shared" si="357"/>
        <v>1228.4000000000001</v>
      </c>
      <c r="K992" s="987">
        <f t="shared" si="357"/>
        <v>61</v>
      </c>
      <c r="L992" s="993">
        <f t="shared" si="357"/>
        <v>5637433.9800000004</v>
      </c>
      <c r="M992" s="993">
        <f t="shared" si="357"/>
        <v>0</v>
      </c>
      <c r="N992" s="993">
        <f t="shared" si="357"/>
        <v>0</v>
      </c>
      <c r="O992" s="993">
        <f t="shared" si="357"/>
        <v>5637433.9800000004</v>
      </c>
      <c r="P992" s="993">
        <f t="shared" si="357"/>
        <v>0</v>
      </c>
      <c r="Q992" s="993">
        <f t="shared" si="357"/>
        <v>0</v>
      </c>
      <c r="R992" s="991" t="s">
        <v>40</v>
      </c>
      <c r="S992" s="991" t="s">
        <v>40</v>
      </c>
      <c r="T992" s="991" t="s">
        <v>40</v>
      </c>
    </row>
    <row r="993" spans="1:20" s="1016" customFormat="1" ht="41.25" customHeight="1">
      <c r="A993" s="1271">
        <v>174</v>
      </c>
      <c r="B993" s="1063" t="s">
        <v>2144</v>
      </c>
      <c r="C993" s="1064">
        <v>1976</v>
      </c>
      <c r="D993" s="1065"/>
      <c r="E993" s="1271" t="s">
        <v>219</v>
      </c>
      <c r="F993" s="987">
        <v>2</v>
      </c>
      <c r="G993" s="987">
        <v>2</v>
      </c>
      <c r="H993" s="993">
        <v>790.2</v>
      </c>
      <c r="I993" s="993">
        <v>731</v>
      </c>
      <c r="J993" s="993">
        <v>731</v>
      </c>
      <c r="K993" s="987">
        <v>22</v>
      </c>
      <c r="L993" s="986">
        <v>1778948.98</v>
      </c>
      <c r="M993" s="986">
        <v>0</v>
      </c>
      <c r="N993" s="986">
        <v>0</v>
      </c>
      <c r="O993" s="986">
        <v>1778948.98</v>
      </c>
      <c r="P993" s="993">
        <v>0</v>
      </c>
      <c r="Q993" s="986">
        <v>0</v>
      </c>
      <c r="R993" s="993">
        <f t="shared" ref="R993" si="358">L993/I993</f>
        <v>2433.5827359781119</v>
      </c>
      <c r="S993" s="987">
        <v>2022</v>
      </c>
      <c r="T993" s="987">
        <v>2022</v>
      </c>
    </row>
    <row r="994" spans="1:20" s="1016" customFormat="1" ht="41.25" customHeight="1">
      <c r="A994" s="1271">
        <v>175</v>
      </c>
      <c r="B994" s="1063" t="s">
        <v>2630</v>
      </c>
      <c r="C994" s="1064">
        <v>1976</v>
      </c>
      <c r="D994" s="1065"/>
      <c r="E994" s="1271" t="s">
        <v>218</v>
      </c>
      <c r="F994" s="987">
        <v>2</v>
      </c>
      <c r="G994" s="987">
        <v>3</v>
      </c>
      <c r="H994" s="993">
        <v>859.4</v>
      </c>
      <c r="I994" s="993">
        <v>859.4</v>
      </c>
      <c r="J994" s="993">
        <v>497.4</v>
      </c>
      <c r="K994" s="987">
        <v>39</v>
      </c>
      <c r="L994" s="986">
        <v>3858485</v>
      </c>
      <c r="M994" s="986">
        <v>0</v>
      </c>
      <c r="N994" s="986">
        <v>0</v>
      </c>
      <c r="O994" s="986">
        <v>3858485</v>
      </c>
      <c r="P994" s="993">
        <v>0</v>
      </c>
      <c r="Q994" s="986">
        <v>0</v>
      </c>
      <c r="R994" s="993">
        <f t="shared" ref="R994" si="359">L994/I994</f>
        <v>4489.7428438445431</v>
      </c>
      <c r="S994" s="987">
        <v>2022</v>
      </c>
      <c r="T994" s="987">
        <v>2022</v>
      </c>
    </row>
    <row r="995" spans="1:20" s="1004" customFormat="1" ht="41.25" customHeight="1">
      <c r="A995" s="1271"/>
      <c r="B995" s="1063" t="s">
        <v>1987</v>
      </c>
      <c r="C995" s="1064"/>
      <c r="D995" s="1065"/>
      <c r="E995" s="1271"/>
      <c r="F995" s="987"/>
      <c r="G995" s="987"/>
      <c r="H995" s="993">
        <f>H996</f>
        <v>2234.8000000000002</v>
      </c>
      <c r="I995" s="993">
        <f t="shared" ref="I995:Q995" si="360">I996</f>
        <v>2201.1999999999998</v>
      </c>
      <c r="J995" s="993">
        <f t="shared" si="360"/>
        <v>1610.1</v>
      </c>
      <c r="K995" s="987">
        <f t="shared" si="360"/>
        <v>62</v>
      </c>
      <c r="L995" s="993">
        <f t="shared" si="360"/>
        <v>5910347.71</v>
      </c>
      <c r="M995" s="993">
        <f t="shared" si="360"/>
        <v>0</v>
      </c>
      <c r="N995" s="993">
        <f t="shared" si="360"/>
        <v>0</v>
      </c>
      <c r="O995" s="993">
        <f t="shared" si="360"/>
        <v>5910347.71</v>
      </c>
      <c r="P995" s="993">
        <v>0</v>
      </c>
      <c r="Q995" s="993">
        <f t="shared" si="360"/>
        <v>0</v>
      </c>
      <c r="R995" s="991" t="s">
        <v>40</v>
      </c>
      <c r="S995" s="991" t="s">
        <v>40</v>
      </c>
      <c r="T995" s="991" t="s">
        <v>40</v>
      </c>
    </row>
    <row r="996" spans="1:20" s="1016" customFormat="1" ht="41.25" customHeight="1">
      <c r="A996" s="1271"/>
      <c r="B996" s="1391" t="s">
        <v>2028</v>
      </c>
      <c r="C996" s="1391"/>
      <c r="D996" s="1391"/>
      <c r="E996" s="1391"/>
      <c r="F996" s="1391"/>
      <c r="G996" s="1391"/>
      <c r="H996" s="993">
        <f>H997+H998+H999</f>
        <v>2234.8000000000002</v>
      </c>
      <c r="I996" s="993">
        <f t="shared" ref="I996:Q996" si="361">I997+I998+I999</f>
        <v>2201.1999999999998</v>
      </c>
      <c r="J996" s="993">
        <f t="shared" si="361"/>
        <v>1610.1</v>
      </c>
      <c r="K996" s="987">
        <f t="shared" si="361"/>
        <v>62</v>
      </c>
      <c r="L996" s="993">
        <f t="shared" si="361"/>
        <v>5910347.71</v>
      </c>
      <c r="M996" s="993">
        <f t="shared" si="361"/>
        <v>0</v>
      </c>
      <c r="N996" s="993">
        <f t="shared" si="361"/>
        <v>0</v>
      </c>
      <c r="O996" s="993">
        <f t="shared" si="361"/>
        <v>5910347.71</v>
      </c>
      <c r="P996" s="993">
        <f t="shared" si="361"/>
        <v>0</v>
      </c>
      <c r="Q996" s="993">
        <f t="shared" si="361"/>
        <v>0</v>
      </c>
      <c r="R996" s="991" t="s">
        <v>40</v>
      </c>
      <c r="S996" s="991" t="s">
        <v>40</v>
      </c>
      <c r="T996" s="991" t="s">
        <v>40</v>
      </c>
    </row>
    <row r="997" spans="1:20" s="1017" customFormat="1" ht="41.25" customHeight="1">
      <c r="A997" s="1271">
        <v>176</v>
      </c>
      <c r="B997" s="1063" t="s">
        <v>2985</v>
      </c>
      <c r="C997" s="1064">
        <v>1981</v>
      </c>
      <c r="D997" s="1065"/>
      <c r="E997" s="1271" t="s">
        <v>218</v>
      </c>
      <c r="F997" s="987">
        <v>2</v>
      </c>
      <c r="G997" s="987">
        <v>1</v>
      </c>
      <c r="H997" s="993">
        <v>407</v>
      </c>
      <c r="I997" s="993">
        <v>373.4</v>
      </c>
      <c r="J997" s="993">
        <v>330.5</v>
      </c>
      <c r="K997" s="987">
        <v>14</v>
      </c>
      <c r="L997" s="986">
        <v>1803468.71</v>
      </c>
      <c r="M997" s="986">
        <v>0</v>
      </c>
      <c r="N997" s="986">
        <v>0</v>
      </c>
      <c r="O997" s="986">
        <v>1803468.71</v>
      </c>
      <c r="P997" s="993">
        <v>0</v>
      </c>
      <c r="Q997" s="986">
        <v>0</v>
      </c>
      <c r="R997" s="993">
        <f>L997/I997</f>
        <v>4829.8572844134978</v>
      </c>
      <c r="S997" s="987">
        <v>2022</v>
      </c>
      <c r="T997" s="987">
        <v>2022</v>
      </c>
    </row>
    <row r="998" spans="1:20" s="1017" customFormat="1" ht="41.25" customHeight="1">
      <c r="A998" s="1271">
        <v>177</v>
      </c>
      <c r="B998" s="1063" t="s">
        <v>2986</v>
      </c>
      <c r="C998" s="1064">
        <v>1969</v>
      </c>
      <c r="D998" s="1065"/>
      <c r="E998" s="1271" t="s">
        <v>218</v>
      </c>
      <c r="F998" s="987">
        <v>2</v>
      </c>
      <c r="G998" s="987">
        <v>2</v>
      </c>
      <c r="H998" s="993">
        <v>454.6</v>
      </c>
      <c r="I998" s="993">
        <v>454.6</v>
      </c>
      <c r="J998" s="993">
        <v>454.6</v>
      </c>
      <c r="K998" s="987">
        <v>14</v>
      </c>
      <c r="L998" s="986">
        <v>1662772</v>
      </c>
      <c r="M998" s="986">
        <v>0</v>
      </c>
      <c r="N998" s="986">
        <v>0</v>
      </c>
      <c r="O998" s="986">
        <v>1662772</v>
      </c>
      <c r="P998" s="993">
        <v>0</v>
      </c>
      <c r="Q998" s="986">
        <v>0</v>
      </c>
      <c r="R998" s="993">
        <f t="shared" ref="R998:R999" si="362">L998/I998</f>
        <v>3657.6594808622963</v>
      </c>
      <c r="S998" s="987">
        <v>2022</v>
      </c>
      <c r="T998" s="987">
        <v>2022</v>
      </c>
    </row>
    <row r="999" spans="1:20" s="1018" customFormat="1" ht="41.25" customHeight="1">
      <c r="A999" s="1271">
        <v>178</v>
      </c>
      <c r="B999" s="1063" t="s">
        <v>2987</v>
      </c>
      <c r="C999" s="1064">
        <v>1982</v>
      </c>
      <c r="D999" s="1065"/>
      <c r="E999" s="1271" t="s">
        <v>222</v>
      </c>
      <c r="F999" s="987">
        <v>3</v>
      </c>
      <c r="G999" s="987">
        <v>3</v>
      </c>
      <c r="H999" s="993">
        <v>1373.2</v>
      </c>
      <c r="I999" s="993">
        <v>1373.2</v>
      </c>
      <c r="J999" s="993">
        <v>825</v>
      </c>
      <c r="K999" s="987">
        <v>34</v>
      </c>
      <c r="L999" s="986">
        <v>2444107</v>
      </c>
      <c r="M999" s="986">
        <v>0</v>
      </c>
      <c r="N999" s="986">
        <v>0</v>
      </c>
      <c r="O999" s="986">
        <v>2444107</v>
      </c>
      <c r="P999" s="993">
        <v>0</v>
      </c>
      <c r="Q999" s="986">
        <v>0</v>
      </c>
      <c r="R999" s="993">
        <f t="shared" si="362"/>
        <v>1779.8623652781823</v>
      </c>
      <c r="S999" s="987">
        <v>2022</v>
      </c>
      <c r="T999" s="987">
        <v>2022</v>
      </c>
    </row>
    <row r="1000" spans="1:20" s="1018" customFormat="1" ht="41.25" customHeight="1">
      <c r="A1000" s="1271"/>
      <c r="B1000" s="1391" t="s">
        <v>2704</v>
      </c>
      <c r="C1000" s="1391"/>
      <c r="D1000" s="1391"/>
      <c r="E1000" s="1391"/>
      <c r="F1000" s="1391"/>
      <c r="G1000" s="1391"/>
      <c r="H1000" s="985">
        <f>H1001+H1006</f>
        <v>9063.3900000000012</v>
      </c>
      <c r="I1000" s="985">
        <f t="shared" ref="I1000:Q1000" si="363">I1001+I1006</f>
        <v>7688.8</v>
      </c>
      <c r="J1000" s="985">
        <f t="shared" si="363"/>
        <v>7688.8</v>
      </c>
      <c r="K1000" s="1064">
        <f t="shared" si="363"/>
        <v>341</v>
      </c>
      <c r="L1000" s="985">
        <f t="shared" si="363"/>
        <v>14416032.979999999</v>
      </c>
      <c r="M1000" s="985">
        <f t="shared" si="363"/>
        <v>0</v>
      </c>
      <c r="N1000" s="985">
        <f t="shared" si="363"/>
        <v>0</v>
      </c>
      <c r="O1000" s="985">
        <f t="shared" si="363"/>
        <v>14416032.979999999</v>
      </c>
      <c r="P1000" s="985">
        <f t="shared" si="363"/>
        <v>0</v>
      </c>
      <c r="Q1000" s="985">
        <f t="shared" si="363"/>
        <v>0</v>
      </c>
      <c r="R1000" s="991" t="s">
        <v>40</v>
      </c>
      <c r="S1000" s="991" t="s">
        <v>40</v>
      </c>
      <c r="T1000" s="991" t="s">
        <v>40</v>
      </c>
    </row>
    <row r="1001" spans="1:20" s="1004" customFormat="1" ht="41.25" customHeight="1">
      <c r="A1001" s="1271"/>
      <c r="B1001" s="1391" t="s">
        <v>1077</v>
      </c>
      <c r="C1001" s="1391"/>
      <c r="D1001" s="1391"/>
      <c r="E1001" s="1391"/>
      <c r="F1001" s="1391"/>
      <c r="G1001" s="1391"/>
      <c r="H1001" s="985">
        <f>SUM(H1002:H1005)</f>
        <v>7575.6900000000005</v>
      </c>
      <c r="I1001" s="985">
        <f t="shared" ref="I1001:Q1001" si="364">SUM(I1002:I1005)</f>
        <v>6313.6</v>
      </c>
      <c r="J1001" s="985">
        <f t="shared" si="364"/>
        <v>6313.6</v>
      </c>
      <c r="K1001" s="1064">
        <f t="shared" si="364"/>
        <v>266</v>
      </c>
      <c r="L1001" s="985">
        <f t="shared" si="364"/>
        <v>12121336.979999999</v>
      </c>
      <c r="M1001" s="985">
        <f t="shared" si="364"/>
        <v>0</v>
      </c>
      <c r="N1001" s="985">
        <f t="shared" si="364"/>
        <v>0</v>
      </c>
      <c r="O1001" s="985">
        <f t="shared" si="364"/>
        <v>12121336.979999999</v>
      </c>
      <c r="P1001" s="985">
        <f t="shared" si="364"/>
        <v>0</v>
      </c>
      <c r="Q1001" s="985">
        <f t="shared" si="364"/>
        <v>0</v>
      </c>
      <c r="R1001" s="991" t="s">
        <v>40</v>
      </c>
      <c r="S1001" s="991" t="s">
        <v>40</v>
      </c>
      <c r="T1001" s="991" t="s">
        <v>40</v>
      </c>
    </row>
    <row r="1002" spans="1:20" s="1004" customFormat="1" ht="41.25" customHeight="1">
      <c r="A1002" s="1271">
        <v>179</v>
      </c>
      <c r="B1002" s="1273" t="s">
        <v>1229</v>
      </c>
      <c r="C1002" s="1279">
        <v>1970</v>
      </c>
      <c r="D1002" s="1279"/>
      <c r="E1002" s="1271" t="s">
        <v>218</v>
      </c>
      <c r="F1002" s="1279">
        <v>2</v>
      </c>
      <c r="G1002" s="1279">
        <v>2</v>
      </c>
      <c r="H1002" s="985">
        <v>790.3</v>
      </c>
      <c r="I1002" s="985">
        <v>690.6</v>
      </c>
      <c r="J1002" s="985">
        <v>690.6</v>
      </c>
      <c r="K1002" s="1064">
        <v>27</v>
      </c>
      <c r="L1002" s="986">
        <v>1499682.76</v>
      </c>
      <c r="M1002" s="986">
        <v>0</v>
      </c>
      <c r="N1002" s="986">
        <v>0</v>
      </c>
      <c r="O1002" s="986">
        <f>L1002</f>
        <v>1499682.76</v>
      </c>
      <c r="P1002" s="993">
        <v>0</v>
      </c>
      <c r="Q1002" s="986">
        <v>0</v>
      </c>
      <c r="R1002" s="985">
        <f>L1002/I1002</f>
        <v>2171.5649580075296</v>
      </c>
      <c r="S1002" s="987">
        <v>2022</v>
      </c>
      <c r="T1002" s="987">
        <v>2022</v>
      </c>
    </row>
    <row r="1003" spans="1:20" s="1016" customFormat="1" ht="41.25" customHeight="1">
      <c r="A1003" s="1271">
        <v>180</v>
      </c>
      <c r="B1003" s="1273" t="s">
        <v>1230</v>
      </c>
      <c r="C1003" s="1279">
        <v>1991</v>
      </c>
      <c r="D1003" s="1279"/>
      <c r="E1003" s="1271" t="s">
        <v>219</v>
      </c>
      <c r="F1003" s="1279">
        <v>5</v>
      </c>
      <c r="G1003" s="1279">
        <v>6</v>
      </c>
      <c r="H1003" s="985">
        <v>4729.1000000000004</v>
      </c>
      <c r="I1003" s="985">
        <v>4000.9</v>
      </c>
      <c r="J1003" s="985">
        <v>4000.9</v>
      </c>
      <c r="K1003" s="1064">
        <v>170</v>
      </c>
      <c r="L1003" s="986">
        <v>5947609.5599999996</v>
      </c>
      <c r="M1003" s="986">
        <v>0</v>
      </c>
      <c r="N1003" s="986">
        <v>0</v>
      </c>
      <c r="O1003" s="986">
        <f>L1003</f>
        <v>5947609.5599999996</v>
      </c>
      <c r="P1003" s="993">
        <v>0</v>
      </c>
      <c r="Q1003" s="986">
        <v>0</v>
      </c>
      <c r="R1003" s="985">
        <f>L1003/I1003</f>
        <v>1486.5679122197505</v>
      </c>
      <c r="S1003" s="987">
        <v>2022</v>
      </c>
      <c r="T1003" s="987">
        <v>2022</v>
      </c>
    </row>
    <row r="1004" spans="1:20" s="1016" customFormat="1" ht="41.25" customHeight="1">
      <c r="A1004" s="1271">
        <v>181</v>
      </c>
      <c r="B1004" s="1273" t="s">
        <v>616</v>
      </c>
      <c r="C1004" s="1279">
        <v>1976</v>
      </c>
      <c r="D1004" s="1279"/>
      <c r="E1004" s="1271" t="s">
        <v>218</v>
      </c>
      <c r="F1004" s="1279">
        <v>2</v>
      </c>
      <c r="G1004" s="1279">
        <v>2</v>
      </c>
      <c r="H1004" s="985">
        <v>795.4</v>
      </c>
      <c r="I1004" s="985">
        <v>735.1</v>
      </c>
      <c r="J1004" s="985">
        <v>735.1</v>
      </c>
      <c r="K1004" s="1064">
        <v>30</v>
      </c>
      <c r="L1004" s="986">
        <v>2541057.56</v>
      </c>
      <c r="M1004" s="986">
        <v>0</v>
      </c>
      <c r="N1004" s="986">
        <v>0</v>
      </c>
      <c r="O1004" s="986">
        <f>L1004</f>
        <v>2541057.56</v>
      </c>
      <c r="P1004" s="993">
        <v>0</v>
      </c>
      <c r="Q1004" s="986">
        <v>0</v>
      </c>
      <c r="R1004" s="985">
        <f t="shared" ref="R1004:R1007" si="365">L1004/I1004</f>
        <v>3456.7508638280506</v>
      </c>
      <c r="S1004" s="987">
        <v>2022</v>
      </c>
      <c r="T1004" s="987">
        <v>2022</v>
      </c>
    </row>
    <row r="1005" spans="1:20" s="1016" customFormat="1" ht="41.25" customHeight="1">
      <c r="A1005" s="1271">
        <v>182</v>
      </c>
      <c r="B1005" s="1273" t="s">
        <v>2014</v>
      </c>
      <c r="C1005" s="1279">
        <v>1961</v>
      </c>
      <c r="D1005" s="1279"/>
      <c r="E1005" s="1271" t="s">
        <v>218</v>
      </c>
      <c r="F1005" s="1279">
        <v>2</v>
      </c>
      <c r="G1005" s="1279">
        <v>4</v>
      </c>
      <c r="H1005" s="985">
        <v>1260.8900000000001</v>
      </c>
      <c r="I1005" s="985">
        <v>887</v>
      </c>
      <c r="J1005" s="985">
        <v>887</v>
      </c>
      <c r="K1005" s="1064">
        <v>39</v>
      </c>
      <c r="L1005" s="986">
        <v>2132987.1</v>
      </c>
      <c r="M1005" s="986">
        <v>0</v>
      </c>
      <c r="N1005" s="986">
        <v>0</v>
      </c>
      <c r="O1005" s="986">
        <v>2132987.1</v>
      </c>
      <c r="P1005" s="993">
        <v>0</v>
      </c>
      <c r="Q1005" s="986">
        <v>0</v>
      </c>
      <c r="R1005" s="985">
        <f>L1005/I1005</f>
        <v>2404.7205186020296</v>
      </c>
      <c r="S1005" s="987">
        <v>2022</v>
      </c>
      <c r="T1005" s="987">
        <v>2022</v>
      </c>
    </row>
    <row r="1006" spans="1:20" s="1016" customFormat="1" ht="41.25" customHeight="1">
      <c r="A1006" s="1271"/>
      <c r="B1006" s="1391" t="s">
        <v>1986</v>
      </c>
      <c r="C1006" s="1391"/>
      <c r="D1006" s="1391"/>
      <c r="E1006" s="1391"/>
      <c r="F1006" s="1391"/>
      <c r="G1006" s="1391"/>
      <c r="H1006" s="985">
        <f>H1007</f>
        <v>1487.7</v>
      </c>
      <c r="I1006" s="985">
        <f t="shared" ref="I1006:Q1006" si="366">I1007</f>
        <v>1375.2</v>
      </c>
      <c r="J1006" s="985">
        <f t="shared" si="366"/>
        <v>1375.2</v>
      </c>
      <c r="K1006" s="1064">
        <f t="shared" si="366"/>
        <v>75</v>
      </c>
      <c r="L1006" s="985">
        <f t="shared" si="366"/>
        <v>2294696</v>
      </c>
      <c r="M1006" s="985">
        <f t="shared" si="366"/>
        <v>0</v>
      </c>
      <c r="N1006" s="985">
        <f t="shared" si="366"/>
        <v>0</v>
      </c>
      <c r="O1006" s="985">
        <f t="shared" si="366"/>
        <v>2294696</v>
      </c>
      <c r="P1006" s="985">
        <f t="shared" si="366"/>
        <v>0</v>
      </c>
      <c r="Q1006" s="985">
        <f t="shared" si="366"/>
        <v>0</v>
      </c>
      <c r="R1006" s="991" t="s">
        <v>40</v>
      </c>
      <c r="S1006" s="991" t="s">
        <v>40</v>
      </c>
      <c r="T1006" s="991" t="s">
        <v>40</v>
      </c>
    </row>
    <row r="1007" spans="1:20" s="1016" customFormat="1" ht="41.25" customHeight="1">
      <c r="A1007" s="1271">
        <v>183</v>
      </c>
      <c r="B1007" s="1274" t="s">
        <v>2243</v>
      </c>
      <c r="C1007" s="1279">
        <v>1987</v>
      </c>
      <c r="D1007" s="1279"/>
      <c r="E1007" s="1271" t="s">
        <v>219</v>
      </c>
      <c r="F1007" s="1279">
        <v>3</v>
      </c>
      <c r="G1007" s="1279">
        <v>3</v>
      </c>
      <c r="H1007" s="985">
        <v>1487.7</v>
      </c>
      <c r="I1007" s="985">
        <v>1375.2</v>
      </c>
      <c r="J1007" s="985">
        <v>1375.2</v>
      </c>
      <c r="K1007" s="1064">
        <v>75</v>
      </c>
      <c r="L1007" s="986">
        <v>2294696</v>
      </c>
      <c r="M1007" s="986">
        <v>0</v>
      </c>
      <c r="N1007" s="986">
        <v>0</v>
      </c>
      <c r="O1007" s="986">
        <v>2294696</v>
      </c>
      <c r="P1007" s="993">
        <v>0</v>
      </c>
      <c r="Q1007" s="986">
        <v>0</v>
      </c>
      <c r="R1007" s="985">
        <f t="shared" si="365"/>
        <v>1668.6271087841767</v>
      </c>
      <c r="S1007" s="987">
        <v>2022</v>
      </c>
      <c r="T1007" s="987">
        <v>2022</v>
      </c>
    </row>
    <row r="1008" spans="1:20" s="1016" customFormat="1" ht="41.25" customHeight="1">
      <c r="A1008" s="1271"/>
      <c r="B1008" s="1392" t="s">
        <v>211</v>
      </c>
      <c r="C1008" s="1392"/>
      <c r="D1008" s="1392"/>
      <c r="E1008" s="1392"/>
      <c r="F1008" s="1392"/>
      <c r="G1008" s="1392"/>
      <c r="H1008" s="985">
        <f>H1009</f>
        <v>1589.1</v>
      </c>
      <c r="I1008" s="985">
        <f t="shared" ref="I1008:Q1008" si="367">I1009</f>
        <v>1589.1</v>
      </c>
      <c r="J1008" s="985">
        <f t="shared" si="367"/>
        <v>1470.4</v>
      </c>
      <c r="K1008" s="1064">
        <f t="shared" si="367"/>
        <v>65</v>
      </c>
      <c r="L1008" s="985">
        <f t="shared" si="367"/>
        <v>4309083</v>
      </c>
      <c r="M1008" s="985">
        <f t="shared" si="367"/>
        <v>0</v>
      </c>
      <c r="N1008" s="985">
        <f t="shared" si="367"/>
        <v>0</v>
      </c>
      <c r="O1008" s="985">
        <f t="shared" si="367"/>
        <v>4309083</v>
      </c>
      <c r="P1008" s="985">
        <f t="shared" si="367"/>
        <v>0</v>
      </c>
      <c r="Q1008" s="985">
        <f t="shared" si="367"/>
        <v>0</v>
      </c>
      <c r="R1008" s="991" t="s">
        <v>40</v>
      </c>
      <c r="S1008" s="991" t="s">
        <v>40</v>
      </c>
      <c r="T1008" s="991" t="s">
        <v>40</v>
      </c>
    </row>
    <row r="1009" spans="1:20" s="1016" customFormat="1" ht="41.25" customHeight="1">
      <c r="A1009" s="1271"/>
      <c r="B1009" s="1391" t="s">
        <v>1159</v>
      </c>
      <c r="C1009" s="1391"/>
      <c r="D1009" s="1391"/>
      <c r="E1009" s="1391"/>
      <c r="F1009" s="1391"/>
      <c r="G1009" s="1391"/>
      <c r="H1009" s="985">
        <f>H1010+H1011</f>
        <v>1589.1</v>
      </c>
      <c r="I1009" s="985">
        <f t="shared" ref="I1009:Q1009" si="368">I1010+I1011</f>
        <v>1589.1</v>
      </c>
      <c r="J1009" s="985">
        <f t="shared" si="368"/>
        <v>1470.4</v>
      </c>
      <c r="K1009" s="1064">
        <f t="shared" si="368"/>
        <v>65</v>
      </c>
      <c r="L1009" s="985">
        <f t="shared" si="368"/>
        <v>4309083</v>
      </c>
      <c r="M1009" s="985">
        <f t="shared" si="368"/>
        <v>0</v>
      </c>
      <c r="N1009" s="985">
        <f t="shared" si="368"/>
        <v>0</v>
      </c>
      <c r="O1009" s="985">
        <f t="shared" si="368"/>
        <v>4309083</v>
      </c>
      <c r="P1009" s="985">
        <f t="shared" si="368"/>
        <v>0</v>
      </c>
      <c r="Q1009" s="985">
        <f t="shared" si="368"/>
        <v>0</v>
      </c>
      <c r="R1009" s="991" t="s">
        <v>40</v>
      </c>
      <c r="S1009" s="991" t="s">
        <v>40</v>
      </c>
      <c r="T1009" s="991" t="s">
        <v>40</v>
      </c>
    </row>
    <row r="1010" spans="1:20" s="1004" customFormat="1" ht="47.45" customHeight="1">
      <c r="A1010" s="1271">
        <v>184</v>
      </c>
      <c r="B1010" s="1273" t="s">
        <v>1996</v>
      </c>
      <c r="C1010" s="1279">
        <v>1975</v>
      </c>
      <c r="D1010" s="1273"/>
      <c r="E1010" s="1271" t="s">
        <v>218</v>
      </c>
      <c r="F1010" s="1279">
        <v>2</v>
      </c>
      <c r="G1010" s="1279">
        <v>2</v>
      </c>
      <c r="H1010" s="985">
        <v>803.6</v>
      </c>
      <c r="I1010" s="985">
        <v>803.6</v>
      </c>
      <c r="J1010" s="985">
        <v>744.8</v>
      </c>
      <c r="K1010" s="1064">
        <v>35</v>
      </c>
      <c r="L1010" s="986">
        <v>2219049</v>
      </c>
      <c r="M1010" s="986">
        <v>0</v>
      </c>
      <c r="N1010" s="986">
        <v>0</v>
      </c>
      <c r="O1010" s="986">
        <v>2219049</v>
      </c>
      <c r="P1010" s="993">
        <v>0</v>
      </c>
      <c r="Q1010" s="986">
        <v>0</v>
      </c>
      <c r="R1010" s="985">
        <f t="shared" ref="R1010" si="369">L1010/I1010</f>
        <v>2761.3850174216027</v>
      </c>
      <c r="S1010" s="987">
        <v>2022</v>
      </c>
      <c r="T1010" s="987">
        <v>2022</v>
      </c>
    </row>
    <row r="1011" spans="1:20" s="1004" customFormat="1" ht="41.25" customHeight="1">
      <c r="A1011" s="1271">
        <v>185</v>
      </c>
      <c r="B1011" s="1274" t="s">
        <v>1997</v>
      </c>
      <c r="C1011" s="1279">
        <v>1971</v>
      </c>
      <c r="D1011" s="1279"/>
      <c r="E1011" s="1271" t="s">
        <v>218</v>
      </c>
      <c r="F1011" s="1279">
        <v>2</v>
      </c>
      <c r="G1011" s="1279">
        <v>2</v>
      </c>
      <c r="H1011" s="985">
        <v>785.5</v>
      </c>
      <c r="I1011" s="985">
        <v>785.5</v>
      </c>
      <c r="J1011" s="985">
        <v>725.6</v>
      </c>
      <c r="K1011" s="1064">
        <v>30</v>
      </c>
      <c r="L1011" s="986">
        <v>2090034</v>
      </c>
      <c r="M1011" s="986">
        <v>0</v>
      </c>
      <c r="N1011" s="986">
        <v>0</v>
      </c>
      <c r="O1011" s="986">
        <v>2090034</v>
      </c>
      <c r="P1011" s="993">
        <v>0</v>
      </c>
      <c r="Q1011" s="986">
        <v>0</v>
      </c>
      <c r="R1011" s="985">
        <f t="shared" ref="R1011" si="370">L1011/I1011</f>
        <v>2660.7689369828136</v>
      </c>
      <c r="S1011" s="987">
        <v>2022</v>
      </c>
      <c r="T1011" s="987">
        <v>2022</v>
      </c>
    </row>
    <row r="1012" spans="1:20" s="1004" customFormat="1" ht="41.25" customHeight="1">
      <c r="A1012" s="1271"/>
      <c r="B1012" s="1391" t="s">
        <v>66</v>
      </c>
      <c r="C1012" s="1391"/>
      <c r="D1012" s="1391"/>
      <c r="E1012" s="1391"/>
      <c r="F1012" s="1391"/>
      <c r="G1012" s="1391"/>
      <c r="H1012" s="985">
        <f>H1013</f>
        <v>741.2</v>
      </c>
      <c r="I1012" s="985">
        <f t="shared" ref="I1012:Q1012" si="371">I1013</f>
        <v>549.70000000000005</v>
      </c>
      <c r="J1012" s="985">
        <f t="shared" si="371"/>
        <v>445.59999999999997</v>
      </c>
      <c r="K1012" s="1064">
        <f t="shared" si="371"/>
        <v>35</v>
      </c>
      <c r="L1012" s="985">
        <f t="shared" si="371"/>
        <v>2913878.0300000003</v>
      </c>
      <c r="M1012" s="985">
        <f t="shared" si="371"/>
        <v>0</v>
      </c>
      <c r="N1012" s="985">
        <f t="shared" si="371"/>
        <v>0</v>
      </c>
      <c r="O1012" s="985">
        <f t="shared" si="371"/>
        <v>2913878.0300000003</v>
      </c>
      <c r="P1012" s="985">
        <f t="shared" si="371"/>
        <v>0</v>
      </c>
      <c r="Q1012" s="985">
        <f t="shared" si="371"/>
        <v>0</v>
      </c>
      <c r="R1012" s="991" t="s">
        <v>40</v>
      </c>
      <c r="S1012" s="991" t="s">
        <v>40</v>
      </c>
      <c r="T1012" s="991" t="s">
        <v>40</v>
      </c>
    </row>
    <row r="1013" spans="1:20" s="1004" customFormat="1" ht="41.25" customHeight="1">
      <c r="A1013" s="1271"/>
      <c r="B1013" s="1391" t="s">
        <v>1081</v>
      </c>
      <c r="C1013" s="1391"/>
      <c r="D1013" s="1391"/>
      <c r="E1013" s="1391"/>
      <c r="F1013" s="1391"/>
      <c r="G1013" s="1391"/>
      <c r="H1013" s="985">
        <f>H1014+H1015</f>
        <v>741.2</v>
      </c>
      <c r="I1013" s="985">
        <f t="shared" ref="I1013:Q1013" si="372">I1014+I1015</f>
        <v>549.70000000000005</v>
      </c>
      <c r="J1013" s="985">
        <f t="shared" si="372"/>
        <v>445.59999999999997</v>
      </c>
      <c r="K1013" s="1064">
        <f t="shared" si="372"/>
        <v>35</v>
      </c>
      <c r="L1013" s="985">
        <f t="shared" si="372"/>
        <v>2913878.0300000003</v>
      </c>
      <c r="M1013" s="985">
        <f t="shared" si="372"/>
        <v>0</v>
      </c>
      <c r="N1013" s="985">
        <f t="shared" si="372"/>
        <v>0</v>
      </c>
      <c r="O1013" s="985">
        <f t="shared" si="372"/>
        <v>2913878.0300000003</v>
      </c>
      <c r="P1013" s="985">
        <f t="shared" si="372"/>
        <v>0</v>
      </c>
      <c r="Q1013" s="985">
        <f t="shared" si="372"/>
        <v>0</v>
      </c>
      <c r="R1013" s="991" t="s">
        <v>40</v>
      </c>
      <c r="S1013" s="991" t="s">
        <v>40</v>
      </c>
      <c r="T1013" s="991" t="s">
        <v>40</v>
      </c>
    </row>
    <row r="1014" spans="1:20" s="1004" customFormat="1" ht="41.25" customHeight="1">
      <c r="A1014" s="1271">
        <v>186</v>
      </c>
      <c r="B1014" s="1273" t="s">
        <v>1197</v>
      </c>
      <c r="C1014" s="1279">
        <v>1978</v>
      </c>
      <c r="D1014" s="1279"/>
      <c r="E1014" s="1271" t="s">
        <v>218</v>
      </c>
      <c r="F1014" s="1279">
        <v>2</v>
      </c>
      <c r="G1014" s="1279">
        <v>1</v>
      </c>
      <c r="H1014" s="985">
        <v>596.1</v>
      </c>
      <c r="I1014" s="985">
        <v>430.5</v>
      </c>
      <c r="J1014" s="985">
        <v>326.39999999999998</v>
      </c>
      <c r="K1014" s="1064">
        <v>30</v>
      </c>
      <c r="L1014" s="986">
        <v>1355135.03</v>
      </c>
      <c r="M1014" s="986">
        <v>0</v>
      </c>
      <c r="N1014" s="986">
        <v>0</v>
      </c>
      <c r="O1014" s="986">
        <v>1355135.03</v>
      </c>
      <c r="P1014" s="993">
        <v>0</v>
      </c>
      <c r="Q1014" s="986">
        <v>0</v>
      </c>
      <c r="R1014" s="985">
        <f>L1014/I1014</f>
        <v>3147.8165621370499</v>
      </c>
      <c r="S1014" s="987">
        <v>2022</v>
      </c>
      <c r="T1014" s="987">
        <v>2022</v>
      </c>
    </row>
    <row r="1015" spans="1:20" s="1004" customFormat="1" ht="41.25" customHeight="1">
      <c r="A1015" s="1271">
        <v>187</v>
      </c>
      <c r="B1015" s="1273" t="s">
        <v>2000</v>
      </c>
      <c r="C1015" s="1279">
        <v>1890</v>
      </c>
      <c r="D1015" s="1279"/>
      <c r="E1015" s="1271" t="s">
        <v>221</v>
      </c>
      <c r="F1015" s="1279">
        <v>1</v>
      </c>
      <c r="G1015" s="1279">
        <v>4</v>
      </c>
      <c r="H1015" s="985">
        <v>145.1</v>
      </c>
      <c r="I1015" s="985">
        <v>119.2</v>
      </c>
      <c r="J1015" s="985">
        <v>119.2</v>
      </c>
      <c r="K1015" s="1064">
        <v>5</v>
      </c>
      <c r="L1015" s="986">
        <v>1558743</v>
      </c>
      <c r="M1015" s="986">
        <v>0</v>
      </c>
      <c r="N1015" s="986">
        <v>0</v>
      </c>
      <c r="O1015" s="986">
        <v>1558743</v>
      </c>
      <c r="P1015" s="993">
        <v>0</v>
      </c>
      <c r="Q1015" s="986">
        <v>0</v>
      </c>
      <c r="R1015" s="985">
        <f>L1015/I1015</f>
        <v>13076.703020134228</v>
      </c>
      <c r="S1015" s="987">
        <v>2022</v>
      </c>
      <c r="T1015" s="987">
        <v>2022</v>
      </c>
    </row>
    <row r="1016" spans="1:20" s="1004" customFormat="1" ht="41.25" customHeight="1">
      <c r="A1016" s="1271"/>
      <c r="B1016" s="1391" t="s">
        <v>1122</v>
      </c>
      <c r="C1016" s="1391"/>
      <c r="D1016" s="1391"/>
      <c r="E1016" s="1391"/>
      <c r="F1016" s="1391"/>
      <c r="G1016" s="1391"/>
      <c r="H1016" s="985">
        <f>SUM(H1017:H1026)</f>
        <v>52942.950000000004</v>
      </c>
      <c r="I1016" s="985">
        <f t="shared" ref="I1016:Q1016" si="373">SUM(I1017:I1026)</f>
        <v>44505.93</v>
      </c>
      <c r="J1016" s="985">
        <f t="shared" si="373"/>
        <v>45505.93</v>
      </c>
      <c r="K1016" s="1064">
        <f t="shared" si="373"/>
        <v>2022</v>
      </c>
      <c r="L1016" s="985">
        <f t="shared" si="373"/>
        <v>54144712.320000008</v>
      </c>
      <c r="M1016" s="985">
        <f t="shared" si="373"/>
        <v>0</v>
      </c>
      <c r="N1016" s="985">
        <f t="shared" si="373"/>
        <v>0</v>
      </c>
      <c r="O1016" s="985">
        <f t="shared" si="373"/>
        <v>54144712.320000008</v>
      </c>
      <c r="P1016" s="985">
        <f t="shared" si="373"/>
        <v>0</v>
      </c>
      <c r="Q1016" s="985">
        <f t="shared" si="373"/>
        <v>0</v>
      </c>
      <c r="R1016" s="991" t="s">
        <v>40</v>
      </c>
      <c r="S1016" s="991" t="s">
        <v>40</v>
      </c>
      <c r="T1016" s="1279" t="s">
        <v>40</v>
      </c>
    </row>
    <row r="1017" spans="1:20" s="1004" customFormat="1" ht="41.25" customHeight="1">
      <c r="A1017" s="1032">
        <v>188</v>
      </c>
      <c r="B1017" s="1039" t="s">
        <v>2145</v>
      </c>
      <c r="C1017" s="1032">
        <v>1983</v>
      </c>
      <c r="D1017" s="1066"/>
      <c r="E1017" s="1271" t="s">
        <v>219</v>
      </c>
      <c r="F1017" s="1032">
        <v>5</v>
      </c>
      <c r="G1017" s="1032">
        <v>6</v>
      </c>
      <c r="H1017" s="1037">
        <v>4978.1000000000004</v>
      </c>
      <c r="I1017" s="1037">
        <v>4545.1000000000004</v>
      </c>
      <c r="J1017" s="1037">
        <v>4545.1000000000004</v>
      </c>
      <c r="K1017" s="1266">
        <v>191</v>
      </c>
      <c r="L1017" s="1037">
        <v>4499048.28</v>
      </c>
      <c r="M1017" s="1059">
        <v>0</v>
      </c>
      <c r="N1017" s="1059">
        <v>0</v>
      </c>
      <c r="O1017" s="1037">
        <f t="shared" ref="O1017:O1019" si="374">L1017</f>
        <v>4499048.28</v>
      </c>
      <c r="P1017" s="1059">
        <v>0</v>
      </c>
      <c r="Q1017" s="1059">
        <v>0</v>
      </c>
      <c r="R1017" s="993">
        <f>L1017/I1017</f>
        <v>989.86783129084063</v>
      </c>
      <c r="S1017" s="987">
        <v>2022</v>
      </c>
      <c r="T1017" s="987">
        <v>2022</v>
      </c>
    </row>
    <row r="1018" spans="1:20" s="1004" customFormat="1" ht="41.25" customHeight="1">
      <c r="A1018" s="1032">
        <v>189</v>
      </c>
      <c r="B1018" s="1039" t="s">
        <v>2148</v>
      </c>
      <c r="C1018" s="1032">
        <v>1978</v>
      </c>
      <c r="D1018" s="1066"/>
      <c r="E1018" s="1271" t="s">
        <v>219</v>
      </c>
      <c r="F1018" s="1032">
        <v>9</v>
      </c>
      <c r="G1018" s="1032">
        <v>11</v>
      </c>
      <c r="H1018" s="1037">
        <v>6452.6</v>
      </c>
      <c r="I1018" s="1037">
        <v>5655.1</v>
      </c>
      <c r="J1018" s="1037">
        <v>5655.1</v>
      </c>
      <c r="K1018" s="1266">
        <v>253</v>
      </c>
      <c r="L1018" s="1037">
        <v>5590383.6900000004</v>
      </c>
      <c r="M1018" s="1059">
        <v>0</v>
      </c>
      <c r="N1018" s="1059">
        <v>0</v>
      </c>
      <c r="O1018" s="1037">
        <f t="shared" si="374"/>
        <v>5590383.6900000004</v>
      </c>
      <c r="P1018" s="1059">
        <v>0</v>
      </c>
      <c r="Q1018" s="1059">
        <v>0</v>
      </c>
      <c r="R1018" s="993">
        <f t="shared" ref="R1018:R1021" si="375">L1018/I1018</f>
        <v>988.55611571855491</v>
      </c>
      <c r="S1018" s="987">
        <v>2022</v>
      </c>
      <c r="T1018" s="987">
        <v>2022</v>
      </c>
    </row>
    <row r="1019" spans="1:20" s="1004" customFormat="1" ht="41.25" customHeight="1">
      <c r="A1019" s="1032">
        <v>190</v>
      </c>
      <c r="B1019" s="1039" t="s">
        <v>2146</v>
      </c>
      <c r="C1019" s="1032">
        <v>1982</v>
      </c>
      <c r="D1019" s="1066"/>
      <c r="E1019" s="1271" t="s">
        <v>219</v>
      </c>
      <c r="F1019" s="1032">
        <v>5</v>
      </c>
      <c r="G1019" s="1032">
        <v>10</v>
      </c>
      <c r="H1019" s="1037">
        <v>5636.1</v>
      </c>
      <c r="I1019" s="1037">
        <v>4889.8999999999996</v>
      </c>
      <c r="J1019" s="1037">
        <v>4889.8999999999996</v>
      </c>
      <c r="K1019" s="1266">
        <v>214</v>
      </c>
      <c r="L1019" s="1037">
        <v>4697801.42</v>
      </c>
      <c r="M1019" s="1059">
        <v>0</v>
      </c>
      <c r="N1019" s="1059">
        <v>0</v>
      </c>
      <c r="O1019" s="1037">
        <f t="shared" si="374"/>
        <v>4697801.42</v>
      </c>
      <c r="P1019" s="1059">
        <v>0</v>
      </c>
      <c r="Q1019" s="1059">
        <v>0</v>
      </c>
      <c r="R1019" s="993">
        <f t="shared" si="375"/>
        <v>960.71523344035666</v>
      </c>
      <c r="S1019" s="987">
        <v>2022</v>
      </c>
      <c r="T1019" s="987">
        <v>2022</v>
      </c>
    </row>
    <row r="1020" spans="1:20" s="1004" customFormat="1" ht="41.25" customHeight="1">
      <c r="A1020" s="1032">
        <v>191</v>
      </c>
      <c r="B1020" s="1039" t="s">
        <v>2147</v>
      </c>
      <c r="C1020" s="1032">
        <v>1983</v>
      </c>
      <c r="D1020" s="1066"/>
      <c r="E1020" s="1271" t="s">
        <v>219</v>
      </c>
      <c r="F1020" s="1032">
        <v>9</v>
      </c>
      <c r="G1020" s="1032">
        <v>3</v>
      </c>
      <c r="H1020" s="1037">
        <v>7720.75</v>
      </c>
      <c r="I1020" s="1037">
        <v>6603.43</v>
      </c>
      <c r="J1020" s="1037">
        <v>6603.43</v>
      </c>
      <c r="K1020" s="1266">
        <v>320</v>
      </c>
      <c r="L1020" s="1037">
        <v>8669520.3100000005</v>
      </c>
      <c r="M1020" s="1059">
        <v>0</v>
      </c>
      <c r="N1020" s="1059">
        <v>0</v>
      </c>
      <c r="O1020" s="1037">
        <f t="shared" ref="O1020:O1026" si="376">L1020</f>
        <v>8669520.3100000005</v>
      </c>
      <c r="P1020" s="1059">
        <v>0</v>
      </c>
      <c r="Q1020" s="1059">
        <v>0</v>
      </c>
      <c r="R1020" s="993">
        <f t="shared" si="375"/>
        <v>1312.881382857091</v>
      </c>
      <c r="S1020" s="987">
        <v>2022</v>
      </c>
      <c r="T1020" s="987">
        <v>2022</v>
      </c>
    </row>
    <row r="1021" spans="1:20" s="1004" customFormat="1" ht="41.25" customHeight="1">
      <c r="A1021" s="1032">
        <v>192</v>
      </c>
      <c r="B1021" s="1039" t="s">
        <v>2634</v>
      </c>
      <c r="C1021" s="1032">
        <v>1979</v>
      </c>
      <c r="D1021" s="1066"/>
      <c r="E1021" s="1271" t="s">
        <v>218</v>
      </c>
      <c r="F1021" s="1032">
        <v>9</v>
      </c>
      <c r="G1021" s="1032">
        <v>1</v>
      </c>
      <c r="H1021" s="1037">
        <v>5662</v>
      </c>
      <c r="I1021" s="1037">
        <v>4617</v>
      </c>
      <c r="J1021" s="1037">
        <v>4617</v>
      </c>
      <c r="K1021" s="1266">
        <v>249</v>
      </c>
      <c r="L1021" s="1037">
        <v>3099743.14</v>
      </c>
      <c r="M1021" s="1059">
        <v>0</v>
      </c>
      <c r="N1021" s="1059">
        <v>0</v>
      </c>
      <c r="O1021" s="1037">
        <f t="shared" si="376"/>
        <v>3099743.14</v>
      </c>
      <c r="P1021" s="1059">
        <v>0</v>
      </c>
      <c r="Q1021" s="1059">
        <v>0</v>
      </c>
      <c r="R1021" s="993">
        <f t="shared" si="375"/>
        <v>671.37603205544724</v>
      </c>
      <c r="S1021" s="987">
        <v>2022</v>
      </c>
      <c r="T1021" s="987">
        <v>2022</v>
      </c>
    </row>
    <row r="1022" spans="1:20" s="1004" customFormat="1" ht="41.25" customHeight="1">
      <c r="A1022" s="1032">
        <v>193</v>
      </c>
      <c r="B1022" s="1039" t="s">
        <v>2635</v>
      </c>
      <c r="C1022" s="1032">
        <v>1981</v>
      </c>
      <c r="D1022" s="1066"/>
      <c r="E1022" s="1271" t="s">
        <v>219</v>
      </c>
      <c r="F1022" s="1032">
        <v>9</v>
      </c>
      <c r="G1022" s="1032">
        <v>1</v>
      </c>
      <c r="H1022" s="1037">
        <v>2573.6</v>
      </c>
      <c r="I1022" s="1037">
        <v>2206.8000000000002</v>
      </c>
      <c r="J1022" s="1037">
        <v>2206.8000000000002</v>
      </c>
      <c r="K1022" s="1266">
        <v>90</v>
      </c>
      <c r="L1022" s="1037">
        <v>3099743.14</v>
      </c>
      <c r="M1022" s="1059">
        <v>0</v>
      </c>
      <c r="N1022" s="1059">
        <v>0</v>
      </c>
      <c r="O1022" s="1037">
        <f t="shared" si="376"/>
        <v>3099743.14</v>
      </c>
      <c r="P1022" s="1059">
        <v>0</v>
      </c>
      <c r="Q1022" s="1059">
        <v>0</v>
      </c>
      <c r="R1022" s="993">
        <f t="shared" ref="R1022:R1026" si="377">L1022/I1022</f>
        <v>1404.6325629871305</v>
      </c>
      <c r="S1022" s="987">
        <v>2022</v>
      </c>
      <c r="T1022" s="987">
        <v>2022</v>
      </c>
    </row>
    <row r="1023" spans="1:20" s="1004" customFormat="1" ht="41.25" customHeight="1">
      <c r="A1023" s="1032">
        <v>194</v>
      </c>
      <c r="B1023" s="1039" t="s">
        <v>517</v>
      </c>
      <c r="C1023" s="1032">
        <v>1983</v>
      </c>
      <c r="D1023" s="1066"/>
      <c r="E1023" s="1271" t="s">
        <v>219</v>
      </c>
      <c r="F1023" s="1032">
        <v>9</v>
      </c>
      <c r="G1023" s="1032">
        <v>1</v>
      </c>
      <c r="H1023" s="1037">
        <v>2504.8000000000002</v>
      </c>
      <c r="I1023" s="1037">
        <v>2193.3000000000002</v>
      </c>
      <c r="J1023" s="1037">
        <v>3193.3</v>
      </c>
      <c r="K1023" s="1266">
        <v>105</v>
      </c>
      <c r="L1023" s="1037">
        <v>3099743.14</v>
      </c>
      <c r="M1023" s="1059">
        <v>0</v>
      </c>
      <c r="N1023" s="1059">
        <v>0</v>
      </c>
      <c r="O1023" s="1037">
        <f t="shared" si="376"/>
        <v>3099743.14</v>
      </c>
      <c r="P1023" s="1059">
        <v>0</v>
      </c>
      <c r="Q1023" s="1059">
        <v>0</v>
      </c>
      <c r="R1023" s="993">
        <f t="shared" si="377"/>
        <v>1413.2782291524186</v>
      </c>
      <c r="S1023" s="987">
        <v>2022</v>
      </c>
      <c r="T1023" s="987">
        <v>2022</v>
      </c>
    </row>
    <row r="1024" spans="1:20" s="1004" customFormat="1" ht="41.25" customHeight="1">
      <c r="A1024" s="1032">
        <v>195</v>
      </c>
      <c r="B1024" s="1039" t="s">
        <v>2636</v>
      </c>
      <c r="C1024" s="1032">
        <v>1976</v>
      </c>
      <c r="D1024" s="1066"/>
      <c r="E1024" s="1271" t="s">
        <v>218</v>
      </c>
      <c r="F1024" s="1032">
        <v>5</v>
      </c>
      <c r="G1024" s="1032">
        <v>4</v>
      </c>
      <c r="H1024" s="1037">
        <v>3622.4</v>
      </c>
      <c r="I1024" s="1037">
        <v>2301.9</v>
      </c>
      <c r="J1024" s="1037">
        <v>2301.9</v>
      </c>
      <c r="K1024" s="1266">
        <v>134</v>
      </c>
      <c r="L1024" s="1037">
        <v>5092407.22</v>
      </c>
      <c r="M1024" s="1059">
        <v>0</v>
      </c>
      <c r="N1024" s="1059">
        <v>0</v>
      </c>
      <c r="O1024" s="1037">
        <f t="shared" si="376"/>
        <v>5092407.22</v>
      </c>
      <c r="P1024" s="1059">
        <v>0</v>
      </c>
      <c r="Q1024" s="1059">
        <v>0</v>
      </c>
      <c r="R1024" s="993">
        <f t="shared" si="377"/>
        <v>2212.2625743950648</v>
      </c>
      <c r="S1024" s="987">
        <v>2022</v>
      </c>
      <c r="T1024" s="987">
        <v>2022</v>
      </c>
    </row>
    <row r="1025" spans="1:20" s="1004" customFormat="1" ht="41.25" customHeight="1">
      <c r="A1025" s="1032">
        <v>196</v>
      </c>
      <c r="B1025" s="1039" t="s">
        <v>2637</v>
      </c>
      <c r="C1025" s="1032">
        <v>1989</v>
      </c>
      <c r="D1025" s="1066"/>
      <c r="E1025" s="1271" t="s">
        <v>219</v>
      </c>
      <c r="F1025" s="1032">
        <v>5</v>
      </c>
      <c r="G1025" s="1032">
        <v>10</v>
      </c>
      <c r="H1025" s="1037">
        <v>13162.6</v>
      </c>
      <c r="I1025" s="1037">
        <v>11082</v>
      </c>
      <c r="J1025" s="1037">
        <v>11082</v>
      </c>
      <c r="K1025" s="1266">
        <v>445</v>
      </c>
      <c r="L1025" s="1037">
        <v>13175113.390000001</v>
      </c>
      <c r="M1025" s="1059">
        <v>0</v>
      </c>
      <c r="N1025" s="1059">
        <v>0</v>
      </c>
      <c r="O1025" s="1037">
        <f t="shared" si="376"/>
        <v>13175113.390000001</v>
      </c>
      <c r="P1025" s="1059">
        <v>0</v>
      </c>
      <c r="Q1025" s="1059">
        <v>0</v>
      </c>
      <c r="R1025" s="993">
        <f t="shared" si="377"/>
        <v>1188.8750577513085</v>
      </c>
      <c r="S1025" s="987">
        <v>2022</v>
      </c>
      <c r="T1025" s="987">
        <v>2022</v>
      </c>
    </row>
    <row r="1026" spans="1:20" s="1004" customFormat="1" ht="41.25" customHeight="1">
      <c r="A1026" s="1032">
        <v>197</v>
      </c>
      <c r="B1026" s="1039" t="s">
        <v>2638</v>
      </c>
      <c r="C1026" s="1032">
        <v>1964</v>
      </c>
      <c r="D1026" s="1066"/>
      <c r="E1026" s="1271" t="s">
        <v>218</v>
      </c>
      <c r="F1026" s="1032">
        <v>2</v>
      </c>
      <c r="G1026" s="1032">
        <v>2</v>
      </c>
      <c r="H1026" s="1037">
        <v>630</v>
      </c>
      <c r="I1026" s="1037">
        <v>411.4</v>
      </c>
      <c r="J1026" s="1037">
        <v>411.4</v>
      </c>
      <c r="K1026" s="1266">
        <v>21</v>
      </c>
      <c r="L1026" s="1037">
        <v>3121208.59</v>
      </c>
      <c r="M1026" s="1059">
        <v>0</v>
      </c>
      <c r="N1026" s="1059">
        <v>0</v>
      </c>
      <c r="O1026" s="1037">
        <f t="shared" si="376"/>
        <v>3121208.59</v>
      </c>
      <c r="P1026" s="1059">
        <v>0</v>
      </c>
      <c r="Q1026" s="1059">
        <v>0</v>
      </c>
      <c r="R1026" s="993">
        <f t="shared" si="377"/>
        <v>7586.7977394263489</v>
      </c>
      <c r="S1026" s="987">
        <v>2022</v>
      </c>
      <c r="T1026" s="987">
        <v>2022</v>
      </c>
    </row>
    <row r="1027" spans="1:20" s="1004" customFormat="1" ht="41.25" customHeight="1">
      <c r="A1027" s="1271"/>
      <c r="B1027" s="1391" t="s">
        <v>67</v>
      </c>
      <c r="C1027" s="1391"/>
      <c r="D1027" s="1391"/>
      <c r="E1027" s="1391"/>
      <c r="F1027" s="1391"/>
      <c r="G1027" s="1391"/>
      <c r="H1027" s="985">
        <f>H1028</f>
        <v>1430</v>
      </c>
      <c r="I1027" s="985">
        <f t="shared" ref="I1027:Q1027" si="378">I1028</f>
        <v>1430</v>
      </c>
      <c r="J1027" s="985">
        <f t="shared" si="378"/>
        <v>1302</v>
      </c>
      <c r="K1027" s="1064">
        <f t="shared" si="378"/>
        <v>73</v>
      </c>
      <c r="L1027" s="985">
        <f t="shared" si="378"/>
        <v>3904530.34</v>
      </c>
      <c r="M1027" s="985">
        <f t="shared" si="378"/>
        <v>0</v>
      </c>
      <c r="N1027" s="985">
        <f t="shared" si="378"/>
        <v>0</v>
      </c>
      <c r="O1027" s="985">
        <f t="shared" si="378"/>
        <v>3904530.34</v>
      </c>
      <c r="P1027" s="985">
        <f t="shared" si="378"/>
        <v>0</v>
      </c>
      <c r="Q1027" s="985">
        <f t="shared" si="378"/>
        <v>0</v>
      </c>
      <c r="R1027" s="991" t="s">
        <v>40</v>
      </c>
      <c r="S1027" s="991" t="s">
        <v>40</v>
      </c>
      <c r="T1027" s="1279" t="s">
        <v>40</v>
      </c>
    </row>
    <row r="1028" spans="1:20" s="1004" customFormat="1" ht="41.25" customHeight="1">
      <c r="A1028" s="1271"/>
      <c r="B1028" s="1390" t="s">
        <v>1233</v>
      </c>
      <c r="C1028" s="1390"/>
      <c r="D1028" s="1390"/>
      <c r="E1028" s="1390"/>
      <c r="F1028" s="1390"/>
      <c r="G1028" s="1390"/>
      <c r="H1028" s="985">
        <f>H1029+H1030</f>
        <v>1430</v>
      </c>
      <c r="I1028" s="985">
        <f t="shared" ref="I1028:Q1028" si="379">I1029+I1030</f>
        <v>1430</v>
      </c>
      <c r="J1028" s="985">
        <f t="shared" si="379"/>
        <v>1302</v>
      </c>
      <c r="K1028" s="1064">
        <f t="shared" si="379"/>
        <v>73</v>
      </c>
      <c r="L1028" s="985">
        <f t="shared" si="379"/>
        <v>3904530.34</v>
      </c>
      <c r="M1028" s="985">
        <f t="shared" si="379"/>
        <v>0</v>
      </c>
      <c r="N1028" s="985">
        <f t="shared" si="379"/>
        <v>0</v>
      </c>
      <c r="O1028" s="985">
        <f t="shared" si="379"/>
        <v>3904530.34</v>
      </c>
      <c r="P1028" s="985">
        <f t="shared" si="379"/>
        <v>0</v>
      </c>
      <c r="Q1028" s="985">
        <f t="shared" si="379"/>
        <v>0</v>
      </c>
      <c r="R1028" s="991" t="s">
        <v>40</v>
      </c>
      <c r="S1028" s="991" t="s">
        <v>40</v>
      </c>
      <c r="T1028" s="1279" t="s">
        <v>40</v>
      </c>
    </row>
    <row r="1029" spans="1:20" s="1004" customFormat="1" ht="41.25" customHeight="1">
      <c r="A1029" s="1271">
        <v>198</v>
      </c>
      <c r="B1029" s="1274" t="s">
        <v>1619</v>
      </c>
      <c r="C1029" s="1271">
        <v>2002</v>
      </c>
      <c r="D1029" s="1271"/>
      <c r="E1029" s="1271" t="s">
        <v>218</v>
      </c>
      <c r="F1029" s="1271">
        <v>3</v>
      </c>
      <c r="G1029" s="1271">
        <v>2</v>
      </c>
      <c r="H1029" s="993">
        <v>1017</v>
      </c>
      <c r="I1029" s="993">
        <v>1017</v>
      </c>
      <c r="J1029" s="993">
        <v>927</v>
      </c>
      <c r="K1029" s="987">
        <v>50</v>
      </c>
      <c r="L1029" s="993">
        <v>2184627.34</v>
      </c>
      <c r="M1029" s="993">
        <v>0</v>
      </c>
      <c r="N1029" s="993">
        <v>0</v>
      </c>
      <c r="O1029" s="993">
        <v>2184627.34</v>
      </c>
      <c r="P1029" s="993">
        <v>0</v>
      </c>
      <c r="Q1029" s="993">
        <v>0</v>
      </c>
      <c r="R1029" s="993">
        <f>L1029/I1029</f>
        <v>2148.10947885939</v>
      </c>
      <c r="S1029" s="987">
        <v>2022</v>
      </c>
      <c r="T1029" s="987">
        <v>2022</v>
      </c>
    </row>
    <row r="1030" spans="1:20" s="1004" customFormat="1" ht="41.25" customHeight="1">
      <c r="A1030" s="1271">
        <v>199</v>
      </c>
      <c r="B1030" s="1274" t="s">
        <v>1595</v>
      </c>
      <c r="C1030" s="1273">
        <v>1954</v>
      </c>
      <c r="D1030" s="1273"/>
      <c r="E1030" s="1271" t="s">
        <v>218</v>
      </c>
      <c r="F1030" s="1279">
        <v>2</v>
      </c>
      <c r="G1030" s="1279">
        <v>2</v>
      </c>
      <c r="H1030" s="985">
        <v>413</v>
      </c>
      <c r="I1030" s="985">
        <v>413</v>
      </c>
      <c r="J1030" s="985">
        <v>375</v>
      </c>
      <c r="K1030" s="1064">
        <v>23</v>
      </c>
      <c r="L1030" s="985">
        <v>1719903</v>
      </c>
      <c r="M1030" s="985">
        <v>0</v>
      </c>
      <c r="N1030" s="985">
        <v>0</v>
      </c>
      <c r="O1030" s="985">
        <v>1719903</v>
      </c>
      <c r="P1030" s="985">
        <v>0</v>
      </c>
      <c r="Q1030" s="985">
        <v>0</v>
      </c>
      <c r="R1030" s="985">
        <f>L1030/I1030</f>
        <v>4164.4140435835352</v>
      </c>
      <c r="S1030" s="987">
        <v>2022</v>
      </c>
      <c r="T1030" s="987">
        <v>2022</v>
      </c>
    </row>
    <row r="1031" spans="1:20" s="1004" customFormat="1" ht="48" customHeight="1">
      <c r="A1031" s="1399" t="s">
        <v>35</v>
      </c>
      <c r="B1031" s="1399"/>
      <c r="C1031" s="1399"/>
      <c r="D1031" s="1399"/>
      <c r="E1031" s="1399"/>
      <c r="F1031" s="1399"/>
      <c r="G1031" s="1399"/>
      <c r="H1031" s="1399"/>
      <c r="I1031" s="1399"/>
      <c r="J1031" s="1399"/>
      <c r="K1031" s="1399"/>
      <c r="L1031" s="1399"/>
      <c r="M1031" s="1399"/>
      <c r="N1031" s="1399"/>
      <c r="O1031" s="1399"/>
      <c r="P1031" s="1399"/>
      <c r="Q1031" s="1399"/>
      <c r="R1031" s="1399"/>
      <c r="S1031" s="1399"/>
      <c r="T1031" s="1399"/>
    </row>
    <row r="1032" spans="1:20" s="1004" customFormat="1" ht="41.25" customHeight="1">
      <c r="A1032" s="1271"/>
      <c r="B1032" s="1392" t="s">
        <v>42</v>
      </c>
      <c r="C1032" s="1392"/>
      <c r="D1032" s="1392"/>
      <c r="E1032" s="1392"/>
      <c r="F1032" s="1392"/>
      <c r="G1032" s="1392"/>
      <c r="H1032" s="985">
        <v>0</v>
      </c>
      <c r="I1032" s="985">
        <v>0</v>
      </c>
      <c r="J1032" s="985">
        <v>0</v>
      </c>
      <c r="K1032" s="1064">
        <v>0</v>
      </c>
      <c r="L1032" s="986">
        <v>0</v>
      </c>
      <c r="M1032" s="986">
        <v>0</v>
      </c>
      <c r="N1032" s="986">
        <v>0</v>
      </c>
      <c r="O1032" s="986">
        <v>0</v>
      </c>
      <c r="P1032" s="986">
        <v>0</v>
      </c>
      <c r="Q1032" s="986">
        <v>0</v>
      </c>
      <c r="R1032" s="991" t="s">
        <v>40</v>
      </c>
      <c r="S1032" s="991" t="s">
        <v>40</v>
      </c>
      <c r="T1032" s="991" t="s">
        <v>40</v>
      </c>
    </row>
    <row r="1033" spans="1:20" s="1004" customFormat="1" ht="67.150000000000006" customHeight="1">
      <c r="A1033" s="1399" t="s">
        <v>1120</v>
      </c>
      <c r="B1033" s="1399"/>
      <c r="C1033" s="1399"/>
      <c r="D1033" s="1399"/>
      <c r="E1033" s="1399"/>
      <c r="F1033" s="1399"/>
      <c r="G1033" s="1399"/>
      <c r="H1033" s="1399"/>
      <c r="I1033" s="1399"/>
      <c r="J1033" s="1399"/>
      <c r="K1033" s="1399"/>
      <c r="L1033" s="1399"/>
      <c r="M1033" s="1399"/>
      <c r="N1033" s="1399"/>
      <c r="O1033" s="1399"/>
      <c r="P1033" s="1399"/>
      <c r="Q1033" s="1399"/>
      <c r="R1033" s="1399"/>
      <c r="S1033" s="1399"/>
      <c r="T1033" s="1399"/>
    </row>
    <row r="1034" spans="1:20" s="1004" customFormat="1" ht="41.25" customHeight="1">
      <c r="A1034" s="1271"/>
      <c r="B1034" s="1392" t="s">
        <v>42</v>
      </c>
      <c r="C1034" s="1392"/>
      <c r="D1034" s="1392"/>
      <c r="E1034" s="1392"/>
      <c r="F1034" s="1392"/>
      <c r="G1034" s="1392"/>
      <c r="H1034" s="985">
        <f>H1035</f>
        <v>10462.699999999999</v>
      </c>
      <c r="I1034" s="985">
        <f t="shared" ref="I1034:Q1034" si="380">I1035</f>
        <v>10048.900000000001</v>
      </c>
      <c r="J1034" s="985">
        <f t="shared" si="380"/>
        <v>9941.4000000000015</v>
      </c>
      <c r="K1034" s="1064">
        <f t="shared" si="380"/>
        <v>391</v>
      </c>
      <c r="L1034" s="985">
        <f t="shared" si="380"/>
        <v>6173012</v>
      </c>
      <c r="M1034" s="985">
        <f t="shared" si="380"/>
        <v>0</v>
      </c>
      <c r="N1034" s="985">
        <f t="shared" si="380"/>
        <v>1851903</v>
      </c>
      <c r="O1034" s="985">
        <f t="shared" si="380"/>
        <v>4321109</v>
      </c>
      <c r="P1034" s="985">
        <f t="shared" si="380"/>
        <v>0</v>
      </c>
      <c r="Q1034" s="985">
        <f t="shared" si="380"/>
        <v>0</v>
      </c>
      <c r="R1034" s="991" t="s">
        <v>40</v>
      </c>
      <c r="S1034" s="991" t="s">
        <v>40</v>
      </c>
      <c r="T1034" s="991" t="s">
        <v>40</v>
      </c>
    </row>
    <row r="1035" spans="1:20" s="1004" customFormat="1" ht="41.25" customHeight="1">
      <c r="A1035" s="1271"/>
      <c r="B1035" s="1390" t="s">
        <v>1969</v>
      </c>
      <c r="C1035" s="1390"/>
      <c r="D1035" s="1390"/>
      <c r="E1035" s="1390"/>
      <c r="F1035" s="1390"/>
      <c r="G1035" s="1390"/>
      <c r="H1035" s="985">
        <f>SUM(H1036:H1048)</f>
        <v>10462.699999999999</v>
      </c>
      <c r="I1035" s="985">
        <f t="shared" ref="I1035:Q1035" si="381">SUM(I1036:I1048)</f>
        <v>10048.900000000001</v>
      </c>
      <c r="J1035" s="985">
        <f t="shared" si="381"/>
        <v>9941.4000000000015</v>
      </c>
      <c r="K1035" s="1064">
        <f t="shared" si="381"/>
        <v>391</v>
      </c>
      <c r="L1035" s="985">
        <f t="shared" si="381"/>
        <v>6173012</v>
      </c>
      <c r="M1035" s="985">
        <f t="shared" si="381"/>
        <v>0</v>
      </c>
      <c r="N1035" s="985">
        <f t="shared" si="381"/>
        <v>1851903</v>
      </c>
      <c r="O1035" s="985">
        <f t="shared" si="381"/>
        <v>4321109</v>
      </c>
      <c r="P1035" s="985">
        <f t="shared" si="381"/>
        <v>0</v>
      </c>
      <c r="Q1035" s="985">
        <f t="shared" si="381"/>
        <v>0</v>
      </c>
      <c r="R1035" s="991" t="s">
        <v>40</v>
      </c>
      <c r="S1035" s="991" t="s">
        <v>40</v>
      </c>
      <c r="T1035" s="991" t="s">
        <v>40</v>
      </c>
    </row>
    <row r="1036" spans="1:20" s="1004" customFormat="1" ht="41.25" customHeight="1">
      <c r="A1036" s="1271">
        <v>200</v>
      </c>
      <c r="B1036" s="1272" t="s">
        <v>1970</v>
      </c>
      <c r="C1036" s="1272">
        <v>1966</v>
      </c>
      <c r="D1036" s="987">
        <v>2016</v>
      </c>
      <c r="E1036" s="1271" t="s">
        <v>218</v>
      </c>
      <c r="F1036" s="1271">
        <v>2</v>
      </c>
      <c r="G1036" s="1271">
        <v>2</v>
      </c>
      <c r="H1036" s="985">
        <v>448.8</v>
      </c>
      <c r="I1036" s="985">
        <v>427.2</v>
      </c>
      <c r="J1036" s="985">
        <v>392.2</v>
      </c>
      <c r="K1036" s="1064">
        <v>19</v>
      </c>
      <c r="L1036" s="985">
        <f>N1036+O1036</f>
        <v>845502</v>
      </c>
      <c r="M1036" s="985">
        <v>0</v>
      </c>
      <c r="N1036" s="985">
        <v>253651</v>
      </c>
      <c r="O1036" s="985">
        <v>591851</v>
      </c>
      <c r="P1036" s="985">
        <v>0</v>
      </c>
      <c r="Q1036" s="985">
        <v>0</v>
      </c>
      <c r="R1036" s="993">
        <f>L1036/I1036</f>
        <v>1979.1713483146068</v>
      </c>
      <c r="S1036" s="1064">
        <v>2022</v>
      </c>
      <c r="T1036" s="1064">
        <v>2022</v>
      </c>
    </row>
    <row r="1037" spans="1:20" s="1004" customFormat="1" ht="41.25" customHeight="1">
      <c r="A1037" s="1031">
        <v>201</v>
      </c>
      <c r="B1037" s="1276" t="s">
        <v>2642</v>
      </c>
      <c r="C1037" s="1032">
        <v>1976</v>
      </c>
      <c r="D1037" s="987">
        <v>2016</v>
      </c>
      <c r="E1037" s="1031" t="s">
        <v>219</v>
      </c>
      <c r="F1037" s="1032">
        <v>2</v>
      </c>
      <c r="G1037" s="1032">
        <v>2</v>
      </c>
      <c r="H1037" s="1037">
        <v>783.8</v>
      </c>
      <c r="I1037" s="1037">
        <v>766.7</v>
      </c>
      <c r="J1037" s="1037">
        <v>766.7</v>
      </c>
      <c r="K1037" s="1068">
        <v>26</v>
      </c>
      <c r="L1037" s="1037">
        <v>936828</v>
      </c>
      <c r="M1037" s="1037">
        <v>0</v>
      </c>
      <c r="N1037" s="1037">
        <v>281048</v>
      </c>
      <c r="O1037" s="1037">
        <v>655780</v>
      </c>
      <c r="P1037" s="1037">
        <v>0</v>
      </c>
      <c r="Q1037" s="1037">
        <v>0</v>
      </c>
      <c r="R1037" s="1037">
        <f>L1037/H1037</f>
        <v>1195.2385812707323</v>
      </c>
      <c r="S1037" s="1064">
        <v>2022</v>
      </c>
      <c r="T1037" s="1064">
        <v>2022</v>
      </c>
    </row>
    <row r="1038" spans="1:20" s="1004" customFormat="1" ht="41.25" customHeight="1">
      <c r="A1038" s="1271">
        <v>202</v>
      </c>
      <c r="B1038" s="1276" t="s">
        <v>2643</v>
      </c>
      <c r="C1038" s="1032">
        <v>1977</v>
      </c>
      <c r="D1038" s="987">
        <v>2016</v>
      </c>
      <c r="E1038" s="1031" t="s">
        <v>220</v>
      </c>
      <c r="F1038" s="1032">
        <v>2</v>
      </c>
      <c r="G1038" s="1032">
        <v>2</v>
      </c>
      <c r="H1038" s="1037">
        <v>764.4</v>
      </c>
      <c r="I1038" s="1037">
        <v>748.3</v>
      </c>
      <c r="J1038" s="1037">
        <v>748.3</v>
      </c>
      <c r="K1038" s="1068">
        <v>30</v>
      </c>
      <c r="L1038" s="1037">
        <v>254670</v>
      </c>
      <c r="M1038" s="1037">
        <v>0</v>
      </c>
      <c r="N1038" s="1037">
        <v>76401</v>
      </c>
      <c r="O1038" s="1037">
        <v>178269</v>
      </c>
      <c r="P1038" s="1037">
        <v>0</v>
      </c>
      <c r="Q1038" s="1037">
        <v>0</v>
      </c>
      <c r="R1038" s="1037">
        <f t="shared" ref="R1038:R1048" si="382">SUM(L1038/I1038)</f>
        <v>340.33141788052922</v>
      </c>
      <c r="S1038" s="1064">
        <v>2022</v>
      </c>
      <c r="T1038" s="1064">
        <v>2022</v>
      </c>
    </row>
    <row r="1039" spans="1:20" s="1004" customFormat="1" ht="41.25" customHeight="1">
      <c r="A1039" s="1031">
        <v>203</v>
      </c>
      <c r="B1039" s="1276" t="s">
        <v>2644</v>
      </c>
      <c r="C1039" s="1032">
        <v>1983</v>
      </c>
      <c r="D1039" s="987">
        <v>2016</v>
      </c>
      <c r="E1039" s="1031" t="s">
        <v>218</v>
      </c>
      <c r="F1039" s="1032">
        <v>2</v>
      </c>
      <c r="G1039" s="1032">
        <v>2</v>
      </c>
      <c r="H1039" s="1037">
        <v>867</v>
      </c>
      <c r="I1039" s="1037">
        <v>849.4</v>
      </c>
      <c r="J1039" s="1037">
        <v>849.4</v>
      </c>
      <c r="K1039" s="1068">
        <v>38</v>
      </c>
      <c r="L1039" s="1037">
        <v>524226</v>
      </c>
      <c r="M1039" s="1037">
        <v>0</v>
      </c>
      <c r="N1039" s="1037">
        <v>157268</v>
      </c>
      <c r="O1039" s="1037">
        <v>366958</v>
      </c>
      <c r="P1039" s="1037">
        <v>0</v>
      </c>
      <c r="Q1039" s="1037">
        <v>0</v>
      </c>
      <c r="R1039" s="1037">
        <f t="shared" si="382"/>
        <v>617.17212149752766</v>
      </c>
      <c r="S1039" s="1064">
        <v>2022</v>
      </c>
      <c r="T1039" s="1064">
        <v>2022</v>
      </c>
    </row>
    <row r="1040" spans="1:20" s="1004" customFormat="1" ht="41.25" customHeight="1">
      <c r="A1040" s="1271">
        <v>204</v>
      </c>
      <c r="B1040" s="1276" t="s">
        <v>2645</v>
      </c>
      <c r="C1040" s="1032">
        <v>1999</v>
      </c>
      <c r="D1040" s="987">
        <v>2016</v>
      </c>
      <c r="E1040" s="1031" t="s">
        <v>219</v>
      </c>
      <c r="F1040" s="1032">
        <v>2</v>
      </c>
      <c r="G1040" s="1032">
        <v>2</v>
      </c>
      <c r="H1040" s="1037">
        <v>863.4</v>
      </c>
      <c r="I1040" s="1037">
        <v>848.7</v>
      </c>
      <c r="J1040" s="1037">
        <v>848.7</v>
      </c>
      <c r="K1040" s="1068">
        <v>34</v>
      </c>
      <c r="L1040" s="1037">
        <v>519921</v>
      </c>
      <c r="M1040" s="1037">
        <v>0</v>
      </c>
      <c r="N1040" s="1037">
        <v>155976</v>
      </c>
      <c r="O1040" s="1037">
        <v>363945</v>
      </c>
      <c r="P1040" s="1037">
        <v>0</v>
      </c>
      <c r="Q1040" s="1037">
        <v>0</v>
      </c>
      <c r="R1040" s="1037">
        <f t="shared" si="382"/>
        <v>612.60869565217388</v>
      </c>
      <c r="S1040" s="1064">
        <v>2022</v>
      </c>
      <c r="T1040" s="1064">
        <v>2022</v>
      </c>
    </row>
    <row r="1041" spans="1:79" s="1004" customFormat="1" ht="41.25" customHeight="1">
      <c r="A1041" s="1031">
        <v>205</v>
      </c>
      <c r="B1041" s="1276" t="s">
        <v>2646</v>
      </c>
      <c r="C1041" s="1032">
        <v>1984</v>
      </c>
      <c r="D1041" s="987">
        <v>2016</v>
      </c>
      <c r="E1041" s="1031" t="s">
        <v>218</v>
      </c>
      <c r="F1041" s="1032">
        <v>2</v>
      </c>
      <c r="G1041" s="1032">
        <v>3</v>
      </c>
      <c r="H1041" s="1037">
        <v>960.1</v>
      </c>
      <c r="I1041" s="1037">
        <v>839.4</v>
      </c>
      <c r="J1041" s="1037">
        <v>839.4</v>
      </c>
      <c r="K1041" s="1068">
        <v>35</v>
      </c>
      <c r="L1041" s="1037">
        <v>435243</v>
      </c>
      <c r="M1041" s="1037">
        <v>0</v>
      </c>
      <c r="N1041" s="1037">
        <v>130573</v>
      </c>
      <c r="O1041" s="1037">
        <v>304671</v>
      </c>
      <c r="P1041" s="1037">
        <v>0</v>
      </c>
      <c r="Q1041" s="1037">
        <v>0</v>
      </c>
      <c r="R1041" s="1037">
        <f t="shared" si="382"/>
        <v>518.51679771265196</v>
      </c>
      <c r="S1041" s="1064">
        <v>2022</v>
      </c>
      <c r="T1041" s="1064">
        <v>2022</v>
      </c>
    </row>
    <row r="1042" spans="1:79" s="1004" customFormat="1" ht="41.25" customHeight="1">
      <c r="A1042" s="1271">
        <v>206</v>
      </c>
      <c r="B1042" s="1276" t="s">
        <v>2647</v>
      </c>
      <c r="C1042" s="1032">
        <v>1974</v>
      </c>
      <c r="D1042" s="987">
        <v>2016</v>
      </c>
      <c r="E1042" s="1031" t="s">
        <v>218</v>
      </c>
      <c r="F1042" s="1032">
        <v>2</v>
      </c>
      <c r="G1042" s="1032">
        <v>2</v>
      </c>
      <c r="H1042" s="1037">
        <v>752.3</v>
      </c>
      <c r="I1042" s="1037">
        <v>731.8</v>
      </c>
      <c r="J1042" s="1037">
        <v>731.8</v>
      </c>
      <c r="K1042" s="1068">
        <v>25</v>
      </c>
      <c r="L1042" s="1037">
        <v>307068</v>
      </c>
      <c r="M1042" s="1037">
        <v>0</v>
      </c>
      <c r="N1042" s="1037">
        <v>92120</v>
      </c>
      <c r="O1042" s="1037">
        <v>214947</v>
      </c>
      <c r="P1042" s="1037">
        <v>0</v>
      </c>
      <c r="Q1042" s="1037">
        <v>0</v>
      </c>
      <c r="R1042" s="1037">
        <f t="shared" si="382"/>
        <v>419.60644984968576</v>
      </c>
      <c r="S1042" s="1064">
        <v>2022</v>
      </c>
      <c r="T1042" s="1064">
        <v>2022</v>
      </c>
    </row>
    <row r="1043" spans="1:79" s="1004" customFormat="1" ht="41.25" customHeight="1">
      <c r="A1043" s="1031">
        <v>207</v>
      </c>
      <c r="B1043" s="1276" t="s">
        <v>2235</v>
      </c>
      <c r="C1043" s="1032">
        <v>1984</v>
      </c>
      <c r="D1043" s="987">
        <v>2021</v>
      </c>
      <c r="E1043" s="1031" t="s">
        <v>220</v>
      </c>
      <c r="F1043" s="1032">
        <v>2</v>
      </c>
      <c r="G1043" s="1032">
        <v>2</v>
      </c>
      <c r="H1043" s="1037">
        <v>759.6</v>
      </c>
      <c r="I1043" s="1037">
        <v>742</v>
      </c>
      <c r="J1043" s="1037">
        <v>742</v>
      </c>
      <c r="K1043" s="1068">
        <v>29</v>
      </c>
      <c r="L1043" s="1037">
        <v>177147</v>
      </c>
      <c r="M1043" s="1037">
        <v>0</v>
      </c>
      <c r="N1043" s="1037">
        <v>53144</v>
      </c>
      <c r="O1043" s="1037">
        <v>124003</v>
      </c>
      <c r="P1043" s="1037">
        <v>0</v>
      </c>
      <c r="Q1043" s="1037">
        <v>0</v>
      </c>
      <c r="R1043" s="1037">
        <f t="shared" si="382"/>
        <v>238.74258760107816</v>
      </c>
      <c r="S1043" s="1064">
        <v>2022</v>
      </c>
      <c r="T1043" s="1064">
        <v>2022</v>
      </c>
    </row>
    <row r="1044" spans="1:79" s="1004" customFormat="1" ht="41.25" customHeight="1">
      <c r="A1044" s="1271">
        <v>208</v>
      </c>
      <c r="B1044" s="1276" t="s">
        <v>2648</v>
      </c>
      <c r="C1044" s="1032">
        <v>1984</v>
      </c>
      <c r="D1044" s="987">
        <v>2016</v>
      </c>
      <c r="E1044" s="1031" t="s">
        <v>220</v>
      </c>
      <c r="F1044" s="1032">
        <v>2</v>
      </c>
      <c r="G1044" s="1032">
        <v>3</v>
      </c>
      <c r="H1044" s="1037">
        <v>862.4</v>
      </c>
      <c r="I1044" s="1037">
        <v>838.5</v>
      </c>
      <c r="J1044" s="1037">
        <v>838.5</v>
      </c>
      <c r="K1044" s="1068">
        <v>41</v>
      </c>
      <c r="L1044" s="1037">
        <v>347000</v>
      </c>
      <c r="M1044" s="1037">
        <v>0</v>
      </c>
      <c r="N1044" s="1037">
        <v>104100</v>
      </c>
      <c r="O1044" s="1037">
        <v>242900</v>
      </c>
      <c r="P1044" s="1037">
        <v>0</v>
      </c>
      <c r="Q1044" s="1037">
        <v>0</v>
      </c>
      <c r="R1044" s="1037">
        <f t="shared" si="382"/>
        <v>413.83422778771615</v>
      </c>
      <c r="S1044" s="1064">
        <v>2022</v>
      </c>
      <c r="T1044" s="1064">
        <v>2022</v>
      </c>
    </row>
    <row r="1045" spans="1:79" s="1004" customFormat="1" ht="41.25" customHeight="1">
      <c r="A1045" s="1031">
        <v>209</v>
      </c>
      <c r="B1045" s="1276" t="s">
        <v>2649</v>
      </c>
      <c r="C1045" s="1032">
        <v>1990</v>
      </c>
      <c r="D1045" s="987">
        <v>2018</v>
      </c>
      <c r="E1045" s="1031" t="s">
        <v>219</v>
      </c>
      <c r="F1045" s="1032">
        <v>3</v>
      </c>
      <c r="G1045" s="1032">
        <v>3</v>
      </c>
      <c r="H1045" s="1037">
        <v>1571.3</v>
      </c>
      <c r="I1045" s="1037">
        <v>1516.3</v>
      </c>
      <c r="J1045" s="1037">
        <v>1516.3</v>
      </c>
      <c r="K1045" s="1068">
        <v>66</v>
      </c>
      <c r="L1045" s="1037">
        <v>384000</v>
      </c>
      <c r="M1045" s="1037">
        <v>0</v>
      </c>
      <c r="N1045" s="1037">
        <v>115200</v>
      </c>
      <c r="O1045" s="1037">
        <v>268800</v>
      </c>
      <c r="P1045" s="1037">
        <v>0</v>
      </c>
      <c r="Q1045" s="1037">
        <v>0</v>
      </c>
      <c r="R1045" s="1037">
        <f t="shared" si="382"/>
        <v>253.24803798720569</v>
      </c>
      <c r="S1045" s="1064">
        <v>2022</v>
      </c>
      <c r="T1045" s="1064">
        <v>2022</v>
      </c>
    </row>
    <row r="1046" spans="1:79" s="1004" customFormat="1" ht="41.25" customHeight="1">
      <c r="A1046" s="1271">
        <v>210</v>
      </c>
      <c r="B1046" s="1276" t="s">
        <v>2650</v>
      </c>
      <c r="C1046" s="1032">
        <v>1993</v>
      </c>
      <c r="D1046" s="987">
        <v>2017</v>
      </c>
      <c r="E1046" s="1031" t="s">
        <v>218</v>
      </c>
      <c r="F1046" s="1032">
        <v>2</v>
      </c>
      <c r="G1046" s="1032">
        <v>2</v>
      </c>
      <c r="H1046" s="1037">
        <v>756.3</v>
      </c>
      <c r="I1046" s="1037">
        <v>738.7</v>
      </c>
      <c r="J1046" s="1037">
        <v>738.7</v>
      </c>
      <c r="K1046" s="1068">
        <v>10</v>
      </c>
      <c r="L1046" s="1037">
        <v>243000</v>
      </c>
      <c r="M1046" s="1037">
        <v>0</v>
      </c>
      <c r="N1046" s="1037">
        <v>72900</v>
      </c>
      <c r="O1046" s="1037">
        <v>170100</v>
      </c>
      <c r="P1046" s="1037">
        <v>0</v>
      </c>
      <c r="Q1046" s="1037">
        <v>0</v>
      </c>
      <c r="R1046" s="1037">
        <f t="shared" si="382"/>
        <v>328.95627453634762</v>
      </c>
      <c r="S1046" s="1064">
        <v>2022</v>
      </c>
      <c r="T1046" s="1064">
        <v>2022</v>
      </c>
    </row>
    <row r="1047" spans="1:79" s="1004" customFormat="1" ht="41.25" customHeight="1">
      <c r="A1047" s="1031">
        <v>211</v>
      </c>
      <c r="B1047" s="1276" t="s">
        <v>2651</v>
      </c>
      <c r="C1047" s="1032">
        <v>1989</v>
      </c>
      <c r="D1047" s="987">
        <v>2017</v>
      </c>
      <c r="E1047" s="1031" t="s">
        <v>218</v>
      </c>
      <c r="F1047" s="1032">
        <v>2</v>
      </c>
      <c r="G1047" s="1032">
        <v>1</v>
      </c>
      <c r="H1047" s="1037">
        <v>432.9</v>
      </c>
      <c r="I1047" s="1037">
        <v>397.2</v>
      </c>
      <c r="J1047" s="1037">
        <v>324.7</v>
      </c>
      <c r="K1047" s="1068">
        <v>19</v>
      </c>
      <c r="L1047" s="1037">
        <v>240957</v>
      </c>
      <c r="M1047" s="1037">
        <v>0</v>
      </c>
      <c r="N1047" s="1037">
        <v>72287</v>
      </c>
      <c r="O1047" s="1037">
        <v>168670</v>
      </c>
      <c r="P1047" s="1037">
        <v>0</v>
      </c>
      <c r="Q1047" s="1037">
        <v>0</v>
      </c>
      <c r="R1047" s="1037">
        <f t="shared" si="382"/>
        <v>606.63897280966773</v>
      </c>
      <c r="S1047" s="1064">
        <v>2022</v>
      </c>
      <c r="T1047" s="1064">
        <v>2022</v>
      </c>
    </row>
    <row r="1048" spans="1:79" s="1004" customFormat="1" ht="52.15" customHeight="1">
      <c r="A1048" s="1271">
        <v>212</v>
      </c>
      <c r="B1048" s="1276" t="s">
        <v>2652</v>
      </c>
      <c r="C1048" s="1032">
        <v>1991</v>
      </c>
      <c r="D1048" s="987">
        <v>2020</v>
      </c>
      <c r="E1048" s="1031" t="s">
        <v>218</v>
      </c>
      <c r="F1048" s="1032">
        <v>2</v>
      </c>
      <c r="G1048" s="1032">
        <v>2</v>
      </c>
      <c r="H1048" s="1037">
        <v>640.4</v>
      </c>
      <c r="I1048" s="1037">
        <v>604.70000000000005</v>
      </c>
      <c r="J1048" s="1037">
        <v>604.70000000000005</v>
      </c>
      <c r="K1048" s="1068">
        <v>19</v>
      </c>
      <c r="L1048" s="1037">
        <v>957450</v>
      </c>
      <c r="M1048" s="1037">
        <v>0</v>
      </c>
      <c r="N1048" s="1037">
        <v>287235</v>
      </c>
      <c r="O1048" s="1037">
        <v>670215</v>
      </c>
      <c r="P1048" s="1037">
        <v>0</v>
      </c>
      <c r="Q1048" s="1037">
        <v>0</v>
      </c>
      <c r="R1048" s="1037">
        <f t="shared" si="382"/>
        <v>1583.3471142715396</v>
      </c>
      <c r="S1048" s="1064">
        <v>2022</v>
      </c>
      <c r="T1048" s="1064">
        <v>2022</v>
      </c>
    </row>
    <row r="1049" spans="1:79" s="1017" customFormat="1" ht="41.25" customHeight="1">
      <c r="A1049" s="1399" t="s">
        <v>2295</v>
      </c>
      <c r="B1049" s="1399"/>
      <c r="C1049" s="1399"/>
      <c r="D1049" s="1399"/>
      <c r="E1049" s="1399"/>
      <c r="F1049" s="1399"/>
      <c r="G1049" s="1399"/>
      <c r="H1049" s="1399"/>
      <c r="I1049" s="1399"/>
      <c r="J1049" s="1399"/>
      <c r="K1049" s="1399"/>
      <c r="L1049" s="1399"/>
      <c r="M1049" s="1399"/>
      <c r="N1049" s="1399"/>
      <c r="O1049" s="1399"/>
      <c r="P1049" s="1399"/>
      <c r="Q1049" s="1399"/>
      <c r="R1049" s="1399"/>
      <c r="S1049" s="1399"/>
      <c r="T1049" s="1399"/>
    </row>
    <row r="1050" spans="1:79" s="1017" customFormat="1" ht="41.25" customHeight="1">
      <c r="A1050" s="1271"/>
      <c r="B1050" s="1272" t="s">
        <v>205</v>
      </c>
      <c r="C1050" s="1279"/>
      <c r="D1050" s="1283"/>
      <c r="E1050" s="1271"/>
      <c r="F1050" s="1279"/>
      <c r="G1050" s="1279"/>
      <c r="H1050" s="993">
        <f>H1052</f>
        <v>1238042.7199999993</v>
      </c>
      <c r="I1050" s="993">
        <f t="shared" ref="I1050:Q1050" si="383">I1052</f>
        <v>1074312.2000000004</v>
      </c>
      <c r="J1050" s="993">
        <f t="shared" si="383"/>
        <v>927883.65500000014</v>
      </c>
      <c r="K1050" s="987">
        <f t="shared" si="383"/>
        <v>42778</v>
      </c>
      <c r="L1050" s="993">
        <f t="shared" si="383"/>
        <v>1527901846.2940543</v>
      </c>
      <c r="M1050" s="993">
        <f t="shared" si="383"/>
        <v>0</v>
      </c>
      <c r="N1050" s="993">
        <f t="shared" si="383"/>
        <v>1429901.96</v>
      </c>
      <c r="O1050" s="993">
        <f t="shared" si="383"/>
        <v>1526471944.3340542</v>
      </c>
      <c r="P1050" s="993">
        <f t="shared" si="383"/>
        <v>0</v>
      </c>
      <c r="Q1050" s="993">
        <f t="shared" si="383"/>
        <v>0</v>
      </c>
      <c r="R1050" s="991" t="s">
        <v>40</v>
      </c>
      <c r="S1050" s="1279" t="s">
        <v>40</v>
      </c>
      <c r="T1050" s="1279" t="s">
        <v>40</v>
      </c>
    </row>
    <row r="1051" spans="1:79" s="1017" customFormat="1" ht="41.25" customHeight="1">
      <c r="A1051" s="1399" t="s">
        <v>2793</v>
      </c>
      <c r="B1051" s="1399"/>
      <c r="C1051" s="1399"/>
      <c r="D1051" s="1399"/>
      <c r="E1051" s="1399"/>
      <c r="F1051" s="1399"/>
      <c r="G1051" s="1399"/>
      <c r="H1051" s="1399"/>
      <c r="I1051" s="1399"/>
      <c r="J1051" s="1399"/>
      <c r="K1051" s="1399"/>
      <c r="L1051" s="1399"/>
      <c r="M1051" s="1399"/>
      <c r="N1051" s="1399"/>
      <c r="O1051" s="1399"/>
      <c r="P1051" s="1399"/>
      <c r="Q1051" s="1399"/>
      <c r="R1051" s="1399"/>
      <c r="S1051" s="1399"/>
      <c r="T1051" s="1399"/>
    </row>
    <row r="1052" spans="1:79" s="1017" customFormat="1" ht="41.25" customHeight="1">
      <c r="A1052" s="1271"/>
      <c r="B1052" s="1272" t="s">
        <v>42</v>
      </c>
      <c r="C1052" s="1279"/>
      <c r="D1052" s="1283"/>
      <c r="E1052" s="1271"/>
      <c r="F1052" s="1279"/>
      <c r="G1052" s="1279"/>
      <c r="H1052" s="993">
        <f>H1053+H1233+H1265+H1337+H1362+H1372+H1375+H1385+H1395+H1399+H1420+H1427+H1432+H1442+H1448+H1460+H1465+H1478+H1493+H1537+H1540+H1547+H1568+H1571+H1578+H1583+H1586+H1591+H1594+H1602+H1604+H1609+H1616+H1621+H1623</f>
        <v>1238042.7199999993</v>
      </c>
      <c r="I1052" s="993">
        <f t="shared" ref="I1052:Q1052" si="384">I1053+I1233+I1265+I1337+I1362+I1372+I1375+I1385+I1395+I1399+I1420+I1427+I1432+I1442+I1448+I1460+I1465+I1478+I1493+I1537+I1540+I1547+I1568+I1571+I1578+I1583+I1586+I1591+I1594+I1602+I1604+I1609+I1616+I1621+I1623</f>
        <v>1074312.2000000004</v>
      </c>
      <c r="J1052" s="993">
        <f t="shared" si="384"/>
        <v>927883.65500000014</v>
      </c>
      <c r="K1052" s="987">
        <f t="shared" si="384"/>
        <v>42778</v>
      </c>
      <c r="L1052" s="993">
        <f t="shared" si="384"/>
        <v>1527901846.2940543</v>
      </c>
      <c r="M1052" s="993">
        <f t="shared" si="384"/>
        <v>0</v>
      </c>
      <c r="N1052" s="993">
        <f t="shared" si="384"/>
        <v>1429901.96</v>
      </c>
      <c r="O1052" s="993">
        <f t="shared" si="384"/>
        <v>1526471944.3340542</v>
      </c>
      <c r="P1052" s="993">
        <f t="shared" si="384"/>
        <v>0</v>
      </c>
      <c r="Q1052" s="993">
        <f t="shared" si="384"/>
        <v>0</v>
      </c>
      <c r="R1052" s="991" t="s">
        <v>40</v>
      </c>
      <c r="S1052" s="991" t="s">
        <v>40</v>
      </c>
      <c r="T1052" s="991" t="s">
        <v>40</v>
      </c>
    </row>
    <row r="1053" spans="1:79" s="1017" customFormat="1" ht="41.25" customHeight="1">
      <c r="A1053" s="1271"/>
      <c r="B1053" s="1272" t="s">
        <v>1083</v>
      </c>
      <c r="C1053" s="1279"/>
      <c r="D1053" s="1283"/>
      <c r="E1053" s="1271"/>
      <c r="F1053" s="1279"/>
      <c r="G1053" s="1279"/>
      <c r="H1053" s="985">
        <f t="shared" ref="H1053:Q1053" si="385">SUM(H1054:H1232)</f>
        <v>663988.39999999991</v>
      </c>
      <c r="I1053" s="985">
        <f t="shared" si="385"/>
        <v>590759.77</v>
      </c>
      <c r="J1053" s="985">
        <f t="shared" si="385"/>
        <v>529028.10000000009</v>
      </c>
      <c r="K1053" s="1064">
        <f t="shared" si="385"/>
        <v>23523</v>
      </c>
      <c r="L1053" s="985">
        <f t="shared" si="385"/>
        <v>670448133.29405379</v>
      </c>
      <c r="M1053" s="985">
        <f t="shared" si="385"/>
        <v>0</v>
      </c>
      <c r="N1053" s="985">
        <f t="shared" si="385"/>
        <v>0</v>
      </c>
      <c r="O1053" s="985">
        <f t="shared" si="385"/>
        <v>670448133.29405379</v>
      </c>
      <c r="P1053" s="985">
        <f t="shared" si="385"/>
        <v>0</v>
      </c>
      <c r="Q1053" s="985">
        <f t="shared" si="385"/>
        <v>0</v>
      </c>
      <c r="R1053" s="991" t="s">
        <v>40</v>
      </c>
      <c r="S1053" s="991" t="s">
        <v>40</v>
      </c>
      <c r="T1053" s="991" t="s">
        <v>40</v>
      </c>
    </row>
    <row r="1054" spans="1:79" s="1017" customFormat="1" ht="41.25" customHeight="1">
      <c r="A1054" s="1271">
        <v>1</v>
      </c>
      <c r="B1054" s="1272" t="s">
        <v>1634</v>
      </c>
      <c r="C1054" s="1271">
        <v>1964</v>
      </c>
      <c r="D1054" s="1274"/>
      <c r="E1054" s="1271" t="s">
        <v>218</v>
      </c>
      <c r="F1054" s="1271">
        <v>2</v>
      </c>
      <c r="G1054" s="1271">
        <v>2</v>
      </c>
      <c r="H1054" s="993">
        <v>400.3</v>
      </c>
      <c r="I1054" s="993">
        <v>357.8</v>
      </c>
      <c r="J1054" s="993">
        <f>I1054-139.1</f>
        <v>218.70000000000002</v>
      </c>
      <c r="K1054" s="987">
        <v>23</v>
      </c>
      <c r="L1054" s="1070">
        <v>2381298</v>
      </c>
      <c r="M1054" s="993">
        <v>0</v>
      </c>
      <c r="N1054" s="993">
        <v>0</v>
      </c>
      <c r="O1054" s="993">
        <f t="shared" ref="O1054:O1082" si="386">L1054</f>
        <v>2381298</v>
      </c>
      <c r="P1054" s="993">
        <f t="shared" ref="P1054:P1059" si="387">N1054</f>
        <v>0</v>
      </c>
      <c r="Q1054" s="993">
        <v>0</v>
      </c>
      <c r="R1054" s="993">
        <f t="shared" ref="R1054:R1106" si="388">L1054/I1054</f>
        <v>6655.3884851872554</v>
      </c>
      <c r="S1054" s="1271">
        <v>2016</v>
      </c>
      <c r="T1054" s="1071" t="s">
        <v>1190</v>
      </c>
    </row>
    <row r="1055" spans="1:79" s="1017" customFormat="1" ht="41.25" customHeight="1">
      <c r="A1055" s="1271">
        <v>2</v>
      </c>
      <c r="B1055" s="1272" t="s">
        <v>1670</v>
      </c>
      <c r="C1055" s="1271">
        <v>1961</v>
      </c>
      <c r="D1055" s="1274"/>
      <c r="E1055" s="1271" t="s">
        <v>218</v>
      </c>
      <c r="F1055" s="1092">
        <v>5</v>
      </c>
      <c r="G1055" s="1092">
        <v>4</v>
      </c>
      <c r="H1055" s="993">
        <v>3450</v>
      </c>
      <c r="I1055" s="993">
        <v>3207.8</v>
      </c>
      <c r="J1055" s="993">
        <f>I1055-196.8</f>
        <v>3011</v>
      </c>
      <c r="K1055" s="987">
        <v>157</v>
      </c>
      <c r="L1055" s="1070">
        <v>4386000</v>
      </c>
      <c r="M1055" s="993">
        <v>0</v>
      </c>
      <c r="N1055" s="993">
        <v>0</v>
      </c>
      <c r="O1055" s="993">
        <f t="shared" si="386"/>
        <v>4386000</v>
      </c>
      <c r="P1055" s="993">
        <f t="shared" si="387"/>
        <v>0</v>
      </c>
      <c r="Q1055" s="993">
        <v>0</v>
      </c>
      <c r="R1055" s="993">
        <f t="shared" si="388"/>
        <v>1367.2922252010724</v>
      </c>
      <c r="S1055" s="1271">
        <v>2016</v>
      </c>
      <c r="T1055" s="1071" t="s">
        <v>1190</v>
      </c>
    </row>
    <row r="1056" spans="1:79" s="1017" customFormat="1" ht="41.25" customHeight="1">
      <c r="A1056" s="1271">
        <v>3</v>
      </c>
      <c r="B1056" s="1272" t="s">
        <v>1671</v>
      </c>
      <c r="C1056" s="1271">
        <v>1954</v>
      </c>
      <c r="D1056" s="1271"/>
      <c r="E1056" s="1271" t="s">
        <v>218</v>
      </c>
      <c r="F1056" s="1271">
        <v>3</v>
      </c>
      <c r="G1056" s="1271">
        <v>3</v>
      </c>
      <c r="H1056" s="993">
        <v>2438.4</v>
      </c>
      <c r="I1056" s="993">
        <v>2262.6999999999998</v>
      </c>
      <c r="J1056" s="993">
        <f>I1056-242.2</f>
        <v>2020.4999999999998</v>
      </c>
      <c r="K1056" s="987">
        <v>70</v>
      </c>
      <c r="L1056" s="1070">
        <v>3266338</v>
      </c>
      <c r="M1056" s="993">
        <v>0</v>
      </c>
      <c r="N1056" s="993">
        <v>0</v>
      </c>
      <c r="O1056" s="993">
        <f t="shared" si="386"/>
        <v>3266338</v>
      </c>
      <c r="P1056" s="993">
        <f t="shared" si="387"/>
        <v>0</v>
      </c>
      <c r="Q1056" s="993">
        <v>0</v>
      </c>
      <c r="R1056" s="993">
        <f t="shared" si="388"/>
        <v>1443.5576965572104</v>
      </c>
      <c r="S1056" s="1271">
        <v>2016</v>
      </c>
      <c r="T1056" s="1071" t="s">
        <v>1190</v>
      </c>
      <c r="U1056" s="1018"/>
      <c r="V1056" s="1018"/>
      <c r="W1056" s="1018"/>
      <c r="X1056" s="1018"/>
      <c r="Y1056" s="1018"/>
      <c r="Z1056" s="1018"/>
      <c r="AA1056" s="1018"/>
      <c r="AB1056" s="1018"/>
      <c r="AC1056" s="1018"/>
      <c r="AD1056" s="1018"/>
      <c r="AE1056" s="1018"/>
      <c r="AF1056" s="1018"/>
      <c r="AG1056" s="1018"/>
      <c r="AH1056" s="1018"/>
      <c r="AI1056" s="1018"/>
      <c r="AJ1056" s="1018"/>
      <c r="AK1056" s="1018"/>
      <c r="AL1056" s="1018"/>
      <c r="AM1056" s="1018"/>
      <c r="AN1056" s="1018"/>
      <c r="AO1056" s="1018"/>
      <c r="AP1056" s="1018"/>
      <c r="AQ1056" s="1018"/>
      <c r="AR1056" s="1018"/>
      <c r="AS1056" s="1018"/>
      <c r="AT1056" s="1018"/>
      <c r="AU1056" s="1018"/>
      <c r="AV1056" s="1018"/>
      <c r="AW1056" s="1018"/>
      <c r="AX1056" s="1018"/>
      <c r="AY1056" s="1018"/>
      <c r="AZ1056" s="1018"/>
      <c r="BA1056" s="1018"/>
      <c r="BB1056" s="1018"/>
      <c r="BC1056" s="1018"/>
      <c r="BD1056" s="1018"/>
      <c r="BE1056" s="1018"/>
      <c r="BF1056" s="1018"/>
      <c r="BG1056" s="1018"/>
      <c r="BH1056" s="1018"/>
      <c r="BI1056" s="1018"/>
      <c r="BJ1056" s="1018"/>
      <c r="BK1056" s="1018"/>
      <c r="BL1056" s="1018"/>
      <c r="BM1056" s="1018"/>
      <c r="BN1056" s="1018"/>
      <c r="BO1056" s="1018"/>
      <c r="BP1056" s="1018"/>
      <c r="BQ1056" s="1018"/>
      <c r="BR1056" s="1018"/>
      <c r="BS1056" s="1018"/>
      <c r="BT1056" s="1018"/>
      <c r="BU1056" s="1018"/>
      <c r="BV1056" s="1018"/>
      <c r="BW1056" s="1018"/>
      <c r="BX1056" s="1018"/>
      <c r="BY1056" s="1018"/>
      <c r="BZ1056" s="1018"/>
      <c r="CA1056" s="1018"/>
    </row>
    <row r="1057" spans="1:79" s="1094" customFormat="1" ht="41.25" customHeight="1" thickBot="1">
      <c r="A1057" s="1271">
        <v>4</v>
      </c>
      <c r="B1057" s="1272" t="s">
        <v>1672</v>
      </c>
      <c r="C1057" s="1271">
        <v>1953</v>
      </c>
      <c r="D1057" s="1274"/>
      <c r="E1057" s="1271" t="s">
        <v>218</v>
      </c>
      <c r="F1057" s="1271">
        <v>3</v>
      </c>
      <c r="G1057" s="1271">
        <v>3</v>
      </c>
      <c r="H1057" s="993">
        <v>2239.1</v>
      </c>
      <c r="I1057" s="993">
        <v>1857.6</v>
      </c>
      <c r="J1057" s="993">
        <f>I1057-316.2</f>
        <v>1541.3999999999999</v>
      </c>
      <c r="K1057" s="987">
        <v>76</v>
      </c>
      <c r="L1057" s="1070">
        <v>3240797</v>
      </c>
      <c r="M1057" s="993">
        <v>0</v>
      </c>
      <c r="N1057" s="993">
        <v>0</v>
      </c>
      <c r="O1057" s="993">
        <f t="shared" si="386"/>
        <v>3240797</v>
      </c>
      <c r="P1057" s="993">
        <f t="shared" si="387"/>
        <v>0</v>
      </c>
      <c r="Q1057" s="993">
        <v>0</v>
      </c>
      <c r="R1057" s="993">
        <f t="shared" si="388"/>
        <v>1744.6150947459089</v>
      </c>
      <c r="S1057" s="1271">
        <v>2016</v>
      </c>
      <c r="T1057" s="1071" t="s">
        <v>1190</v>
      </c>
      <c r="U1057" s="1018"/>
      <c r="V1057" s="1018"/>
      <c r="W1057" s="1018"/>
      <c r="X1057" s="1018"/>
      <c r="Y1057" s="1018"/>
      <c r="Z1057" s="1018"/>
      <c r="AA1057" s="1018"/>
      <c r="AB1057" s="1018"/>
      <c r="AC1057" s="1018"/>
      <c r="AD1057" s="1018"/>
      <c r="AE1057" s="1018"/>
      <c r="AF1057" s="1018"/>
      <c r="AG1057" s="1018"/>
      <c r="AH1057" s="1018"/>
      <c r="AI1057" s="1018"/>
      <c r="AJ1057" s="1018"/>
      <c r="AK1057" s="1018"/>
      <c r="AL1057" s="1018"/>
      <c r="AM1057" s="1018"/>
      <c r="AN1057" s="1018"/>
      <c r="AO1057" s="1018"/>
      <c r="AP1057" s="1018"/>
      <c r="AQ1057" s="1018"/>
      <c r="AR1057" s="1018"/>
      <c r="AS1057" s="1018"/>
      <c r="AT1057" s="1018"/>
      <c r="AU1057" s="1018"/>
      <c r="AV1057" s="1018"/>
      <c r="AW1057" s="1018"/>
      <c r="AX1057" s="1018"/>
      <c r="AY1057" s="1018"/>
      <c r="AZ1057" s="1018"/>
      <c r="BA1057" s="1018"/>
      <c r="BB1057" s="1018"/>
      <c r="BC1057" s="1018"/>
      <c r="BD1057" s="1018"/>
      <c r="BE1057" s="1018"/>
      <c r="BF1057" s="1018"/>
      <c r="BG1057" s="1018"/>
      <c r="BH1057" s="1018"/>
      <c r="BI1057" s="1018"/>
      <c r="BJ1057" s="1018"/>
      <c r="BK1057" s="1018"/>
      <c r="BL1057" s="1018"/>
      <c r="BM1057" s="1018"/>
      <c r="BN1057" s="1018"/>
      <c r="BO1057" s="1018"/>
      <c r="BP1057" s="1018"/>
      <c r="BQ1057" s="1018"/>
      <c r="BR1057" s="1018"/>
      <c r="BS1057" s="1018"/>
      <c r="BT1057" s="1018"/>
      <c r="BU1057" s="1018"/>
      <c r="BV1057" s="1018"/>
      <c r="BW1057" s="1018"/>
      <c r="BX1057" s="1018"/>
      <c r="BY1057" s="1018"/>
      <c r="BZ1057" s="1018"/>
      <c r="CA1057" s="1018"/>
    </row>
    <row r="1058" spans="1:79" s="1004" customFormat="1" ht="41.25" customHeight="1" thickTop="1">
      <c r="A1058" s="1271">
        <v>5</v>
      </c>
      <c r="B1058" s="1272" t="s">
        <v>1772</v>
      </c>
      <c r="C1058" s="1271">
        <v>1914</v>
      </c>
      <c r="D1058" s="1274"/>
      <c r="E1058" s="1271" t="s">
        <v>218</v>
      </c>
      <c r="F1058" s="1271">
        <v>4</v>
      </c>
      <c r="G1058" s="1271">
        <v>5</v>
      </c>
      <c r="H1058" s="993">
        <v>2958.4</v>
      </c>
      <c r="I1058" s="993">
        <v>2592.5</v>
      </c>
      <c r="J1058" s="993">
        <f>I1058-259.1</f>
        <v>2333.4</v>
      </c>
      <c r="K1058" s="987">
        <v>112</v>
      </c>
      <c r="L1058" s="1242">
        <v>659655.96</v>
      </c>
      <c r="M1058" s="993">
        <v>0</v>
      </c>
      <c r="N1058" s="993">
        <v>0</v>
      </c>
      <c r="O1058" s="993">
        <f t="shared" si="386"/>
        <v>659655.96</v>
      </c>
      <c r="P1058" s="993">
        <f t="shared" si="387"/>
        <v>0</v>
      </c>
      <c r="Q1058" s="993">
        <v>0</v>
      </c>
      <c r="R1058" s="993">
        <f t="shared" si="388"/>
        <v>254.44781485053036</v>
      </c>
      <c r="S1058" s="1271">
        <v>2016</v>
      </c>
      <c r="T1058" s="1071" t="s">
        <v>1433</v>
      </c>
    </row>
    <row r="1059" spans="1:79" s="994" customFormat="1" ht="41.25" customHeight="1">
      <c r="A1059" s="1271">
        <v>6</v>
      </c>
      <c r="B1059" s="1272" t="s">
        <v>1673</v>
      </c>
      <c r="C1059" s="1271">
        <v>1956</v>
      </c>
      <c r="D1059" s="1274"/>
      <c r="E1059" s="1271" t="s">
        <v>218</v>
      </c>
      <c r="F1059" s="1271">
        <v>4</v>
      </c>
      <c r="G1059" s="1271">
        <v>4</v>
      </c>
      <c r="H1059" s="993">
        <v>5336.3</v>
      </c>
      <c r="I1059" s="993">
        <v>4312.6000000000004</v>
      </c>
      <c r="J1059" s="993">
        <f>I1059-223.8</f>
        <v>4088.8</v>
      </c>
      <c r="K1059" s="987">
        <v>152</v>
      </c>
      <c r="L1059" s="1070">
        <v>8665992</v>
      </c>
      <c r="M1059" s="993">
        <v>0</v>
      </c>
      <c r="N1059" s="993">
        <v>0</v>
      </c>
      <c r="O1059" s="993">
        <f t="shared" si="386"/>
        <v>8665992</v>
      </c>
      <c r="P1059" s="993">
        <f t="shared" si="387"/>
        <v>0</v>
      </c>
      <c r="Q1059" s="993">
        <v>0</v>
      </c>
      <c r="R1059" s="993">
        <f t="shared" si="388"/>
        <v>2009.4587951583731</v>
      </c>
      <c r="S1059" s="1271">
        <v>2016</v>
      </c>
      <c r="T1059" s="1071" t="s">
        <v>1190</v>
      </c>
    </row>
    <row r="1060" spans="1:79" s="1004" customFormat="1" ht="41.25" customHeight="1">
      <c r="A1060" s="1271">
        <v>7</v>
      </c>
      <c r="B1060" s="1272" t="s">
        <v>1446</v>
      </c>
      <c r="C1060" s="1271">
        <v>1959</v>
      </c>
      <c r="D1060" s="1271"/>
      <c r="E1060" s="1271" t="s">
        <v>218</v>
      </c>
      <c r="F1060" s="1271">
        <v>2</v>
      </c>
      <c r="G1060" s="1271">
        <v>1</v>
      </c>
      <c r="H1060" s="993">
        <v>301.10000000000002</v>
      </c>
      <c r="I1060" s="993">
        <v>278.2</v>
      </c>
      <c r="J1060" s="993">
        <f>278.2-37.9</f>
        <v>240.29999999999998</v>
      </c>
      <c r="K1060" s="987">
        <v>17</v>
      </c>
      <c r="L1060" s="993">
        <v>405647.25</v>
      </c>
      <c r="M1060" s="993">
        <v>0</v>
      </c>
      <c r="N1060" s="993">
        <v>0</v>
      </c>
      <c r="O1060" s="993">
        <f t="shared" si="386"/>
        <v>405647.25</v>
      </c>
      <c r="P1060" s="993">
        <v>0</v>
      </c>
      <c r="Q1060" s="993">
        <v>0</v>
      </c>
      <c r="R1060" s="993">
        <f t="shared" si="388"/>
        <v>1458.1137670740475</v>
      </c>
      <c r="S1060" s="1271">
        <v>2016</v>
      </c>
      <c r="T1060" s="1071" t="s">
        <v>1190</v>
      </c>
    </row>
    <row r="1061" spans="1:79" s="1019" customFormat="1" ht="41.25" customHeight="1">
      <c r="A1061" s="1271">
        <v>8</v>
      </c>
      <c r="B1061" s="1272" t="s">
        <v>257</v>
      </c>
      <c r="C1061" s="1271">
        <v>1959</v>
      </c>
      <c r="D1061" s="1271"/>
      <c r="E1061" s="1271" t="s">
        <v>218</v>
      </c>
      <c r="F1061" s="1271">
        <v>2</v>
      </c>
      <c r="G1061" s="1271">
        <v>2</v>
      </c>
      <c r="H1061" s="993">
        <v>687.5</v>
      </c>
      <c r="I1061" s="993">
        <v>638.6</v>
      </c>
      <c r="J1061" s="993">
        <v>638.6</v>
      </c>
      <c r="K1061" s="987">
        <v>26</v>
      </c>
      <c r="L1061" s="985">
        <v>1429079.7206400002</v>
      </c>
      <c r="M1061" s="993">
        <v>0</v>
      </c>
      <c r="N1061" s="993">
        <v>0</v>
      </c>
      <c r="O1061" s="993">
        <f t="shared" si="386"/>
        <v>1429079.7206400002</v>
      </c>
      <c r="P1061" s="993">
        <v>0</v>
      </c>
      <c r="Q1061" s="993">
        <v>0</v>
      </c>
      <c r="R1061" s="993">
        <f t="shared" si="388"/>
        <v>2237.8323217037273</v>
      </c>
      <c r="S1061" s="1271">
        <v>2016</v>
      </c>
      <c r="T1061" s="1071" t="s">
        <v>1433</v>
      </c>
    </row>
    <row r="1062" spans="1:79" s="1019" customFormat="1" ht="41.25" customHeight="1">
      <c r="A1062" s="1271">
        <v>9</v>
      </c>
      <c r="B1062" s="1272" t="s">
        <v>1547</v>
      </c>
      <c r="C1062" s="1271">
        <v>1959</v>
      </c>
      <c r="D1062" s="1271"/>
      <c r="E1062" s="1271" t="s">
        <v>218</v>
      </c>
      <c r="F1062" s="1092">
        <v>4</v>
      </c>
      <c r="G1062" s="1092">
        <v>4</v>
      </c>
      <c r="H1062" s="993">
        <v>2847.5</v>
      </c>
      <c r="I1062" s="993">
        <v>2284.5</v>
      </c>
      <c r="J1062" s="993">
        <v>2284.5</v>
      </c>
      <c r="K1062" s="987">
        <v>78</v>
      </c>
      <c r="L1062" s="985">
        <v>5074660.5131999999</v>
      </c>
      <c r="M1062" s="993">
        <v>0</v>
      </c>
      <c r="N1062" s="993">
        <v>0</v>
      </c>
      <c r="O1062" s="993">
        <f t="shared" si="386"/>
        <v>5074660.5131999999</v>
      </c>
      <c r="P1062" s="993">
        <v>0</v>
      </c>
      <c r="Q1062" s="993">
        <v>0</v>
      </c>
      <c r="R1062" s="993">
        <f t="shared" si="388"/>
        <v>2221.3440635587654</v>
      </c>
      <c r="S1062" s="1271">
        <v>2016</v>
      </c>
      <c r="T1062" s="1071" t="s">
        <v>1433</v>
      </c>
    </row>
    <row r="1063" spans="1:79" s="1019" customFormat="1" ht="41.25" customHeight="1">
      <c r="A1063" s="1271">
        <v>10</v>
      </c>
      <c r="B1063" s="1272" t="s">
        <v>337</v>
      </c>
      <c r="C1063" s="1271">
        <v>1959</v>
      </c>
      <c r="D1063" s="1271"/>
      <c r="E1063" s="1271" t="s">
        <v>218</v>
      </c>
      <c r="F1063" s="1271">
        <v>2</v>
      </c>
      <c r="G1063" s="1271">
        <v>2</v>
      </c>
      <c r="H1063" s="993">
        <v>700.6</v>
      </c>
      <c r="I1063" s="993">
        <v>651.9</v>
      </c>
      <c r="J1063" s="993">
        <v>651.9</v>
      </c>
      <c r="K1063" s="987">
        <v>26</v>
      </c>
      <c r="L1063" s="985">
        <v>3182659.2945400001</v>
      </c>
      <c r="M1063" s="993">
        <v>0</v>
      </c>
      <c r="N1063" s="993">
        <v>0</v>
      </c>
      <c r="O1063" s="993">
        <f t="shared" si="386"/>
        <v>3182659.2945400001</v>
      </c>
      <c r="P1063" s="993">
        <v>0</v>
      </c>
      <c r="Q1063" s="993">
        <v>0</v>
      </c>
      <c r="R1063" s="993">
        <f t="shared" si="388"/>
        <v>4882.128078754411</v>
      </c>
      <c r="S1063" s="1271">
        <v>2016</v>
      </c>
      <c r="T1063" s="1071" t="s">
        <v>1433</v>
      </c>
    </row>
    <row r="1064" spans="1:79" s="1019" customFormat="1" ht="41.25" customHeight="1">
      <c r="A1064" s="1271">
        <v>11</v>
      </c>
      <c r="B1064" s="1272" t="s">
        <v>235</v>
      </c>
      <c r="C1064" s="1271">
        <v>1950</v>
      </c>
      <c r="D1064" s="1271"/>
      <c r="E1064" s="1271" t="s">
        <v>823</v>
      </c>
      <c r="F1064" s="1271">
        <v>2</v>
      </c>
      <c r="G1064" s="1271">
        <v>1</v>
      </c>
      <c r="H1064" s="993">
        <v>428.6</v>
      </c>
      <c r="I1064" s="993">
        <v>391.9</v>
      </c>
      <c r="J1064" s="993">
        <v>391.9</v>
      </c>
      <c r="K1064" s="987">
        <v>19</v>
      </c>
      <c r="L1064" s="985">
        <v>1424732.405944</v>
      </c>
      <c r="M1064" s="993">
        <v>0</v>
      </c>
      <c r="N1064" s="993">
        <v>0</v>
      </c>
      <c r="O1064" s="993">
        <f t="shared" si="386"/>
        <v>1424732.405944</v>
      </c>
      <c r="P1064" s="993">
        <v>0</v>
      </c>
      <c r="Q1064" s="993">
        <v>0</v>
      </c>
      <c r="R1064" s="993">
        <f t="shared" si="388"/>
        <v>3635.448854156673</v>
      </c>
      <c r="S1064" s="1271">
        <v>2016</v>
      </c>
      <c r="T1064" s="1071" t="s">
        <v>1433</v>
      </c>
    </row>
    <row r="1065" spans="1:79" s="1019" customFormat="1" ht="41.25" customHeight="1">
      <c r="A1065" s="1271">
        <v>12</v>
      </c>
      <c r="B1065" s="1272" t="s">
        <v>1674</v>
      </c>
      <c r="C1065" s="1271">
        <v>1959</v>
      </c>
      <c r="D1065" s="1271"/>
      <c r="E1065" s="1271" t="s">
        <v>218</v>
      </c>
      <c r="F1065" s="1092">
        <v>2</v>
      </c>
      <c r="G1065" s="1092">
        <v>1</v>
      </c>
      <c r="H1065" s="993">
        <v>444.7</v>
      </c>
      <c r="I1065" s="993">
        <v>402.3</v>
      </c>
      <c r="J1065" s="993">
        <f>402.3-47.7</f>
        <v>354.6</v>
      </c>
      <c r="K1065" s="987">
        <v>17</v>
      </c>
      <c r="L1065" s="985">
        <v>1554468.0150000001</v>
      </c>
      <c r="M1065" s="993">
        <v>0</v>
      </c>
      <c r="N1065" s="993">
        <v>0</v>
      </c>
      <c r="O1065" s="993">
        <f t="shared" si="386"/>
        <v>1554468.0150000001</v>
      </c>
      <c r="P1065" s="993">
        <v>0</v>
      </c>
      <c r="Q1065" s="993">
        <v>0</v>
      </c>
      <c r="R1065" s="993">
        <f t="shared" si="388"/>
        <v>3863.952311707681</v>
      </c>
      <c r="S1065" s="1271">
        <v>2016</v>
      </c>
      <c r="T1065" s="1071" t="s">
        <v>1433</v>
      </c>
    </row>
    <row r="1066" spans="1:79" s="1019" customFormat="1" ht="41.25" customHeight="1">
      <c r="A1066" s="1271">
        <v>13</v>
      </c>
      <c r="B1066" s="1272" t="s">
        <v>263</v>
      </c>
      <c r="C1066" s="1271">
        <v>1949</v>
      </c>
      <c r="D1066" s="1271"/>
      <c r="E1066" s="1271" t="s">
        <v>218</v>
      </c>
      <c r="F1066" s="1271">
        <v>2</v>
      </c>
      <c r="G1066" s="1271">
        <v>2</v>
      </c>
      <c r="H1066" s="993">
        <v>782.2</v>
      </c>
      <c r="I1066" s="993">
        <v>704.6</v>
      </c>
      <c r="J1066" s="993">
        <f>704.6-103.4</f>
        <v>601.20000000000005</v>
      </c>
      <c r="K1066" s="987">
        <v>35</v>
      </c>
      <c r="L1066" s="993">
        <v>1977340.09</v>
      </c>
      <c r="M1066" s="993">
        <v>0</v>
      </c>
      <c r="N1066" s="993">
        <v>0</v>
      </c>
      <c r="O1066" s="993">
        <f t="shared" si="386"/>
        <v>1977340.09</v>
      </c>
      <c r="P1066" s="993">
        <v>0</v>
      </c>
      <c r="Q1066" s="993">
        <v>0</v>
      </c>
      <c r="R1066" s="993">
        <f t="shared" si="388"/>
        <v>2806.329960261141</v>
      </c>
      <c r="S1066" s="1271">
        <v>2016</v>
      </c>
      <c r="T1066" s="1071" t="s">
        <v>1190</v>
      </c>
    </row>
    <row r="1067" spans="1:79" s="1004" customFormat="1" ht="41.25" customHeight="1">
      <c r="A1067" s="1271">
        <v>14</v>
      </c>
      <c r="B1067" s="1272" t="s">
        <v>342</v>
      </c>
      <c r="C1067" s="1271">
        <v>1961</v>
      </c>
      <c r="D1067" s="1271"/>
      <c r="E1067" s="1271" t="s">
        <v>218</v>
      </c>
      <c r="F1067" s="1271">
        <v>5</v>
      </c>
      <c r="G1067" s="1271">
        <v>4</v>
      </c>
      <c r="H1067" s="993">
        <v>3226.1</v>
      </c>
      <c r="I1067" s="993">
        <v>3140.3</v>
      </c>
      <c r="J1067" s="993">
        <v>3140.3</v>
      </c>
      <c r="K1067" s="987">
        <v>147</v>
      </c>
      <c r="L1067" s="993">
        <v>2351899.71</v>
      </c>
      <c r="M1067" s="993">
        <v>0</v>
      </c>
      <c r="N1067" s="993">
        <v>0</v>
      </c>
      <c r="O1067" s="993">
        <f t="shared" si="386"/>
        <v>2351899.71</v>
      </c>
      <c r="P1067" s="993">
        <v>0</v>
      </c>
      <c r="Q1067" s="993">
        <v>0</v>
      </c>
      <c r="R1067" s="993">
        <f t="shared" si="388"/>
        <v>748.94109161545066</v>
      </c>
      <c r="S1067" s="1271">
        <v>2016</v>
      </c>
      <c r="T1067" s="1071" t="s">
        <v>1190</v>
      </c>
    </row>
    <row r="1068" spans="1:79" s="1004" customFormat="1" ht="41.25" customHeight="1">
      <c r="A1068" s="1271">
        <v>15</v>
      </c>
      <c r="B1068" s="1272" t="s">
        <v>319</v>
      </c>
      <c r="C1068" s="1271">
        <v>1860</v>
      </c>
      <c r="D1068" s="1271"/>
      <c r="E1068" s="1271" t="s">
        <v>218</v>
      </c>
      <c r="F1068" s="1271">
        <v>3</v>
      </c>
      <c r="G1068" s="1271">
        <v>1</v>
      </c>
      <c r="H1068" s="993">
        <v>632.1</v>
      </c>
      <c r="I1068" s="993">
        <v>533.6</v>
      </c>
      <c r="J1068" s="993">
        <v>533.6</v>
      </c>
      <c r="K1068" s="987">
        <v>11</v>
      </c>
      <c r="L1068" s="985">
        <v>914559.01</v>
      </c>
      <c r="M1068" s="993">
        <v>0</v>
      </c>
      <c r="N1068" s="993">
        <v>0</v>
      </c>
      <c r="O1068" s="993">
        <f t="shared" si="386"/>
        <v>914559.01</v>
      </c>
      <c r="P1068" s="993">
        <v>0</v>
      </c>
      <c r="Q1068" s="993">
        <v>0</v>
      </c>
      <c r="R1068" s="993">
        <f t="shared" si="388"/>
        <v>1713.9411731634182</v>
      </c>
      <c r="S1068" s="1271">
        <v>2016</v>
      </c>
      <c r="T1068" s="1071" t="s">
        <v>1433</v>
      </c>
    </row>
    <row r="1069" spans="1:79" s="1004" customFormat="1" ht="41.25" customHeight="1">
      <c r="A1069" s="1271">
        <v>16</v>
      </c>
      <c r="B1069" s="1272" t="s">
        <v>307</v>
      </c>
      <c r="C1069" s="1271">
        <v>1959</v>
      </c>
      <c r="D1069" s="1271"/>
      <c r="E1069" s="1271" t="s">
        <v>218</v>
      </c>
      <c r="F1069" s="1092">
        <v>2</v>
      </c>
      <c r="G1069" s="1092">
        <v>1</v>
      </c>
      <c r="H1069" s="993">
        <f>371.9+30.8</f>
        <v>402.7</v>
      </c>
      <c r="I1069" s="993">
        <v>371.9</v>
      </c>
      <c r="J1069" s="993">
        <f>371.9-55.3</f>
        <v>316.59999999999997</v>
      </c>
      <c r="K1069" s="987">
        <v>27</v>
      </c>
      <c r="L1069" s="993">
        <v>3832087.03</v>
      </c>
      <c r="M1069" s="993">
        <v>0</v>
      </c>
      <c r="N1069" s="993">
        <v>0</v>
      </c>
      <c r="O1069" s="993">
        <f t="shared" si="386"/>
        <v>3832087.03</v>
      </c>
      <c r="P1069" s="993">
        <v>0</v>
      </c>
      <c r="Q1069" s="993">
        <v>0</v>
      </c>
      <c r="R1069" s="993">
        <f t="shared" si="388"/>
        <v>10304.079134175854</v>
      </c>
      <c r="S1069" s="1271">
        <v>2016</v>
      </c>
      <c r="T1069" s="1071" t="s">
        <v>1190</v>
      </c>
    </row>
    <row r="1070" spans="1:79" s="1004" customFormat="1" ht="41.25" customHeight="1">
      <c r="A1070" s="1271">
        <v>17</v>
      </c>
      <c r="B1070" s="1272" t="s">
        <v>280</v>
      </c>
      <c r="C1070" s="1271">
        <v>1966</v>
      </c>
      <c r="D1070" s="1271"/>
      <c r="E1070" s="1271" t="s">
        <v>218</v>
      </c>
      <c r="F1070" s="1271">
        <v>5</v>
      </c>
      <c r="G1070" s="1271">
        <v>3</v>
      </c>
      <c r="H1070" s="993">
        <v>2817.5</v>
      </c>
      <c r="I1070" s="993">
        <v>2613.5</v>
      </c>
      <c r="J1070" s="993">
        <f>2613.5-363.8</f>
        <v>2249.6999999999998</v>
      </c>
      <c r="K1070" s="987">
        <v>120</v>
      </c>
      <c r="L1070" s="993">
        <v>5363868.12</v>
      </c>
      <c r="M1070" s="993">
        <v>0</v>
      </c>
      <c r="N1070" s="993">
        <v>0</v>
      </c>
      <c r="O1070" s="993">
        <f t="shared" si="386"/>
        <v>5363868.12</v>
      </c>
      <c r="P1070" s="993">
        <v>0</v>
      </c>
      <c r="Q1070" s="993">
        <v>0</v>
      </c>
      <c r="R1070" s="993">
        <f t="shared" si="388"/>
        <v>2052.3696651999235</v>
      </c>
      <c r="S1070" s="1271">
        <v>2016</v>
      </c>
      <c r="T1070" s="1071" t="s">
        <v>1190</v>
      </c>
    </row>
    <row r="1071" spans="1:79" s="1004" customFormat="1" ht="41.25" customHeight="1">
      <c r="A1071" s="1271">
        <v>18</v>
      </c>
      <c r="B1071" s="1272" t="s">
        <v>245</v>
      </c>
      <c r="C1071" s="1271">
        <v>1949</v>
      </c>
      <c r="D1071" s="1271"/>
      <c r="E1071" s="1271" t="s">
        <v>823</v>
      </c>
      <c r="F1071" s="1271">
        <v>2</v>
      </c>
      <c r="G1071" s="1271">
        <v>1</v>
      </c>
      <c r="H1071" s="993">
        <v>390.4</v>
      </c>
      <c r="I1071" s="993">
        <v>359.8</v>
      </c>
      <c r="J1071" s="993">
        <v>359.8</v>
      </c>
      <c r="K1071" s="987">
        <v>34</v>
      </c>
      <c r="L1071" s="985">
        <v>1438136.9167299999</v>
      </c>
      <c r="M1071" s="993">
        <v>0</v>
      </c>
      <c r="N1071" s="993">
        <v>0</v>
      </c>
      <c r="O1071" s="993">
        <f t="shared" si="386"/>
        <v>1438136.9167299999</v>
      </c>
      <c r="P1071" s="993">
        <v>0</v>
      </c>
      <c r="Q1071" s="993">
        <v>0</v>
      </c>
      <c r="R1071" s="993">
        <f t="shared" si="388"/>
        <v>3997.0453494441354</v>
      </c>
      <c r="S1071" s="1271">
        <v>2016</v>
      </c>
      <c r="T1071" s="1071" t="s">
        <v>1433</v>
      </c>
    </row>
    <row r="1072" spans="1:79" s="1004" customFormat="1" ht="41.25" customHeight="1">
      <c r="A1072" s="1271">
        <v>19</v>
      </c>
      <c r="B1072" s="1272" t="s">
        <v>239</v>
      </c>
      <c r="C1072" s="1271">
        <v>1956</v>
      </c>
      <c r="D1072" s="1271"/>
      <c r="E1072" s="1271" t="s">
        <v>218</v>
      </c>
      <c r="F1072" s="1271">
        <v>3</v>
      </c>
      <c r="G1072" s="1271">
        <v>3</v>
      </c>
      <c r="H1072" s="993">
        <v>2113.6</v>
      </c>
      <c r="I1072" s="993">
        <v>1827</v>
      </c>
      <c r="J1072" s="993">
        <v>1827</v>
      </c>
      <c r="K1072" s="987">
        <v>78</v>
      </c>
      <c r="L1072" s="993">
        <v>1745786.78</v>
      </c>
      <c r="M1072" s="993">
        <v>0</v>
      </c>
      <c r="N1072" s="993">
        <v>0</v>
      </c>
      <c r="O1072" s="993">
        <f t="shared" si="386"/>
        <v>1745786.78</v>
      </c>
      <c r="P1072" s="993">
        <v>0</v>
      </c>
      <c r="Q1072" s="993">
        <v>0</v>
      </c>
      <c r="R1072" s="993">
        <f t="shared" si="388"/>
        <v>955.54831964969901</v>
      </c>
      <c r="S1072" s="1271">
        <v>2016</v>
      </c>
      <c r="T1072" s="1071" t="s">
        <v>1190</v>
      </c>
    </row>
    <row r="1073" spans="1:182" s="1004" customFormat="1" ht="41.25" customHeight="1">
      <c r="A1073" s="1271">
        <v>20</v>
      </c>
      <c r="B1073" s="1272" t="s">
        <v>278</v>
      </c>
      <c r="C1073" s="1271">
        <v>1958</v>
      </c>
      <c r="D1073" s="1271"/>
      <c r="E1073" s="1271" t="s">
        <v>218</v>
      </c>
      <c r="F1073" s="1271">
        <v>2</v>
      </c>
      <c r="G1073" s="1271">
        <v>1</v>
      </c>
      <c r="H1073" s="993">
        <v>447.8</v>
      </c>
      <c r="I1073" s="993">
        <v>407.4</v>
      </c>
      <c r="J1073" s="993">
        <v>407.4</v>
      </c>
      <c r="K1073" s="987">
        <v>21</v>
      </c>
      <c r="L1073" s="985">
        <v>1558472.8800000001</v>
      </c>
      <c r="M1073" s="993">
        <v>0</v>
      </c>
      <c r="N1073" s="993">
        <v>0</v>
      </c>
      <c r="O1073" s="993">
        <f t="shared" si="386"/>
        <v>1558472.8800000001</v>
      </c>
      <c r="P1073" s="993">
        <v>0</v>
      </c>
      <c r="Q1073" s="993">
        <v>0</v>
      </c>
      <c r="R1073" s="993">
        <f t="shared" si="388"/>
        <v>3825.4120765832113</v>
      </c>
      <c r="S1073" s="1271">
        <v>2016</v>
      </c>
      <c r="T1073" s="1071" t="s">
        <v>1433</v>
      </c>
    </row>
    <row r="1074" spans="1:182" s="1004" customFormat="1" ht="41.25" customHeight="1">
      <c r="A1074" s="1271">
        <v>21</v>
      </c>
      <c r="B1074" s="1272" t="s">
        <v>309</v>
      </c>
      <c r="C1074" s="1271">
        <v>1964</v>
      </c>
      <c r="D1074" s="1271"/>
      <c r="E1074" s="1271" t="s">
        <v>218</v>
      </c>
      <c r="F1074" s="1092">
        <v>4</v>
      </c>
      <c r="G1074" s="1092">
        <v>2</v>
      </c>
      <c r="H1074" s="993">
        <v>1369.5</v>
      </c>
      <c r="I1074" s="993">
        <v>1272.4000000000001</v>
      </c>
      <c r="J1074" s="993">
        <f>1272.4-191.5</f>
        <v>1080.9000000000001</v>
      </c>
      <c r="K1074" s="987">
        <v>67</v>
      </c>
      <c r="L1074" s="993">
        <v>1392128.91</v>
      </c>
      <c r="M1074" s="993">
        <v>0</v>
      </c>
      <c r="N1074" s="993">
        <v>0</v>
      </c>
      <c r="O1074" s="993">
        <f t="shared" si="386"/>
        <v>1392128.91</v>
      </c>
      <c r="P1074" s="993">
        <v>0</v>
      </c>
      <c r="Q1074" s="993">
        <v>0</v>
      </c>
      <c r="R1074" s="993">
        <f t="shared" si="388"/>
        <v>1094.0969113486324</v>
      </c>
      <c r="S1074" s="1271">
        <v>2016</v>
      </c>
      <c r="T1074" s="1071" t="s">
        <v>1190</v>
      </c>
    </row>
    <row r="1075" spans="1:182" s="1004" customFormat="1" ht="41.25" customHeight="1">
      <c r="A1075" s="1271">
        <v>22</v>
      </c>
      <c r="B1075" s="1272" t="s">
        <v>1675</v>
      </c>
      <c r="C1075" s="1271">
        <v>1957</v>
      </c>
      <c r="D1075" s="1271"/>
      <c r="E1075" s="1271" t="s">
        <v>218</v>
      </c>
      <c r="F1075" s="1092">
        <v>4</v>
      </c>
      <c r="G1075" s="1092">
        <v>4</v>
      </c>
      <c r="H1075" s="993">
        <v>3135.2</v>
      </c>
      <c r="I1075" s="993">
        <v>2702.3</v>
      </c>
      <c r="J1075" s="993">
        <f>2580.3-39.91</f>
        <v>2540.3900000000003</v>
      </c>
      <c r="K1075" s="987">
        <v>79</v>
      </c>
      <c r="L1075" s="993">
        <v>7325272.1299999999</v>
      </c>
      <c r="M1075" s="993">
        <v>0</v>
      </c>
      <c r="N1075" s="993">
        <v>0</v>
      </c>
      <c r="O1075" s="993">
        <v>7325272.1299999999</v>
      </c>
      <c r="P1075" s="993">
        <v>0</v>
      </c>
      <c r="Q1075" s="993">
        <v>0</v>
      </c>
      <c r="R1075" s="993">
        <f t="shared" si="388"/>
        <v>2710.7545905339894</v>
      </c>
      <c r="S1075" s="1271">
        <v>2016</v>
      </c>
      <c r="T1075" s="1071" t="s">
        <v>1190</v>
      </c>
    </row>
    <row r="1076" spans="1:182" s="1004" customFormat="1" ht="41.25" customHeight="1">
      <c r="A1076" s="1271">
        <v>23</v>
      </c>
      <c r="B1076" s="1272" t="s">
        <v>308</v>
      </c>
      <c r="C1076" s="1271">
        <v>1966</v>
      </c>
      <c r="D1076" s="1271"/>
      <c r="E1076" s="1271" t="s">
        <v>218</v>
      </c>
      <c r="F1076" s="1092">
        <v>4</v>
      </c>
      <c r="G1076" s="1092">
        <v>4</v>
      </c>
      <c r="H1076" s="993">
        <v>2740.8</v>
      </c>
      <c r="I1076" s="993">
        <v>2546.4</v>
      </c>
      <c r="J1076" s="993">
        <v>2546.4</v>
      </c>
      <c r="K1076" s="987">
        <v>128</v>
      </c>
      <c r="L1076" s="993">
        <v>2224973.3199999998</v>
      </c>
      <c r="M1076" s="993">
        <v>0</v>
      </c>
      <c r="N1076" s="993">
        <v>0</v>
      </c>
      <c r="O1076" s="993">
        <f t="shared" si="386"/>
        <v>2224973.3199999998</v>
      </c>
      <c r="P1076" s="993">
        <v>0</v>
      </c>
      <c r="Q1076" s="993">
        <v>0</v>
      </c>
      <c r="R1076" s="993">
        <f t="shared" si="388"/>
        <v>873.77211749921446</v>
      </c>
      <c r="S1076" s="1271">
        <v>2016</v>
      </c>
      <c r="T1076" s="1071" t="s">
        <v>1190</v>
      </c>
    </row>
    <row r="1077" spans="1:182" s="1004" customFormat="1" ht="41.25" customHeight="1">
      <c r="A1077" s="1271">
        <v>24</v>
      </c>
      <c r="B1077" s="1272" t="s">
        <v>1599</v>
      </c>
      <c r="C1077" s="1271">
        <v>1960</v>
      </c>
      <c r="D1077" s="1271"/>
      <c r="E1077" s="1271" t="s">
        <v>218</v>
      </c>
      <c r="F1077" s="1092">
        <v>5</v>
      </c>
      <c r="G1077" s="1092">
        <v>4</v>
      </c>
      <c r="H1077" s="993">
        <v>2830.1</v>
      </c>
      <c r="I1077" s="993">
        <v>2725.21</v>
      </c>
      <c r="J1077" s="993">
        <f>2222.21-231.9</f>
        <v>1990.31</v>
      </c>
      <c r="K1077" s="987">
        <v>137</v>
      </c>
      <c r="L1077" s="993">
        <v>2593045.9900000002</v>
      </c>
      <c r="M1077" s="993">
        <v>0</v>
      </c>
      <c r="N1077" s="993">
        <v>0</v>
      </c>
      <c r="O1077" s="993">
        <f t="shared" si="386"/>
        <v>2593045.9900000002</v>
      </c>
      <c r="P1077" s="993">
        <v>0</v>
      </c>
      <c r="Q1077" s="993">
        <v>0</v>
      </c>
      <c r="R1077" s="993">
        <f t="shared" si="388"/>
        <v>951.50318324092461</v>
      </c>
      <c r="S1077" s="1271">
        <v>2016</v>
      </c>
      <c r="T1077" s="1071" t="s">
        <v>1190</v>
      </c>
    </row>
    <row r="1078" spans="1:182" s="1020" customFormat="1" ht="41.25" customHeight="1">
      <c r="A1078" s="1271">
        <v>25</v>
      </c>
      <c r="B1078" s="1272" t="s">
        <v>240</v>
      </c>
      <c r="C1078" s="1271">
        <v>1955</v>
      </c>
      <c r="D1078" s="1271"/>
      <c r="E1078" s="1271" t="s">
        <v>218</v>
      </c>
      <c r="F1078" s="1271">
        <v>2</v>
      </c>
      <c r="G1078" s="1271">
        <v>2</v>
      </c>
      <c r="H1078" s="993">
        <v>743.3</v>
      </c>
      <c r="I1078" s="993">
        <v>654.79999999999995</v>
      </c>
      <c r="J1078" s="993">
        <f>585.8-80.7</f>
        <v>505.09999999999997</v>
      </c>
      <c r="K1078" s="987">
        <v>29</v>
      </c>
      <c r="L1078" s="985">
        <v>1109964.3</v>
      </c>
      <c r="M1078" s="993">
        <v>0</v>
      </c>
      <c r="N1078" s="993">
        <v>0</v>
      </c>
      <c r="O1078" s="993">
        <f t="shared" si="386"/>
        <v>1109964.3</v>
      </c>
      <c r="P1078" s="993">
        <v>0</v>
      </c>
      <c r="Q1078" s="993">
        <v>0</v>
      </c>
      <c r="R1078" s="993">
        <f t="shared" si="388"/>
        <v>1695.1195784972513</v>
      </c>
      <c r="S1078" s="1271">
        <v>2016</v>
      </c>
      <c r="T1078" s="1071" t="s">
        <v>1433</v>
      </c>
    </row>
    <row r="1079" spans="1:182" s="1017" customFormat="1" ht="41.25" customHeight="1">
      <c r="A1079" s="1271">
        <v>26</v>
      </c>
      <c r="B1079" s="1272" t="s">
        <v>316</v>
      </c>
      <c r="C1079" s="1271">
        <v>1974</v>
      </c>
      <c r="D1079" s="1271"/>
      <c r="E1079" s="1271" t="s">
        <v>219</v>
      </c>
      <c r="F1079" s="1092">
        <v>5</v>
      </c>
      <c r="G1079" s="1092">
        <v>4</v>
      </c>
      <c r="H1079" s="993">
        <v>3091.3</v>
      </c>
      <c r="I1079" s="993">
        <v>3029.3</v>
      </c>
      <c r="J1079" s="993">
        <f>I1079-302.8</f>
        <v>2726.5</v>
      </c>
      <c r="K1079" s="987">
        <v>111</v>
      </c>
      <c r="L1079" s="993">
        <v>3607233.46</v>
      </c>
      <c r="M1079" s="993">
        <v>0</v>
      </c>
      <c r="N1079" s="993">
        <v>0</v>
      </c>
      <c r="O1079" s="993">
        <f t="shared" si="386"/>
        <v>3607233.46</v>
      </c>
      <c r="P1079" s="993">
        <v>0</v>
      </c>
      <c r="Q1079" s="993">
        <v>0</v>
      </c>
      <c r="R1079" s="993">
        <f t="shared" si="388"/>
        <v>1190.7811903740137</v>
      </c>
      <c r="S1079" s="1271">
        <v>2016</v>
      </c>
      <c r="T1079" s="1071" t="s">
        <v>1190</v>
      </c>
    </row>
    <row r="1080" spans="1:182" s="1021" customFormat="1" ht="41.25" customHeight="1">
      <c r="A1080" s="1271">
        <v>27</v>
      </c>
      <c r="B1080" s="1272" t="s">
        <v>323</v>
      </c>
      <c r="C1080" s="1271">
        <v>1954</v>
      </c>
      <c r="D1080" s="1271"/>
      <c r="E1080" s="1271" t="s">
        <v>218</v>
      </c>
      <c r="F1080" s="1092">
        <v>2</v>
      </c>
      <c r="G1080" s="1092">
        <v>2</v>
      </c>
      <c r="H1080" s="993">
        <f>392.2+45.5</f>
        <v>437.7</v>
      </c>
      <c r="I1080" s="993">
        <v>392.2</v>
      </c>
      <c r="J1080" s="993">
        <f>392.2-71.9</f>
        <v>320.29999999999995</v>
      </c>
      <c r="K1080" s="987">
        <v>21</v>
      </c>
      <c r="L1080" s="993">
        <v>1030213</v>
      </c>
      <c r="M1080" s="993">
        <v>0</v>
      </c>
      <c r="N1080" s="993">
        <v>0</v>
      </c>
      <c r="O1080" s="993">
        <f t="shared" si="386"/>
        <v>1030213</v>
      </c>
      <c r="P1080" s="993">
        <v>0</v>
      </c>
      <c r="Q1080" s="993">
        <v>0</v>
      </c>
      <c r="R1080" s="993">
        <f t="shared" si="388"/>
        <v>2626.754207037226</v>
      </c>
      <c r="S1080" s="1271">
        <v>2016</v>
      </c>
      <c r="T1080" s="1071" t="s">
        <v>1190</v>
      </c>
    </row>
    <row r="1081" spans="1:182" s="1017" customFormat="1" ht="41.25" customHeight="1">
      <c r="A1081" s="1271">
        <v>28</v>
      </c>
      <c r="B1081" s="1272" t="s">
        <v>306</v>
      </c>
      <c r="C1081" s="1271">
        <v>1970</v>
      </c>
      <c r="D1081" s="1271"/>
      <c r="E1081" s="1271" t="s">
        <v>218</v>
      </c>
      <c r="F1081" s="1092">
        <v>5</v>
      </c>
      <c r="G1081" s="1092">
        <v>2</v>
      </c>
      <c r="H1081" s="993">
        <v>1913.8</v>
      </c>
      <c r="I1081" s="993">
        <f>1589+176.8</f>
        <v>1765.8</v>
      </c>
      <c r="J1081" s="993">
        <f>1589-110.5</f>
        <v>1478.5</v>
      </c>
      <c r="K1081" s="987">
        <v>75</v>
      </c>
      <c r="L1081" s="985">
        <v>5790016.8200000003</v>
      </c>
      <c r="M1081" s="993">
        <v>0</v>
      </c>
      <c r="N1081" s="993">
        <v>0</v>
      </c>
      <c r="O1081" s="993">
        <f t="shared" si="386"/>
        <v>5790016.8200000003</v>
      </c>
      <c r="P1081" s="993">
        <v>0</v>
      </c>
      <c r="Q1081" s="993">
        <v>0</v>
      </c>
      <c r="R1081" s="993">
        <f t="shared" si="388"/>
        <v>3278.9765658624988</v>
      </c>
      <c r="S1081" s="1271">
        <v>2016</v>
      </c>
      <c r="T1081" s="1071" t="s">
        <v>1433</v>
      </c>
      <c r="U1081" s="1018"/>
      <c r="V1081" s="1018"/>
      <c r="W1081" s="1018"/>
      <c r="X1081" s="1018"/>
      <c r="Y1081" s="1018"/>
      <c r="Z1081" s="1018"/>
      <c r="AA1081" s="1018"/>
      <c r="AB1081" s="1018"/>
      <c r="AC1081" s="1018"/>
      <c r="AD1081" s="1018"/>
      <c r="AE1081" s="1018"/>
      <c r="AF1081" s="1018"/>
      <c r="AG1081" s="1018"/>
      <c r="AH1081" s="1018"/>
      <c r="AI1081" s="1018"/>
      <c r="AJ1081" s="1018"/>
      <c r="AK1081" s="1018"/>
      <c r="AL1081" s="1018"/>
      <c r="AM1081" s="1018"/>
      <c r="AN1081" s="1018"/>
      <c r="AO1081" s="1018"/>
      <c r="AP1081" s="1018"/>
      <c r="AQ1081" s="1018"/>
      <c r="AR1081" s="1018"/>
      <c r="AS1081" s="1018"/>
      <c r="AT1081" s="1018"/>
      <c r="AU1081" s="1018"/>
      <c r="AV1081" s="1018"/>
      <c r="AW1081" s="1018"/>
      <c r="AX1081" s="1018"/>
      <c r="AY1081" s="1018"/>
      <c r="AZ1081" s="1018"/>
      <c r="BA1081" s="1018"/>
      <c r="BB1081" s="1018"/>
      <c r="BC1081" s="1018"/>
      <c r="BD1081" s="1018"/>
      <c r="BE1081" s="1018"/>
      <c r="BF1081" s="1018"/>
      <c r="BG1081" s="1018"/>
      <c r="BH1081" s="1018"/>
      <c r="BI1081" s="1018"/>
      <c r="BJ1081" s="1018"/>
      <c r="BK1081" s="1018"/>
      <c r="BL1081" s="1018"/>
      <c r="BM1081" s="1018"/>
      <c r="BN1081" s="1018"/>
      <c r="BO1081" s="1018"/>
      <c r="BP1081" s="1018"/>
      <c r="BQ1081" s="1018"/>
      <c r="BR1081" s="1018"/>
      <c r="BS1081" s="1018"/>
      <c r="BT1081" s="1018"/>
      <c r="BU1081" s="1018"/>
      <c r="BV1081" s="1018"/>
      <c r="BW1081" s="1018"/>
      <c r="BX1081" s="1018"/>
      <c r="BY1081" s="1018"/>
      <c r="BZ1081" s="1018"/>
      <c r="CA1081" s="1018"/>
      <c r="CB1081" s="1018"/>
      <c r="CC1081" s="1018"/>
      <c r="CD1081" s="1018"/>
      <c r="CE1081" s="1018"/>
      <c r="CF1081" s="1018"/>
      <c r="CG1081" s="1018"/>
      <c r="CH1081" s="1018"/>
      <c r="CI1081" s="1018"/>
      <c r="CJ1081" s="1018"/>
      <c r="CK1081" s="1018"/>
      <c r="CL1081" s="1018"/>
      <c r="CM1081" s="1018"/>
      <c r="CN1081" s="1018"/>
      <c r="CO1081" s="1018"/>
      <c r="CP1081" s="1018"/>
      <c r="CQ1081" s="1018"/>
      <c r="CR1081" s="1018"/>
      <c r="CS1081" s="1018"/>
      <c r="CT1081" s="1018"/>
      <c r="CU1081" s="1018"/>
      <c r="CV1081" s="1018"/>
      <c r="CW1081" s="1018"/>
      <c r="CX1081" s="1018"/>
      <c r="CY1081" s="1018"/>
      <c r="CZ1081" s="1018"/>
      <c r="DA1081" s="1018"/>
      <c r="DB1081" s="1018"/>
      <c r="DC1081" s="1018"/>
      <c r="DD1081" s="1018"/>
      <c r="DE1081" s="1018"/>
      <c r="DF1081" s="1018"/>
      <c r="DG1081" s="1018"/>
      <c r="DH1081" s="1018"/>
      <c r="DI1081" s="1018"/>
      <c r="DJ1081" s="1018"/>
      <c r="DK1081" s="1018"/>
      <c r="DL1081" s="1018"/>
      <c r="DM1081" s="1018"/>
      <c r="DN1081" s="1018"/>
      <c r="DO1081" s="1018"/>
      <c r="DP1081" s="1018"/>
      <c r="DQ1081" s="1018"/>
      <c r="DR1081" s="1018"/>
      <c r="DS1081" s="1018"/>
      <c r="DT1081" s="1018"/>
      <c r="DU1081" s="1018"/>
      <c r="DV1081" s="1018"/>
      <c r="DW1081" s="1018"/>
      <c r="DX1081" s="1018"/>
      <c r="DY1081" s="1018"/>
      <c r="DZ1081" s="1018"/>
      <c r="EA1081" s="1018"/>
      <c r="EB1081" s="1018"/>
      <c r="EC1081" s="1018"/>
      <c r="ED1081" s="1018"/>
      <c r="EE1081" s="1018"/>
      <c r="EF1081" s="1018"/>
      <c r="EG1081" s="1018"/>
      <c r="EH1081" s="1018"/>
      <c r="EI1081" s="1018"/>
      <c r="EJ1081" s="1018"/>
      <c r="EK1081" s="1018"/>
      <c r="EL1081" s="1018"/>
      <c r="EM1081" s="1018"/>
      <c r="EN1081" s="1018"/>
      <c r="EO1081" s="1018"/>
      <c r="EP1081" s="1018"/>
      <c r="EQ1081" s="1018"/>
      <c r="ER1081" s="1018"/>
      <c r="ES1081" s="1018"/>
      <c r="ET1081" s="1018"/>
      <c r="EU1081" s="1018"/>
      <c r="EV1081" s="1018"/>
      <c r="EW1081" s="1018"/>
      <c r="EX1081" s="1018"/>
      <c r="EY1081" s="1018"/>
      <c r="EZ1081" s="1018"/>
      <c r="FA1081" s="1018"/>
      <c r="FB1081" s="1018"/>
      <c r="FC1081" s="1018"/>
      <c r="FD1081" s="1018"/>
      <c r="FE1081" s="1018"/>
      <c r="FF1081" s="1018"/>
      <c r="FG1081" s="1018"/>
      <c r="FH1081" s="1018"/>
      <c r="FI1081" s="1018"/>
      <c r="FJ1081" s="1018"/>
      <c r="FK1081" s="1018"/>
      <c r="FL1081" s="1018"/>
      <c r="FM1081" s="1018"/>
      <c r="FN1081" s="1018"/>
      <c r="FO1081" s="1018"/>
      <c r="FP1081" s="1018"/>
      <c r="FQ1081" s="1018"/>
      <c r="FR1081" s="1018"/>
      <c r="FS1081" s="1018"/>
      <c r="FT1081" s="1018"/>
      <c r="FU1081" s="1018"/>
      <c r="FV1081" s="1018"/>
      <c r="FW1081" s="1018"/>
      <c r="FX1081" s="1018"/>
      <c r="FY1081" s="1018"/>
      <c r="FZ1081" s="1018"/>
    </row>
    <row r="1082" spans="1:182" s="1017" customFormat="1" ht="41.25" customHeight="1">
      <c r="A1082" s="1271">
        <v>29</v>
      </c>
      <c r="B1082" s="1272" t="s">
        <v>343</v>
      </c>
      <c r="C1082" s="1271">
        <v>1955</v>
      </c>
      <c r="D1082" s="1271"/>
      <c r="E1082" s="1271" t="s">
        <v>218</v>
      </c>
      <c r="F1082" s="1271">
        <v>2</v>
      </c>
      <c r="G1082" s="1271">
        <v>2</v>
      </c>
      <c r="H1082" s="993">
        <f>894.5+87.2</f>
        <v>981.7</v>
      </c>
      <c r="I1082" s="993">
        <v>894.5</v>
      </c>
      <c r="J1082" s="993">
        <f>I1082-50.2</f>
        <v>844.3</v>
      </c>
      <c r="K1082" s="987">
        <v>37</v>
      </c>
      <c r="L1082" s="993">
        <v>1137886</v>
      </c>
      <c r="M1082" s="993">
        <v>0</v>
      </c>
      <c r="N1082" s="993">
        <v>0</v>
      </c>
      <c r="O1082" s="993">
        <f t="shared" si="386"/>
        <v>1137886</v>
      </c>
      <c r="P1082" s="993">
        <v>0</v>
      </c>
      <c r="Q1082" s="993">
        <v>0</v>
      </c>
      <c r="R1082" s="993">
        <f t="shared" si="388"/>
        <v>1272.0916713247625</v>
      </c>
      <c r="S1082" s="1271">
        <v>2016</v>
      </c>
      <c r="T1082" s="1071" t="s">
        <v>1190</v>
      </c>
      <c r="U1082" s="1018"/>
      <c r="V1082" s="1018"/>
      <c r="W1082" s="1018"/>
      <c r="X1082" s="1018"/>
      <c r="Y1082" s="1018"/>
      <c r="Z1082" s="1018"/>
      <c r="AA1082" s="1018"/>
      <c r="AB1082" s="1018"/>
      <c r="AC1082" s="1018"/>
      <c r="AD1082" s="1018"/>
      <c r="AE1082" s="1018"/>
      <c r="AF1082" s="1018"/>
      <c r="AG1082" s="1018"/>
      <c r="AH1082" s="1018"/>
      <c r="AI1082" s="1018"/>
      <c r="AJ1082" s="1018"/>
      <c r="AK1082" s="1018"/>
      <c r="AL1082" s="1018"/>
      <c r="AM1082" s="1018"/>
      <c r="AN1082" s="1018"/>
      <c r="AO1082" s="1018"/>
      <c r="AP1082" s="1018"/>
      <c r="AQ1082" s="1018"/>
      <c r="AR1082" s="1018"/>
      <c r="AS1082" s="1018"/>
      <c r="AT1082" s="1018"/>
      <c r="AU1082" s="1018"/>
      <c r="AV1082" s="1018"/>
      <c r="AW1082" s="1018"/>
      <c r="AX1082" s="1018"/>
      <c r="AY1082" s="1018"/>
      <c r="AZ1082" s="1018"/>
      <c r="BA1082" s="1018"/>
      <c r="BB1082" s="1018"/>
      <c r="BC1082" s="1018"/>
      <c r="BD1082" s="1018"/>
      <c r="BE1082" s="1018"/>
      <c r="BF1082" s="1018"/>
      <c r="BG1082" s="1018"/>
      <c r="BH1082" s="1018"/>
      <c r="BI1082" s="1018"/>
      <c r="BJ1082" s="1018"/>
      <c r="BK1082" s="1018"/>
      <c r="BL1082" s="1018"/>
      <c r="BM1082" s="1018"/>
      <c r="BN1082" s="1018"/>
      <c r="BO1082" s="1018"/>
      <c r="BP1082" s="1018"/>
      <c r="BQ1082" s="1018"/>
      <c r="BR1082" s="1018"/>
      <c r="BS1082" s="1018"/>
      <c r="BT1082" s="1018"/>
      <c r="BU1082" s="1018"/>
      <c r="BV1082" s="1018"/>
      <c r="BW1082" s="1018"/>
      <c r="BX1082" s="1018"/>
      <c r="BY1082" s="1018"/>
      <c r="BZ1082" s="1018"/>
      <c r="CA1082" s="1018"/>
      <c r="CB1082" s="1018"/>
      <c r="CC1082" s="1018"/>
      <c r="CD1082" s="1018"/>
      <c r="CE1082" s="1018"/>
      <c r="CF1082" s="1018"/>
      <c r="CG1082" s="1018"/>
      <c r="CH1082" s="1018"/>
      <c r="CI1082" s="1018"/>
      <c r="CJ1082" s="1018"/>
      <c r="CK1082" s="1018"/>
      <c r="CL1082" s="1018"/>
      <c r="CM1082" s="1018"/>
      <c r="CN1082" s="1018"/>
      <c r="CO1082" s="1018"/>
      <c r="CP1082" s="1018"/>
      <c r="CQ1082" s="1018"/>
      <c r="CR1082" s="1018"/>
      <c r="CS1082" s="1018"/>
      <c r="CT1082" s="1018"/>
      <c r="CU1082" s="1018"/>
      <c r="CV1082" s="1018"/>
      <c r="CW1082" s="1018"/>
      <c r="CX1082" s="1018"/>
      <c r="CY1082" s="1018"/>
      <c r="CZ1082" s="1018"/>
      <c r="DA1082" s="1018"/>
      <c r="DB1082" s="1018"/>
      <c r="DC1082" s="1018"/>
      <c r="DD1082" s="1018"/>
      <c r="DE1082" s="1018"/>
      <c r="DF1082" s="1018"/>
      <c r="DG1082" s="1018"/>
      <c r="DH1082" s="1018"/>
      <c r="DI1082" s="1018"/>
      <c r="DJ1082" s="1018"/>
      <c r="DK1082" s="1018"/>
      <c r="DL1082" s="1018"/>
      <c r="DM1082" s="1018"/>
      <c r="DN1082" s="1018"/>
      <c r="DO1082" s="1018"/>
      <c r="DP1082" s="1018"/>
      <c r="DQ1082" s="1018"/>
      <c r="DR1082" s="1018"/>
      <c r="DS1082" s="1018"/>
      <c r="DT1082" s="1018"/>
      <c r="DU1082" s="1018"/>
      <c r="DV1082" s="1018"/>
      <c r="DW1082" s="1018"/>
      <c r="DX1082" s="1018"/>
      <c r="DY1082" s="1018"/>
      <c r="DZ1082" s="1018"/>
      <c r="EA1082" s="1018"/>
      <c r="EB1082" s="1018"/>
      <c r="EC1082" s="1018"/>
      <c r="ED1082" s="1018"/>
      <c r="EE1082" s="1018"/>
      <c r="EF1082" s="1018"/>
      <c r="EG1082" s="1018"/>
      <c r="EH1082" s="1018"/>
      <c r="EI1082" s="1018"/>
      <c r="EJ1082" s="1018"/>
      <c r="EK1082" s="1018"/>
      <c r="EL1082" s="1018"/>
      <c r="EM1082" s="1018"/>
      <c r="EN1082" s="1018"/>
      <c r="EO1082" s="1018"/>
      <c r="EP1082" s="1018"/>
      <c r="EQ1082" s="1018"/>
      <c r="ER1082" s="1018"/>
      <c r="ES1082" s="1018"/>
      <c r="ET1082" s="1018"/>
      <c r="EU1082" s="1018"/>
      <c r="EV1082" s="1018"/>
      <c r="EW1082" s="1018"/>
      <c r="EX1082" s="1018"/>
      <c r="EY1082" s="1018"/>
      <c r="EZ1082" s="1018"/>
      <c r="FA1082" s="1018"/>
      <c r="FB1082" s="1018"/>
      <c r="FC1082" s="1018"/>
      <c r="FD1082" s="1018"/>
      <c r="FE1082" s="1018"/>
      <c r="FF1082" s="1018"/>
      <c r="FG1082" s="1018"/>
      <c r="FH1082" s="1018"/>
      <c r="FI1082" s="1018"/>
      <c r="FJ1082" s="1018"/>
      <c r="FK1082" s="1018"/>
      <c r="FL1082" s="1018"/>
      <c r="FM1082" s="1018"/>
      <c r="FN1082" s="1018"/>
      <c r="FO1082" s="1018"/>
      <c r="FP1082" s="1018"/>
      <c r="FQ1082" s="1018"/>
      <c r="FR1082" s="1018"/>
      <c r="FS1082" s="1018"/>
      <c r="FT1082" s="1018"/>
      <c r="FU1082" s="1018"/>
      <c r="FV1082" s="1018"/>
      <c r="FW1082" s="1018"/>
      <c r="FX1082" s="1018"/>
      <c r="FY1082" s="1018"/>
      <c r="FZ1082" s="1018"/>
    </row>
    <row r="1083" spans="1:182" s="1017" customFormat="1" ht="41.25" customHeight="1">
      <c r="A1083" s="1271">
        <v>30</v>
      </c>
      <c r="B1083" s="1272" t="s">
        <v>223</v>
      </c>
      <c r="C1083" s="1271">
        <v>1983</v>
      </c>
      <c r="D1083" s="1271"/>
      <c r="E1083" s="1271" t="s">
        <v>219</v>
      </c>
      <c r="F1083" s="1271">
        <v>9</v>
      </c>
      <c r="G1083" s="1271">
        <v>4</v>
      </c>
      <c r="H1083" s="993">
        <v>7703.3</v>
      </c>
      <c r="I1083" s="993">
        <v>7655.4</v>
      </c>
      <c r="J1083" s="993">
        <v>7655.4</v>
      </c>
      <c r="K1083" s="987">
        <v>306</v>
      </c>
      <c r="L1083" s="993">
        <v>28409.05</v>
      </c>
      <c r="M1083" s="993">
        <v>0</v>
      </c>
      <c r="N1083" s="993">
        <v>0</v>
      </c>
      <c r="O1083" s="993">
        <f>L1083</f>
        <v>28409.05</v>
      </c>
      <c r="P1083" s="993">
        <v>0</v>
      </c>
      <c r="Q1083" s="993">
        <v>0</v>
      </c>
      <c r="R1083" s="993">
        <f t="shared" si="388"/>
        <v>3.71098179063145</v>
      </c>
      <c r="S1083" s="1271">
        <v>2016</v>
      </c>
      <c r="T1083" s="1071" t="s">
        <v>1190</v>
      </c>
      <c r="U1083" s="1018"/>
      <c r="V1083" s="1018"/>
      <c r="W1083" s="1018"/>
      <c r="X1083" s="1018"/>
      <c r="Y1083" s="1018"/>
      <c r="Z1083" s="1018"/>
      <c r="AA1083" s="1018"/>
      <c r="AB1083" s="1018"/>
      <c r="AC1083" s="1018"/>
      <c r="AD1083" s="1018"/>
      <c r="AE1083" s="1018"/>
      <c r="AF1083" s="1018"/>
      <c r="AG1083" s="1018"/>
      <c r="AH1083" s="1018"/>
      <c r="AI1083" s="1018"/>
      <c r="AJ1083" s="1018"/>
      <c r="AK1083" s="1018"/>
      <c r="AL1083" s="1018"/>
      <c r="AM1083" s="1018"/>
      <c r="AN1083" s="1018"/>
      <c r="AO1083" s="1018"/>
      <c r="AP1083" s="1018"/>
      <c r="AQ1083" s="1018"/>
      <c r="AR1083" s="1018"/>
      <c r="AS1083" s="1018"/>
      <c r="AT1083" s="1018"/>
      <c r="AU1083" s="1018"/>
      <c r="AV1083" s="1018"/>
      <c r="AW1083" s="1018"/>
      <c r="AX1083" s="1018"/>
      <c r="AY1083" s="1018"/>
      <c r="AZ1083" s="1018"/>
      <c r="BA1083" s="1018"/>
      <c r="BB1083" s="1018"/>
      <c r="BC1083" s="1018"/>
      <c r="BD1083" s="1018"/>
      <c r="BE1083" s="1018"/>
      <c r="BF1083" s="1018"/>
      <c r="BG1083" s="1018"/>
      <c r="BH1083" s="1018"/>
      <c r="BI1083" s="1018"/>
      <c r="BJ1083" s="1018"/>
      <c r="BK1083" s="1018"/>
      <c r="BL1083" s="1018"/>
      <c r="BM1083" s="1018"/>
      <c r="BN1083" s="1018"/>
      <c r="BO1083" s="1018"/>
      <c r="BP1083" s="1018"/>
      <c r="BQ1083" s="1018"/>
      <c r="BR1083" s="1018"/>
      <c r="BS1083" s="1018"/>
      <c r="BT1083" s="1018"/>
      <c r="BU1083" s="1018"/>
      <c r="BV1083" s="1018"/>
      <c r="BW1083" s="1018"/>
      <c r="BX1083" s="1018"/>
      <c r="BY1083" s="1018"/>
      <c r="BZ1083" s="1018"/>
      <c r="CA1083" s="1018"/>
      <c r="CB1083" s="1018"/>
      <c r="CC1083" s="1018"/>
      <c r="CD1083" s="1018"/>
      <c r="CE1083" s="1018"/>
      <c r="CF1083" s="1018"/>
      <c r="CG1083" s="1018"/>
      <c r="CH1083" s="1018"/>
      <c r="CI1083" s="1018"/>
      <c r="CJ1083" s="1018"/>
      <c r="CK1083" s="1018"/>
      <c r="CL1083" s="1018"/>
      <c r="CM1083" s="1018"/>
      <c r="CN1083" s="1018"/>
      <c r="CO1083" s="1018"/>
      <c r="CP1083" s="1018"/>
      <c r="CQ1083" s="1018"/>
      <c r="CR1083" s="1018"/>
      <c r="CS1083" s="1018"/>
      <c r="CT1083" s="1018"/>
      <c r="CU1083" s="1018"/>
      <c r="CV1083" s="1018"/>
      <c r="CW1083" s="1018"/>
      <c r="CX1083" s="1018"/>
      <c r="CY1083" s="1018"/>
      <c r="CZ1083" s="1018"/>
      <c r="DA1083" s="1018"/>
      <c r="DB1083" s="1018"/>
      <c r="DC1083" s="1018"/>
      <c r="DD1083" s="1018"/>
      <c r="DE1083" s="1018"/>
      <c r="DF1083" s="1018"/>
      <c r="DG1083" s="1018"/>
      <c r="DH1083" s="1018"/>
      <c r="DI1083" s="1018"/>
      <c r="DJ1083" s="1018"/>
      <c r="DK1083" s="1018"/>
      <c r="DL1083" s="1018"/>
      <c r="DM1083" s="1018"/>
      <c r="DN1083" s="1018"/>
      <c r="DO1083" s="1018"/>
      <c r="DP1083" s="1018"/>
      <c r="DQ1083" s="1018"/>
      <c r="DR1083" s="1018"/>
      <c r="DS1083" s="1018"/>
      <c r="DT1083" s="1018"/>
      <c r="DU1083" s="1018"/>
      <c r="DV1083" s="1018"/>
      <c r="DW1083" s="1018"/>
      <c r="DX1083" s="1018"/>
      <c r="DY1083" s="1018"/>
      <c r="DZ1083" s="1018"/>
      <c r="EA1083" s="1018"/>
      <c r="EB1083" s="1018"/>
      <c r="EC1083" s="1018"/>
      <c r="ED1083" s="1018"/>
      <c r="EE1083" s="1018"/>
      <c r="EF1083" s="1018"/>
      <c r="EG1083" s="1018"/>
      <c r="EH1083" s="1018"/>
      <c r="EI1083" s="1018"/>
      <c r="EJ1083" s="1018"/>
      <c r="EK1083" s="1018"/>
      <c r="EL1083" s="1018"/>
      <c r="EM1083" s="1018"/>
      <c r="EN1083" s="1018"/>
      <c r="EO1083" s="1018"/>
      <c r="EP1083" s="1018"/>
      <c r="EQ1083" s="1018"/>
      <c r="ER1083" s="1018"/>
      <c r="ES1083" s="1018"/>
      <c r="ET1083" s="1018"/>
      <c r="EU1083" s="1018"/>
      <c r="EV1083" s="1018"/>
      <c r="EW1083" s="1018"/>
      <c r="EX1083" s="1018"/>
      <c r="EY1083" s="1018"/>
      <c r="EZ1083" s="1018"/>
      <c r="FA1083" s="1018"/>
      <c r="FB1083" s="1018"/>
      <c r="FC1083" s="1018"/>
      <c r="FD1083" s="1018"/>
      <c r="FE1083" s="1018"/>
      <c r="FF1083" s="1018"/>
      <c r="FG1083" s="1018"/>
      <c r="FH1083" s="1018"/>
      <c r="FI1083" s="1018"/>
      <c r="FJ1083" s="1018"/>
      <c r="FK1083" s="1018"/>
      <c r="FL1083" s="1018"/>
      <c r="FM1083" s="1018"/>
      <c r="FN1083" s="1018"/>
      <c r="FO1083" s="1018"/>
      <c r="FP1083" s="1018"/>
      <c r="FQ1083" s="1018"/>
      <c r="FR1083" s="1018"/>
      <c r="FS1083" s="1018"/>
      <c r="FT1083" s="1018"/>
      <c r="FU1083" s="1018"/>
      <c r="FV1083" s="1018"/>
      <c r="FW1083" s="1018"/>
      <c r="FX1083" s="1018"/>
      <c r="FY1083" s="1018"/>
      <c r="FZ1083" s="1018"/>
    </row>
    <row r="1084" spans="1:182" s="1017" customFormat="1" ht="41.25" customHeight="1">
      <c r="A1084" s="1271">
        <v>31</v>
      </c>
      <c r="B1084" s="1272" t="s">
        <v>288</v>
      </c>
      <c r="C1084" s="1271">
        <v>1973</v>
      </c>
      <c r="D1084" s="1271"/>
      <c r="E1084" s="1271" t="s">
        <v>219</v>
      </c>
      <c r="F1084" s="1271">
        <v>9</v>
      </c>
      <c r="G1084" s="1271">
        <v>6</v>
      </c>
      <c r="H1084" s="993">
        <v>12984.5</v>
      </c>
      <c r="I1084" s="993">
        <v>11178.3</v>
      </c>
      <c r="J1084" s="993">
        <f>11013.2-617.2</f>
        <v>10396</v>
      </c>
      <c r="K1084" s="987">
        <v>576</v>
      </c>
      <c r="L1084" s="993">
        <v>7082325</v>
      </c>
      <c r="M1084" s="993">
        <v>0</v>
      </c>
      <c r="N1084" s="993">
        <v>0</v>
      </c>
      <c r="O1084" s="993">
        <f t="shared" ref="O1084:O1122" si="389">L1084</f>
        <v>7082325</v>
      </c>
      <c r="P1084" s="993">
        <v>0</v>
      </c>
      <c r="Q1084" s="993">
        <v>0</v>
      </c>
      <c r="R1084" s="993">
        <f t="shared" si="388"/>
        <v>633.57800381095524</v>
      </c>
      <c r="S1084" s="1271">
        <v>2016</v>
      </c>
      <c r="T1084" s="1071" t="s">
        <v>1190</v>
      </c>
      <c r="U1084" s="1018"/>
      <c r="V1084" s="1018"/>
      <c r="W1084" s="1018"/>
      <c r="X1084" s="1018"/>
      <c r="Y1084" s="1018"/>
      <c r="Z1084" s="1018"/>
      <c r="AA1084" s="1018"/>
      <c r="AB1084" s="1018"/>
      <c r="AC1084" s="1018"/>
      <c r="AD1084" s="1018"/>
      <c r="AE1084" s="1018"/>
      <c r="AF1084" s="1018"/>
      <c r="AG1084" s="1018"/>
      <c r="AH1084" s="1018"/>
      <c r="AI1084" s="1018"/>
      <c r="AJ1084" s="1018"/>
      <c r="AK1084" s="1018"/>
      <c r="AL1084" s="1018"/>
      <c r="AM1084" s="1018"/>
      <c r="AN1084" s="1018"/>
      <c r="AO1084" s="1018"/>
      <c r="AP1084" s="1018"/>
      <c r="AQ1084" s="1018"/>
      <c r="AR1084" s="1018"/>
      <c r="AS1084" s="1018"/>
      <c r="AT1084" s="1018"/>
      <c r="AU1084" s="1018"/>
      <c r="AV1084" s="1018"/>
      <c r="AW1084" s="1018"/>
      <c r="AX1084" s="1018"/>
      <c r="AY1084" s="1018"/>
      <c r="AZ1084" s="1018"/>
      <c r="BA1084" s="1018"/>
      <c r="BB1084" s="1018"/>
      <c r="BC1084" s="1018"/>
      <c r="BD1084" s="1018"/>
      <c r="BE1084" s="1018"/>
      <c r="BF1084" s="1018"/>
      <c r="BG1084" s="1018"/>
      <c r="BH1084" s="1018"/>
      <c r="BI1084" s="1018"/>
      <c r="BJ1084" s="1018"/>
      <c r="BK1084" s="1018"/>
      <c r="BL1084" s="1018"/>
      <c r="BM1084" s="1018"/>
      <c r="BN1084" s="1018"/>
      <c r="BO1084" s="1018"/>
      <c r="BP1084" s="1018"/>
      <c r="BQ1084" s="1018"/>
      <c r="BR1084" s="1018"/>
      <c r="BS1084" s="1018"/>
      <c r="BT1084" s="1018"/>
      <c r="BU1084" s="1018"/>
      <c r="BV1084" s="1018"/>
      <c r="BW1084" s="1018"/>
      <c r="BX1084" s="1018"/>
      <c r="BY1084" s="1018"/>
      <c r="BZ1084" s="1018"/>
      <c r="CA1084" s="1018"/>
      <c r="CB1084" s="1018"/>
      <c r="CC1084" s="1018"/>
      <c r="CD1084" s="1018"/>
      <c r="CE1084" s="1018"/>
      <c r="CF1084" s="1018"/>
      <c r="CG1084" s="1018"/>
      <c r="CH1084" s="1018"/>
      <c r="CI1084" s="1018"/>
      <c r="CJ1084" s="1018"/>
      <c r="CK1084" s="1018"/>
      <c r="CL1084" s="1018"/>
      <c r="CM1084" s="1018"/>
      <c r="CN1084" s="1018"/>
      <c r="CO1084" s="1018"/>
      <c r="CP1084" s="1018"/>
      <c r="CQ1084" s="1018"/>
      <c r="CR1084" s="1018"/>
      <c r="CS1084" s="1018"/>
      <c r="CT1084" s="1018"/>
      <c r="CU1084" s="1018"/>
      <c r="CV1084" s="1018"/>
      <c r="CW1084" s="1018"/>
      <c r="CX1084" s="1018"/>
      <c r="CY1084" s="1018"/>
      <c r="CZ1084" s="1018"/>
      <c r="DA1084" s="1018"/>
      <c r="DB1084" s="1018"/>
      <c r="DC1084" s="1018"/>
      <c r="DD1084" s="1018"/>
      <c r="DE1084" s="1018"/>
      <c r="DF1084" s="1018"/>
      <c r="DG1084" s="1018"/>
      <c r="DH1084" s="1018"/>
      <c r="DI1084" s="1018"/>
      <c r="DJ1084" s="1018"/>
      <c r="DK1084" s="1018"/>
      <c r="DL1084" s="1018"/>
      <c r="DM1084" s="1018"/>
      <c r="DN1084" s="1018"/>
      <c r="DO1084" s="1018"/>
      <c r="DP1084" s="1018"/>
      <c r="DQ1084" s="1018"/>
      <c r="DR1084" s="1018"/>
      <c r="DS1084" s="1018"/>
      <c r="DT1084" s="1018"/>
      <c r="DU1084" s="1018"/>
      <c r="DV1084" s="1018"/>
      <c r="DW1084" s="1018"/>
      <c r="DX1084" s="1018"/>
      <c r="DY1084" s="1018"/>
      <c r="DZ1084" s="1018"/>
      <c r="EA1084" s="1018"/>
      <c r="EB1084" s="1018"/>
      <c r="EC1084" s="1018"/>
      <c r="ED1084" s="1018"/>
      <c r="EE1084" s="1018"/>
      <c r="EF1084" s="1018"/>
      <c r="EG1084" s="1018"/>
      <c r="EH1084" s="1018"/>
      <c r="EI1084" s="1018"/>
      <c r="EJ1084" s="1018"/>
      <c r="EK1084" s="1018"/>
      <c r="EL1084" s="1018"/>
      <c r="EM1084" s="1018"/>
      <c r="EN1084" s="1018"/>
      <c r="EO1084" s="1018"/>
      <c r="EP1084" s="1018"/>
      <c r="EQ1084" s="1018"/>
      <c r="ER1084" s="1018"/>
      <c r="ES1084" s="1018"/>
      <c r="ET1084" s="1018"/>
      <c r="EU1084" s="1018"/>
      <c r="EV1084" s="1018"/>
      <c r="EW1084" s="1018"/>
      <c r="EX1084" s="1018"/>
      <c r="EY1084" s="1018"/>
      <c r="EZ1084" s="1018"/>
      <c r="FA1084" s="1018"/>
      <c r="FB1084" s="1018"/>
      <c r="FC1084" s="1018"/>
      <c r="FD1084" s="1018"/>
      <c r="FE1084" s="1018"/>
      <c r="FF1084" s="1018"/>
      <c r="FG1084" s="1018"/>
      <c r="FH1084" s="1018"/>
      <c r="FI1084" s="1018"/>
      <c r="FJ1084" s="1018"/>
      <c r="FK1084" s="1018"/>
      <c r="FL1084" s="1018"/>
      <c r="FM1084" s="1018"/>
      <c r="FN1084" s="1018"/>
      <c r="FO1084" s="1018"/>
      <c r="FP1084" s="1018"/>
      <c r="FQ1084" s="1018"/>
      <c r="FR1084" s="1018"/>
      <c r="FS1084" s="1018"/>
      <c r="FT1084" s="1018"/>
      <c r="FU1084" s="1018"/>
      <c r="FV1084" s="1018"/>
      <c r="FW1084" s="1018"/>
      <c r="FX1084" s="1018"/>
      <c r="FY1084" s="1018"/>
      <c r="FZ1084" s="1018"/>
    </row>
    <row r="1085" spans="1:182" s="1004" customFormat="1" ht="41.25" customHeight="1">
      <c r="A1085" s="1271">
        <v>32</v>
      </c>
      <c r="B1085" s="1272" t="s">
        <v>1676</v>
      </c>
      <c r="C1085" s="1271">
        <v>1979</v>
      </c>
      <c r="D1085" s="1271"/>
      <c r="E1085" s="1271" t="s">
        <v>218</v>
      </c>
      <c r="F1085" s="1092">
        <v>5</v>
      </c>
      <c r="G1085" s="1092">
        <v>4</v>
      </c>
      <c r="H1085" s="993">
        <v>3127.1</v>
      </c>
      <c r="I1085" s="993">
        <v>2757</v>
      </c>
      <c r="J1085" s="993">
        <v>2648</v>
      </c>
      <c r="K1085" s="987">
        <v>125</v>
      </c>
      <c r="L1085" s="993">
        <v>2423389.86</v>
      </c>
      <c r="M1085" s="993">
        <v>0</v>
      </c>
      <c r="N1085" s="993">
        <v>0</v>
      </c>
      <c r="O1085" s="993">
        <f t="shared" si="389"/>
        <v>2423389.86</v>
      </c>
      <c r="P1085" s="993">
        <v>0</v>
      </c>
      <c r="Q1085" s="993">
        <v>0</v>
      </c>
      <c r="R1085" s="993">
        <f t="shared" si="388"/>
        <v>878.9952339499456</v>
      </c>
      <c r="S1085" s="1271">
        <v>2016</v>
      </c>
      <c r="T1085" s="1071" t="s">
        <v>1190</v>
      </c>
      <c r="U1085" s="1016"/>
      <c r="V1085" s="1016"/>
      <c r="W1085" s="1016"/>
      <c r="X1085" s="1016"/>
      <c r="Y1085" s="1016"/>
      <c r="Z1085" s="1016"/>
      <c r="AA1085" s="1016"/>
      <c r="AB1085" s="1016"/>
      <c r="AC1085" s="1016"/>
      <c r="AD1085" s="1016"/>
      <c r="AE1085" s="1016"/>
      <c r="AF1085" s="1016"/>
      <c r="AG1085" s="1016"/>
      <c r="AH1085" s="1016"/>
      <c r="AI1085" s="1016"/>
      <c r="AJ1085" s="1016"/>
      <c r="AK1085" s="1016"/>
      <c r="AL1085" s="1016"/>
      <c r="AM1085" s="1016"/>
      <c r="AN1085" s="1016"/>
      <c r="AO1085" s="1016"/>
      <c r="AP1085" s="1016"/>
      <c r="AQ1085" s="1016"/>
      <c r="AR1085" s="1016"/>
      <c r="AS1085" s="1016"/>
      <c r="AT1085" s="1016"/>
      <c r="AU1085" s="1016"/>
      <c r="AV1085" s="1016"/>
      <c r="AW1085" s="1016"/>
      <c r="AX1085" s="1016"/>
      <c r="AY1085" s="1016"/>
      <c r="AZ1085" s="1016"/>
      <c r="BA1085" s="1016"/>
      <c r="BB1085" s="1016"/>
      <c r="BC1085" s="1016"/>
      <c r="BD1085" s="1016"/>
      <c r="BE1085" s="1016"/>
      <c r="BF1085" s="1016"/>
      <c r="BG1085" s="1016"/>
      <c r="BH1085" s="1016"/>
      <c r="BI1085" s="1016"/>
      <c r="BJ1085" s="1016"/>
      <c r="BK1085" s="1016"/>
      <c r="BL1085" s="1016"/>
      <c r="BM1085" s="1016"/>
      <c r="BN1085" s="1016"/>
      <c r="BO1085" s="1016"/>
      <c r="BP1085" s="1016"/>
      <c r="BQ1085" s="1016"/>
      <c r="BR1085" s="1016"/>
      <c r="BS1085" s="1016"/>
      <c r="BT1085" s="1016"/>
      <c r="BU1085" s="1016"/>
      <c r="BV1085" s="1016"/>
      <c r="BW1085" s="1016"/>
      <c r="BX1085" s="1016"/>
      <c r="BY1085" s="1016"/>
      <c r="BZ1085" s="1016"/>
      <c r="CA1085" s="1016"/>
      <c r="CB1085" s="1016"/>
      <c r="CC1085" s="1016"/>
      <c r="CD1085" s="1016"/>
      <c r="CE1085" s="1016"/>
      <c r="CF1085" s="1016"/>
      <c r="CG1085" s="1016"/>
      <c r="CH1085" s="1016"/>
      <c r="CI1085" s="1016"/>
      <c r="CJ1085" s="1016"/>
      <c r="CK1085" s="1016"/>
      <c r="CL1085" s="1016"/>
      <c r="CM1085" s="1016"/>
      <c r="CN1085" s="1016"/>
      <c r="CO1085" s="1016"/>
      <c r="CP1085" s="1016"/>
      <c r="CQ1085" s="1016"/>
      <c r="CR1085" s="1016"/>
      <c r="CS1085" s="1016"/>
      <c r="CT1085" s="1016"/>
      <c r="CU1085" s="1016"/>
      <c r="CV1085" s="1016"/>
      <c r="CW1085" s="1016"/>
      <c r="CX1085" s="1016"/>
      <c r="CY1085" s="1016"/>
      <c r="CZ1085" s="1016"/>
      <c r="DA1085" s="1016"/>
      <c r="DB1085" s="1016"/>
      <c r="DC1085" s="1016"/>
      <c r="DD1085" s="1016"/>
      <c r="DE1085" s="1016"/>
      <c r="DF1085" s="1016"/>
      <c r="DG1085" s="1016"/>
      <c r="DH1085" s="1016"/>
      <c r="DI1085" s="1016"/>
      <c r="DJ1085" s="1016"/>
      <c r="DK1085" s="1016"/>
      <c r="DL1085" s="1016"/>
      <c r="DM1085" s="1016"/>
      <c r="DN1085" s="1016"/>
      <c r="DO1085" s="1016"/>
      <c r="DP1085" s="1016"/>
      <c r="DQ1085" s="1016"/>
      <c r="DR1085" s="1016"/>
      <c r="DS1085" s="1016"/>
      <c r="DT1085" s="1016"/>
      <c r="DU1085" s="1016"/>
      <c r="DV1085" s="1016"/>
      <c r="DW1085" s="1016"/>
      <c r="DX1085" s="1016"/>
      <c r="DY1085" s="1016"/>
      <c r="DZ1085" s="1016"/>
      <c r="EA1085" s="1016"/>
      <c r="EB1085" s="1016"/>
      <c r="EC1085" s="1016"/>
      <c r="ED1085" s="1016"/>
      <c r="EE1085" s="1016"/>
      <c r="EF1085" s="1016"/>
      <c r="EG1085" s="1016"/>
      <c r="EH1085" s="1016"/>
      <c r="EI1085" s="1016"/>
      <c r="EJ1085" s="1016"/>
      <c r="EK1085" s="1016"/>
      <c r="EL1085" s="1016"/>
      <c r="EM1085" s="1016"/>
      <c r="EN1085" s="1016"/>
      <c r="EO1085" s="1016"/>
      <c r="EP1085" s="1016"/>
      <c r="EQ1085" s="1016"/>
      <c r="ER1085" s="1016"/>
      <c r="ES1085" s="1016"/>
      <c r="ET1085" s="1016"/>
      <c r="EU1085" s="1016"/>
      <c r="EV1085" s="1016"/>
      <c r="EW1085" s="1016"/>
      <c r="EX1085" s="1016"/>
      <c r="EY1085" s="1016"/>
      <c r="EZ1085" s="1016"/>
      <c r="FA1085" s="1016"/>
      <c r="FB1085" s="1016"/>
      <c r="FC1085" s="1016"/>
      <c r="FD1085" s="1016"/>
      <c r="FE1085" s="1016"/>
      <c r="FF1085" s="1016"/>
      <c r="FG1085" s="1016"/>
      <c r="FH1085" s="1016"/>
      <c r="FI1085" s="1016"/>
      <c r="FJ1085" s="1016"/>
      <c r="FK1085" s="1016"/>
      <c r="FL1085" s="1016"/>
      <c r="FM1085" s="1016"/>
      <c r="FN1085" s="1016"/>
      <c r="FO1085" s="1016"/>
      <c r="FP1085" s="1016"/>
      <c r="FQ1085" s="1016"/>
      <c r="FR1085" s="1016"/>
      <c r="FS1085" s="1016"/>
      <c r="FT1085" s="1016"/>
      <c r="FU1085" s="1016"/>
      <c r="FV1085" s="1016"/>
      <c r="FW1085" s="1016"/>
      <c r="FX1085" s="1016"/>
      <c r="FY1085" s="1016"/>
      <c r="FZ1085" s="1016"/>
    </row>
    <row r="1086" spans="1:182" s="1004" customFormat="1" ht="41.25" customHeight="1">
      <c r="A1086" s="1271">
        <v>33</v>
      </c>
      <c r="B1086" s="1272" t="s">
        <v>1677</v>
      </c>
      <c r="C1086" s="1271">
        <v>1884</v>
      </c>
      <c r="D1086" s="1271"/>
      <c r="E1086" s="1271" t="s">
        <v>218</v>
      </c>
      <c r="F1086" s="1271">
        <v>2</v>
      </c>
      <c r="G1086" s="1271">
        <v>2</v>
      </c>
      <c r="H1086" s="993">
        <v>975.5</v>
      </c>
      <c r="I1086" s="993">
        <v>886</v>
      </c>
      <c r="J1086" s="993">
        <f>886-323.3</f>
        <v>562.70000000000005</v>
      </c>
      <c r="K1086" s="987">
        <v>52</v>
      </c>
      <c r="L1086" s="993">
        <v>541177.32999999996</v>
      </c>
      <c r="M1086" s="993">
        <v>0</v>
      </c>
      <c r="N1086" s="993">
        <v>0</v>
      </c>
      <c r="O1086" s="993">
        <f t="shared" si="389"/>
        <v>541177.32999999996</v>
      </c>
      <c r="P1086" s="993">
        <v>0</v>
      </c>
      <c r="Q1086" s="993">
        <v>0</v>
      </c>
      <c r="R1086" s="993">
        <f t="shared" si="388"/>
        <v>610.80962753950337</v>
      </c>
      <c r="S1086" s="1271">
        <v>2016</v>
      </c>
      <c r="T1086" s="1071" t="s">
        <v>1190</v>
      </c>
      <c r="U1086" s="1016"/>
      <c r="V1086" s="1016"/>
      <c r="W1086" s="1016"/>
      <c r="X1086" s="1016"/>
      <c r="Y1086" s="1016"/>
      <c r="Z1086" s="1016"/>
      <c r="AA1086" s="1016"/>
      <c r="AB1086" s="1016"/>
      <c r="AC1086" s="1016"/>
      <c r="AD1086" s="1016"/>
      <c r="AE1086" s="1016"/>
      <c r="AF1086" s="1016"/>
      <c r="AG1086" s="1016"/>
      <c r="AH1086" s="1016"/>
      <c r="AI1086" s="1016"/>
      <c r="AJ1086" s="1016"/>
      <c r="AK1086" s="1016"/>
      <c r="AL1086" s="1016"/>
      <c r="AM1086" s="1016"/>
      <c r="AN1086" s="1016"/>
      <c r="AO1086" s="1016"/>
      <c r="AP1086" s="1016"/>
      <c r="AQ1086" s="1016"/>
      <c r="AR1086" s="1016"/>
      <c r="AS1086" s="1016"/>
      <c r="AT1086" s="1016"/>
      <c r="AU1086" s="1016"/>
      <c r="AV1086" s="1016"/>
      <c r="AW1086" s="1016"/>
      <c r="AX1086" s="1016"/>
      <c r="AY1086" s="1016"/>
      <c r="AZ1086" s="1016"/>
      <c r="BA1086" s="1016"/>
      <c r="BB1086" s="1016"/>
      <c r="BC1086" s="1016"/>
      <c r="BD1086" s="1016"/>
      <c r="BE1086" s="1016"/>
      <c r="BF1086" s="1016"/>
      <c r="BG1086" s="1016"/>
      <c r="BH1086" s="1016"/>
      <c r="BI1086" s="1016"/>
      <c r="BJ1086" s="1016"/>
      <c r="BK1086" s="1016"/>
      <c r="BL1086" s="1016"/>
      <c r="BM1086" s="1016"/>
      <c r="BN1086" s="1016"/>
      <c r="BO1086" s="1016"/>
      <c r="BP1086" s="1016"/>
      <c r="BQ1086" s="1016"/>
      <c r="BR1086" s="1016"/>
      <c r="BS1086" s="1016"/>
      <c r="BT1086" s="1016"/>
      <c r="BU1086" s="1016"/>
      <c r="BV1086" s="1016"/>
      <c r="BW1086" s="1016"/>
      <c r="BX1086" s="1016"/>
      <c r="BY1086" s="1016"/>
      <c r="BZ1086" s="1016"/>
      <c r="CA1086" s="1016"/>
      <c r="CB1086" s="1016"/>
      <c r="CC1086" s="1016"/>
      <c r="CD1086" s="1016"/>
      <c r="CE1086" s="1016"/>
      <c r="CF1086" s="1016"/>
      <c r="CG1086" s="1016"/>
      <c r="CH1086" s="1016"/>
      <c r="CI1086" s="1016"/>
      <c r="CJ1086" s="1016"/>
      <c r="CK1086" s="1016"/>
      <c r="CL1086" s="1016"/>
      <c r="CM1086" s="1016"/>
      <c r="CN1086" s="1016"/>
      <c r="CO1086" s="1016"/>
      <c r="CP1086" s="1016"/>
      <c r="CQ1086" s="1016"/>
      <c r="CR1086" s="1016"/>
      <c r="CS1086" s="1016"/>
      <c r="CT1086" s="1016"/>
      <c r="CU1086" s="1016"/>
      <c r="CV1086" s="1016"/>
      <c r="CW1086" s="1016"/>
      <c r="CX1086" s="1016"/>
      <c r="CY1086" s="1016"/>
      <c r="CZ1086" s="1016"/>
      <c r="DA1086" s="1016"/>
      <c r="DB1086" s="1016"/>
      <c r="DC1086" s="1016"/>
      <c r="DD1086" s="1016"/>
      <c r="DE1086" s="1016"/>
      <c r="DF1086" s="1016"/>
      <c r="DG1086" s="1016"/>
      <c r="DH1086" s="1016"/>
      <c r="DI1086" s="1016"/>
      <c r="DJ1086" s="1016"/>
      <c r="DK1086" s="1016"/>
      <c r="DL1086" s="1016"/>
      <c r="DM1086" s="1016"/>
      <c r="DN1086" s="1016"/>
      <c r="DO1086" s="1016"/>
      <c r="DP1086" s="1016"/>
      <c r="DQ1086" s="1016"/>
      <c r="DR1086" s="1016"/>
      <c r="DS1086" s="1016"/>
      <c r="DT1086" s="1016"/>
      <c r="DU1086" s="1016"/>
      <c r="DV1086" s="1016"/>
      <c r="DW1086" s="1016"/>
      <c r="DX1086" s="1016"/>
      <c r="DY1086" s="1016"/>
      <c r="DZ1086" s="1016"/>
      <c r="EA1086" s="1016"/>
      <c r="EB1086" s="1016"/>
      <c r="EC1086" s="1016"/>
      <c r="ED1086" s="1016"/>
      <c r="EE1086" s="1016"/>
      <c r="EF1086" s="1016"/>
      <c r="EG1086" s="1016"/>
      <c r="EH1086" s="1016"/>
      <c r="EI1086" s="1016"/>
      <c r="EJ1086" s="1016"/>
      <c r="EK1086" s="1016"/>
      <c r="EL1086" s="1016"/>
      <c r="EM1086" s="1016"/>
      <c r="EN1086" s="1016"/>
      <c r="EO1086" s="1016"/>
      <c r="EP1086" s="1016"/>
      <c r="EQ1086" s="1016"/>
      <c r="ER1086" s="1016"/>
      <c r="ES1086" s="1016"/>
      <c r="ET1086" s="1016"/>
      <c r="EU1086" s="1016"/>
      <c r="EV1086" s="1016"/>
      <c r="EW1086" s="1016"/>
      <c r="EX1086" s="1016"/>
      <c r="EY1086" s="1016"/>
      <c r="EZ1086" s="1016"/>
      <c r="FA1086" s="1016"/>
      <c r="FB1086" s="1016"/>
      <c r="FC1086" s="1016"/>
      <c r="FD1086" s="1016"/>
      <c r="FE1086" s="1016"/>
      <c r="FF1086" s="1016"/>
      <c r="FG1086" s="1016"/>
      <c r="FH1086" s="1016"/>
      <c r="FI1086" s="1016"/>
      <c r="FJ1086" s="1016"/>
      <c r="FK1086" s="1016"/>
      <c r="FL1086" s="1016"/>
      <c r="FM1086" s="1016"/>
      <c r="FN1086" s="1016"/>
      <c r="FO1086" s="1016"/>
      <c r="FP1086" s="1016"/>
      <c r="FQ1086" s="1016"/>
      <c r="FR1086" s="1016"/>
      <c r="FS1086" s="1016"/>
      <c r="FT1086" s="1016"/>
      <c r="FU1086" s="1016"/>
      <c r="FV1086" s="1016"/>
      <c r="FW1086" s="1016"/>
      <c r="FX1086" s="1016"/>
      <c r="FY1086" s="1016"/>
      <c r="FZ1086" s="1016"/>
    </row>
    <row r="1087" spans="1:182" s="1004" customFormat="1" ht="41.25" customHeight="1">
      <c r="A1087" s="1271">
        <v>34</v>
      </c>
      <c r="B1087" s="1272" t="s">
        <v>2244</v>
      </c>
      <c r="C1087" s="1271">
        <v>1961</v>
      </c>
      <c r="D1087" s="1271"/>
      <c r="E1087" s="1271" t="s">
        <v>218</v>
      </c>
      <c r="F1087" s="1092">
        <v>5</v>
      </c>
      <c r="G1087" s="1092">
        <v>2</v>
      </c>
      <c r="H1087" s="993">
        <v>1732.1</v>
      </c>
      <c r="I1087" s="993">
        <v>1608.1</v>
      </c>
      <c r="J1087" s="993">
        <f>1608.1-263.9</f>
        <v>1344.1999999999998</v>
      </c>
      <c r="K1087" s="987">
        <v>79</v>
      </c>
      <c r="L1087" s="993">
        <v>7436799.4199999999</v>
      </c>
      <c r="M1087" s="993">
        <v>0</v>
      </c>
      <c r="N1087" s="993">
        <v>0</v>
      </c>
      <c r="O1087" s="993">
        <f t="shared" si="389"/>
        <v>7436799.4199999999</v>
      </c>
      <c r="P1087" s="993">
        <v>0</v>
      </c>
      <c r="Q1087" s="993">
        <v>0</v>
      </c>
      <c r="R1087" s="993">
        <f t="shared" si="388"/>
        <v>4624.5876624588027</v>
      </c>
      <c r="S1087" s="1271">
        <v>2016</v>
      </c>
      <c r="T1087" s="1071" t="s">
        <v>1190</v>
      </c>
      <c r="U1087" s="1016"/>
      <c r="V1087" s="1016"/>
      <c r="W1087" s="1016"/>
      <c r="X1087" s="1016"/>
      <c r="Y1087" s="1016"/>
      <c r="Z1087" s="1016"/>
      <c r="AA1087" s="1016"/>
      <c r="AB1087" s="1016"/>
      <c r="AC1087" s="1016"/>
      <c r="AD1087" s="1016"/>
      <c r="AE1087" s="1016"/>
      <c r="AF1087" s="1016"/>
      <c r="AG1087" s="1016"/>
      <c r="AH1087" s="1016"/>
      <c r="AI1087" s="1016"/>
      <c r="AJ1087" s="1016"/>
      <c r="AK1087" s="1016"/>
      <c r="AL1087" s="1016"/>
      <c r="AM1087" s="1016"/>
      <c r="AN1087" s="1016"/>
      <c r="AO1087" s="1016"/>
      <c r="AP1087" s="1016"/>
      <c r="AQ1087" s="1016"/>
      <c r="AR1087" s="1016"/>
      <c r="AS1087" s="1016"/>
      <c r="AT1087" s="1016"/>
      <c r="AU1087" s="1016"/>
      <c r="AV1087" s="1016"/>
      <c r="AW1087" s="1016"/>
      <c r="AX1087" s="1016"/>
      <c r="AY1087" s="1016"/>
      <c r="AZ1087" s="1016"/>
      <c r="BA1087" s="1016"/>
      <c r="BB1087" s="1016"/>
      <c r="BC1087" s="1016"/>
      <c r="BD1087" s="1016"/>
      <c r="BE1087" s="1016"/>
      <c r="BF1087" s="1016"/>
      <c r="BG1087" s="1016"/>
      <c r="BH1087" s="1016"/>
      <c r="BI1087" s="1016"/>
      <c r="BJ1087" s="1016"/>
      <c r="BK1087" s="1016"/>
      <c r="BL1087" s="1016"/>
      <c r="BM1087" s="1016"/>
      <c r="BN1087" s="1016"/>
      <c r="BO1087" s="1016"/>
      <c r="BP1087" s="1016"/>
      <c r="BQ1087" s="1016"/>
      <c r="BR1087" s="1016"/>
      <c r="BS1087" s="1016"/>
      <c r="BT1087" s="1016"/>
      <c r="BU1087" s="1016"/>
      <c r="BV1087" s="1016"/>
      <c r="BW1087" s="1016"/>
      <c r="BX1087" s="1016"/>
      <c r="BY1087" s="1016"/>
      <c r="BZ1087" s="1016"/>
      <c r="CA1087" s="1016"/>
      <c r="CB1087" s="1016"/>
      <c r="CC1087" s="1016"/>
      <c r="CD1087" s="1016"/>
      <c r="CE1087" s="1016"/>
      <c r="CF1087" s="1016"/>
      <c r="CG1087" s="1016"/>
      <c r="CH1087" s="1016"/>
      <c r="CI1087" s="1016"/>
      <c r="CJ1087" s="1016"/>
      <c r="CK1087" s="1016"/>
      <c r="CL1087" s="1016"/>
      <c r="CM1087" s="1016"/>
      <c r="CN1087" s="1016"/>
      <c r="CO1087" s="1016"/>
      <c r="CP1087" s="1016"/>
      <c r="CQ1087" s="1016"/>
      <c r="CR1087" s="1016"/>
      <c r="CS1087" s="1016"/>
      <c r="CT1087" s="1016"/>
      <c r="CU1087" s="1016"/>
      <c r="CV1087" s="1016"/>
      <c r="CW1087" s="1016"/>
      <c r="CX1087" s="1016"/>
      <c r="CY1087" s="1016"/>
      <c r="CZ1087" s="1016"/>
      <c r="DA1087" s="1016"/>
      <c r="DB1087" s="1016"/>
      <c r="DC1087" s="1016"/>
      <c r="DD1087" s="1016"/>
      <c r="DE1087" s="1016"/>
      <c r="DF1087" s="1016"/>
      <c r="DG1087" s="1016"/>
      <c r="DH1087" s="1016"/>
      <c r="DI1087" s="1016"/>
      <c r="DJ1087" s="1016"/>
      <c r="DK1087" s="1016"/>
      <c r="DL1087" s="1016"/>
      <c r="DM1087" s="1016"/>
      <c r="DN1087" s="1016"/>
      <c r="DO1087" s="1016"/>
      <c r="DP1087" s="1016"/>
      <c r="DQ1087" s="1016"/>
      <c r="DR1087" s="1016"/>
      <c r="DS1087" s="1016"/>
      <c r="DT1087" s="1016"/>
      <c r="DU1087" s="1016"/>
      <c r="DV1087" s="1016"/>
      <c r="DW1087" s="1016"/>
      <c r="DX1087" s="1016"/>
      <c r="DY1087" s="1016"/>
      <c r="DZ1087" s="1016"/>
      <c r="EA1087" s="1016"/>
      <c r="EB1087" s="1016"/>
      <c r="EC1087" s="1016"/>
      <c r="ED1087" s="1016"/>
      <c r="EE1087" s="1016"/>
      <c r="EF1087" s="1016"/>
      <c r="EG1087" s="1016"/>
      <c r="EH1087" s="1016"/>
      <c r="EI1087" s="1016"/>
      <c r="EJ1087" s="1016"/>
      <c r="EK1087" s="1016"/>
      <c r="EL1087" s="1016"/>
      <c r="EM1087" s="1016"/>
      <c r="EN1087" s="1016"/>
      <c r="EO1087" s="1016"/>
      <c r="EP1087" s="1016"/>
      <c r="EQ1087" s="1016"/>
      <c r="ER1087" s="1016"/>
      <c r="ES1087" s="1016"/>
      <c r="ET1087" s="1016"/>
      <c r="EU1087" s="1016"/>
      <c r="EV1087" s="1016"/>
      <c r="EW1087" s="1016"/>
      <c r="EX1087" s="1016"/>
      <c r="EY1087" s="1016"/>
      <c r="EZ1087" s="1016"/>
      <c r="FA1087" s="1016"/>
      <c r="FB1087" s="1016"/>
      <c r="FC1087" s="1016"/>
      <c r="FD1087" s="1016"/>
      <c r="FE1087" s="1016"/>
      <c r="FF1087" s="1016"/>
      <c r="FG1087" s="1016"/>
      <c r="FH1087" s="1016"/>
      <c r="FI1087" s="1016"/>
      <c r="FJ1087" s="1016"/>
      <c r="FK1087" s="1016"/>
      <c r="FL1087" s="1016"/>
      <c r="FM1087" s="1016"/>
      <c r="FN1087" s="1016"/>
      <c r="FO1087" s="1016"/>
      <c r="FP1087" s="1016"/>
      <c r="FQ1087" s="1016"/>
      <c r="FR1087" s="1016"/>
      <c r="FS1087" s="1016"/>
      <c r="FT1087" s="1016"/>
      <c r="FU1087" s="1016"/>
      <c r="FV1087" s="1016"/>
      <c r="FW1087" s="1016"/>
      <c r="FX1087" s="1016"/>
      <c r="FY1087" s="1016"/>
      <c r="FZ1087" s="1016"/>
    </row>
    <row r="1088" spans="1:182" s="1004" customFormat="1" ht="41.25" customHeight="1">
      <c r="A1088" s="1271">
        <v>35</v>
      </c>
      <c r="B1088" s="1272" t="s">
        <v>1678</v>
      </c>
      <c r="C1088" s="1271">
        <v>1937</v>
      </c>
      <c r="D1088" s="1271"/>
      <c r="E1088" s="1271" t="s">
        <v>218</v>
      </c>
      <c r="F1088" s="1271">
        <v>4</v>
      </c>
      <c r="G1088" s="1271">
        <v>9</v>
      </c>
      <c r="H1088" s="993">
        <v>6091.4</v>
      </c>
      <c r="I1088" s="993">
        <v>5348.4</v>
      </c>
      <c r="J1088" s="993">
        <f>3926.4-62.1</f>
        <v>3864.3</v>
      </c>
      <c r="K1088" s="987">
        <v>114</v>
      </c>
      <c r="L1088" s="993">
        <v>9049205.0199999996</v>
      </c>
      <c r="M1088" s="993">
        <v>0</v>
      </c>
      <c r="N1088" s="993">
        <v>0</v>
      </c>
      <c r="O1088" s="993">
        <f t="shared" si="389"/>
        <v>9049205.0199999996</v>
      </c>
      <c r="P1088" s="993">
        <v>0</v>
      </c>
      <c r="Q1088" s="993">
        <v>0</v>
      </c>
      <c r="R1088" s="993">
        <f t="shared" si="388"/>
        <v>1691.9461932540573</v>
      </c>
      <c r="S1088" s="1271">
        <v>2016</v>
      </c>
      <c r="T1088" s="1071" t="s">
        <v>1190</v>
      </c>
      <c r="U1088" s="1016"/>
      <c r="V1088" s="1016"/>
      <c r="W1088" s="1016"/>
      <c r="X1088" s="1016"/>
      <c r="Y1088" s="1016"/>
      <c r="Z1088" s="1016"/>
      <c r="AA1088" s="1016"/>
      <c r="AB1088" s="1016"/>
      <c r="AC1088" s="1016"/>
      <c r="AD1088" s="1016"/>
      <c r="AE1088" s="1016"/>
      <c r="AF1088" s="1016"/>
      <c r="AG1088" s="1016"/>
      <c r="AH1088" s="1016"/>
      <c r="AI1088" s="1016"/>
      <c r="AJ1088" s="1016"/>
      <c r="AK1088" s="1016"/>
      <c r="AL1088" s="1016"/>
      <c r="AM1088" s="1016"/>
      <c r="AN1088" s="1016"/>
      <c r="AO1088" s="1016"/>
      <c r="AP1088" s="1016"/>
      <c r="AQ1088" s="1016"/>
      <c r="AR1088" s="1016"/>
      <c r="AS1088" s="1016"/>
      <c r="AT1088" s="1016"/>
      <c r="AU1088" s="1016"/>
      <c r="AV1088" s="1016"/>
      <c r="AW1088" s="1016"/>
      <c r="AX1088" s="1016"/>
      <c r="AY1088" s="1016"/>
      <c r="AZ1088" s="1016"/>
      <c r="BA1088" s="1016"/>
      <c r="BB1088" s="1016"/>
      <c r="BC1088" s="1016"/>
      <c r="BD1088" s="1016"/>
      <c r="BE1088" s="1016"/>
      <c r="BF1088" s="1016"/>
      <c r="BG1088" s="1016"/>
      <c r="BH1088" s="1016"/>
      <c r="BI1088" s="1016"/>
      <c r="BJ1088" s="1016"/>
      <c r="BK1088" s="1016"/>
      <c r="BL1088" s="1016"/>
      <c r="BM1088" s="1016"/>
      <c r="BN1088" s="1016"/>
      <c r="BO1088" s="1016"/>
      <c r="BP1088" s="1016"/>
      <c r="BQ1088" s="1016"/>
      <c r="BR1088" s="1016"/>
      <c r="BS1088" s="1016"/>
      <c r="BT1088" s="1016"/>
      <c r="BU1088" s="1016"/>
      <c r="BV1088" s="1016"/>
      <c r="BW1088" s="1016"/>
      <c r="BX1088" s="1016"/>
      <c r="BY1088" s="1016"/>
      <c r="BZ1088" s="1016"/>
      <c r="CA1088" s="1016"/>
      <c r="CB1088" s="1016"/>
      <c r="CC1088" s="1016"/>
      <c r="CD1088" s="1016"/>
      <c r="CE1088" s="1016"/>
      <c r="CF1088" s="1016"/>
      <c r="CG1088" s="1016"/>
      <c r="CH1088" s="1016"/>
      <c r="CI1088" s="1016"/>
      <c r="CJ1088" s="1016"/>
      <c r="CK1088" s="1016"/>
      <c r="CL1088" s="1016"/>
      <c r="CM1088" s="1016"/>
      <c r="CN1088" s="1016"/>
      <c r="CO1088" s="1016"/>
      <c r="CP1088" s="1016"/>
      <c r="CQ1088" s="1016"/>
      <c r="CR1088" s="1016"/>
      <c r="CS1088" s="1016"/>
      <c r="CT1088" s="1016"/>
      <c r="CU1088" s="1016"/>
      <c r="CV1088" s="1016"/>
      <c r="CW1088" s="1016"/>
      <c r="CX1088" s="1016"/>
      <c r="CY1088" s="1016"/>
      <c r="CZ1088" s="1016"/>
      <c r="DA1088" s="1016"/>
      <c r="DB1088" s="1016"/>
      <c r="DC1088" s="1016"/>
      <c r="DD1088" s="1016"/>
      <c r="DE1088" s="1016"/>
      <c r="DF1088" s="1016"/>
      <c r="DG1088" s="1016"/>
      <c r="DH1088" s="1016"/>
      <c r="DI1088" s="1016"/>
      <c r="DJ1088" s="1016"/>
      <c r="DK1088" s="1016"/>
      <c r="DL1088" s="1016"/>
      <c r="DM1088" s="1016"/>
      <c r="DN1088" s="1016"/>
      <c r="DO1088" s="1016"/>
      <c r="DP1088" s="1016"/>
      <c r="DQ1088" s="1016"/>
      <c r="DR1088" s="1016"/>
      <c r="DS1088" s="1016"/>
      <c r="DT1088" s="1016"/>
      <c r="DU1088" s="1016"/>
      <c r="DV1088" s="1016"/>
      <c r="DW1088" s="1016"/>
      <c r="DX1088" s="1016"/>
      <c r="DY1088" s="1016"/>
      <c r="DZ1088" s="1016"/>
      <c r="EA1088" s="1016"/>
      <c r="EB1088" s="1016"/>
      <c r="EC1088" s="1016"/>
      <c r="ED1088" s="1016"/>
      <c r="EE1088" s="1016"/>
      <c r="EF1088" s="1016"/>
      <c r="EG1088" s="1016"/>
      <c r="EH1088" s="1016"/>
      <c r="EI1088" s="1016"/>
      <c r="EJ1088" s="1016"/>
      <c r="EK1088" s="1016"/>
      <c r="EL1088" s="1016"/>
      <c r="EM1088" s="1016"/>
      <c r="EN1088" s="1016"/>
      <c r="EO1088" s="1016"/>
      <c r="EP1088" s="1016"/>
      <c r="EQ1088" s="1016"/>
      <c r="ER1088" s="1016"/>
      <c r="ES1088" s="1016"/>
      <c r="ET1088" s="1016"/>
      <c r="EU1088" s="1016"/>
      <c r="EV1088" s="1016"/>
      <c r="EW1088" s="1016"/>
      <c r="EX1088" s="1016"/>
      <c r="EY1088" s="1016"/>
      <c r="EZ1088" s="1016"/>
      <c r="FA1088" s="1016"/>
      <c r="FB1088" s="1016"/>
      <c r="FC1088" s="1016"/>
      <c r="FD1088" s="1016"/>
      <c r="FE1088" s="1016"/>
      <c r="FF1088" s="1016"/>
      <c r="FG1088" s="1016"/>
      <c r="FH1088" s="1016"/>
      <c r="FI1088" s="1016"/>
      <c r="FJ1088" s="1016"/>
      <c r="FK1088" s="1016"/>
      <c r="FL1088" s="1016"/>
      <c r="FM1088" s="1016"/>
      <c r="FN1088" s="1016"/>
      <c r="FO1088" s="1016"/>
      <c r="FP1088" s="1016"/>
      <c r="FQ1088" s="1016"/>
      <c r="FR1088" s="1016"/>
      <c r="FS1088" s="1016"/>
      <c r="FT1088" s="1016"/>
      <c r="FU1088" s="1016"/>
      <c r="FV1088" s="1016"/>
      <c r="FW1088" s="1016"/>
      <c r="FX1088" s="1016"/>
      <c r="FY1088" s="1016"/>
      <c r="FZ1088" s="1016"/>
    </row>
    <row r="1089" spans="1:182" s="1004" customFormat="1" ht="41.25" customHeight="1">
      <c r="A1089" s="1271">
        <v>36</v>
      </c>
      <c r="B1089" s="1272" t="s">
        <v>1679</v>
      </c>
      <c r="C1089" s="1271">
        <v>1961</v>
      </c>
      <c r="D1089" s="1271"/>
      <c r="E1089" s="1271" t="s">
        <v>218</v>
      </c>
      <c r="F1089" s="1092">
        <v>5</v>
      </c>
      <c r="G1089" s="1092">
        <v>4</v>
      </c>
      <c r="H1089" s="993">
        <v>3760.3</v>
      </c>
      <c r="I1089" s="993">
        <v>3400.51</v>
      </c>
      <c r="J1089" s="993">
        <f>2497.9-100.3</f>
        <v>2397.6</v>
      </c>
      <c r="K1089" s="987">
        <v>105</v>
      </c>
      <c r="L1089" s="993">
        <v>2583495.7799999998</v>
      </c>
      <c r="M1089" s="993">
        <v>0</v>
      </c>
      <c r="N1089" s="993">
        <v>0</v>
      </c>
      <c r="O1089" s="993">
        <f t="shared" si="389"/>
        <v>2583495.7799999998</v>
      </c>
      <c r="P1089" s="993">
        <v>0</v>
      </c>
      <c r="Q1089" s="993">
        <v>0</v>
      </c>
      <c r="R1089" s="993">
        <f t="shared" si="388"/>
        <v>759.73773933909899</v>
      </c>
      <c r="S1089" s="1271">
        <v>2016</v>
      </c>
      <c r="T1089" s="1071" t="s">
        <v>1190</v>
      </c>
      <c r="U1089" s="1016"/>
      <c r="V1089" s="1016"/>
      <c r="W1089" s="1016"/>
      <c r="X1089" s="1016"/>
      <c r="Y1089" s="1016"/>
      <c r="Z1089" s="1016"/>
      <c r="AA1089" s="1016"/>
      <c r="AB1089" s="1016"/>
      <c r="AC1089" s="1016"/>
      <c r="AD1089" s="1016"/>
      <c r="AE1089" s="1016"/>
      <c r="AF1089" s="1016"/>
      <c r="AG1089" s="1016"/>
      <c r="AH1089" s="1016"/>
      <c r="AI1089" s="1016"/>
      <c r="AJ1089" s="1016"/>
      <c r="AK1089" s="1016"/>
      <c r="AL1089" s="1016"/>
      <c r="AM1089" s="1016"/>
      <c r="AN1089" s="1016"/>
      <c r="AO1089" s="1016"/>
      <c r="AP1089" s="1016"/>
      <c r="AQ1089" s="1016"/>
      <c r="AR1089" s="1016"/>
      <c r="AS1089" s="1016"/>
      <c r="AT1089" s="1016"/>
      <c r="AU1089" s="1016"/>
      <c r="AV1089" s="1016"/>
      <c r="AW1089" s="1016"/>
      <c r="AX1089" s="1016"/>
      <c r="AY1089" s="1016"/>
      <c r="AZ1089" s="1016"/>
      <c r="BA1089" s="1016"/>
      <c r="BB1089" s="1016"/>
      <c r="BC1089" s="1016"/>
      <c r="BD1089" s="1016"/>
      <c r="BE1089" s="1016"/>
      <c r="BF1089" s="1016"/>
      <c r="BG1089" s="1016"/>
      <c r="BH1089" s="1016"/>
      <c r="BI1089" s="1016"/>
      <c r="BJ1089" s="1016"/>
      <c r="BK1089" s="1016"/>
      <c r="BL1089" s="1016"/>
      <c r="BM1089" s="1016"/>
      <c r="BN1089" s="1016"/>
      <c r="BO1089" s="1016"/>
      <c r="BP1089" s="1016"/>
      <c r="BQ1089" s="1016"/>
      <c r="BR1089" s="1016"/>
      <c r="BS1089" s="1016"/>
      <c r="BT1089" s="1016"/>
      <c r="BU1089" s="1016"/>
      <c r="BV1089" s="1016"/>
      <c r="BW1089" s="1016"/>
      <c r="BX1089" s="1016"/>
      <c r="BY1089" s="1016"/>
      <c r="BZ1089" s="1016"/>
      <c r="CA1089" s="1016"/>
      <c r="CB1089" s="1016"/>
      <c r="CC1089" s="1016"/>
      <c r="CD1089" s="1016"/>
      <c r="CE1089" s="1016"/>
      <c r="CF1089" s="1016"/>
      <c r="CG1089" s="1016"/>
      <c r="CH1089" s="1016"/>
      <c r="CI1089" s="1016"/>
      <c r="CJ1089" s="1016"/>
      <c r="CK1089" s="1016"/>
      <c r="CL1089" s="1016"/>
      <c r="CM1089" s="1016"/>
      <c r="CN1089" s="1016"/>
      <c r="CO1089" s="1016"/>
      <c r="CP1089" s="1016"/>
      <c r="CQ1089" s="1016"/>
      <c r="CR1089" s="1016"/>
      <c r="CS1089" s="1016"/>
      <c r="CT1089" s="1016"/>
      <c r="CU1089" s="1016"/>
      <c r="CV1089" s="1016"/>
      <c r="CW1089" s="1016"/>
      <c r="CX1089" s="1016"/>
      <c r="CY1089" s="1016"/>
      <c r="CZ1089" s="1016"/>
      <c r="DA1089" s="1016"/>
      <c r="DB1089" s="1016"/>
      <c r="DC1089" s="1016"/>
      <c r="DD1089" s="1016"/>
      <c r="DE1089" s="1016"/>
      <c r="DF1089" s="1016"/>
      <c r="DG1089" s="1016"/>
      <c r="DH1089" s="1016"/>
      <c r="DI1089" s="1016"/>
      <c r="DJ1089" s="1016"/>
      <c r="DK1089" s="1016"/>
      <c r="DL1089" s="1016"/>
      <c r="DM1089" s="1016"/>
      <c r="DN1089" s="1016"/>
      <c r="DO1089" s="1016"/>
      <c r="DP1089" s="1016"/>
      <c r="DQ1089" s="1016"/>
      <c r="DR1089" s="1016"/>
      <c r="DS1089" s="1016"/>
      <c r="DT1089" s="1016"/>
      <c r="DU1089" s="1016"/>
      <c r="DV1089" s="1016"/>
      <c r="DW1089" s="1016"/>
      <c r="DX1089" s="1016"/>
      <c r="DY1089" s="1016"/>
      <c r="DZ1089" s="1016"/>
      <c r="EA1089" s="1016"/>
      <c r="EB1089" s="1016"/>
      <c r="EC1089" s="1016"/>
      <c r="ED1089" s="1016"/>
      <c r="EE1089" s="1016"/>
      <c r="EF1089" s="1016"/>
      <c r="EG1089" s="1016"/>
      <c r="EH1089" s="1016"/>
      <c r="EI1089" s="1016"/>
      <c r="EJ1089" s="1016"/>
      <c r="EK1089" s="1016"/>
      <c r="EL1089" s="1016"/>
      <c r="EM1089" s="1016"/>
      <c r="EN1089" s="1016"/>
      <c r="EO1089" s="1016"/>
      <c r="EP1089" s="1016"/>
      <c r="EQ1089" s="1016"/>
      <c r="ER1089" s="1016"/>
      <c r="ES1089" s="1016"/>
      <c r="ET1089" s="1016"/>
      <c r="EU1089" s="1016"/>
      <c r="EV1089" s="1016"/>
      <c r="EW1089" s="1016"/>
      <c r="EX1089" s="1016"/>
      <c r="EY1089" s="1016"/>
      <c r="EZ1089" s="1016"/>
      <c r="FA1089" s="1016"/>
      <c r="FB1089" s="1016"/>
      <c r="FC1089" s="1016"/>
      <c r="FD1089" s="1016"/>
      <c r="FE1089" s="1016"/>
      <c r="FF1089" s="1016"/>
      <c r="FG1089" s="1016"/>
      <c r="FH1089" s="1016"/>
      <c r="FI1089" s="1016"/>
      <c r="FJ1089" s="1016"/>
      <c r="FK1089" s="1016"/>
      <c r="FL1089" s="1016"/>
      <c r="FM1089" s="1016"/>
      <c r="FN1089" s="1016"/>
      <c r="FO1089" s="1016"/>
      <c r="FP1089" s="1016"/>
      <c r="FQ1089" s="1016"/>
      <c r="FR1089" s="1016"/>
      <c r="FS1089" s="1016"/>
      <c r="FT1089" s="1016"/>
      <c r="FU1089" s="1016"/>
      <c r="FV1089" s="1016"/>
      <c r="FW1089" s="1016"/>
      <c r="FX1089" s="1016"/>
      <c r="FY1089" s="1016"/>
      <c r="FZ1089" s="1016"/>
    </row>
    <row r="1090" spans="1:182" s="1004" customFormat="1" ht="41.25" customHeight="1">
      <c r="A1090" s="1271">
        <v>37</v>
      </c>
      <c r="B1090" s="1272" t="s">
        <v>1680</v>
      </c>
      <c r="C1090" s="1271">
        <v>1960</v>
      </c>
      <c r="D1090" s="1271"/>
      <c r="E1090" s="1271" t="s">
        <v>218</v>
      </c>
      <c r="F1090" s="1271">
        <v>5</v>
      </c>
      <c r="G1090" s="1271">
        <v>4</v>
      </c>
      <c r="H1090" s="993">
        <v>3809</v>
      </c>
      <c r="I1090" s="993">
        <v>3495.51</v>
      </c>
      <c r="J1090" s="993">
        <f>2735.51</f>
        <v>2735.51</v>
      </c>
      <c r="K1090" s="987">
        <v>93</v>
      </c>
      <c r="L1090" s="993">
        <v>939858</v>
      </c>
      <c r="M1090" s="993">
        <v>0</v>
      </c>
      <c r="N1090" s="993">
        <v>0</v>
      </c>
      <c r="O1090" s="993">
        <f t="shared" si="389"/>
        <v>939858</v>
      </c>
      <c r="P1090" s="993">
        <v>0</v>
      </c>
      <c r="Q1090" s="993">
        <v>0</v>
      </c>
      <c r="R1090" s="993">
        <f t="shared" si="388"/>
        <v>268.87578636593798</v>
      </c>
      <c r="S1090" s="1271">
        <v>2016</v>
      </c>
      <c r="T1090" s="1071" t="s">
        <v>1190</v>
      </c>
      <c r="U1090" s="1016"/>
      <c r="V1090" s="1016"/>
      <c r="W1090" s="1016"/>
      <c r="X1090" s="1016"/>
      <c r="Y1090" s="1016"/>
      <c r="Z1090" s="1016"/>
      <c r="AA1090" s="1016"/>
      <c r="AB1090" s="1016"/>
      <c r="AC1090" s="1016"/>
      <c r="AD1090" s="1016"/>
      <c r="AE1090" s="1016"/>
      <c r="AF1090" s="1016"/>
      <c r="AG1090" s="1016"/>
      <c r="AH1090" s="1016"/>
      <c r="AI1090" s="1016"/>
      <c r="AJ1090" s="1016"/>
      <c r="AK1090" s="1016"/>
      <c r="AL1090" s="1016"/>
      <c r="AM1090" s="1016"/>
      <c r="AN1090" s="1016"/>
      <c r="AO1090" s="1016"/>
      <c r="AP1090" s="1016"/>
      <c r="AQ1090" s="1016"/>
      <c r="AR1090" s="1016"/>
      <c r="AS1090" s="1016"/>
      <c r="AT1090" s="1016"/>
      <c r="AU1090" s="1016"/>
      <c r="AV1090" s="1016"/>
      <c r="AW1090" s="1016"/>
      <c r="AX1090" s="1016"/>
      <c r="AY1090" s="1016"/>
      <c r="AZ1090" s="1016"/>
      <c r="BA1090" s="1016"/>
      <c r="BB1090" s="1016"/>
      <c r="BC1090" s="1016"/>
      <c r="BD1090" s="1016"/>
      <c r="BE1090" s="1016"/>
      <c r="BF1090" s="1016"/>
      <c r="BG1090" s="1016"/>
      <c r="BH1090" s="1016"/>
      <c r="BI1090" s="1016"/>
      <c r="BJ1090" s="1016"/>
      <c r="BK1090" s="1016"/>
      <c r="BL1090" s="1016"/>
      <c r="BM1090" s="1016"/>
      <c r="BN1090" s="1016"/>
      <c r="BO1090" s="1016"/>
      <c r="BP1090" s="1016"/>
      <c r="BQ1090" s="1016"/>
      <c r="BR1090" s="1016"/>
      <c r="BS1090" s="1016"/>
      <c r="BT1090" s="1016"/>
      <c r="BU1090" s="1016"/>
      <c r="BV1090" s="1016"/>
      <c r="BW1090" s="1016"/>
      <c r="BX1090" s="1016"/>
      <c r="BY1090" s="1016"/>
      <c r="BZ1090" s="1016"/>
      <c r="CA1090" s="1016"/>
      <c r="CB1090" s="1016"/>
      <c r="CC1090" s="1016"/>
      <c r="CD1090" s="1016"/>
      <c r="CE1090" s="1016"/>
      <c r="CF1090" s="1016"/>
      <c r="CG1090" s="1016"/>
      <c r="CH1090" s="1016"/>
      <c r="CI1090" s="1016"/>
      <c r="CJ1090" s="1016"/>
      <c r="CK1090" s="1016"/>
      <c r="CL1090" s="1016"/>
      <c r="CM1090" s="1016"/>
      <c r="CN1090" s="1016"/>
      <c r="CO1090" s="1016"/>
      <c r="CP1090" s="1016"/>
      <c r="CQ1090" s="1016"/>
      <c r="CR1090" s="1016"/>
      <c r="CS1090" s="1016"/>
      <c r="CT1090" s="1016"/>
      <c r="CU1090" s="1016"/>
      <c r="CV1090" s="1016"/>
      <c r="CW1090" s="1016"/>
      <c r="CX1090" s="1016"/>
      <c r="CY1090" s="1016"/>
      <c r="CZ1090" s="1016"/>
      <c r="DA1090" s="1016"/>
      <c r="DB1090" s="1016"/>
      <c r="DC1090" s="1016"/>
      <c r="DD1090" s="1016"/>
      <c r="DE1090" s="1016"/>
      <c r="DF1090" s="1016"/>
      <c r="DG1090" s="1016"/>
      <c r="DH1090" s="1016"/>
      <c r="DI1090" s="1016"/>
      <c r="DJ1090" s="1016"/>
      <c r="DK1090" s="1016"/>
      <c r="DL1090" s="1016"/>
      <c r="DM1090" s="1016"/>
      <c r="DN1090" s="1016"/>
      <c r="DO1090" s="1016"/>
      <c r="DP1090" s="1016"/>
      <c r="DQ1090" s="1016"/>
      <c r="DR1090" s="1016"/>
      <c r="DS1090" s="1016"/>
      <c r="DT1090" s="1016"/>
      <c r="DU1090" s="1016"/>
      <c r="DV1090" s="1016"/>
      <c r="DW1090" s="1016"/>
      <c r="DX1090" s="1016"/>
      <c r="DY1090" s="1016"/>
      <c r="DZ1090" s="1016"/>
      <c r="EA1090" s="1016"/>
      <c r="EB1090" s="1016"/>
      <c r="EC1090" s="1016"/>
      <c r="ED1090" s="1016"/>
      <c r="EE1090" s="1016"/>
      <c r="EF1090" s="1016"/>
      <c r="EG1090" s="1016"/>
      <c r="EH1090" s="1016"/>
      <c r="EI1090" s="1016"/>
      <c r="EJ1090" s="1016"/>
      <c r="EK1090" s="1016"/>
      <c r="EL1090" s="1016"/>
      <c r="EM1090" s="1016"/>
      <c r="EN1090" s="1016"/>
      <c r="EO1090" s="1016"/>
      <c r="EP1090" s="1016"/>
      <c r="EQ1090" s="1016"/>
      <c r="ER1090" s="1016"/>
      <c r="ES1090" s="1016"/>
      <c r="ET1090" s="1016"/>
      <c r="EU1090" s="1016"/>
      <c r="EV1090" s="1016"/>
      <c r="EW1090" s="1016"/>
      <c r="EX1090" s="1016"/>
      <c r="EY1090" s="1016"/>
      <c r="EZ1090" s="1016"/>
      <c r="FA1090" s="1016"/>
      <c r="FB1090" s="1016"/>
      <c r="FC1090" s="1016"/>
      <c r="FD1090" s="1016"/>
      <c r="FE1090" s="1016"/>
      <c r="FF1090" s="1016"/>
      <c r="FG1090" s="1016"/>
      <c r="FH1090" s="1016"/>
      <c r="FI1090" s="1016"/>
      <c r="FJ1090" s="1016"/>
      <c r="FK1090" s="1016"/>
      <c r="FL1090" s="1016"/>
      <c r="FM1090" s="1016"/>
      <c r="FN1090" s="1016"/>
      <c r="FO1090" s="1016"/>
      <c r="FP1090" s="1016"/>
      <c r="FQ1090" s="1016"/>
      <c r="FR1090" s="1016"/>
      <c r="FS1090" s="1016"/>
      <c r="FT1090" s="1016"/>
      <c r="FU1090" s="1016"/>
      <c r="FV1090" s="1016"/>
      <c r="FW1090" s="1016"/>
      <c r="FX1090" s="1016"/>
      <c r="FY1090" s="1016"/>
      <c r="FZ1090" s="1016"/>
    </row>
    <row r="1091" spans="1:182" s="1004" customFormat="1" ht="41.25" customHeight="1">
      <c r="A1091" s="1271">
        <v>38</v>
      </c>
      <c r="B1091" s="1272" t="s">
        <v>1681</v>
      </c>
      <c r="C1091" s="1271">
        <v>1973</v>
      </c>
      <c r="D1091" s="1271"/>
      <c r="E1091" s="1271" t="s">
        <v>219</v>
      </c>
      <c r="F1091" s="1092">
        <v>5</v>
      </c>
      <c r="G1091" s="1092">
        <v>6</v>
      </c>
      <c r="H1091" s="993">
        <v>4937.6000000000004</v>
      </c>
      <c r="I1091" s="993">
        <v>4490.2</v>
      </c>
      <c r="J1091" s="993">
        <f>4490.2-798.74</f>
        <v>3691.46</v>
      </c>
      <c r="K1091" s="987">
        <v>212</v>
      </c>
      <c r="L1091" s="993">
        <v>27140.53</v>
      </c>
      <c r="M1091" s="993">
        <v>0</v>
      </c>
      <c r="N1091" s="993">
        <v>0</v>
      </c>
      <c r="O1091" s="993">
        <f t="shared" si="389"/>
        <v>27140.53</v>
      </c>
      <c r="P1091" s="993">
        <v>0</v>
      </c>
      <c r="Q1091" s="993">
        <v>0</v>
      </c>
      <c r="R1091" s="993">
        <f t="shared" si="388"/>
        <v>6.0443922319718499</v>
      </c>
      <c r="S1091" s="1271">
        <v>2016</v>
      </c>
      <c r="T1091" s="1071" t="s">
        <v>1190</v>
      </c>
      <c r="U1091" s="1016"/>
      <c r="V1091" s="1016"/>
      <c r="W1091" s="1016"/>
      <c r="X1091" s="1016"/>
      <c r="Y1091" s="1016"/>
      <c r="Z1091" s="1016"/>
      <c r="AA1091" s="1016"/>
      <c r="AB1091" s="1016"/>
      <c r="AC1091" s="1016"/>
      <c r="AD1091" s="1016"/>
      <c r="AE1091" s="1016"/>
      <c r="AF1091" s="1016"/>
      <c r="AG1091" s="1016"/>
      <c r="AH1091" s="1016"/>
      <c r="AI1091" s="1016"/>
      <c r="AJ1091" s="1016"/>
      <c r="AK1091" s="1016"/>
      <c r="AL1091" s="1016"/>
      <c r="AM1091" s="1016"/>
      <c r="AN1091" s="1016"/>
      <c r="AO1091" s="1016"/>
      <c r="AP1091" s="1016"/>
      <c r="AQ1091" s="1016"/>
      <c r="AR1091" s="1016"/>
      <c r="AS1091" s="1016"/>
      <c r="AT1091" s="1016"/>
      <c r="AU1091" s="1016"/>
      <c r="AV1091" s="1016"/>
      <c r="AW1091" s="1016"/>
      <c r="AX1091" s="1016"/>
      <c r="AY1091" s="1016"/>
      <c r="AZ1091" s="1016"/>
      <c r="BA1091" s="1016"/>
      <c r="BB1091" s="1016"/>
      <c r="BC1091" s="1016"/>
      <c r="BD1091" s="1016"/>
      <c r="BE1091" s="1016"/>
      <c r="BF1091" s="1016"/>
      <c r="BG1091" s="1016"/>
      <c r="BH1091" s="1016"/>
      <c r="BI1091" s="1016"/>
      <c r="BJ1091" s="1016"/>
      <c r="BK1091" s="1016"/>
      <c r="BL1091" s="1016"/>
      <c r="BM1091" s="1016"/>
      <c r="BN1091" s="1016"/>
      <c r="BO1091" s="1016"/>
      <c r="BP1091" s="1016"/>
      <c r="BQ1091" s="1016"/>
      <c r="BR1091" s="1016"/>
      <c r="BS1091" s="1016"/>
      <c r="BT1091" s="1016"/>
      <c r="BU1091" s="1016"/>
      <c r="BV1091" s="1016"/>
      <c r="BW1091" s="1016"/>
      <c r="BX1091" s="1016"/>
      <c r="BY1091" s="1016"/>
      <c r="BZ1091" s="1016"/>
      <c r="CA1091" s="1016"/>
      <c r="CB1091" s="1016"/>
      <c r="CC1091" s="1016"/>
      <c r="CD1091" s="1016"/>
      <c r="CE1091" s="1016"/>
      <c r="CF1091" s="1016"/>
      <c r="CG1091" s="1016"/>
      <c r="CH1091" s="1016"/>
      <c r="CI1091" s="1016"/>
      <c r="CJ1091" s="1016"/>
      <c r="CK1091" s="1016"/>
      <c r="CL1091" s="1016"/>
      <c r="CM1091" s="1016"/>
      <c r="CN1091" s="1016"/>
      <c r="CO1091" s="1016"/>
      <c r="CP1091" s="1016"/>
      <c r="CQ1091" s="1016"/>
      <c r="CR1091" s="1016"/>
      <c r="CS1091" s="1016"/>
      <c r="CT1091" s="1016"/>
      <c r="CU1091" s="1016"/>
      <c r="CV1091" s="1016"/>
      <c r="CW1091" s="1016"/>
      <c r="CX1091" s="1016"/>
      <c r="CY1091" s="1016"/>
      <c r="CZ1091" s="1016"/>
      <c r="DA1091" s="1016"/>
      <c r="DB1091" s="1016"/>
      <c r="DC1091" s="1016"/>
      <c r="DD1091" s="1016"/>
      <c r="DE1091" s="1016"/>
      <c r="DF1091" s="1016"/>
      <c r="DG1091" s="1016"/>
      <c r="DH1091" s="1016"/>
      <c r="DI1091" s="1016"/>
      <c r="DJ1091" s="1016"/>
      <c r="DK1091" s="1016"/>
      <c r="DL1091" s="1016"/>
      <c r="DM1091" s="1016"/>
      <c r="DN1091" s="1016"/>
      <c r="DO1091" s="1016"/>
      <c r="DP1091" s="1016"/>
      <c r="DQ1091" s="1016"/>
      <c r="DR1091" s="1016"/>
      <c r="DS1091" s="1016"/>
      <c r="DT1091" s="1016"/>
      <c r="DU1091" s="1016"/>
      <c r="DV1091" s="1016"/>
      <c r="DW1091" s="1016"/>
      <c r="DX1091" s="1016"/>
      <c r="DY1091" s="1016"/>
      <c r="DZ1091" s="1016"/>
      <c r="EA1091" s="1016"/>
      <c r="EB1091" s="1016"/>
      <c r="EC1091" s="1016"/>
      <c r="ED1091" s="1016"/>
      <c r="EE1091" s="1016"/>
      <c r="EF1091" s="1016"/>
      <c r="EG1091" s="1016"/>
      <c r="EH1091" s="1016"/>
      <c r="EI1091" s="1016"/>
      <c r="EJ1091" s="1016"/>
      <c r="EK1091" s="1016"/>
      <c r="EL1091" s="1016"/>
      <c r="EM1091" s="1016"/>
      <c r="EN1091" s="1016"/>
      <c r="EO1091" s="1016"/>
      <c r="EP1091" s="1016"/>
      <c r="EQ1091" s="1016"/>
      <c r="ER1091" s="1016"/>
      <c r="ES1091" s="1016"/>
      <c r="ET1091" s="1016"/>
      <c r="EU1091" s="1016"/>
      <c r="EV1091" s="1016"/>
      <c r="EW1091" s="1016"/>
      <c r="EX1091" s="1016"/>
      <c r="EY1091" s="1016"/>
      <c r="EZ1091" s="1016"/>
      <c r="FA1091" s="1016"/>
      <c r="FB1091" s="1016"/>
      <c r="FC1091" s="1016"/>
      <c r="FD1091" s="1016"/>
      <c r="FE1091" s="1016"/>
      <c r="FF1091" s="1016"/>
      <c r="FG1091" s="1016"/>
      <c r="FH1091" s="1016"/>
      <c r="FI1091" s="1016"/>
      <c r="FJ1091" s="1016"/>
      <c r="FK1091" s="1016"/>
      <c r="FL1091" s="1016"/>
      <c r="FM1091" s="1016"/>
      <c r="FN1091" s="1016"/>
      <c r="FO1091" s="1016"/>
      <c r="FP1091" s="1016"/>
      <c r="FQ1091" s="1016"/>
      <c r="FR1091" s="1016"/>
      <c r="FS1091" s="1016"/>
      <c r="FT1091" s="1016"/>
      <c r="FU1091" s="1016"/>
      <c r="FV1091" s="1016"/>
      <c r="FW1091" s="1016"/>
      <c r="FX1091" s="1016"/>
      <c r="FY1091" s="1016"/>
      <c r="FZ1091" s="1016"/>
    </row>
    <row r="1092" spans="1:182" s="1004" customFormat="1" ht="41.25" customHeight="1">
      <c r="A1092" s="1271">
        <v>39</v>
      </c>
      <c r="B1092" s="1272" t="s">
        <v>1759</v>
      </c>
      <c r="C1092" s="1271">
        <v>1959</v>
      </c>
      <c r="D1092" s="1093"/>
      <c r="E1092" s="1271" t="s">
        <v>218</v>
      </c>
      <c r="F1092" s="1092">
        <v>2</v>
      </c>
      <c r="G1092" s="1092">
        <v>2</v>
      </c>
      <c r="H1092" s="993">
        <v>709.6</v>
      </c>
      <c r="I1092" s="993">
        <v>630.79999999999995</v>
      </c>
      <c r="J1092" s="993">
        <f>630.8-132.6</f>
        <v>498.19999999999993</v>
      </c>
      <c r="K1092" s="987">
        <v>31</v>
      </c>
      <c r="L1092" s="993">
        <v>172302</v>
      </c>
      <c r="M1092" s="993">
        <v>0</v>
      </c>
      <c r="N1092" s="993">
        <v>0</v>
      </c>
      <c r="O1092" s="993">
        <f t="shared" si="389"/>
        <v>172302</v>
      </c>
      <c r="P1092" s="993">
        <v>0</v>
      </c>
      <c r="Q1092" s="993">
        <v>0</v>
      </c>
      <c r="R1092" s="993">
        <f t="shared" si="388"/>
        <v>273.14838300570705</v>
      </c>
      <c r="S1092" s="1271">
        <v>2016</v>
      </c>
      <c r="T1092" s="1071" t="s">
        <v>1190</v>
      </c>
      <c r="U1092" s="1016"/>
      <c r="V1092" s="1016"/>
      <c r="W1092" s="1016"/>
      <c r="X1092" s="1016"/>
      <c r="Y1092" s="1016"/>
      <c r="Z1092" s="1016"/>
      <c r="AA1092" s="1016"/>
      <c r="AB1092" s="1016"/>
      <c r="AC1092" s="1016"/>
      <c r="AD1092" s="1016"/>
      <c r="AE1092" s="1016"/>
      <c r="AF1092" s="1016"/>
      <c r="AG1092" s="1016"/>
      <c r="AH1092" s="1016"/>
      <c r="AI1092" s="1016"/>
      <c r="AJ1092" s="1016"/>
      <c r="AK1092" s="1016"/>
      <c r="AL1092" s="1016"/>
      <c r="AM1092" s="1016"/>
      <c r="AN1092" s="1016"/>
      <c r="AO1092" s="1016"/>
      <c r="AP1092" s="1016"/>
      <c r="AQ1092" s="1016"/>
      <c r="AR1092" s="1016"/>
      <c r="AS1092" s="1016"/>
      <c r="AT1092" s="1016"/>
      <c r="AU1092" s="1016"/>
      <c r="AV1092" s="1016"/>
      <c r="AW1092" s="1016"/>
      <c r="AX1092" s="1016"/>
      <c r="AY1092" s="1016"/>
      <c r="AZ1092" s="1016"/>
      <c r="BA1092" s="1016"/>
      <c r="BB1092" s="1016"/>
      <c r="BC1092" s="1016"/>
      <c r="BD1092" s="1016"/>
      <c r="BE1092" s="1016"/>
      <c r="BF1092" s="1016"/>
      <c r="BG1092" s="1016"/>
      <c r="BH1092" s="1016"/>
      <c r="BI1092" s="1016"/>
      <c r="BJ1092" s="1016"/>
      <c r="BK1092" s="1016"/>
      <c r="BL1092" s="1016"/>
      <c r="BM1092" s="1016"/>
      <c r="BN1092" s="1016"/>
      <c r="BO1092" s="1016"/>
      <c r="BP1092" s="1016"/>
      <c r="BQ1092" s="1016"/>
      <c r="BR1092" s="1016"/>
      <c r="BS1092" s="1016"/>
      <c r="BT1092" s="1016"/>
      <c r="BU1092" s="1016"/>
      <c r="BV1092" s="1016"/>
      <c r="BW1092" s="1016"/>
      <c r="BX1092" s="1016"/>
      <c r="BY1092" s="1016"/>
      <c r="BZ1092" s="1016"/>
      <c r="CA1092" s="1016"/>
      <c r="CB1092" s="1016"/>
      <c r="CC1092" s="1016"/>
      <c r="CD1092" s="1016"/>
      <c r="CE1092" s="1016"/>
      <c r="CF1092" s="1016"/>
      <c r="CG1092" s="1016"/>
      <c r="CH1092" s="1016"/>
      <c r="CI1092" s="1016"/>
      <c r="CJ1092" s="1016"/>
      <c r="CK1092" s="1016"/>
      <c r="CL1092" s="1016"/>
      <c r="CM1092" s="1016"/>
      <c r="CN1092" s="1016"/>
      <c r="CO1092" s="1016"/>
      <c r="CP1092" s="1016"/>
      <c r="CQ1092" s="1016"/>
      <c r="CR1092" s="1016"/>
      <c r="CS1092" s="1016"/>
      <c r="CT1092" s="1016"/>
      <c r="CU1092" s="1016"/>
      <c r="CV1092" s="1016"/>
      <c r="CW1092" s="1016"/>
      <c r="CX1092" s="1016"/>
      <c r="CY1092" s="1016"/>
      <c r="CZ1092" s="1016"/>
      <c r="DA1092" s="1016"/>
      <c r="DB1092" s="1016"/>
      <c r="DC1092" s="1016"/>
      <c r="DD1092" s="1016"/>
      <c r="DE1092" s="1016"/>
      <c r="DF1092" s="1016"/>
      <c r="DG1092" s="1016"/>
      <c r="DH1092" s="1016"/>
      <c r="DI1092" s="1016"/>
      <c r="DJ1092" s="1016"/>
      <c r="DK1092" s="1016"/>
      <c r="DL1092" s="1016"/>
      <c r="DM1092" s="1016"/>
      <c r="DN1092" s="1016"/>
      <c r="DO1092" s="1016"/>
      <c r="DP1092" s="1016"/>
      <c r="DQ1092" s="1016"/>
      <c r="DR1092" s="1016"/>
      <c r="DS1092" s="1016"/>
      <c r="DT1092" s="1016"/>
      <c r="DU1092" s="1016"/>
      <c r="DV1092" s="1016"/>
      <c r="DW1092" s="1016"/>
      <c r="DX1092" s="1016"/>
      <c r="DY1092" s="1016"/>
      <c r="DZ1092" s="1016"/>
      <c r="EA1092" s="1016"/>
      <c r="EB1092" s="1016"/>
      <c r="EC1092" s="1016"/>
      <c r="ED1092" s="1016"/>
      <c r="EE1092" s="1016"/>
      <c r="EF1092" s="1016"/>
      <c r="EG1092" s="1016"/>
      <c r="EH1092" s="1016"/>
      <c r="EI1092" s="1016"/>
      <c r="EJ1092" s="1016"/>
      <c r="EK1092" s="1016"/>
      <c r="EL1092" s="1016"/>
      <c r="EM1092" s="1016"/>
      <c r="EN1092" s="1016"/>
      <c r="EO1092" s="1016"/>
      <c r="EP1092" s="1016"/>
      <c r="EQ1092" s="1016"/>
      <c r="ER1092" s="1016"/>
      <c r="ES1092" s="1016"/>
      <c r="ET1092" s="1016"/>
      <c r="EU1092" s="1016"/>
      <c r="EV1092" s="1016"/>
      <c r="EW1092" s="1016"/>
      <c r="EX1092" s="1016"/>
      <c r="EY1092" s="1016"/>
      <c r="EZ1092" s="1016"/>
      <c r="FA1092" s="1016"/>
      <c r="FB1092" s="1016"/>
      <c r="FC1092" s="1016"/>
      <c r="FD1092" s="1016"/>
      <c r="FE1092" s="1016"/>
      <c r="FF1092" s="1016"/>
      <c r="FG1092" s="1016"/>
      <c r="FH1092" s="1016"/>
      <c r="FI1092" s="1016"/>
      <c r="FJ1092" s="1016"/>
      <c r="FK1092" s="1016"/>
      <c r="FL1092" s="1016"/>
      <c r="FM1092" s="1016"/>
      <c r="FN1092" s="1016"/>
      <c r="FO1092" s="1016"/>
      <c r="FP1092" s="1016"/>
      <c r="FQ1092" s="1016"/>
      <c r="FR1092" s="1016"/>
      <c r="FS1092" s="1016"/>
      <c r="FT1092" s="1016"/>
      <c r="FU1092" s="1016"/>
      <c r="FV1092" s="1016"/>
      <c r="FW1092" s="1016"/>
      <c r="FX1092" s="1016"/>
      <c r="FY1092" s="1016"/>
      <c r="FZ1092" s="1016"/>
    </row>
    <row r="1093" spans="1:182" s="1004" customFormat="1" ht="41.25" customHeight="1">
      <c r="A1093" s="1271">
        <v>40</v>
      </c>
      <c r="B1093" s="1272" t="s">
        <v>283</v>
      </c>
      <c r="C1093" s="1271">
        <v>1959</v>
      </c>
      <c r="D1093" s="1271"/>
      <c r="E1093" s="1271" t="s">
        <v>218</v>
      </c>
      <c r="F1093" s="1271">
        <v>3</v>
      </c>
      <c r="G1093" s="1271">
        <v>2</v>
      </c>
      <c r="H1093" s="993">
        <f>743.3+71</f>
        <v>814.3</v>
      </c>
      <c r="I1093" s="993">
        <v>743.3</v>
      </c>
      <c r="J1093" s="993">
        <v>743.3</v>
      </c>
      <c r="K1093" s="987">
        <v>46</v>
      </c>
      <c r="L1093" s="993">
        <v>1171047.3400000001</v>
      </c>
      <c r="M1093" s="993">
        <v>0</v>
      </c>
      <c r="N1093" s="993">
        <v>0</v>
      </c>
      <c r="O1093" s="993">
        <f t="shared" si="389"/>
        <v>1171047.3400000001</v>
      </c>
      <c r="P1093" s="993">
        <v>0</v>
      </c>
      <c r="Q1093" s="993">
        <v>0</v>
      </c>
      <c r="R1093" s="993">
        <f t="shared" si="388"/>
        <v>1575.4706578770351</v>
      </c>
      <c r="S1093" s="1271">
        <v>2016</v>
      </c>
      <c r="T1093" s="1071" t="s">
        <v>1190</v>
      </c>
      <c r="U1093" s="1016"/>
      <c r="V1093" s="1016"/>
      <c r="W1093" s="1016"/>
      <c r="X1093" s="1016"/>
      <c r="Y1093" s="1016"/>
      <c r="Z1093" s="1016"/>
      <c r="AA1093" s="1016"/>
      <c r="AB1093" s="1016"/>
      <c r="AC1093" s="1016"/>
      <c r="AD1093" s="1016"/>
      <c r="AE1093" s="1016"/>
      <c r="AF1093" s="1016"/>
      <c r="AG1093" s="1016"/>
      <c r="AH1093" s="1016"/>
      <c r="AI1093" s="1016"/>
      <c r="AJ1093" s="1016"/>
      <c r="AK1093" s="1016"/>
      <c r="AL1093" s="1016"/>
      <c r="AM1093" s="1016"/>
      <c r="AN1093" s="1016"/>
      <c r="AO1093" s="1016"/>
      <c r="AP1093" s="1016"/>
      <c r="AQ1093" s="1016"/>
      <c r="AR1093" s="1016"/>
      <c r="AS1093" s="1016"/>
      <c r="AT1093" s="1016"/>
      <c r="AU1093" s="1016"/>
      <c r="AV1093" s="1016"/>
      <c r="AW1093" s="1016"/>
      <c r="AX1093" s="1016"/>
      <c r="AY1093" s="1016"/>
      <c r="AZ1093" s="1016"/>
      <c r="BA1093" s="1016"/>
      <c r="BB1093" s="1016"/>
      <c r="BC1093" s="1016"/>
      <c r="BD1093" s="1016"/>
      <c r="BE1093" s="1016"/>
      <c r="BF1093" s="1016"/>
      <c r="BG1093" s="1016"/>
      <c r="BH1093" s="1016"/>
      <c r="BI1093" s="1016"/>
      <c r="BJ1093" s="1016"/>
      <c r="BK1093" s="1016"/>
      <c r="BL1093" s="1016"/>
      <c r="BM1093" s="1016"/>
      <c r="BN1093" s="1016"/>
      <c r="BO1093" s="1016"/>
      <c r="BP1093" s="1016"/>
      <c r="BQ1093" s="1016"/>
      <c r="BR1093" s="1016"/>
      <c r="BS1093" s="1016"/>
      <c r="BT1093" s="1016"/>
      <c r="BU1093" s="1016"/>
      <c r="BV1093" s="1016"/>
      <c r="BW1093" s="1016"/>
      <c r="BX1093" s="1016"/>
      <c r="BY1093" s="1016"/>
      <c r="BZ1093" s="1016"/>
      <c r="CA1093" s="1016"/>
      <c r="CB1093" s="1016"/>
      <c r="CC1093" s="1016"/>
      <c r="CD1093" s="1016"/>
      <c r="CE1093" s="1016"/>
      <c r="CF1093" s="1016"/>
      <c r="CG1093" s="1016"/>
      <c r="CH1093" s="1016"/>
      <c r="CI1093" s="1016"/>
      <c r="CJ1093" s="1016"/>
      <c r="CK1093" s="1016"/>
      <c r="CL1093" s="1016"/>
      <c r="CM1093" s="1016"/>
      <c r="CN1093" s="1016"/>
      <c r="CO1093" s="1016"/>
      <c r="CP1093" s="1016"/>
      <c r="CQ1093" s="1016"/>
      <c r="CR1093" s="1016"/>
      <c r="CS1093" s="1016"/>
      <c r="CT1093" s="1016"/>
      <c r="CU1093" s="1016"/>
      <c r="CV1093" s="1016"/>
      <c r="CW1093" s="1016"/>
      <c r="CX1093" s="1016"/>
      <c r="CY1093" s="1016"/>
      <c r="CZ1093" s="1016"/>
      <c r="DA1093" s="1016"/>
      <c r="DB1093" s="1016"/>
      <c r="DC1093" s="1016"/>
      <c r="DD1093" s="1016"/>
      <c r="DE1093" s="1016"/>
      <c r="DF1093" s="1016"/>
      <c r="DG1093" s="1016"/>
      <c r="DH1093" s="1016"/>
      <c r="DI1093" s="1016"/>
      <c r="DJ1093" s="1016"/>
      <c r="DK1093" s="1016"/>
      <c r="DL1093" s="1016"/>
      <c r="DM1093" s="1016"/>
      <c r="DN1093" s="1016"/>
      <c r="DO1093" s="1016"/>
      <c r="DP1093" s="1016"/>
      <c r="DQ1093" s="1016"/>
      <c r="DR1093" s="1016"/>
      <c r="DS1093" s="1016"/>
      <c r="DT1093" s="1016"/>
      <c r="DU1093" s="1016"/>
      <c r="DV1093" s="1016"/>
      <c r="DW1093" s="1016"/>
      <c r="DX1093" s="1016"/>
      <c r="DY1093" s="1016"/>
      <c r="DZ1093" s="1016"/>
      <c r="EA1093" s="1016"/>
      <c r="EB1093" s="1016"/>
      <c r="EC1093" s="1016"/>
      <c r="ED1093" s="1016"/>
      <c r="EE1093" s="1016"/>
      <c r="EF1093" s="1016"/>
      <c r="EG1093" s="1016"/>
      <c r="EH1093" s="1016"/>
      <c r="EI1093" s="1016"/>
      <c r="EJ1093" s="1016"/>
      <c r="EK1093" s="1016"/>
      <c r="EL1093" s="1016"/>
      <c r="EM1093" s="1016"/>
      <c r="EN1093" s="1016"/>
      <c r="EO1093" s="1016"/>
      <c r="EP1093" s="1016"/>
      <c r="EQ1093" s="1016"/>
      <c r="ER1093" s="1016"/>
      <c r="ES1093" s="1016"/>
      <c r="ET1093" s="1016"/>
      <c r="EU1093" s="1016"/>
      <c r="EV1093" s="1016"/>
      <c r="EW1093" s="1016"/>
      <c r="EX1093" s="1016"/>
      <c r="EY1093" s="1016"/>
      <c r="EZ1093" s="1016"/>
      <c r="FA1093" s="1016"/>
      <c r="FB1093" s="1016"/>
      <c r="FC1093" s="1016"/>
      <c r="FD1093" s="1016"/>
      <c r="FE1093" s="1016"/>
      <c r="FF1093" s="1016"/>
      <c r="FG1093" s="1016"/>
      <c r="FH1093" s="1016"/>
      <c r="FI1093" s="1016"/>
      <c r="FJ1093" s="1016"/>
      <c r="FK1093" s="1016"/>
      <c r="FL1093" s="1016"/>
      <c r="FM1093" s="1016"/>
      <c r="FN1093" s="1016"/>
      <c r="FO1093" s="1016"/>
      <c r="FP1093" s="1016"/>
      <c r="FQ1093" s="1016"/>
      <c r="FR1093" s="1016"/>
      <c r="FS1093" s="1016"/>
      <c r="FT1093" s="1016"/>
      <c r="FU1093" s="1016"/>
      <c r="FV1093" s="1016"/>
      <c r="FW1093" s="1016"/>
      <c r="FX1093" s="1016"/>
      <c r="FY1093" s="1016"/>
      <c r="FZ1093" s="1016"/>
    </row>
    <row r="1094" spans="1:182" s="1004" customFormat="1" ht="41.25" customHeight="1">
      <c r="A1094" s="1271">
        <v>41</v>
      </c>
      <c r="B1094" s="1272" t="s">
        <v>270</v>
      </c>
      <c r="C1094" s="1271">
        <v>1962</v>
      </c>
      <c r="D1094" s="1271"/>
      <c r="E1094" s="1271" t="s">
        <v>219</v>
      </c>
      <c r="F1094" s="1271">
        <v>4</v>
      </c>
      <c r="G1094" s="1271">
        <v>4</v>
      </c>
      <c r="H1094" s="993">
        <v>3144.9</v>
      </c>
      <c r="I1094" s="993">
        <v>2839.3</v>
      </c>
      <c r="J1094" s="993">
        <v>2675.1</v>
      </c>
      <c r="K1094" s="987">
        <v>143</v>
      </c>
      <c r="L1094" s="985">
        <v>4507841.1599999992</v>
      </c>
      <c r="M1094" s="993">
        <v>0</v>
      </c>
      <c r="N1094" s="993">
        <v>0</v>
      </c>
      <c r="O1094" s="993">
        <f t="shared" si="389"/>
        <v>4507841.1599999992</v>
      </c>
      <c r="P1094" s="993">
        <v>0</v>
      </c>
      <c r="Q1094" s="993">
        <v>0</v>
      </c>
      <c r="R1094" s="993">
        <f t="shared" si="388"/>
        <v>1587.6593385693652</v>
      </c>
      <c r="S1094" s="1271">
        <v>2016</v>
      </c>
      <c r="T1094" s="1071" t="s">
        <v>1433</v>
      </c>
    </row>
    <row r="1095" spans="1:182" s="1004" customFormat="1" ht="41.25" customHeight="1">
      <c r="A1095" s="1271">
        <v>42</v>
      </c>
      <c r="B1095" s="1272" t="s">
        <v>1682</v>
      </c>
      <c r="C1095" s="1271" t="s">
        <v>190</v>
      </c>
      <c r="D1095" s="1271"/>
      <c r="E1095" s="1271" t="s">
        <v>218</v>
      </c>
      <c r="F1095" s="1271">
        <v>4</v>
      </c>
      <c r="G1095" s="1271">
        <v>2</v>
      </c>
      <c r="H1095" s="993">
        <v>1002.4</v>
      </c>
      <c r="I1095" s="993">
        <v>878.31</v>
      </c>
      <c r="J1095" s="993">
        <f>695.5-109.4</f>
        <v>586.1</v>
      </c>
      <c r="K1095" s="987">
        <v>26</v>
      </c>
      <c r="L1095" s="993">
        <v>1271010.81</v>
      </c>
      <c r="M1095" s="993">
        <v>0</v>
      </c>
      <c r="N1095" s="993">
        <v>0</v>
      </c>
      <c r="O1095" s="993">
        <f t="shared" si="389"/>
        <v>1271010.81</v>
      </c>
      <c r="P1095" s="993">
        <v>0</v>
      </c>
      <c r="Q1095" s="993">
        <v>0</v>
      </c>
      <c r="R1095" s="993">
        <f t="shared" si="388"/>
        <v>1447.1095740683816</v>
      </c>
      <c r="S1095" s="1271">
        <v>2016</v>
      </c>
      <c r="T1095" s="1071" t="s">
        <v>1190</v>
      </c>
    </row>
    <row r="1096" spans="1:182" s="1004" customFormat="1" ht="41.25" customHeight="1">
      <c r="A1096" s="1271">
        <v>43</v>
      </c>
      <c r="B1096" s="1272" t="s">
        <v>293</v>
      </c>
      <c r="C1096" s="1271">
        <v>1968</v>
      </c>
      <c r="D1096" s="1271"/>
      <c r="E1096" s="1271" t="s">
        <v>218</v>
      </c>
      <c r="F1096" s="1092">
        <v>5</v>
      </c>
      <c r="G1096" s="1092">
        <v>4</v>
      </c>
      <c r="H1096" s="993">
        <v>3111.5</v>
      </c>
      <c r="I1096" s="993">
        <v>2841.4</v>
      </c>
      <c r="J1096" s="993">
        <f>2812.5-138.2</f>
        <v>2674.3</v>
      </c>
      <c r="K1096" s="987">
        <v>124</v>
      </c>
      <c r="L1096" s="993">
        <v>2369961</v>
      </c>
      <c r="M1096" s="993">
        <v>0</v>
      </c>
      <c r="N1096" s="993">
        <v>0</v>
      </c>
      <c r="O1096" s="993">
        <f t="shared" si="389"/>
        <v>2369961</v>
      </c>
      <c r="P1096" s="993">
        <v>0</v>
      </c>
      <c r="Q1096" s="993">
        <v>0</v>
      </c>
      <c r="R1096" s="993">
        <f t="shared" si="388"/>
        <v>834.08214260575767</v>
      </c>
      <c r="S1096" s="1271">
        <v>2016</v>
      </c>
      <c r="T1096" s="1071" t="s">
        <v>1190</v>
      </c>
    </row>
    <row r="1097" spans="1:182" s="1004" customFormat="1" ht="41.25" customHeight="1">
      <c r="A1097" s="1271">
        <v>44</v>
      </c>
      <c r="B1097" s="1272" t="s">
        <v>244</v>
      </c>
      <c r="C1097" s="1271">
        <v>1976</v>
      </c>
      <c r="D1097" s="1271"/>
      <c r="E1097" s="1271" t="s">
        <v>219</v>
      </c>
      <c r="F1097" s="1271">
        <v>9</v>
      </c>
      <c r="G1097" s="1271">
        <v>4</v>
      </c>
      <c r="H1097" s="993">
        <v>8771.4</v>
      </c>
      <c r="I1097" s="993">
        <v>7752.5</v>
      </c>
      <c r="J1097" s="993">
        <f>I1097-47.6</f>
        <v>7704.9</v>
      </c>
      <c r="K1097" s="987">
        <v>377</v>
      </c>
      <c r="L1097" s="1217">
        <v>6573847.8027999997</v>
      </c>
      <c r="M1097" s="993">
        <v>0</v>
      </c>
      <c r="N1097" s="993">
        <v>0</v>
      </c>
      <c r="O1097" s="993">
        <f t="shared" si="389"/>
        <v>6573847.8027999997</v>
      </c>
      <c r="P1097" s="993">
        <v>0</v>
      </c>
      <c r="Q1097" s="993">
        <v>0</v>
      </c>
      <c r="R1097" s="993">
        <f t="shared" si="388"/>
        <v>847.96488910673975</v>
      </c>
      <c r="S1097" s="1271">
        <v>2016</v>
      </c>
      <c r="T1097" s="1071" t="s">
        <v>1433</v>
      </c>
    </row>
    <row r="1098" spans="1:182" s="1004" customFormat="1" ht="41.25" customHeight="1">
      <c r="A1098" s="1271">
        <v>45</v>
      </c>
      <c r="B1098" s="1272" t="s">
        <v>275</v>
      </c>
      <c r="C1098" s="1271">
        <v>1951</v>
      </c>
      <c r="D1098" s="1271"/>
      <c r="E1098" s="1271" t="s">
        <v>218</v>
      </c>
      <c r="F1098" s="1271">
        <v>3</v>
      </c>
      <c r="G1098" s="1271">
        <v>3</v>
      </c>
      <c r="H1098" s="993">
        <v>2112</v>
      </c>
      <c r="I1098" s="993">
        <v>1945.5</v>
      </c>
      <c r="J1098" s="993">
        <f>I1098-198</f>
        <v>1747.5</v>
      </c>
      <c r="K1098" s="987">
        <v>79</v>
      </c>
      <c r="L1098" s="993">
        <v>2253297</v>
      </c>
      <c r="M1098" s="993">
        <v>0</v>
      </c>
      <c r="N1098" s="993">
        <v>0</v>
      </c>
      <c r="O1098" s="993">
        <f t="shared" si="389"/>
        <v>2253297</v>
      </c>
      <c r="P1098" s="993">
        <v>0</v>
      </c>
      <c r="Q1098" s="993">
        <v>0</v>
      </c>
      <c r="R1098" s="993">
        <f t="shared" si="388"/>
        <v>1158.2097147262914</v>
      </c>
      <c r="S1098" s="1271">
        <v>2016</v>
      </c>
      <c r="T1098" s="1071" t="s">
        <v>1190</v>
      </c>
    </row>
    <row r="1099" spans="1:182" s="1004" customFormat="1" ht="41.25" customHeight="1">
      <c r="A1099" s="1271">
        <v>46</v>
      </c>
      <c r="B1099" s="1272" t="s">
        <v>1564</v>
      </c>
      <c r="C1099" s="1271">
        <v>1970</v>
      </c>
      <c r="D1099" s="1271"/>
      <c r="E1099" s="1271" t="s">
        <v>219</v>
      </c>
      <c r="F1099" s="1271">
        <v>5</v>
      </c>
      <c r="G1099" s="1271">
        <v>4</v>
      </c>
      <c r="H1099" s="993">
        <v>3016.1</v>
      </c>
      <c r="I1099" s="993">
        <v>2705.5</v>
      </c>
      <c r="J1099" s="993">
        <f>2705.5-105.3</f>
        <v>2600.1999999999998</v>
      </c>
      <c r="K1099" s="987">
        <v>124</v>
      </c>
      <c r="L1099" s="993">
        <v>662518</v>
      </c>
      <c r="M1099" s="993">
        <v>0</v>
      </c>
      <c r="N1099" s="993">
        <v>0</v>
      </c>
      <c r="O1099" s="993">
        <f t="shared" si="389"/>
        <v>662518</v>
      </c>
      <c r="P1099" s="993">
        <v>0</v>
      </c>
      <c r="Q1099" s="993">
        <v>0</v>
      </c>
      <c r="R1099" s="993">
        <f t="shared" si="388"/>
        <v>244.87821105156164</v>
      </c>
      <c r="S1099" s="1271">
        <v>2016</v>
      </c>
      <c r="T1099" s="1071" t="s">
        <v>1190</v>
      </c>
    </row>
    <row r="1100" spans="1:182" s="1004" customFormat="1" ht="41.25" customHeight="1">
      <c r="A1100" s="1271">
        <v>47</v>
      </c>
      <c r="B1100" s="1272" t="s">
        <v>251</v>
      </c>
      <c r="C1100" s="1271">
        <v>1977</v>
      </c>
      <c r="D1100" s="1271"/>
      <c r="E1100" s="1271" t="s">
        <v>218</v>
      </c>
      <c r="F1100" s="1271">
        <v>5</v>
      </c>
      <c r="G1100" s="1271">
        <v>6</v>
      </c>
      <c r="H1100" s="993">
        <v>4612</v>
      </c>
      <c r="I1100" s="993">
        <v>4552.5</v>
      </c>
      <c r="J1100" s="993">
        <f>4461.8-285.7</f>
        <v>4176.1000000000004</v>
      </c>
      <c r="K1100" s="987">
        <v>191</v>
      </c>
      <c r="L1100" s="993">
        <v>3687908</v>
      </c>
      <c r="M1100" s="993">
        <v>0</v>
      </c>
      <c r="N1100" s="993">
        <v>0</v>
      </c>
      <c r="O1100" s="993">
        <f t="shared" si="389"/>
        <v>3687908</v>
      </c>
      <c r="P1100" s="993">
        <v>0</v>
      </c>
      <c r="Q1100" s="993">
        <v>0</v>
      </c>
      <c r="R1100" s="993">
        <f t="shared" si="388"/>
        <v>810.08412959912141</v>
      </c>
      <c r="S1100" s="1271">
        <v>2016</v>
      </c>
      <c r="T1100" s="1071" t="s">
        <v>1190</v>
      </c>
    </row>
    <row r="1101" spans="1:182" s="1004" customFormat="1" ht="41.25" customHeight="1">
      <c r="A1101" s="1271">
        <v>48</v>
      </c>
      <c r="B1101" s="1272" t="s">
        <v>232</v>
      </c>
      <c r="C1101" s="1271" t="s">
        <v>190</v>
      </c>
      <c r="D1101" s="1271"/>
      <c r="E1101" s="1271" t="s">
        <v>218</v>
      </c>
      <c r="F1101" s="1271">
        <v>3</v>
      </c>
      <c r="G1101" s="1271">
        <v>2</v>
      </c>
      <c r="H1101" s="993">
        <v>975.2</v>
      </c>
      <c r="I1101" s="993">
        <v>925.6</v>
      </c>
      <c r="J1101" s="993">
        <v>925.6</v>
      </c>
      <c r="K1101" s="987">
        <v>21</v>
      </c>
      <c r="L1101" s="1217">
        <v>7048457.4752000012</v>
      </c>
      <c r="M1101" s="993">
        <v>0</v>
      </c>
      <c r="N1101" s="993">
        <v>0</v>
      </c>
      <c r="O1101" s="993">
        <f t="shared" si="389"/>
        <v>7048457.4752000012</v>
      </c>
      <c r="P1101" s="993">
        <v>0</v>
      </c>
      <c r="Q1101" s="993">
        <v>0</v>
      </c>
      <c r="R1101" s="993">
        <f t="shared" si="388"/>
        <v>7615.0145583405365</v>
      </c>
      <c r="S1101" s="1271">
        <v>2016</v>
      </c>
      <c r="T1101" s="1071" t="s">
        <v>1433</v>
      </c>
    </row>
    <row r="1102" spans="1:182" s="1004" customFormat="1" ht="41.25" customHeight="1">
      <c r="A1102" s="1271">
        <v>49</v>
      </c>
      <c r="B1102" s="1272" t="s">
        <v>1683</v>
      </c>
      <c r="C1102" s="1271">
        <v>1967</v>
      </c>
      <c r="D1102" s="1271"/>
      <c r="E1102" s="1271" t="s">
        <v>218</v>
      </c>
      <c r="F1102" s="1092">
        <v>6</v>
      </c>
      <c r="G1102" s="1092">
        <v>5</v>
      </c>
      <c r="H1102" s="993">
        <v>5871.4</v>
      </c>
      <c r="I1102" s="993">
        <v>5136.3</v>
      </c>
      <c r="J1102" s="993">
        <v>3519.89</v>
      </c>
      <c r="K1102" s="987">
        <v>206</v>
      </c>
      <c r="L1102" s="993">
        <v>2903468</v>
      </c>
      <c r="M1102" s="993">
        <v>0</v>
      </c>
      <c r="N1102" s="993">
        <v>0</v>
      </c>
      <c r="O1102" s="993">
        <f t="shared" si="389"/>
        <v>2903468</v>
      </c>
      <c r="P1102" s="993">
        <v>0</v>
      </c>
      <c r="Q1102" s="993">
        <v>0</v>
      </c>
      <c r="R1102" s="993">
        <f t="shared" si="388"/>
        <v>565.2839592702918</v>
      </c>
      <c r="S1102" s="1271">
        <v>2016</v>
      </c>
      <c r="T1102" s="1071" t="s">
        <v>1190</v>
      </c>
    </row>
    <row r="1103" spans="1:182" s="1004" customFormat="1" ht="41.25" customHeight="1">
      <c r="A1103" s="1271">
        <v>50</v>
      </c>
      <c r="B1103" s="1272" t="s">
        <v>302</v>
      </c>
      <c r="C1103" s="1271">
        <v>1986</v>
      </c>
      <c r="D1103" s="1271"/>
      <c r="E1103" s="1271" t="s">
        <v>219</v>
      </c>
      <c r="F1103" s="1092">
        <v>9</v>
      </c>
      <c r="G1103" s="1092">
        <v>3</v>
      </c>
      <c r="H1103" s="993">
        <v>9111.2000000000007</v>
      </c>
      <c r="I1103" s="993">
        <v>8526.2000000000007</v>
      </c>
      <c r="J1103" s="993">
        <f>I1103-254.1</f>
        <v>8272.1</v>
      </c>
      <c r="K1103" s="987">
        <v>308</v>
      </c>
      <c r="L1103" s="993">
        <v>4265098</v>
      </c>
      <c r="M1103" s="993">
        <v>0</v>
      </c>
      <c r="N1103" s="993">
        <v>0</v>
      </c>
      <c r="O1103" s="993">
        <f t="shared" si="389"/>
        <v>4265098</v>
      </c>
      <c r="P1103" s="993">
        <v>0</v>
      </c>
      <c r="Q1103" s="993">
        <v>0</v>
      </c>
      <c r="R1103" s="993">
        <f t="shared" si="388"/>
        <v>500.23433651568104</v>
      </c>
      <c r="S1103" s="1271">
        <v>2016</v>
      </c>
      <c r="T1103" s="1071" t="s">
        <v>1190</v>
      </c>
    </row>
    <row r="1104" spans="1:182" s="1004" customFormat="1" ht="41.25" customHeight="1">
      <c r="A1104" s="1271">
        <v>51</v>
      </c>
      <c r="B1104" s="1272" t="s">
        <v>2015</v>
      </c>
      <c r="C1104" s="1271">
        <v>1966</v>
      </c>
      <c r="D1104" s="1271"/>
      <c r="E1104" s="1271" t="s">
        <v>219</v>
      </c>
      <c r="F1104" s="1271">
        <v>5</v>
      </c>
      <c r="G1104" s="1271">
        <v>6</v>
      </c>
      <c r="H1104" s="993">
        <v>4938</v>
      </c>
      <c r="I1104" s="993">
        <v>4375.2</v>
      </c>
      <c r="J1104" s="993">
        <f>I1104-300.7</f>
        <v>4074.5</v>
      </c>
      <c r="K1104" s="987">
        <v>229</v>
      </c>
      <c r="L1104" s="993">
        <v>1967436</v>
      </c>
      <c r="M1104" s="993">
        <v>0</v>
      </c>
      <c r="N1104" s="993">
        <v>0</v>
      </c>
      <c r="O1104" s="993">
        <f t="shared" si="389"/>
        <v>1967436</v>
      </c>
      <c r="P1104" s="993">
        <v>0</v>
      </c>
      <c r="Q1104" s="993">
        <v>0</v>
      </c>
      <c r="R1104" s="993">
        <f t="shared" si="388"/>
        <v>449.67910038398247</v>
      </c>
      <c r="S1104" s="987">
        <v>2017</v>
      </c>
      <c r="T1104" s="987" t="s">
        <v>1190</v>
      </c>
    </row>
    <row r="1105" spans="1:20" s="1004" customFormat="1" ht="41.25" customHeight="1">
      <c r="A1105" s="1271">
        <v>52</v>
      </c>
      <c r="B1105" s="1272" t="s">
        <v>1684</v>
      </c>
      <c r="C1105" s="1271">
        <v>1985</v>
      </c>
      <c r="D1105" s="1271"/>
      <c r="E1105" s="1271" t="s">
        <v>219</v>
      </c>
      <c r="F1105" s="1271">
        <v>9</v>
      </c>
      <c r="G1105" s="1271">
        <v>1</v>
      </c>
      <c r="H1105" s="993">
        <v>2162.6999999999998</v>
      </c>
      <c r="I1105" s="993">
        <v>2143.1</v>
      </c>
      <c r="J1105" s="993">
        <f>I1105-130.9</f>
        <v>2012.1999999999998</v>
      </c>
      <c r="K1105" s="987">
        <v>105</v>
      </c>
      <c r="L1105" s="993">
        <v>838570</v>
      </c>
      <c r="M1105" s="993">
        <v>0</v>
      </c>
      <c r="N1105" s="993">
        <v>0</v>
      </c>
      <c r="O1105" s="993">
        <f t="shared" si="389"/>
        <v>838570</v>
      </c>
      <c r="P1105" s="993">
        <v>0</v>
      </c>
      <c r="Q1105" s="993">
        <v>0</v>
      </c>
      <c r="R1105" s="993">
        <f t="shared" si="388"/>
        <v>391.2883206569922</v>
      </c>
      <c r="S1105" s="987">
        <v>2017</v>
      </c>
      <c r="T1105" s="987" t="s">
        <v>1190</v>
      </c>
    </row>
    <row r="1106" spans="1:20" s="1004" customFormat="1" ht="41.25" customHeight="1">
      <c r="A1106" s="1271">
        <v>53</v>
      </c>
      <c r="B1106" s="1272" t="s">
        <v>1685</v>
      </c>
      <c r="C1106" s="1271">
        <v>1972</v>
      </c>
      <c r="D1106" s="1271"/>
      <c r="E1106" s="1271" t="s">
        <v>219</v>
      </c>
      <c r="F1106" s="1271">
        <v>9</v>
      </c>
      <c r="G1106" s="1271">
        <v>2</v>
      </c>
      <c r="H1106" s="993">
        <v>3872.1</v>
      </c>
      <c r="I1106" s="993">
        <v>3838.8</v>
      </c>
      <c r="J1106" s="993">
        <f>I1106-257.1</f>
        <v>3581.7000000000003</v>
      </c>
      <c r="K1106" s="987">
        <v>169</v>
      </c>
      <c r="L1106" s="993">
        <v>1558282</v>
      </c>
      <c r="M1106" s="993">
        <v>0</v>
      </c>
      <c r="N1106" s="993">
        <v>0</v>
      </c>
      <c r="O1106" s="993">
        <f t="shared" si="389"/>
        <v>1558282</v>
      </c>
      <c r="P1106" s="993">
        <v>0</v>
      </c>
      <c r="Q1106" s="993">
        <v>0</v>
      </c>
      <c r="R1106" s="993">
        <f t="shared" si="388"/>
        <v>405.92945712201725</v>
      </c>
      <c r="S1106" s="987">
        <v>2017</v>
      </c>
      <c r="T1106" s="987" t="s">
        <v>1190</v>
      </c>
    </row>
    <row r="1107" spans="1:20" s="1004" customFormat="1" ht="41.25" customHeight="1">
      <c r="A1107" s="1271">
        <v>54</v>
      </c>
      <c r="B1107" s="1272" t="s">
        <v>1686</v>
      </c>
      <c r="C1107" s="1271">
        <v>1955</v>
      </c>
      <c r="D1107" s="1271"/>
      <c r="E1107" s="1271" t="s">
        <v>218</v>
      </c>
      <c r="F1107" s="1271">
        <v>3</v>
      </c>
      <c r="G1107" s="1271">
        <v>3</v>
      </c>
      <c r="H1107" s="993">
        <v>2398.9</v>
      </c>
      <c r="I1107" s="993">
        <v>2188.3000000000002</v>
      </c>
      <c r="J1107" s="993">
        <f>I1107-236.1</f>
        <v>1952.2000000000003</v>
      </c>
      <c r="K1107" s="987">
        <v>95</v>
      </c>
      <c r="L1107" s="985">
        <v>9914209.8100000005</v>
      </c>
      <c r="M1107" s="993">
        <v>0</v>
      </c>
      <c r="N1107" s="993">
        <v>0</v>
      </c>
      <c r="O1107" s="993">
        <f t="shared" si="389"/>
        <v>9914209.8100000005</v>
      </c>
      <c r="P1107" s="993">
        <v>0</v>
      </c>
      <c r="Q1107" s="993">
        <v>0</v>
      </c>
      <c r="R1107" s="993">
        <f t="shared" ref="R1107:R1147" si="390">L1107/I1107</f>
        <v>4530.553310789197</v>
      </c>
      <c r="S1107" s="987">
        <v>2017</v>
      </c>
      <c r="T1107" s="987">
        <v>2022</v>
      </c>
    </row>
    <row r="1108" spans="1:20" s="1017" customFormat="1" ht="41.25" customHeight="1">
      <c r="A1108" s="1271">
        <v>55</v>
      </c>
      <c r="B1108" s="1272" t="s">
        <v>2794</v>
      </c>
      <c r="C1108" s="1271">
        <v>1914</v>
      </c>
      <c r="D1108" s="1271"/>
      <c r="E1108" s="1271" t="s">
        <v>218</v>
      </c>
      <c r="F1108" s="1271">
        <v>4</v>
      </c>
      <c r="G1108" s="1271">
        <v>5</v>
      </c>
      <c r="H1108" s="993">
        <v>2953.4</v>
      </c>
      <c r="I1108" s="993">
        <v>2592.5</v>
      </c>
      <c r="J1108" s="993">
        <f>I1108-231.93</f>
        <v>2360.5700000000002</v>
      </c>
      <c r="K1108" s="987">
        <v>90</v>
      </c>
      <c r="L1108" s="985">
        <v>19552943.849999998</v>
      </c>
      <c r="M1108" s="993">
        <v>0</v>
      </c>
      <c r="N1108" s="993">
        <v>0</v>
      </c>
      <c r="O1108" s="993">
        <f t="shared" si="389"/>
        <v>19552943.849999998</v>
      </c>
      <c r="P1108" s="993">
        <v>0</v>
      </c>
      <c r="Q1108" s="993">
        <v>0</v>
      </c>
      <c r="R1108" s="993">
        <f t="shared" si="390"/>
        <v>7542.1191321118604</v>
      </c>
      <c r="S1108" s="987">
        <v>2017</v>
      </c>
      <c r="T1108" s="987">
        <v>2022</v>
      </c>
    </row>
    <row r="1109" spans="1:20" s="1017" customFormat="1" ht="41.25" customHeight="1">
      <c r="A1109" s="1271">
        <v>56</v>
      </c>
      <c r="B1109" s="1272" t="s">
        <v>2795</v>
      </c>
      <c r="C1109" s="1271">
        <v>1907</v>
      </c>
      <c r="D1109" s="1271"/>
      <c r="E1109" s="1271" t="s">
        <v>221</v>
      </c>
      <c r="F1109" s="1271">
        <v>2</v>
      </c>
      <c r="G1109" s="1271">
        <v>1</v>
      </c>
      <c r="H1109" s="993">
        <v>691.1</v>
      </c>
      <c r="I1109" s="993">
        <v>660.5</v>
      </c>
      <c r="J1109" s="993">
        <f>I1109-19.87</f>
        <v>640.63</v>
      </c>
      <c r="K1109" s="987">
        <v>32</v>
      </c>
      <c r="L1109" s="993">
        <v>3712475</v>
      </c>
      <c r="M1109" s="993">
        <v>0</v>
      </c>
      <c r="N1109" s="993">
        <v>0</v>
      </c>
      <c r="O1109" s="993">
        <f t="shared" si="389"/>
        <v>3712475</v>
      </c>
      <c r="P1109" s="993">
        <v>0</v>
      </c>
      <c r="Q1109" s="993">
        <v>0</v>
      </c>
      <c r="R1109" s="993">
        <f t="shared" si="390"/>
        <v>5620.7040121120363</v>
      </c>
      <c r="S1109" s="987">
        <v>2017</v>
      </c>
      <c r="T1109" s="987" t="s">
        <v>1190</v>
      </c>
    </row>
    <row r="1110" spans="1:20" s="1017" customFormat="1" ht="41.25" customHeight="1">
      <c r="A1110" s="1271">
        <v>57</v>
      </c>
      <c r="B1110" s="1272" t="s">
        <v>1687</v>
      </c>
      <c r="C1110" s="1271">
        <v>1853</v>
      </c>
      <c r="D1110" s="1271"/>
      <c r="E1110" s="1271" t="s">
        <v>221</v>
      </c>
      <c r="F1110" s="1271">
        <v>2</v>
      </c>
      <c r="G1110" s="1271">
        <v>2</v>
      </c>
      <c r="H1110" s="993">
        <v>574.29999999999995</v>
      </c>
      <c r="I1110" s="993">
        <v>483.2</v>
      </c>
      <c r="J1110" s="993">
        <f>I1110-29.1</f>
        <v>454.09999999999997</v>
      </c>
      <c r="K1110" s="987">
        <v>26</v>
      </c>
      <c r="L1110" s="985">
        <v>3275415.5</v>
      </c>
      <c r="M1110" s="993">
        <v>0</v>
      </c>
      <c r="N1110" s="993">
        <v>0</v>
      </c>
      <c r="O1110" s="993">
        <f t="shared" si="389"/>
        <v>3275415.5</v>
      </c>
      <c r="P1110" s="993">
        <v>0</v>
      </c>
      <c r="Q1110" s="993">
        <v>0</v>
      </c>
      <c r="R1110" s="993">
        <f t="shared" si="390"/>
        <v>6778.5916804635763</v>
      </c>
      <c r="S1110" s="987">
        <v>2017</v>
      </c>
      <c r="T1110" s="987">
        <v>2022</v>
      </c>
    </row>
    <row r="1111" spans="1:20" s="1017" customFormat="1" ht="41.25" customHeight="1">
      <c r="A1111" s="1271">
        <v>58</v>
      </c>
      <c r="B1111" s="1272" t="s">
        <v>1688</v>
      </c>
      <c r="C1111" s="1271">
        <v>1925</v>
      </c>
      <c r="D1111" s="1271"/>
      <c r="E1111" s="1271" t="s">
        <v>221</v>
      </c>
      <c r="F1111" s="1271">
        <v>2</v>
      </c>
      <c r="G1111" s="1271">
        <v>2</v>
      </c>
      <c r="H1111" s="993">
        <v>440</v>
      </c>
      <c r="I1111" s="993">
        <v>411.5</v>
      </c>
      <c r="J1111" s="993">
        <f>I1111-102.4</f>
        <v>309.10000000000002</v>
      </c>
      <c r="K1111" s="987">
        <v>20</v>
      </c>
      <c r="L1111" s="993">
        <v>966044</v>
      </c>
      <c r="M1111" s="993">
        <v>0</v>
      </c>
      <c r="N1111" s="993">
        <v>0</v>
      </c>
      <c r="O1111" s="993">
        <f t="shared" si="389"/>
        <v>966044</v>
      </c>
      <c r="P1111" s="993">
        <v>0</v>
      </c>
      <c r="Q1111" s="993">
        <v>0</v>
      </c>
      <c r="R1111" s="993">
        <f t="shared" si="390"/>
        <v>2347.6160388821386</v>
      </c>
      <c r="S1111" s="987">
        <v>2017</v>
      </c>
      <c r="T1111" s="987" t="s">
        <v>1190</v>
      </c>
    </row>
    <row r="1112" spans="1:20" s="1004" customFormat="1" ht="41.25" customHeight="1">
      <c r="A1112" s="1271">
        <v>59</v>
      </c>
      <c r="B1112" s="1272" t="s">
        <v>1689</v>
      </c>
      <c r="C1112" s="1271">
        <v>1980</v>
      </c>
      <c r="D1112" s="1271"/>
      <c r="E1112" s="1271" t="s">
        <v>218</v>
      </c>
      <c r="F1112" s="1271">
        <v>9</v>
      </c>
      <c r="G1112" s="1271">
        <v>1</v>
      </c>
      <c r="H1112" s="993">
        <v>3671</v>
      </c>
      <c r="I1112" s="993">
        <v>3334</v>
      </c>
      <c r="J1112" s="993">
        <f>I1112-120.1-245.9</f>
        <v>2968</v>
      </c>
      <c r="K1112" s="987">
        <v>139</v>
      </c>
      <c r="L1112" s="993">
        <v>1440092</v>
      </c>
      <c r="M1112" s="993">
        <v>0</v>
      </c>
      <c r="N1112" s="993">
        <v>0</v>
      </c>
      <c r="O1112" s="993">
        <f t="shared" si="389"/>
        <v>1440092</v>
      </c>
      <c r="P1112" s="993">
        <v>0</v>
      </c>
      <c r="Q1112" s="993">
        <v>0</v>
      </c>
      <c r="R1112" s="993">
        <f t="shared" si="390"/>
        <v>431.94121175764849</v>
      </c>
      <c r="S1112" s="987">
        <v>2017</v>
      </c>
      <c r="T1112" s="987" t="s">
        <v>1190</v>
      </c>
    </row>
    <row r="1113" spans="1:20" s="1004" customFormat="1" ht="41.25" customHeight="1">
      <c r="A1113" s="1271">
        <v>60</v>
      </c>
      <c r="B1113" s="1272" t="s">
        <v>1548</v>
      </c>
      <c r="C1113" s="1271">
        <v>1955</v>
      </c>
      <c r="D1113" s="1271"/>
      <c r="E1113" s="1271" t="s">
        <v>218</v>
      </c>
      <c r="F1113" s="1271">
        <v>2</v>
      </c>
      <c r="G1113" s="1271">
        <v>2</v>
      </c>
      <c r="H1113" s="993">
        <v>512</v>
      </c>
      <c r="I1113" s="993">
        <v>468.9</v>
      </c>
      <c r="J1113" s="993">
        <f>I1113-55.2</f>
        <v>413.7</v>
      </c>
      <c r="K1113" s="987">
        <v>29</v>
      </c>
      <c r="L1113" s="993">
        <v>376932</v>
      </c>
      <c r="M1113" s="993">
        <v>0</v>
      </c>
      <c r="N1113" s="993">
        <v>0</v>
      </c>
      <c r="O1113" s="993">
        <f t="shared" si="389"/>
        <v>376932</v>
      </c>
      <c r="P1113" s="993">
        <v>0</v>
      </c>
      <c r="Q1113" s="993">
        <v>0</v>
      </c>
      <c r="R1113" s="993">
        <f t="shared" si="390"/>
        <v>803.86436340371085</v>
      </c>
      <c r="S1113" s="987">
        <v>2017</v>
      </c>
      <c r="T1113" s="987" t="s">
        <v>1190</v>
      </c>
    </row>
    <row r="1114" spans="1:20" s="1004" customFormat="1" ht="41.25" customHeight="1">
      <c r="A1114" s="1271">
        <v>61</v>
      </c>
      <c r="B1114" s="1272" t="s">
        <v>1690</v>
      </c>
      <c r="C1114" s="1271">
        <v>1955</v>
      </c>
      <c r="D1114" s="1271"/>
      <c r="E1114" s="1271" t="s">
        <v>218</v>
      </c>
      <c r="F1114" s="1271">
        <v>2</v>
      </c>
      <c r="G1114" s="1271">
        <v>2</v>
      </c>
      <c r="H1114" s="993">
        <v>619.9</v>
      </c>
      <c r="I1114" s="993">
        <v>561.6</v>
      </c>
      <c r="J1114" s="993">
        <f>I1114-174.6</f>
        <v>387</v>
      </c>
      <c r="K1114" s="987">
        <v>45</v>
      </c>
      <c r="L1114" s="993">
        <v>447464</v>
      </c>
      <c r="M1114" s="993">
        <v>0</v>
      </c>
      <c r="N1114" s="993">
        <v>0</v>
      </c>
      <c r="O1114" s="993">
        <f t="shared" si="389"/>
        <v>447464</v>
      </c>
      <c r="P1114" s="993">
        <v>0</v>
      </c>
      <c r="Q1114" s="993">
        <v>0</v>
      </c>
      <c r="R1114" s="993">
        <f t="shared" si="390"/>
        <v>796.76638176638176</v>
      </c>
      <c r="S1114" s="987">
        <v>2017</v>
      </c>
      <c r="T1114" s="987" t="s">
        <v>1190</v>
      </c>
    </row>
    <row r="1115" spans="1:20" s="1004" customFormat="1" ht="41.25" customHeight="1">
      <c r="A1115" s="1271">
        <v>62</v>
      </c>
      <c r="B1115" s="1272" t="s">
        <v>240</v>
      </c>
      <c r="C1115" s="1271">
        <v>1955</v>
      </c>
      <c r="D1115" s="1271"/>
      <c r="E1115" s="1271" t="s">
        <v>218</v>
      </c>
      <c r="F1115" s="1271">
        <v>2</v>
      </c>
      <c r="G1115" s="1271">
        <v>2</v>
      </c>
      <c r="H1115" s="993">
        <v>658.4</v>
      </c>
      <c r="I1115" s="993">
        <v>585.79999999999995</v>
      </c>
      <c r="J1115" s="993">
        <v>502</v>
      </c>
      <c r="K1115" s="987">
        <v>27</v>
      </c>
      <c r="L1115" s="993">
        <v>2386092.04</v>
      </c>
      <c r="M1115" s="993">
        <v>0</v>
      </c>
      <c r="N1115" s="993">
        <v>0</v>
      </c>
      <c r="O1115" s="993">
        <f t="shared" si="389"/>
        <v>2386092.04</v>
      </c>
      <c r="P1115" s="993">
        <v>0</v>
      </c>
      <c r="Q1115" s="993">
        <v>0</v>
      </c>
      <c r="R1115" s="993">
        <f t="shared" si="390"/>
        <v>4073.2195971321275</v>
      </c>
      <c r="S1115" s="987">
        <v>2017</v>
      </c>
      <c r="T1115" s="987" t="s">
        <v>1190</v>
      </c>
    </row>
    <row r="1116" spans="1:20" s="1004" customFormat="1" ht="41.25" customHeight="1">
      <c r="A1116" s="1271">
        <v>63</v>
      </c>
      <c r="B1116" s="1272" t="s">
        <v>1691</v>
      </c>
      <c r="C1116" s="1271">
        <v>1988</v>
      </c>
      <c r="D1116" s="1271"/>
      <c r="E1116" s="1271" t="s">
        <v>220</v>
      </c>
      <c r="F1116" s="1271">
        <v>9</v>
      </c>
      <c r="G1116" s="1271">
        <v>4</v>
      </c>
      <c r="H1116" s="993">
        <v>8095.5</v>
      </c>
      <c r="I1116" s="993">
        <v>8108.1</v>
      </c>
      <c r="J1116" s="993">
        <f>I1116-321-456.5</f>
        <v>7330.6</v>
      </c>
      <c r="K1116" s="987">
        <v>345</v>
      </c>
      <c r="L1116" s="993">
        <v>2836922</v>
      </c>
      <c r="M1116" s="993">
        <v>0</v>
      </c>
      <c r="N1116" s="993">
        <v>0</v>
      </c>
      <c r="O1116" s="993">
        <f t="shared" si="389"/>
        <v>2836922</v>
      </c>
      <c r="P1116" s="993">
        <v>0</v>
      </c>
      <c r="Q1116" s="993">
        <v>0</v>
      </c>
      <c r="R1116" s="993">
        <f t="shared" si="390"/>
        <v>349.88739655406323</v>
      </c>
      <c r="S1116" s="987">
        <v>2017</v>
      </c>
      <c r="T1116" s="987" t="s">
        <v>1190</v>
      </c>
    </row>
    <row r="1117" spans="1:20" s="1004" customFormat="1" ht="41.25" customHeight="1">
      <c r="A1117" s="1271">
        <v>64</v>
      </c>
      <c r="B1117" s="1272" t="s">
        <v>1692</v>
      </c>
      <c r="C1117" s="1271">
        <v>1978</v>
      </c>
      <c r="D1117" s="1271"/>
      <c r="E1117" s="1271" t="s">
        <v>219</v>
      </c>
      <c r="F1117" s="1271">
        <v>5</v>
      </c>
      <c r="G1117" s="1271">
        <v>4</v>
      </c>
      <c r="H1117" s="993">
        <v>3038.9</v>
      </c>
      <c r="I1117" s="993">
        <v>2839</v>
      </c>
      <c r="J1117" s="993">
        <f>I1117-52.2</f>
        <v>2786.8</v>
      </c>
      <c r="K1117" s="987">
        <v>128</v>
      </c>
      <c r="L1117" s="993">
        <v>2030495</v>
      </c>
      <c r="M1117" s="993">
        <v>0</v>
      </c>
      <c r="N1117" s="993">
        <v>0</v>
      </c>
      <c r="O1117" s="993">
        <f t="shared" si="389"/>
        <v>2030495</v>
      </c>
      <c r="P1117" s="993">
        <v>0</v>
      </c>
      <c r="Q1117" s="993">
        <v>0</v>
      </c>
      <c r="R1117" s="993">
        <f t="shared" si="390"/>
        <v>715.21486438886927</v>
      </c>
      <c r="S1117" s="987">
        <v>2017</v>
      </c>
      <c r="T1117" s="987" t="s">
        <v>1190</v>
      </c>
    </row>
    <row r="1118" spans="1:20" s="1004" customFormat="1" ht="41.25" customHeight="1">
      <c r="A1118" s="1271">
        <v>65</v>
      </c>
      <c r="B1118" s="1272" t="s">
        <v>1693</v>
      </c>
      <c r="C1118" s="1271">
        <v>1991</v>
      </c>
      <c r="D1118" s="1271"/>
      <c r="E1118" s="1271" t="s">
        <v>219</v>
      </c>
      <c r="F1118" s="1271">
        <v>10</v>
      </c>
      <c r="G1118" s="1271">
        <v>2</v>
      </c>
      <c r="H1118" s="993">
        <v>5754.7</v>
      </c>
      <c r="I1118" s="993">
        <v>4999.1000000000004</v>
      </c>
      <c r="J1118" s="993">
        <f>I1118-126.5-492.5</f>
        <v>4380.1000000000004</v>
      </c>
      <c r="K1118" s="987">
        <v>198</v>
      </c>
      <c r="L1118" s="985">
        <v>26223875.760000002</v>
      </c>
      <c r="M1118" s="993">
        <v>0</v>
      </c>
      <c r="N1118" s="993">
        <v>0</v>
      </c>
      <c r="O1118" s="993">
        <f t="shared" si="389"/>
        <v>26223875.760000002</v>
      </c>
      <c r="P1118" s="993">
        <v>0</v>
      </c>
      <c r="Q1118" s="993">
        <v>0</v>
      </c>
      <c r="R1118" s="993">
        <f t="shared" si="390"/>
        <v>5245.7193814886678</v>
      </c>
      <c r="S1118" s="987">
        <v>2017</v>
      </c>
      <c r="T1118" s="987">
        <v>2022</v>
      </c>
    </row>
    <row r="1119" spans="1:20" s="1004" customFormat="1" ht="41.25" customHeight="1">
      <c r="A1119" s="1271">
        <v>66</v>
      </c>
      <c r="B1119" s="1272" t="s">
        <v>1694</v>
      </c>
      <c r="C1119" s="1271">
        <v>1977</v>
      </c>
      <c r="D1119" s="1271"/>
      <c r="E1119" s="1271" t="s">
        <v>219</v>
      </c>
      <c r="F1119" s="1271">
        <v>9</v>
      </c>
      <c r="G1119" s="1271">
        <v>1</v>
      </c>
      <c r="H1119" s="993">
        <v>2183.6</v>
      </c>
      <c r="I1119" s="993">
        <v>1930.8</v>
      </c>
      <c r="J1119" s="993">
        <f>I1119-216.5</f>
        <v>1714.3</v>
      </c>
      <c r="K1119" s="987">
        <v>83</v>
      </c>
      <c r="L1119" s="993">
        <v>840712</v>
      </c>
      <c r="M1119" s="993">
        <v>0</v>
      </c>
      <c r="N1119" s="993">
        <v>0</v>
      </c>
      <c r="O1119" s="993">
        <f t="shared" si="389"/>
        <v>840712</v>
      </c>
      <c r="P1119" s="993">
        <v>0</v>
      </c>
      <c r="Q1119" s="993">
        <v>0</v>
      </c>
      <c r="R1119" s="993">
        <f t="shared" si="390"/>
        <v>435.42158690698159</v>
      </c>
      <c r="S1119" s="987">
        <v>2017</v>
      </c>
      <c r="T1119" s="987" t="s">
        <v>1190</v>
      </c>
    </row>
    <row r="1120" spans="1:20" s="1004" customFormat="1" ht="41.25" customHeight="1">
      <c r="A1120" s="1271">
        <v>67</v>
      </c>
      <c r="B1120" s="1272" t="s">
        <v>1596</v>
      </c>
      <c r="C1120" s="1271">
        <v>1978</v>
      </c>
      <c r="D1120" s="1271"/>
      <c r="E1120" s="1271" t="s">
        <v>219</v>
      </c>
      <c r="F1120" s="1271">
        <v>9</v>
      </c>
      <c r="G1120" s="1271">
        <v>4</v>
      </c>
      <c r="H1120" s="993">
        <v>7904.7</v>
      </c>
      <c r="I1120" s="993">
        <v>7844.3</v>
      </c>
      <c r="J1120" s="993">
        <f>I1120-456.8</f>
        <v>7387.5</v>
      </c>
      <c r="K1120" s="987">
        <v>368</v>
      </c>
      <c r="L1120" s="993">
        <v>3135690</v>
      </c>
      <c r="M1120" s="993">
        <v>0</v>
      </c>
      <c r="N1120" s="993">
        <v>0</v>
      </c>
      <c r="O1120" s="993">
        <f t="shared" si="389"/>
        <v>3135690</v>
      </c>
      <c r="P1120" s="993">
        <v>0</v>
      </c>
      <c r="Q1120" s="993">
        <v>0</v>
      </c>
      <c r="R1120" s="993">
        <f t="shared" si="390"/>
        <v>399.7412133651186</v>
      </c>
      <c r="S1120" s="987">
        <v>2017</v>
      </c>
      <c r="T1120" s="987" t="s">
        <v>1190</v>
      </c>
    </row>
    <row r="1121" spans="1:20" s="1004" customFormat="1" ht="41.25" customHeight="1">
      <c r="A1121" s="1271">
        <v>68</v>
      </c>
      <c r="B1121" s="1272" t="s">
        <v>1695</v>
      </c>
      <c r="C1121" s="1271">
        <v>1950</v>
      </c>
      <c r="D1121" s="1271"/>
      <c r="E1121" s="1271" t="s">
        <v>823</v>
      </c>
      <c r="F1121" s="1271">
        <v>2</v>
      </c>
      <c r="G1121" s="1271">
        <v>3</v>
      </c>
      <c r="H1121" s="993">
        <v>1076</v>
      </c>
      <c r="I1121" s="993">
        <v>1042.3</v>
      </c>
      <c r="J1121" s="993">
        <f>I1121-108.6</f>
        <v>933.69999999999993</v>
      </c>
      <c r="K1121" s="987">
        <v>33</v>
      </c>
      <c r="L1121" s="993">
        <v>454703</v>
      </c>
      <c r="M1121" s="993">
        <v>0</v>
      </c>
      <c r="N1121" s="993">
        <v>0</v>
      </c>
      <c r="O1121" s="993">
        <f t="shared" si="389"/>
        <v>454703</v>
      </c>
      <c r="P1121" s="993">
        <v>0</v>
      </c>
      <c r="Q1121" s="993">
        <v>0</v>
      </c>
      <c r="R1121" s="993">
        <f t="shared" si="390"/>
        <v>436.249640218747</v>
      </c>
      <c r="S1121" s="987">
        <v>2017</v>
      </c>
      <c r="T1121" s="987" t="s">
        <v>1190</v>
      </c>
    </row>
    <row r="1122" spans="1:20" s="1004" customFormat="1" ht="41.25" customHeight="1">
      <c r="A1122" s="1271">
        <v>69</v>
      </c>
      <c r="B1122" s="1272" t="s">
        <v>1696</v>
      </c>
      <c r="C1122" s="1271" t="s">
        <v>190</v>
      </c>
      <c r="D1122" s="1271"/>
      <c r="E1122" s="1271" t="s">
        <v>218</v>
      </c>
      <c r="F1122" s="1271">
        <v>3</v>
      </c>
      <c r="G1122" s="1271">
        <v>2</v>
      </c>
      <c r="H1122" s="993">
        <v>781.9</v>
      </c>
      <c r="I1122" s="993">
        <v>709.4</v>
      </c>
      <c r="J1122" s="993">
        <f>I1122-342.9-43.4</f>
        <v>323.10000000000002</v>
      </c>
      <c r="K1122" s="987">
        <v>42</v>
      </c>
      <c r="L1122" s="993">
        <v>3635931</v>
      </c>
      <c r="M1122" s="993">
        <v>0</v>
      </c>
      <c r="N1122" s="993">
        <v>0</v>
      </c>
      <c r="O1122" s="993">
        <f t="shared" si="389"/>
        <v>3635931</v>
      </c>
      <c r="P1122" s="993">
        <v>0</v>
      </c>
      <c r="Q1122" s="993">
        <v>0</v>
      </c>
      <c r="R1122" s="993">
        <f t="shared" si="390"/>
        <v>5125.3608683394423</v>
      </c>
      <c r="S1122" s="987">
        <v>2017</v>
      </c>
      <c r="T1122" s="987" t="s">
        <v>1190</v>
      </c>
    </row>
    <row r="1123" spans="1:20" s="1004" customFormat="1" ht="41.25" customHeight="1">
      <c r="A1123" s="1271">
        <v>70</v>
      </c>
      <c r="B1123" s="1272" t="s">
        <v>1697</v>
      </c>
      <c r="C1123" s="1271">
        <v>1962</v>
      </c>
      <c r="D1123" s="1271"/>
      <c r="E1123" s="1271" t="s">
        <v>218</v>
      </c>
      <c r="F1123" s="1271">
        <v>4</v>
      </c>
      <c r="G1123" s="1271">
        <v>2</v>
      </c>
      <c r="H1123" s="993">
        <v>1289</v>
      </c>
      <c r="I1123" s="993">
        <v>1263.0999999999999</v>
      </c>
      <c r="J1123" s="993">
        <f>I1123-56-31.8</f>
        <v>1175.3</v>
      </c>
      <c r="K1123" s="987">
        <v>67</v>
      </c>
      <c r="L1123" s="993">
        <v>593036</v>
      </c>
      <c r="M1123" s="993">
        <v>0</v>
      </c>
      <c r="N1123" s="993">
        <v>0</v>
      </c>
      <c r="O1123" s="993">
        <f t="shared" ref="O1123:O1130" si="391">L1123</f>
        <v>593036</v>
      </c>
      <c r="P1123" s="993">
        <v>0</v>
      </c>
      <c r="Q1123" s="993">
        <v>0</v>
      </c>
      <c r="R1123" s="993">
        <f t="shared" si="390"/>
        <v>469.50835246615475</v>
      </c>
      <c r="S1123" s="987">
        <v>2017</v>
      </c>
      <c r="T1123" s="987" t="s">
        <v>1190</v>
      </c>
    </row>
    <row r="1124" spans="1:20" s="1004" customFormat="1" ht="41.25" customHeight="1">
      <c r="A1124" s="1271">
        <v>71</v>
      </c>
      <c r="B1124" s="1272" t="s">
        <v>1698</v>
      </c>
      <c r="C1124" s="1271">
        <v>1926</v>
      </c>
      <c r="D1124" s="1271"/>
      <c r="E1124" s="1271" t="s">
        <v>221</v>
      </c>
      <c r="F1124" s="1271">
        <v>2</v>
      </c>
      <c r="G1124" s="1271">
        <v>2</v>
      </c>
      <c r="H1124" s="993">
        <v>548.4</v>
      </c>
      <c r="I1124" s="993">
        <v>422.7</v>
      </c>
      <c r="J1124" s="993">
        <f>I1124-137.47</f>
        <v>285.23</v>
      </c>
      <c r="K1124" s="987">
        <v>24</v>
      </c>
      <c r="L1124" s="993">
        <v>948145</v>
      </c>
      <c r="M1124" s="993">
        <v>0</v>
      </c>
      <c r="N1124" s="993">
        <v>0</v>
      </c>
      <c r="O1124" s="993">
        <f t="shared" si="391"/>
        <v>948145</v>
      </c>
      <c r="P1124" s="993">
        <v>0</v>
      </c>
      <c r="Q1124" s="993">
        <v>0</v>
      </c>
      <c r="R1124" s="993">
        <f t="shared" si="390"/>
        <v>2243.068370002366</v>
      </c>
      <c r="S1124" s="987">
        <v>2017</v>
      </c>
      <c r="T1124" s="987" t="s">
        <v>1190</v>
      </c>
    </row>
    <row r="1125" spans="1:20" s="1004" customFormat="1" ht="41.25" customHeight="1">
      <c r="A1125" s="1271">
        <v>72</v>
      </c>
      <c r="B1125" s="1272" t="s">
        <v>1699</v>
      </c>
      <c r="C1125" s="1271">
        <v>1960</v>
      </c>
      <c r="D1125" s="1271"/>
      <c r="E1125" s="1271" t="s">
        <v>823</v>
      </c>
      <c r="F1125" s="1271">
        <v>3</v>
      </c>
      <c r="G1125" s="1271">
        <v>2</v>
      </c>
      <c r="H1125" s="993">
        <v>832.1</v>
      </c>
      <c r="I1125" s="993">
        <v>754.9</v>
      </c>
      <c r="J1125" s="993">
        <v>754.9</v>
      </c>
      <c r="K1125" s="987">
        <v>33</v>
      </c>
      <c r="L1125" s="993">
        <v>1431229</v>
      </c>
      <c r="M1125" s="993">
        <v>0</v>
      </c>
      <c r="N1125" s="993">
        <v>0</v>
      </c>
      <c r="O1125" s="993">
        <f t="shared" si="391"/>
        <v>1431229</v>
      </c>
      <c r="P1125" s="993">
        <v>0</v>
      </c>
      <c r="Q1125" s="993">
        <v>0</v>
      </c>
      <c r="R1125" s="993">
        <f t="shared" si="390"/>
        <v>1895.9186647238046</v>
      </c>
      <c r="S1125" s="987">
        <v>2017</v>
      </c>
      <c r="T1125" s="987" t="s">
        <v>1190</v>
      </c>
    </row>
    <row r="1126" spans="1:20" s="1004" customFormat="1" ht="41.25" customHeight="1">
      <c r="A1126" s="1271">
        <v>73</v>
      </c>
      <c r="B1126" s="1272" t="s">
        <v>1700</v>
      </c>
      <c r="C1126" s="1271">
        <v>1959</v>
      </c>
      <c r="D1126" s="1271"/>
      <c r="E1126" s="1271" t="s">
        <v>218</v>
      </c>
      <c r="F1126" s="1271">
        <v>4</v>
      </c>
      <c r="G1126" s="1271">
        <v>2</v>
      </c>
      <c r="H1126" s="993">
        <v>1402.5</v>
      </c>
      <c r="I1126" s="993">
        <v>1322.7</v>
      </c>
      <c r="J1126" s="993">
        <f>I1126-63.3-259.4</f>
        <v>1000.0000000000001</v>
      </c>
      <c r="K1126" s="987">
        <v>47</v>
      </c>
      <c r="L1126" s="985">
        <v>3522195.05</v>
      </c>
      <c r="M1126" s="993">
        <v>0</v>
      </c>
      <c r="N1126" s="993">
        <v>0</v>
      </c>
      <c r="O1126" s="993">
        <f t="shared" si="391"/>
        <v>3522195.05</v>
      </c>
      <c r="P1126" s="993">
        <v>0</v>
      </c>
      <c r="Q1126" s="993">
        <v>0</v>
      </c>
      <c r="R1126" s="993">
        <f t="shared" si="390"/>
        <v>2662.8827776517728</v>
      </c>
      <c r="S1126" s="987">
        <v>2017</v>
      </c>
      <c r="T1126" s="987">
        <v>2022</v>
      </c>
    </row>
    <row r="1127" spans="1:20" s="1004" customFormat="1" ht="41.25" customHeight="1">
      <c r="A1127" s="1271">
        <v>74</v>
      </c>
      <c r="B1127" s="1274" t="s">
        <v>1701</v>
      </c>
      <c r="C1127" s="1271">
        <v>1987</v>
      </c>
      <c r="D1127" s="1271"/>
      <c r="E1127" s="1271" t="s">
        <v>219</v>
      </c>
      <c r="F1127" s="1271">
        <v>9</v>
      </c>
      <c r="G1127" s="1271">
        <v>3</v>
      </c>
      <c r="H1127" s="993">
        <v>6845.1</v>
      </c>
      <c r="I1127" s="993">
        <v>6453.6</v>
      </c>
      <c r="J1127" s="993">
        <f>I1127-249.7-618.9</f>
        <v>5585.0000000000009</v>
      </c>
      <c r="K1127" s="987">
        <v>282</v>
      </c>
      <c r="L1127" s="993">
        <v>1911181</v>
      </c>
      <c r="M1127" s="993">
        <v>0</v>
      </c>
      <c r="N1127" s="993">
        <v>0</v>
      </c>
      <c r="O1127" s="993">
        <f t="shared" si="391"/>
        <v>1911181</v>
      </c>
      <c r="P1127" s="993">
        <v>0</v>
      </c>
      <c r="Q1127" s="993">
        <v>0</v>
      </c>
      <c r="R1127" s="993">
        <f t="shared" si="390"/>
        <v>296.14184331225982</v>
      </c>
      <c r="S1127" s="987">
        <v>2017</v>
      </c>
      <c r="T1127" s="987" t="s">
        <v>1190</v>
      </c>
    </row>
    <row r="1128" spans="1:20" s="1004" customFormat="1" ht="41.25" customHeight="1">
      <c r="A1128" s="1271">
        <v>75</v>
      </c>
      <c r="B1128" s="1274" t="s">
        <v>1702</v>
      </c>
      <c r="C1128" s="1271">
        <v>1982</v>
      </c>
      <c r="D1128" s="1271"/>
      <c r="E1128" s="1271" t="s">
        <v>219</v>
      </c>
      <c r="F1128" s="1271">
        <v>12</v>
      </c>
      <c r="G1128" s="1271">
        <v>1</v>
      </c>
      <c r="H1128" s="993">
        <v>3835.4</v>
      </c>
      <c r="I1128" s="993">
        <v>3643.6</v>
      </c>
      <c r="J1128" s="993">
        <f>I1128-96.5</f>
        <v>3547.1</v>
      </c>
      <c r="K1128" s="987">
        <v>132</v>
      </c>
      <c r="L1128" s="993">
        <v>1459916</v>
      </c>
      <c r="M1128" s="993">
        <v>0</v>
      </c>
      <c r="N1128" s="993">
        <v>0</v>
      </c>
      <c r="O1128" s="993">
        <f t="shared" si="391"/>
        <v>1459916</v>
      </c>
      <c r="P1128" s="993">
        <v>0</v>
      </c>
      <c r="Q1128" s="993">
        <v>0</v>
      </c>
      <c r="R1128" s="993">
        <f t="shared" si="390"/>
        <v>400.67954770007685</v>
      </c>
      <c r="S1128" s="987">
        <v>2017</v>
      </c>
      <c r="T1128" s="987" t="s">
        <v>1190</v>
      </c>
    </row>
    <row r="1129" spans="1:20" s="1004" customFormat="1" ht="41.25" customHeight="1">
      <c r="A1129" s="1271">
        <v>76</v>
      </c>
      <c r="B1129" s="1274" t="s">
        <v>1703</v>
      </c>
      <c r="C1129" s="1271">
        <v>1984</v>
      </c>
      <c r="D1129" s="1271"/>
      <c r="E1129" s="1271" t="s">
        <v>219</v>
      </c>
      <c r="F1129" s="1271">
        <v>9</v>
      </c>
      <c r="G1129" s="1271">
        <v>3</v>
      </c>
      <c r="H1129" s="993">
        <v>6463.6</v>
      </c>
      <c r="I1129" s="993">
        <v>5777.9</v>
      </c>
      <c r="J1129" s="993">
        <f>I1129</f>
        <v>5777.9</v>
      </c>
      <c r="K1129" s="987">
        <v>266</v>
      </c>
      <c r="L1129" s="993">
        <v>3165212.46</v>
      </c>
      <c r="M1129" s="993">
        <v>0</v>
      </c>
      <c r="N1129" s="993">
        <v>0</v>
      </c>
      <c r="O1129" s="993">
        <f t="shared" si="391"/>
        <v>3165212.46</v>
      </c>
      <c r="P1129" s="993">
        <v>0</v>
      </c>
      <c r="Q1129" s="993">
        <v>0</v>
      </c>
      <c r="R1129" s="993">
        <f t="shared" si="390"/>
        <v>547.81364509596915</v>
      </c>
      <c r="S1129" s="987">
        <v>2017</v>
      </c>
      <c r="T1129" s="987" t="s">
        <v>1190</v>
      </c>
    </row>
    <row r="1130" spans="1:20" s="1004" customFormat="1" ht="41.25" customHeight="1">
      <c r="A1130" s="1271">
        <v>77</v>
      </c>
      <c r="B1130" s="1274" t="s">
        <v>258</v>
      </c>
      <c r="C1130" s="1271">
        <v>1950</v>
      </c>
      <c r="D1130" s="1271"/>
      <c r="E1130" s="1271" t="s">
        <v>823</v>
      </c>
      <c r="F1130" s="1271">
        <v>2</v>
      </c>
      <c r="G1130" s="1271">
        <v>3</v>
      </c>
      <c r="H1130" s="993">
        <v>1395.9</v>
      </c>
      <c r="I1130" s="993">
        <v>1263.0999999999999</v>
      </c>
      <c r="J1130" s="993">
        <f>1102.5-138.3</f>
        <v>964.2</v>
      </c>
      <c r="K1130" s="987">
        <v>49</v>
      </c>
      <c r="L1130" s="993">
        <v>1168390</v>
      </c>
      <c r="M1130" s="993">
        <v>0</v>
      </c>
      <c r="N1130" s="993">
        <v>0</v>
      </c>
      <c r="O1130" s="993">
        <f t="shared" si="391"/>
        <v>1168390</v>
      </c>
      <c r="P1130" s="993">
        <v>0</v>
      </c>
      <c r="Q1130" s="993">
        <v>0</v>
      </c>
      <c r="R1130" s="993">
        <f t="shared" si="390"/>
        <v>925.01781331644372</v>
      </c>
      <c r="S1130" s="987">
        <v>2017</v>
      </c>
      <c r="T1130" s="987" t="s">
        <v>1190</v>
      </c>
    </row>
    <row r="1131" spans="1:20" s="1004" customFormat="1" ht="41.25" customHeight="1">
      <c r="A1131" s="1271">
        <v>78</v>
      </c>
      <c r="B1131" s="1274" t="s">
        <v>1766</v>
      </c>
      <c r="C1131" s="1271">
        <v>1983</v>
      </c>
      <c r="D1131" s="1271"/>
      <c r="E1131" s="1271" t="s">
        <v>219</v>
      </c>
      <c r="F1131" s="1271">
        <v>9</v>
      </c>
      <c r="G1131" s="1271">
        <v>9</v>
      </c>
      <c r="H1131" s="993">
        <v>20254.5</v>
      </c>
      <c r="I1131" s="993">
        <v>17871.5</v>
      </c>
      <c r="J1131" s="993">
        <f>I1131-933.3</f>
        <v>16938.2</v>
      </c>
      <c r="K1131" s="987">
        <v>764</v>
      </c>
      <c r="L1131" s="993">
        <v>2540822</v>
      </c>
      <c r="M1131" s="993">
        <v>0</v>
      </c>
      <c r="N1131" s="993">
        <v>0</v>
      </c>
      <c r="O1131" s="993">
        <v>2540822</v>
      </c>
      <c r="P1131" s="993">
        <v>0</v>
      </c>
      <c r="Q1131" s="993">
        <v>0</v>
      </c>
      <c r="R1131" s="993">
        <f t="shared" si="390"/>
        <v>142.1717259323504</v>
      </c>
      <c r="S1131" s="987">
        <v>2018</v>
      </c>
      <c r="T1131" s="987" t="s">
        <v>1190</v>
      </c>
    </row>
    <row r="1132" spans="1:20" s="1004" customFormat="1" ht="41.25" customHeight="1">
      <c r="A1132" s="1271">
        <v>79</v>
      </c>
      <c r="B1132" s="1274" t="s">
        <v>1767</v>
      </c>
      <c r="C1132" s="1271">
        <v>1983</v>
      </c>
      <c r="D1132" s="1271"/>
      <c r="E1132" s="1271" t="s">
        <v>219</v>
      </c>
      <c r="F1132" s="1271">
        <v>9</v>
      </c>
      <c r="G1132" s="1271">
        <v>3</v>
      </c>
      <c r="H1132" s="993">
        <v>8203.6</v>
      </c>
      <c r="I1132" s="993">
        <v>5766.8</v>
      </c>
      <c r="J1132" s="993">
        <f>I1132-338.5</f>
        <v>5428.3</v>
      </c>
      <c r="K1132" s="987">
        <v>251</v>
      </c>
      <c r="L1132" s="993">
        <v>2518802</v>
      </c>
      <c r="M1132" s="993">
        <v>0</v>
      </c>
      <c r="N1132" s="993">
        <v>0</v>
      </c>
      <c r="O1132" s="993">
        <v>2518802</v>
      </c>
      <c r="P1132" s="993">
        <v>0</v>
      </c>
      <c r="Q1132" s="993">
        <v>0</v>
      </c>
      <c r="R1132" s="993">
        <f t="shared" si="390"/>
        <v>436.77637511271416</v>
      </c>
      <c r="S1132" s="987">
        <v>2018</v>
      </c>
      <c r="T1132" s="987" t="s">
        <v>1190</v>
      </c>
    </row>
    <row r="1133" spans="1:20" s="1004" customFormat="1" ht="41.25" customHeight="1">
      <c r="A1133" s="1271">
        <v>80</v>
      </c>
      <c r="B1133" s="1272" t="s">
        <v>1761</v>
      </c>
      <c r="C1133" s="1271">
        <v>1959</v>
      </c>
      <c r="D1133" s="1271"/>
      <c r="E1133" s="1271" t="s">
        <v>218</v>
      </c>
      <c r="F1133" s="1271">
        <v>3</v>
      </c>
      <c r="G1133" s="1271">
        <v>2</v>
      </c>
      <c r="H1133" s="993">
        <v>1012.8</v>
      </c>
      <c r="I1133" s="993">
        <v>983.7</v>
      </c>
      <c r="J1133" s="993">
        <f>I1133-36.4</f>
        <v>947.30000000000007</v>
      </c>
      <c r="K1133" s="987">
        <v>22</v>
      </c>
      <c r="L1133" s="993">
        <v>1243453</v>
      </c>
      <c r="M1133" s="993">
        <v>0</v>
      </c>
      <c r="N1133" s="993">
        <v>0</v>
      </c>
      <c r="O1133" s="993">
        <v>1243453</v>
      </c>
      <c r="P1133" s="993">
        <v>0</v>
      </c>
      <c r="Q1133" s="993">
        <v>0</v>
      </c>
      <c r="R1133" s="993">
        <f t="shared" si="390"/>
        <v>1264.057131239199</v>
      </c>
      <c r="S1133" s="987">
        <v>2018</v>
      </c>
      <c r="T1133" s="987" t="s">
        <v>1190</v>
      </c>
    </row>
    <row r="1134" spans="1:20" s="1004" customFormat="1" ht="41.25" customHeight="1">
      <c r="A1134" s="1271">
        <v>81</v>
      </c>
      <c r="B1134" s="1272" t="s">
        <v>1768</v>
      </c>
      <c r="C1134" s="1271">
        <v>1954</v>
      </c>
      <c r="D1134" s="1271"/>
      <c r="E1134" s="1271" t="s">
        <v>218</v>
      </c>
      <c r="F1134" s="1271">
        <v>2</v>
      </c>
      <c r="G1134" s="1271">
        <v>2</v>
      </c>
      <c r="H1134" s="993">
        <v>452.1</v>
      </c>
      <c r="I1134" s="993">
        <v>408.9</v>
      </c>
      <c r="J1134" s="993">
        <f>I1134</f>
        <v>408.9</v>
      </c>
      <c r="K1134" s="987">
        <v>27</v>
      </c>
      <c r="L1134" s="993">
        <v>1219348</v>
      </c>
      <c r="M1134" s="993">
        <v>0</v>
      </c>
      <c r="N1134" s="993">
        <v>0</v>
      </c>
      <c r="O1134" s="993">
        <v>1219348</v>
      </c>
      <c r="P1134" s="993">
        <v>0</v>
      </c>
      <c r="Q1134" s="993">
        <v>0</v>
      </c>
      <c r="R1134" s="993">
        <f t="shared" si="390"/>
        <v>2982.0200538028857</v>
      </c>
      <c r="S1134" s="987">
        <v>2018</v>
      </c>
      <c r="T1134" s="987" t="s">
        <v>1190</v>
      </c>
    </row>
    <row r="1135" spans="1:20" s="1004" customFormat="1" ht="41.25" customHeight="1">
      <c r="A1135" s="1271">
        <v>82</v>
      </c>
      <c r="B1135" s="1272" t="s">
        <v>1769</v>
      </c>
      <c r="C1135" s="1271">
        <v>1961</v>
      </c>
      <c r="D1135" s="1271"/>
      <c r="E1135" s="1271" t="s">
        <v>218</v>
      </c>
      <c r="F1135" s="1271">
        <v>3</v>
      </c>
      <c r="G1135" s="1271">
        <v>2</v>
      </c>
      <c r="H1135" s="993">
        <v>955.6</v>
      </c>
      <c r="I1135" s="993">
        <v>926.7</v>
      </c>
      <c r="J1135" s="993">
        <f>I1135-82.9</f>
        <v>843.80000000000007</v>
      </c>
      <c r="K1135" s="987">
        <v>28</v>
      </c>
      <c r="L1135" s="993">
        <v>1772460</v>
      </c>
      <c r="M1135" s="993">
        <v>0</v>
      </c>
      <c r="N1135" s="993">
        <v>0</v>
      </c>
      <c r="O1135" s="993">
        <v>1772460</v>
      </c>
      <c r="P1135" s="993">
        <v>0</v>
      </c>
      <c r="Q1135" s="993">
        <v>0</v>
      </c>
      <c r="R1135" s="993">
        <f t="shared" si="390"/>
        <v>1912.6578180640984</v>
      </c>
      <c r="S1135" s="987">
        <v>2018</v>
      </c>
      <c r="T1135" s="987" t="s">
        <v>1190</v>
      </c>
    </row>
    <row r="1136" spans="1:20" s="1004" customFormat="1" ht="41.25" customHeight="1">
      <c r="A1136" s="1271">
        <v>83</v>
      </c>
      <c r="B1136" s="1272" t="s">
        <v>1704</v>
      </c>
      <c r="C1136" s="1271">
        <v>1917</v>
      </c>
      <c r="D1136" s="1271"/>
      <c r="E1136" s="1271" t="s">
        <v>218</v>
      </c>
      <c r="F1136" s="1271">
        <v>3</v>
      </c>
      <c r="G1136" s="1271">
        <v>1</v>
      </c>
      <c r="H1136" s="993">
        <v>460.1</v>
      </c>
      <c r="I1136" s="993">
        <v>420.1</v>
      </c>
      <c r="J1136" s="993">
        <v>420.1</v>
      </c>
      <c r="K1136" s="987">
        <v>11</v>
      </c>
      <c r="L1136" s="993">
        <v>1685452.24</v>
      </c>
      <c r="M1136" s="993">
        <v>0</v>
      </c>
      <c r="N1136" s="993">
        <v>0</v>
      </c>
      <c r="O1136" s="993">
        <f>L1136</f>
        <v>1685452.24</v>
      </c>
      <c r="P1136" s="993">
        <v>0</v>
      </c>
      <c r="Q1136" s="993">
        <v>0</v>
      </c>
      <c r="R1136" s="993">
        <f t="shared" si="390"/>
        <v>4012.0262794572718</v>
      </c>
      <c r="S1136" s="987">
        <v>2018</v>
      </c>
      <c r="T1136" s="987" t="s">
        <v>1190</v>
      </c>
    </row>
    <row r="1137" spans="1:20" s="1017" customFormat="1" ht="41.25" customHeight="1">
      <c r="A1137" s="1271">
        <v>84</v>
      </c>
      <c r="B1137" s="1272" t="s">
        <v>1705</v>
      </c>
      <c r="C1137" s="1271">
        <v>1917</v>
      </c>
      <c r="D1137" s="1271"/>
      <c r="E1137" s="1271" t="s">
        <v>218</v>
      </c>
      <c r="F1137" s="1271">
        <v>3</v>
      </c>
      <c r="G1137" s="1271">
        <v>2</v>
      </c>
      <c r="H1137" s="993">
        <v>483.6</v>
      </c>
      <c r="I1137" s="993">
        <v>410</v>
      </c>
      <c r="J1137" s="993">
        <f>I1137</f>
        <v>410</v>
      </c>
      <c r="K1137" s="987">
        <v>15</v>
      </c>
      <c r="L1137" s="985">
        <v>2676796.31</v>
      </c>
      <c r="M1137" s="993">
        <v>0</v>
      </c>
      <c r="N1137" s="993">
        <v>0</v>
      </c>
      <c r="O1137" s="993">
        <f>L1137</f>
        <v>2676796.31</v>
      </c>
      <c r="P1137" s="993">
        <v>0</v>
      </c>
      <c r="Q1137" s="993">
        <v>0</v>
      </c>
      <c r="R1137" s="993">
        <f t="shared" si="390"/>
        <v>6528.7714878048782</v>
      </c>
      <c r="S1137" s="987">
        <v>2018</v>
      </c>
      <c r="T1137" s="987">
        <v>2022</v>
      </c>
    </row>
    <row r="1138" spans="1:20" s="1017" customFormat="1" ht="41.25" customHeight="1">
      <c r="A1138" s="1271">
        <v>85</v>
      </c>
      <c r="B1138" s="1272" t="s">
        <v>1706</v>
      </c>
      <c r="C1138" s="1271">
        <v>1999</v>
      </c>
      <c r="D1138" s="1271"/>
      <c r="E1138" s="1271" t="s">
        <v>218</v>
      </c>
      <c r="F1138" s="1271">
        <v>5</v>
      </c>
      <c r="G1138" s="1271">
        <v>3</v>
      </c>
      <c r="H1138" s="993">
        <v>3561.6</v>
      </c>
      <c r="I1138" s="993">
        <v>3046</v>
      </c>
      <c r="J1138" s="993">
        <f>I1138-670.6</f>
        <v>2375.4</v>
      </c>
      <c r="K1138" s="987">
        <v>51</v>
      </c>
      <c r="L1138" s="993">
        <v>2509708</v>
      </c>
      <c r="M1138" s="993">
        <v>0</v>
      </c>
      <c r="N1138" s="993">
        <v>0</v>
      </c>
      <c r="O1138" s="993">
        <v>2509708</v>
      </c>
      <c r="P1138" s="993">
        <v>0</v>
      </c>
      <c r="Q1138" s="993">
        <v>0</v>
      </c>
      <c r="R1138" s="993">
        <f t="shared" si="390"/>
        <v>823.93565331582408</v>
      </c>
      <c r="S1138" s="987">
        <v>2018</v>
      </c>
      <c r="T1138" s="987" t="s">
        <v>1190</v>
      </c>
    </row>
    <row r="1139" spans="1:20" s="1004" customFormat="1" ht="41.25" customHeight="1">
      <c r="A1139" s="1271">
        <v>86</v>
      </c>
      <c r="B1139" s="1272" t="s">
        <v>1707</v>
      </c>
      <c r="C1139" s="1271">
        <v>1959</v>
      </c>
      <c r="D1139" s="1271"/>
      <c r="E1139" s="1271" t="s">
        <v>218</v>
      </c>
      <c r="F1139" s="1271">
        <v>2</v>
      </c>
      <c r="G1139" s="1271">
        <v>2</v>
      </c>
      <c r="H1139" s="993">
        <v>681.5</v>
      </c>
      <c r="I1139" s="993">
        <v>632.1</v>
      </c>
      <c r="J1139" s="993">
        <f>I1139-42.5</f>
        <v>589.6</v>
      </c>
      <c r="K1139" s="987">
        <v>28</v>
      </c>
      <c r="L1139" s="993">
        <v>2139068.59</v>
      </c>
      <c r="M1139" s="993">
        <v>0</v>
      </c>
      <c r="N1139" s="993">
        <v>0</v>
      </c>
      <c r="O1139" s="993">
        <f>L1139</f>
        <v>2139068.59</v>
      </c>
      <c r="P1139" s="993">
        <v>0</v>
      </c>
      <c r="Q1139" s="993">
        <v>0</v>
      </c>
      <c r="R1139" s="993">
        <f t="shared" si="390"/>
        <v>3384.0667457680743</v>
      </c>
      <c r="S1139" s="987">
        <v>2018</v>
      </c>
      <c r="T1139" s="987" t="s">
        <v>1190</v>
      </c>
    </row>
    <row r="1140" spans="1:20" s="1004" customFormat="1" ht="41.25" customHeight="1">
      <c r="A1140" s="1271">
        <v>87</v>
      </c>
      <c r="B1140" s="1272" t="s">
        <v>1708</v>
      </c>
      <c r="C1140" s="1271">
        <v>1967</v>
      </c>
      <c r="D1140" s="1271"/>
      <c r="E1140" s="1271" t="s">
        <v>219</v>
      </c>
      <c r="F1140" s="1271">
        <v>5</v>
      </c>
      <c r="G1140" s="1271">
        <v>3</v>
      </c>
      <c r="H1140" s="993">
        <v>2789.8</v>
      </c>
      <c r="I1140" s="993">
        <v>2568.3000000000002</v>
      </c>
      <c r="J1140" s="993">
        <f>I1140-186.2</f>
        <v>2382.1000000000004</v>
      </c>
      <c r="K1140" s="987">
        <v>73</v>
      </c>
      <c r="L1140" s="993">
        <v>899225</v>
      </c>
      <c r="M1140" s="993">
        <v>0</v>
      </c>
      <c r="N1140" s="993">
        <v>0</v>
      </c>
      <c r="O1140" s="993">
        <v>899225</v>
      </c>
      <c r="P1140" s="993">
        <v>0</v>
      </c>
      <c r="Q1140" s="993">
        <v>0</v>
      </c>
      <c r="R1140" s="993">
        <f t="shared" si="390"/>
        <v>350.12459603628855</v>
      </c>
      <c r="S1140" s="987">
        <v>2018</v>
      </c>
      <c r="T1140" s="987" t="s">
        <v>1190</v>
      </c>
    </row>
    <row r="1141" spans="1:20" s="1004" customFormat="1" ht="41.25" customHeight="1">
      <c r="A1141" s="1271">
        <v>88</v>
      </c>
      <c r="B1141" s="1272" t="s">
        <v>1709</v>
      </c>
      <c r="C1141" s="1271">
        <v>1992</v>
      </c>
      <c r="D1141" s="1271"/>
      <c r="E1141" s="1271" t="s">
        <v>219</v>
      </c>
      <c r="F1141" s="1271">
        <v>10</v>
      </c>
      <c r="G1141" s="1271">
        <v>4</v>
      </c>
      <c r="H1141" s="993">
        <v>10086.799999999999</v>
      </c>
      <c r="I1141" s="993">
        <v>9077.1</v>
      </c>
      <c r="J1141" s="993">
        <f>I1141-229.9</f>
        <v>8847.2000000000007</v>
      </c>
      <c r="K1141" s="987">
        <v>378</v>
      </c>
      <c r="L1141" s="993">
        <v>8338382</v>
      </c>
      <c r="M1141" s="993">
        <v>0</v>
      </c>
      <c r="N1141" s="993">
        <v>0</v>
      </c>
      <c r="O1141" s="993">
        <v>8338382</v>
      </c>
      <c r="P1141" s="993">
        <v>0</v>
      </c>
      <c r="Q1141" s="993">
        <v>0</v>
      </c>
      <c r="R1141" s="993">
        <f t="shared" si="390"/>
        <v>918.61739983034226</v>
      </c>
      <c r="S1141" s="987">
        <v>2018</v>
      </c>
      <c r="T1141" s="987" t="s">
        <v>1190</v>
      </c>
    </row>
    <row r="1142" spans="1:20" s="1004" customFormat="1" ht="41.25" customHeight="1">
      <c r="A1142" s="1271">
        <v>89</v>
      </c>
      <c r="B1142" s="1272" t="s">
        <v>314</v>
      </c>
      <c r="C1142" s="1271">
        <v>1964</v>
      </c>
      <c r="D1142" s="1271"/>
      <c r="E1142" s="1271" t="s">
        <v>218</v>
      </c>
      <c r="F1142" s="1271">
        <v>4</v>
      </c>
      <c r="G1142" s="1271">
        <v>2</v>
      </c>
      <c r="H1142" s="993">
        <v>1397.3</v>
      </c>
      <c r="I1142" s="993">
        <v>1269.3</v>
      </c>
      <c r="J1142" s="993">
        <f>I1142-42</f>
        <v>1227.3</v>
      </c>
      <c r="K1142" s="987">
        <v>37</v>
      </c>
      <c r="L1142" s="993">
        <v>1750958</v>
      </c>
      <c r="M1142" s="993">
        <v>0</v>
      </c>
      <c r="N1142" s="993">
        <v>0</v>
      </c>
      <c r="O1142" s="993">
        <v>1750958</v>
      </c>
      <c r="P1142" s="993">
        <v>0</v>
      </c>
      <c r="Q1142" s="993">
        <v>0</v>
      </c>
      <c r="R1142" s="993">
        <f t="shared" si="390"/>
        <v>1379.4674229890491</v>
      </c>
      <c r="S1142" s="987">
        <v>2018</v>
      </c>
      <c r="T1142" s="987" t="s">
        <v>1190</v>
      </c>
    </row>
    <row r="1143" spans="1:20" s="1004" customFormat="1" ht="41.25" customHeight="1">
      <c r="A1143" s="1271">
        <v>90</v>
      </c>
      <c r="B1143" s="1272" t="s">
        <v>1797</v>
      </c>
      <c r="C1143" s="1271">
        <v>1977</v>
      </c>
      <c r="D1143" s="1271"/>
      <c r="E1143" s="1271" t="s">
        <v>219</v>
      </c>
      <c r="F1143" s="1271">
        <v>5</v>
      </c>
      <c r="G1143" s="1271">
        <v>8</v>
      </c>
      <c r="H1143" s="993">
        <v>6576.5</v>
      </c>
      <c r="I1143" s="993">
        <v>6001.8</v>
      </c>
      <c r="J1143" s="993">
        <f>I1143-96.5</f>
        <v>5905.3</v>
      </c>
      <c r="K1143" s="987">
        <v>129</v>
      </c>
      <c r="L1143" s="993">
        <v>5209814</v>
      </c>
      <c r="M1143" s="993">
        <v>0</v>
      </c>
      <c r="N1143" s="993">
        <v>0</v>
      </c>
      <c r="O1143" s="993">
        <v>5209814</v>
      </c>
      <c r="P1143" s="993">
        <v>0</v>
      </c>
      <c r="Q1143" s="993">
        <v>0</v>
      </c>
      <c r="R1143" s="993">
        <f t="shared" si="390"/>
        <v>868.04192075710614</v>
      </c>
      <c r="S1143" s="987">
        <v>2018</v>
      </c>
      <c r="T1143" s="987" t="s">
        <v>1190</v>
      </c>
    </row>
    <row r="1144" spans="1:20" s="1004" customFormat="1" ht="41.25" customHeight="1">
      <c r="A1144" s="1271">
        <v>91</v>
      </c>
      <c r="B1144" s="1272" t="s">
        <v>1710</v>
      </c>
      <c r="C1144" s="1271">
        <v>1955</v>
      </c>
      <c r="D1144" s="1271"/>
      <c r="E1144" s="1271" t="s">
        <v>218</v>
      </c>
      <c r="F1144" s="1271">
        <v>2</v>
      </c>
      <c r="G1144" s="1271">
        <v>2</v>
      </c>
      <c r="H1144" s="993">
        <v>623.79999999999995</v>
      </c>
      <c r="I1144" s="993">
        <v>577.70000000000005</v>
      </c>
      <c r="J1144" s="993">
        <f>I1144-119.7</f>
        <v>458.00000000000006</v>
      </c>
      <c r="K1144" s="987">
        <v>17</v>
      </c>
      <c r="L1144" s="993">
        <v>982113</v>
      </c>
      <c r="M1144" s="993">
        <v>0</v>
      </c>
      <c r="N1144" s="993">
        <v>0</v>
      </c>
      <c r="O1144" s="993">
        <v>982113</v>
      </c>
      <c r="P1144" s="993">
        <v>0</v>
      </c>
      <c r="Q1144" s="993">
        <v>0</v>
      </c>
      <c r="R1144" s="993">
        <f t="shared" si="390"/>
        <v>1700.0398130517569</v>
      </c>
      <c r="S1144" s="987">
        <v>2018</v>
      </c>
      <c r="T1144" s="987" t="s">
        <v>1190</v>
      </c>
    </row>
    <row r="1145" spans="1:20" s="1004" customFormat="1" ht="41.25" customHeight="1">
      <c r="A1145" s="1271">
        <v>92</v>
      </c>
      <c r="B1145" s="1272" t="s">
        <v>1605</v>
      </c>
      <c r="C1145" s="1271">
        <v>1965</v>
      </c>
      <c r="D1145" s="1271"/>
      <c r="E1145" s="1271" t="s">
        <v>218</v>
      </c>
      <c r="F1145" s="1271">
        <v>5</v>
      </c>
      <c r="G1145" s="1271">
        <v>4</v>
      </c>
      <c r="H1145" s="993">
        <v>4172.8</v>
      </c>
      <c r="I1145" s="993">
        <v>3897.3</v>
      </c>
      <c r="J1145" s="993">
        <f>I1145-1361.8-84.2</f>
        <v>2451.3000000000002</v>
      </c>
      <c r="K1145" s="987">
        <v>132</v>
      </c>
      <c r="L1145" s="993">
        <v>14351824.439999999</v>
      </c>
      <c r="M1145" s="993">
        <v>0</v>
      </c>
      <c r="N1145" s="993">
        <v>0</v>
      </c>
      <c r="O1145" s="993">
        <v>14351824.439999999</v>
      </c>
      <c r="P1145" s="993">
        <v>0</v>
      </c>
      <c r="Q1145" s="993">
        <v>0</v>
      </c>
      <c r="R1145" s="993">
        <f t="shared" si="390"/>
        <v>3682.5044107459007</v>
      </c>
      <c r="S1145" s="987">
        <v>2018</v>
      </c>
      <c r="T1145" s="987" t="s">
        <v>1190</v>
      </c>
    </row>
    <row r="1146" spans="1:20" s="1004" customFormat="1" ht="41.25" customHeight="1">
      <c r="A1146" s="1271">
        <v>93</v>
      </c>
      <c r="B1146" s="1272" t="s">
        <v>1602</v>
      </c>
      <c r="C1146" s="1271">
        <v>1958</v>
      </c>
      <c r="D1146" s="1271"/>
      <c r="E1146" s="1271" t="s">
        <v>218</v>
      </c>
      <c r="F1146" s="1271">
        <v>4</v>
      </c>
      <c r="G1146" s="1271">
        <v>5</v>
      </c>
      <c r="H1146" s="993">
        <v>5887.4</v>
      </c>
      <c r="I1146" s="993">
        <v>5353.2</v>
      </c>
      <c r="J1146" s="993">
        <f>I1146-228.7</f>
        <v>5124.5</v>
      </c>
      <c r="K1146" s="987">
        <v>117</v>
      </c>
      <c r="L1146" s="993">
        <v>7890789</v>
      </c>
      <c r="M1146" s="993">
        <v>0</v>
      </c>
      <c r="N1146" s="993">
        <v>0</v>
      </c>
      <c r="O1146" s="993">
        <v>7890789</v>
      </c>
      <c r="P1146" s="993">
        <v>0</v>
      </c>
      <c r="Q1146" s="993">
        <v>0</v>
      </c>
      <c r="R1146" s="993">
        <f t="shared" ref="R1146" si="392">L1146/I1146</f>
        <v>1474.0321676754093</v>
      </c>
      <c r="S1146" s="987">
        <v>2018</v>
      </c>
      <c r="T1146" s="987" t="s">
        <v>1190</v>
      </c>
    </row>
    <row r="1147" spans="1:20" s="1004" customFormat="1" ht="41.25" customHeight="1">
      <c r="A1147" s="1271">
        <v>94</v>
      </c>
      <c r="B1147" s="1272" t="s">
        <v>1599</v>
      </c>
      <c r="C1147" s="1271">
        <v>1960</v>
      </c>
      <c r="D1147" s="1271"/>
      <c r="E1147" s="1271" t="s">
        <v>218</v>
      </c>
      <c r="F1147" s="1271">
        <v>5</v>
      </c>
      <c r="G1147" s="1271">
        <v>4</v>
      </c>
      <c r="H1147" s="993">
        <v>3084</v>
      </c>
      <c r="I1147" s="993">
        <v>2725.9</v>
      </c>
      <c r="J1147" s="993">
        <f>I1147-77.4</f>
        <v>2648.5</v>
      </c>
      <c r="K1147" s="987">
        <v>82</v>
      </c>
      <c r="L1147" s="993">
        <v>1960392</v>
      </c>
      <c r="M1147" s="993">
        <v>0</v>
      </c>
      <c r="N1147" s="993">
        <v>0</v>
      </c>
      <c r="O1147" s="993">
        <v>1960392</v>
      </c>
      <c r="P1147" s="993">
        <v>0</v>
      </c>
      <c r="Q1147" s="993">
        <v>0</v>
      </c>
      <c r="R1147" s="993">
        <f t="shared" si="390"/>
        <v>719.17238343299459</v>
      </c>
      <c r="S1147" s="987">
        <v>2018</v>
      </c>
      <c r="T1147" s="987" t="s">
        <v>1190</v>
      </c>
    </row>
    <row r="1148" spans="1:20" s="1004" customFormat="1" ht="41.25" customHeight="1">
      <c r="A1148" s="1271">
        <v>95</v>
      </c>
      <c r="B1148" s="1272" t="s">
        <v>1592</v>
      </c>
      <c r="C1148" s="1271">
        <v>1961</v>
      </c>
      <c r="D1148" s="1271"/>
      <c r="E1148" s="1271" t="s">
        <v>218</v>
      </c>
      <c r="F1148" s="1271">
        <v>5</v>
      </c>
      <c r="G1148" s="1271">
        <v>2</v>
      </c>
      <c r="H1148" s="993">
        <v>1734.3</v>
      </c>
      <c r="I1148" s="993">
        <v>1611.9</v>
      </c>
      <c r="J1148" s="993">
        <f>I1148-315.6-32.2</f>
        <v>1264.1000000000001</v>
      </c>
      <c r="K1148" s="987">
        <v>43</v>
      </c>
      <c r="L1148" s="993">
        <v>1910739</v>
      </c>
      <c r="M1148" s="993">
        <v>0</v>
      </c>
      <c r="N1148" s="993">
        <v>0</v>
      </c>
      <c r="O1148" s="993">
        <v>1910739</v>
      </c>
      <c r="P1148" s="993">
        <v>0</v>
      </c>
      <c r="Q1148" s="993">
        <v>0</v>
      </c>
      <c r="R1148" s="993">
        <f t="shared" ref="R1148:R1176" si="393">L1148/I1148</f>
        <v>1185.395495998511</v>
      </c>
      <c r="S1148" s="987">
        <v>2018</v>
      </c>
      <c r="T1148" s="987" t="s">
        <v>1190</v>
      </c>
    </row>
    <row r="1149" spans="1:20" s="1004" customFormat="1" ht="41.25" customHeight="1">
      <c r="A1149" s="1271">
        <v>96</v>
      </c>
      <c r="B1149" s="1272" t="s">
        <v>1711</v>
      </c>
      <c r="C1149" s="1271">
        <v>1975</v>
      </c>
      <c r="D1149" s="1271"/>
      <c r="E1149" s="1271" t="s">
        <v>219</v>
      </c>
      <c r="F1149" s="1271">
        <v>9</v>
      </c>
      <c r="G1149" s="1271">
        <v>3</v>
      </c>
      <c r="H1149" s="993">
        <v>6484.9</v>
      </c>
      <c r="I1149" s="993">
        <v>5723.1</v>
      </c>
      <c r="J1149" s="993">
        <f>I1149-223</f>
        <v>5500.1</v>
      </c>
      <c r="K1149" s="987">
        <v>232</v>
      </c>
      <c r="L1149" s="993">
        <v>2891052</v>
      </c>
      <c r="M1149" s="993">
        <v>0</v>
      </c>
      <c r="N1149" s="993">
        <v>0</v>
      </c>
      <c r="O1149" s="993">
        <v>2891052</v>
      </c>
      <c r="P1149" s="993">
        <v>0</v>
      </c>
      <c r="Q1149" s="993">
        <v>0</v>
      </c>
      <c r="R1149" s="993">
        <f t="shared" si="393"/>
        <v>505.15489856895738</v>
      </c>
      <c r="S1149" s="987">
        <v>2018</v>
      </c>
      <c r="T1149" s="987" t="s">
        <v>1190</v>
      </c>
    </row>
    <row r="1150" spans="1:20" s="1004" customFormat="1" ht="41.25" customHeight="1">
      <c r="A1150" s="1271">
        <v>97</v>
      </c>
      <c r="B1150" s="1272" t="s">
        <v>1712</v>
      </c>
      <c r="C1150" s="1271">
        <v>1984</v>
      </c>
      <c r="D1150" s="1271"/>
      <c r="E1150" s="1271" t="s">
        <v>219</v>
      </c>
      <c r="F1150" s="1271">
        <v>9</v>
      </c>
      <c r="G1150" s="1271">
        <v>7</v>
      </c>
      <c r="H1150" s="993">
        <v>16903.900000000001</v>
      </c>
      <c r="I1150" s="993">
        <v>13820.7</v>
      </c>
      <c r="J1150" s="993">
        <f>I1150-881.3</f>
        <v>12939.400000000001</v>
      </c>
      <c r="K1150" s="987">
        <v>643</v>
      </c>
      <c r="L1150" s="993">
        <v>6698599.2599999998</v>
      </c>
      <c r="M1150" s="993">
        <v>0</v>
      </c>
      <c r="N1150" s="993">
        <v>0</v>
      </c>
      <c r="O1150" s="993">
        <f>L1150</f>
        <v>6698599.2599999998</v>
      </c>
      <c r="P1150" s="993">
        <v>0</v>
      </c>
      <c r="Q1150" s="993">
        <v>0</v>
      </c>
      <c r="R1150" s="993">
        <f t="shared" si="393"/>
        <v>484.67872539017554</v>
      </c>
      <c r="S1150" s="987">
        <v>2018</v>
      </c>
      <c r="T1150" s="987" t="s">
        <v>1190</v>
      </c>
    </row>
    <row r="1151" spans="1:20" s="1004" customFormat="1" ht="41.25" customHeight="1">
      <c r="A1151" s="1271">
        <v>98</v>
      </c>
      <c r="B1151" s="1272" t="s">
        <v>1713</v>
      </c>
      <c r="C1151" s="1271">
        <v>1985</v>
      </c>
      <c r="D1151" s="1271"/>
      <c r="E1151" s="1271" t="s">
        <v>219</v>
      </c>
      <c r="F1151" s="1271">
        <v>9</v>
      </c>
      <c r="G1151" s="1271">
        <v>6</v>
      </c>
      <c r="H1151" s="993">
        <v>17027.8</v>
      </c>
      <c r="I1151" s="993">
        <v>11641.95</v>
      </c>
      <c r="J1151" s="993">
        <f>I1151-817</f>
        <v>10824.95</v>
      </c>
      <c r="K1151" s="987">
        <v>443</v>
      </c>
      <c r="L1151" s="993">
        <v>5336490</v>
      </c>
      <c r="M1151" s="993">
        <v>0</v>
      </c>
      <c r="N1151" s="993">
        <v>0</v>
      </c>
      <c r="O1151" s="993">
        <v>5336490</v>
      </c>
      <c r="P1151" s="993">
        <v>0</v>
      </c>
      <c r="Q1151" s="993">
        <v>0</v>
      </c>
      <c r="R1151" s="993">
        <f t="shared" si="393"/>
        <v>458.3845489801966</v>
      </c>
      <c r="S1151" s="987">
        <v>2018</v>
      </c>
      <c r="T1151" s="987" t="s">
        <v>1190</v>
      </c>
    </row>
    <row r="1152" spans="1:20" s="1004" customFormat="1" ht="41.25" customHeight="1">
      <c r="A1152" s="1271">
        <v>99</v>
      </c>
      <c r="B1152" s="1272" t="s">
        <v>1714</v>
      </c>
      <c r="C1152" s="1271">
        <v>1956</v>
      </c>
      <c r="D1152" s="1271"/>
      <c r="E1152" s="1271" t="s">
        <v>218</v>
      </c>
      <c r="F1152" s="1271">
        <v>5</v>
      </c>
      <c r="G1152" s="1271">
        <v>8</v>
      </c>
      <c r="H1152" s="993">
        <v>8242.25</v>
      </c>
      <c r="I1152" s="993">
        <v>7440.45</v>
      </c>
      <c r="J1152" s="993">
        <f>I1152</f>
        <v>7440.45</v>
      </c>
      <c r="K1152" s="987">
        <v>249</v>
      </c>
      <c r="L1152" s="993">
        <v>8790475.0800000001</v>
      </c>
      <c r="M1152" s="993">
        <v>0</v>
      </c>
      <c r="N1152" s="993">
        <v>0</v>
      </c>
      <c r="O1152" s="993">
        <f>L1152</f>
        <v>8790475.0800000001</v>
      </c>
      <c r="P1152" s="993">
        <v>0</v>
      </c>
      <c r="Q1152" s="993">
        <v>0</v>
      </c>
      <c r="R1152" s="993">
        <f t="shared" si="393"/>
        <v>1181.4440094349131</v>
      </c>
      <c r="S1152" s="987">
        <v>2018</v>
      </c>
      <c r="T1152" s="987" t="s">
        <v>1190</v>
      </c>
    </row>
    <row r="1153" spans="1:20" s="1004" customFormat="1" ht="41.25" customHeight="1">
      <c r="A1153" s="1271">
        <v>100</v>
      </c>
      <c r="B1153" s="1272" t="s">
        <v>1715</v>
      </c>
      <c r="C1153" s="1271">
        <v>1938</v>
      </c>
      <c r="D1153" s="1271"/>
      <c r="E1153" s="1271" t="s">
        <v>218</v>
      </c>
      <c r="F1153" s="1271">
        <v>5</v>
      </c>
      <c r="G1153" s="1271">
        <v>4</v>
      </c>
      <c r="H1153" s="993">
        <v>3867.9</v>
      </c>
      <c r="I1153" s="993">
        <v>3507.8</v>
      </c>
      <c r="J1153" s="993">
        <f>I1153-214.6</f>
        <v>3293.2000000000003</v>
      </c>
      <c r="K1153" s="987">
        <v>63</v>
      </c>
      <c r="L1153" s="993">
        <v>21523912</v>
      </c>
      <c r="M1153" s="993">
        <v>0</v>
      </c>
      <c r="N1153" s="993">
        <v>0</v>
      </c>
      <c r="O1153" s="993">
        <v>21523912</v>
      </c>
      <c r="P1153" s="993">
        <v>0</v>
      </c>
      <c r="Q1153" s="993">
        <v>0</v>
      </c>
      <c r="R1153" s="993">
        <f t="shared" si="393"/>
        <v>6136.0145960431037</v>
      </c>
      <c r="S1153" s="987">
        <v>2018</v>
      </c>
      <c r="T1153" s="987" t="s">
        <v>1190</v>
      </c>
    </row>
    <row r="1154" spans="1:20" s="1004" customFormat="1" ht="41.25" customHeight="1">
      <c r="A1154" s="1271">
        <v>101</v>
      </c>
      <c r="B1154" s="1272" t="s">
        <v>1716</v>
      </c>
      <c r="C1154" s="1271">
        <v>1936</v>
      </c>
      <c r="D1154" s="1271"/>
      <c r="E1154" s="1271" t="s">
        <v>218</v>
      </c>
      <c r="F1154" s="1271">
        <v>5</v>
      </c>
      <c r="G1154" s="1271">
        <v>4</v>
      </c>
      <c r="H1154" s="993">
        <v>7195.3</v>
      </c>
      <c r="I1154" s="993">
        <v>6273.7</v>
      </c>
      <c r="J1154" s="993">
        <f>I1154-1979.8-20.8</f>
        <v>4273.0999999999995</v>
      </c>
      <c r="K1154" s="987">
        <v>211</v>
      </c>
      <c r="L1154" s="985">
        <v>36550059.109999999</v>
      </c>
      <c r="M1154" s="993">
        <v>0</v>
      </c>
      <c r="N1154" s="993">
        <v>0</v>
      </c>
      <c r="O1154" s="993">
        <f>L1154</f>
        <v>36550059.109999999</v>
      </c>
      <c r="P1154" s="993">
        <v>0</v>
      </c>
      <c r="Q1154" s="993">
        <v>0</v>
      </c>
      <c r="R1154" s="993">
        <f t="shared" si="393"/>
        <v>5825.9175781436788</v>
      </c>
      <c r="S1154" s="987">
        <v>2018</v>
      </c>
      <c r="T1154" s="987">
        <v>2022</v>
      </c>
    </row>
    <row r="1155" spans="1:20" s="1004" customFormat="1" ht="41.25" customHeight="1">
      <c r="A1155" s="1271">
        <v>102</v>
      </c>
      <c r="B1155" s="1272" t="s">
        <v>1773</v>
      </c>
      <c r="C1155" s="1271">
        <v>1979</v>
      </c>
      <c r="D1155" s="1271"/>
      <c r="E1155" s="1271" t="s">
        <v>218</v>
      </c>
      <c r="F1155" s="1271">
        <v>9</v>
      </c>
      <c r="G1155" s="1271">
        <v>5</v>
      </c>
      <c r="H1155" s="993">
        <v>16638.400000000001</v>
      </c>
      <c r="I1155" s="993">
        <v>15828.7</v>
      </c>
      <c r="J1155" s="993">
        <f>I1155-5507.1-659.9</f>
        <v>9661.7000000000007</v>
      </c>
      <c r="K1155" s="987">
        <v>462</v>
      </c>
      <c r="L1155" s="993">
        <v>8769829.4000000004</v>
      </c>
      <c r="M1155" s="993">
        <v>0</v>
      </c>
      <c r="N1155" s="993">
        <v>0</v>
      </c>
      <c r="O1155" s="993">
        <v>8769829.4000000004</v>
      </c>
      <c r="P1155" s="993">
        <v>0</v>
      </c>
      <c r="Q1155" s="993">
        <v>0</v>
      </c>
      <c r="R1155" s="993">
        <f t="shared" si="393"/>
        <v>554.04609348841029</v>
      </c>
      <c r="S1155" s="987">
        <v>2018</v>
      </c>
      <c r="T1155" s="987" t="s">
        <v>1190</v>
      </c>
    </row>
    <row r="1156" spans="1:20" s="1004" customFormat="1" ht="41.25" customHeight="1">
      <c r="A1156" s="1271">
        <v>103</v>
      </c>
      <c r="B1156" s="1272" t="s">
        <v>1717</v>
      </c>
      <c r="C1156" s="1271">
        <v>1983</v>
      </c>
      <c r="D1156" s="1271"/>
      <c r="E1156" s="1271" t="s">
        <v>218</v>
      </c>
      <c r="F1156" s="1271">
        <v>5</v>
      </c>
      <c r="G1156" s="1271">
        <v>4</v>
      </c>
      <c r="H1156" s="993">
        <v>3321.1</v>
      </c>
      <c r="I1156" s="993">
        <v>2980.7</v>
      </c>
      <c r="J1156" s="993">
        <f>I1156-242.8-49.7</f>
        <v>2688.2</v>
      </c>
      <c r="K1156" s="987">
        <v>126</v>
      </c>
      <c r="L1156" s="993">
        <v>2244189</v>
      </c>
      <c r="M1156" s="993">
        <v>0</v>
      </c>
      <c r="N1156" s="993">
        <v>0</v>
      </c>
      <c r="O1156" s="993">
        <v>2244189</v>
      </c>
      <c r="P1156" s="993">
        <v>0</v>
      </c>
      <c r="Q1156" s="993">
        <v>0</v>
      </c>
      <c r="R1156" s="993">
        <f t="shared" si="393"/>
        <v>752.90669976851075</v>
      </c>
      <c r="S1156" s="987">
        <v>2018</v>
      </c>
      <c r="T1156" s="987" t="s">
        <v>1190</v>
      </c>
    </row>
    <row r="1157" spans="1:20" s="1004" customFormat="1" ht="41.25" customHeight="1">
      <c r="A1157" s="1271">
        <v>104</v>
      </c>
      <c r="B1157" s="1272" t="s">
        <v>1718</v>
      </c>
      <c r="C1157" s="1271">
        <v>1985</v>
      </c>
      <c r="D1157" s="1271"/>
      <c r="E1157" s="1271" t="s">
        <v>219</v>
      </c>
      <c r="F1157" s="1271">
        <v>12</v>
      </c>
      <c r="G1157" s="1271">
        <v>1</v>
      </c>
      <c r="H1157" s="993">
        <v>4461.3999999999996</v>
      </c>
      <c r="I1157" s="993">
        <v>3567.2</v>
      </c>
      <c r="J1157" s="993">
        <f>I1157-149.3</f>
        <v>3417.8999999999996</v>
      </c>
      <c r="K1157" s="987">
        <v>171</v>
      </c>
      <c r="L1157" s="993">
        <v>3933713</v>
      </c>
      <c r="M1157" s="993">
        <v>0</v>
      </c>
      <c r="N1157" s="993">
        <v>0</v>
      </c>
      <c r="O1157" s="993">
        <v>3933713</v>
      </c>
      <c r="P1157" s="993">
        <v>0</v>
      </c>
      <c r="Q1157" s="993">
        <v>0</v>
      </c>
      <c r="R1157" s="993">
        <f t="shared" si="393"/>
        <v>1102.7452904238619</v>
      </c>
      <c r="S1157" s="987">
        <v>2018</v>
      </c>
      <c r="T1157" s="987" t="s">
        <v>1190</v>
      </c>
    </row>
    <row r="1158" spans="1:20" s="1004" customFormat="1" ht="41.25" customHeight="1">
      <c r="A1158" s="1271">
        <v>105</v>
      </c>
      <c r="B1158" s="1272" t="s">
        <v>1719</v>
      </c>
      <c r="C1158" s="1271">
        <v>1959</v>
      </c>
      <c r="D1158" s="1271"/>
      <c r="E1158" s="1271" t="s">
        <v>218</v>
      </c>
      <c r="F1158" s="1271">
        <v>4</v>
      </c>
      <c r="G1158" s="1271">
        <v>4</v>
      </c>
      <c r="H1158" s="993">
        <v>2771.8</v>
      </c>
      <c r="I1158" s="993">
        <v>2547.6</v>
      </c>
      <c r="J1158" s="993">
        <f>I1158-146.4</f>
        <v>2401.1999999999998</v>
      </c>
      <c r="K1158" s="987">
        <v>121</v>
      </c>
      <c r="L1158" s="993">
        <v>1187834</v>
      </c>
      <c r="M1158" s="993">
        <v>0</v>
      </c>
      <c r="N1158" s="993">
        <v>0</v>
      </c>
      <c r="O1158" s="993">
        <v>1187834</v>
      </c>
      <c r="P1158" s="993">
        <v>0</v>
      </c>
      <c r="Q1158" s="993">
        <v>0</v>
      </c>
      <c r="R1158" s="993">
        <f t="shared" si="393"/>
        <v>466.25608415763855</v>
      </c>
      <c r="S1158" s="987">
        <v>2018</v>
      </c>
      <c r="T1158" s="987" t="s">
        <v>1190</v>
      </c>
    </row>
    <row r="1159" spans="1:20" s="1004" customFormat="1" ht="41.25" customHeight="1">
      <c r="A1159" s="1271">
        <v>106</v>
      </c>
      <c r="B1159" s="1272" t="s">
        <v>2296</v>
      </c>
      <c r="C1159" s="1271">
        <v>1960</v>
      </c>
      <c r="D1159" s="1271"/>
      <c r="E1159" s="1271" t="s">
        <v>218</v>
      </c>
      <c r="F1159" s="1271">
        <v>4</v>
      </c>
      <c r="G1159" s="1271">
        <v>4</v>
      </c>
      <c r="H1159" s="993">
        <v>2786</v>
      </c>
      <c r="I1159" s="993">
        <v>2515.1999999999998</v>
      </c>
      <c r="J1159" s="993">
        <f>I1159-178.8</f>
        <v>2336.3999999999996</v>
      </c>
      <c r="K1159" s="987">
        <v>132</v>
      </c>
      <c r="L1159" s="993">
        <v>1721427</v>
      </c>
      <c r="M1159" s="993">
        <v>0</v>
      </c>
      <c r="N1159" s="993">
        <v>0</v>
      </c>
      <c r="O1159" s="993">
        <v>1721427</v>
      </c>
      <c r="P1159" s="993">
        <v>0</v>
      </c>
      <c r="Q1159" s="993">
        <v>0</v>
      </c>
      <c r="R1159" s="993">
        <f t="shared" si="393"/>
        <v>684.40958969465657</v>
      </c>
      <c r="S1159" s="987">
        <v>2018</v>
      </c>
      <c r="T1159" s="987" t="s">
        <v>1190</v>
      </c>
    </row>
    <row r="1160" spans="1:20" s="1004" customFormat="1" ht="41.25" customHeight="1">
      <c r="A1160" s="1271">
        <v>107</v>
      </c>
      <c r="B1160" s="1272" t="s">
        <v>1609</v>
      </c>
      <c r="C1160" s="1271">
        <v>1997</v>
      </c>
      <c r="D1160" s="1271"/>
      <c r="E1160" s="1271" t="s">
        <v>219</v>
      </c>
      <c r="F1160" s="1271">
        <v>10</v>
      </c>
      <c r="G1160" s="1271">
        <v>4</v>
      </c>
      <c r="H1160" s="993">
        <v>10003.799999999999</v>
      </c>
      <c r="I1160" s="993">
        <v>8939.5</v>
      </c>
      <c r="J1160" s="993">
        <f>I1160-539.3</f>
        <v>8400.2000000000007</v>
      </c>
      <c r="K1160" s="987">
        <v>370</v>
      </c>
      <c r="L1160" s="993">
        <v>6969833</v>
      </c>
      <c r="M1160" s="993">
        <v>0</v>
      </c>
      <c r="N1160" s="993">
        <v>0</v>
      </c>
      <c r="O1160" s="993">
        <v>6969833</v>
      </c>
      <c r="P1160" s="993">
        <v>0</v>
      </c>
      <c r="Q1160" s="993">
        <v>0</v>
      </c>
      <c r="R1160" s="993">
        <f t="shared" si="393"/>
        <v>779.66698361205886</v>
      </c>
      <c r="S1160" s="987">
        <v>2018</v>
      </c>
      <c r="T1160" s="987" t="s">
        <v>1190</v>
      </c>
    </row>
    <row r="1161" spans="1:20" s="1004" customFormat="1" ht="41.25" customHeight="1">
      <c r="A1161" s="1271">
        <v>108</v>
      </c>
      <c r="B1161" s="1272" t="s">
        <v>1720</v>
      </c>
      <c r="C1161" s="1271">
        <v>1917</v>
      </c>
      <c r="D1161" s="1271"/>
      <c r="E1161" s="1271" t="s">
        <v>218</v>
      </c>
      <c r="F1161" s="1271">
        <v>2</v>
      </c>
      <c r="G1161" s="1271">
        <v>2</v>
      </c>
      <c r="H1161" s="993">
        <v>683.5</v>
      </c>
      <c r="I1161" s="993">
        <v>540.70000000000005</v>
      </c>
      <c r="J1161" s="993">
        <f>I1161</f>
        <v>540.70000000000005</v>
      </c>
      <c r="K1161" s="987">
        <v>12</v>
      </c>
      <c r="L1161" s="993">
        <v>2263808.9699999997</v>
      </c>
      <c r="M1161" s="993">
        <v>0</v>
      </c>
      <c r="N1161" s="993">
        <v>0</v>
      </c>
      <c r="O1161" s="993">
        <f>L1161</f>
        <v>2263808.9699999997</v>
      </c>
      <c r="P1161" s="993">
        <v>0</v>
      </c>
      <c r="Q1161" s="993">
        <v>0</v>
      </c>
      <c r="R1161" s="993">
        <f t="shared" si="393"/>
        <v>4186.8114851118908</v>
      </c>
      <c r="S1161" s="987">
        <v>2018</v>
      </c>
      <c r="T1161" s="987">
        <v>2022</v>
      </c>
    </row>
    <row r="1162" spans="1:20" s="1095" customFormat="1" ht="41.25" customHeight="1">
      <c r="A1162" s="1271">
        <v>109</v>
      </c>
      <c r="B1162" s="1272" t="s">
        <v>1743</v>
      </c>
      <c r="C1162" s="1271">
        <v>1937</v>
      </c>
      <c r="D1162" s="1271"/>
      <c r="E1162" s="1271" t="s">
        <v>218</v>
      </c>
      <c r="F1162" s="1271">
        <v>4</v>
      </c>
      <c r="G1162" s="1271">
        <v>4</v>
      </c>
      <c r="H1162" s="993">
        <v>2732.9</v>
      </c>
      <c r="I1162" s="993">
        <v>2413.1999999999998</v>
      </c>
      <c r="J1162" s="993">
        <f>I1162-178.8</f>
        <v>2234.3999999999996</v>
      </c>
      <c r="K1162" s="987">
        <v>117</v>
      </c>
      <c r="L1162" s="993">
        <v>3470236</v>
      </c>
      <c r="M1162" s="993">
        <v>0</v>
      </c>
      <c r="N1162" s="993">
        <v>0</v>
      </c>
      <c r="O1162" s="993">
        <v>3470236</v>
      </c>
      <c r="P1162" s="993">
        <v>0</v>
      </c>
      <c r="Q1162" s="993">
        <v>0</v>
      </c>
      <c r="R1162" s="993">
        <f t="shared" si="393"/>
        <v>1438.0225426819163</v>
      </c>
      <c r="S1162" s="987">
        <v>2018</v>
      </c>
      <c r="T1162" s="987" t="s">
        <v>1190</v>
      </c>
    </row>
    <row r="1163" spans="1:20" s="1004" customFormat="1" ht="41.25" customHeight="1">
      <c r="A1163" s="1271">
        <v>110</v>
      </c>
      <c r="B1163" s="1272" t="s">
        <v>1721</v>
      </c>
      <c r="C1163" s="1271">
        <v>1959</v>
      </c>
      <c r="D1163" s="1271"/>
      <c r="E1163" s="1271" t="s">
        <v>218</v>
      </c>
      <c r="F1163" s="1271">
        <v>4</v>
      </c>
      <c r="G1163" s="1271">
        <v>4</v>
      </c>
      <c r="H1163" s="993">
        <v>2729</v>
      </c>
      <c r="I1163" s="993">
        <v>2536.3000000000002</v>
      </c>
      <c r="J1163" s="993">
        <f>I1163-32.2</f>
        <v>2504.1000000000004</v>
      </c>
      <c r="K1163" s="987">
        <v>190</v>
      </c>
      <c r="L1163" s="993">
        <v>3275213</v>
      </c>
      <c r="M1163" s="993">
        <v>0</v>
      </c>
      <c r="N1163" s="993">
        <v>0</v>
      </c>
      <c r="O1163" s="993">
        <v>3275213</v>
      </c>
      <c r="P1163" s="993">
        <v>0</v>
      </c>
      <c r="Q1163" s="993">
        <v>0</v>
      </c>
      <c r="R1163" s="993">
        <f t="shared" si="393"/>
        <v>1291.3350155738674</v>
      </c>
      <c r="S1163" s="987">
        <v>2018</v>
      </c>
      <c r="T1163" s="987" t="s">
        <v>1190</v>
      </c>
    </row>
    <row r="1164" spans="1:20" s="1004" customFormat="1" ht="41.25" customHeight="1">
      <c r="A1164" s="1271">
        <v>111</v>
      </c>
      <c r="B1164" s="1272" t="s">
        <v>1722</v>
      </c>
      <c r="C1164" s="1271">
        <v>1957</v>
      </c>
      <c r="D1164" s="1271"/>
      <c r="E1164" s="1271" t="s">
        <v>218</v>
      </c>
      <c r="F1164" s="1271">
        <v>4</v>
      </c>
      <c r="G1164" s="1271">
        <v>3</v>
      </c>
      <c r="H1164" s="993">
        <v>3313.9</v>
      </c>
      <c r="I1164" s="993">
        <v>2501.3000000000002</v>
      </c>
      <c r="J1164" s="993">
        <f>I1164-58.9</f>
        <v>2442.4</v>
      </c>
      <c r="K1164" s="987">
        <v>103</v>
      </c>
      <c r="L1164" s="993">
        <v>1502478</v>
      </c>
      <c r="M1164" s="993">
        <v>0</v>
      </c>
      <c r="N1164" s="993">
        <v>0</v>
      </c>
      <c r="O1164" s="993">
        <v>1502478</v>
      </c>
      <c r="P1164" s="993">
        <v>0</v>
      </c>
      <c r="Q1164" s="993">
        <v>0</v>
      </c>
      <c r="R1164" s="993">
        <f t="shared" si="393"/>
        <v>600.67884699956016</v>
      </c>
      <c r="S1164" s="987">
        <v>2018</v>
      </c>
      <c r="T1164" s="987" t="s">
        <v>1190</v>
      </c>
    </row>
    <row r="1165" spans="1:20" s="994" customFormat="1" ht="41.25" customHeight="1">
      <c r="A1165" s="1271">
        <v>112</v>
      </c>
      <c r="B1165" s="1272" t="s">
        <v>1723</v>
      </c>
      <c r="C1165" s="1271">
        <v>1925</v>
      </c>
      <c r="D1165" s="1271"/>
      <c r="E1165" s="1271" t="s">
        <v>221</v>
      </c>
      <c r="F1165" s="1271">
        <v>2</v>
      </c>
      <c r="G1165" s="1271">
        <v>2</v>
      </c>
      <c r="H1165" s="993">
        <v>449.2</v>
      </c>
      <c r="I1165" s="993">
        <v>404.2</v>
      </c>
      <c r="J1165" s="993">
        <f>I1165-50.2</f>
        <v>354</v>
      </c>
      <c r="K1165" s="987">
        <v>24</v>
      </c>
      <c r="L1165" s="993">
        <v>310509</v>
      </c>
      <c r="M1165" s="993">
        <v>0</v>
      </c>
      <c r="N1165" s="993">
        <v>0</v>
      </c>
      <c r="O1165" s="993">
        <v>310509</v>
      </c>
      <c r="P1165" s="993">
        <v>0</v>
      </c>
      <c r="Q1165" s="993">
        <v>0</v>
      </c>
      <c r="R1165" s="993">
        <f t="shared" si="393"/>
        <v>768.20633349826824</v>
      </c>
      <c r="S1165" s="987">
        <v>2018</v>
      </c>
      <c r="T1165" s="987" t="s">
        <v>1190</v>
      </c>
    </row>
    <row r="1166" spans="1:20" s="994" customFormat="1" ht="41.25" customHeight="1">
      <c r="A1166" s="1271">
        <v>113</v>
      </c>
      <c r="B1166" s="1272" t="s">
        <v>1724</v>
      </c>
      <c r="C1166" s="1271">
        <v>1958</v>
      </c>
      <c r="D1166" s="1271"/>
      <c r="E1166" s="1271" t="s">
        <v>218</v>
      </c>
      <c r="F1166" s="1271">
        <v>2</v>
      </c>
      <c r="G1166" s="1271">
        <v>1</v>
      </c>
      <c r="H1166" s="993">
        <v>452.7</v>
      </c>
      <c r="I1166" s="993">
        <v>413.2</v>
      </c>
      <c r="J1166" s="993">
        <f>I1166</f>
        <v>413.2</v>
      </c>
      <c r="K1166" s="987">
        <v>23</v>
      </c>
      <c r="L1166" s="993">
        <v>211148</v>
      </c>
      <c r="M1166" s="993">
        <v>0</v>
      </c>
      <c r="N1166" s="993">
        <v>0</v>
      </c>
      <c r="O1166" s="993">
        <v>211148</v>
      </c>
      <c r="P1166" s="993">
        <v>0</v>
      </c>
      <c r="Q1166" s="993">
        <v>0</v>
      </c>
      <c r="R1166" s="993">
        <f t="shared" si="393"/>
        <v>511.00677637947729</v>
      </c>
      <c r="S1166" s="987">
        <v>2018</v>
      </c>
      <c r="T1166" s="987" t="s">
        <v>1190</v>
      </c>
    </row>
    <row r="1167" spans="1:20" s="994" customFormat="1" ht="41.25" customHeight="1">
      <c r="A1167" s="1271">
        <v>114</v>
      </c>
      <c r="B1167" s="1272" t="s">
        <v>1725</v>
      </c>
      <c r="C1167" s="1271">
        <v>1957</v>
      </c>
      <c r="D1167" s="1271"/>
      <c r="E1167" s="1271" t="s">
        <v>218</v>
      </c>
      <c r="F1167" s="1271">
        <v>3</v>
      </c>
      <c r="G1167" s="1271">
        <v>3</v>
      </c>
      <c r="H1167" s="993">
        <v>2389</v>
      </c>
      <c r="I1167" s="993">
        <v>2345.1999999999998</v>
      </c>
      <c r="J1167" s="993">
        <f>I1167</f>
        <v>2345.1999999999998</v>
      </c>
      <c r="K1167" s="987">
        <v>49</v>
      </c>
      <c r="L1167" s="993">
        <v>1495485.33</v>
      </c>
      <c r="M1167" s="993">
        <v>0</v>
      </c>
      <c r="N1167" s="993">
        <v>0</v>
      </c>
      <c r="O1167" s="993">
        <v>1495485.33</v>
      </c>
      <c r="P1167" s="993">
        <v>0</v>
      </c>
      <c r="Q1167" s="993">
        <v>0</v>
      </c>
      <c r="R1167" s="993">
        <f t="shared" si="393"/>
        <v>637.67922991642513</v>
      </c>
      <c r="S1167" s="987">
        <v>2018</v>
      </c>
      <c r="T1167" s="987" t="s">
        <v>1190</v>
      </c>
    </row>
    <row r="1168" spans="1:20" s="994" customFormat="1" ht="41.25" customHeight="1">
      <c r="A1168" s="1271">
        <v>115</v>
      </c>
      <c r="B1168" s="1272" t="s">
        <v>1460</v>
      </c>
      <c r="C1168" s="1271">
        <v>1951</v>
      </c>
      <c r="D1168" s="1271"/>
      <c r="E1168" s="1271" t="s">
        <v>220</v>
      </c>
      <c r="F1168" s="1271">
        <v>2</v>
      </c>
      <c r="G1168" s="1271">
        <v>1</v>
      </c>
      <c r="H1168" s="993">
        <v>559.9</v>
      </c>
      <c r="I1168" s="993">
        <v>515.29999999999995</v>
      </c>
      <c r="J1168" s="993">
        <f>I1168-0</f>
        <v>515.29999999999995</v>
      </c>
      <c r="K1168" s="987">
        <v>24</v>
      </c>
      <c r="L1168" s="993">
        <v>1466735</v>
      </c>
      <c r="M1168" s="993">
        <v>0</v>
      </c>
      <c r="N1168" s="993">
        <v>0</v>
      </c>
      <c r="O1168" s="993">
        <v>1466735</v>
      </c>
      <c r="P1168" s="993">
        <v>0</v>
      </c>
      <c r="Q1168" s="993">
        <v>0</v>
      </c>
      <c r="R1168" s="993">
        <f t="shared" si="393"/>
        <v>2846.371045992626</v>
      </c>
      <c r="S1168" s="987">
        <v>2018</v>
      </c>
      <c r="T1168" s="987" t="s">
        <v>1190</v>
      </c>
    </row>
    <row r="1169" spans="1:20" s="1004" customFormat="1" ht="41.25" customHeight="1">
      <c r="A1169" s="1271">
        <v>116</v>
      </c>
      <c r="B1169" s="1272" t="s">
        <v>292</v>
      </c>
      <c r="C1169" s="1271">
        <v>1951</v>
      </c>
      <c r="D1169" s="1271"/>
      <c r="E1169" s="1271" t="s">
        <v>220</v>
      </c>
      <c r="F1169" s="1271">
        <v>2</v>
      </c>
      <c r="G1169" s="1271">
        <v>3</v>
      </c>
      <c r="H1169" s="993">
        <v>1448</v>
      </c>
      <c r="I1169" s="993">
        <v>1395.9</v>
      </c>
      <c r="J1169" s="993">
        <f>I1169-184.8</f>
        <v>1211.1000000000001</v>
      </c>
      <c r="K1169" s="987">
        <v>78</v>
      </c>
      <c r="L1169" s="993">
        <v>1794824</v>
      </c>
      <c r="M1169" s="993">
        <v>0</v>
      </c>
      <c r="N1169" s="993">
        <v>0</v>
      </c>
      <c r="O1169" s="993">
        <v>1794824</v>
      </c>
      <c r="P1169" s="993">
        <v>0</v>
      </c>
      <c r="Q1169" s="993">
        <v>0</v>
      </c>
      <c r="R1169" s="993">
        <f t="shared" si="393"/>
        <v>1285.7826491869043</v>
      </c>
      <c r="S1169" s="987">
        <v>2018</v>
      </c>
      <c r="T1169" s="987" t="s">
        <v>1190</v>
      </c>
    </row>
    <row r="1170" spans="1:20" s="1004" customFormat="1" ht="41.25" customHeight="1">
      <c r="A1170" s="1271">
        <v>117</v>
      </c>
      <c r="B1170" s="1272" t="s">
        <v>1726</v>
      </c>
      <c r="C1170" s="1271">
        <v>1983</v>
      </c>
      <c r="D1170" s="1271"/>
      <c r="E1170" s="1271" t="s">
        <v>218</v>
      </c>
      <c r="F1170" s="1271">
        <v>9</v>
      </c>
      <c r="G1170" s="1271">
        <v>1</v>
      </c>
      <c r="H1170" s="993">
        <v>3455.6</v>
      </c>
      <c r="I1170" s="993">
        <v>3236.2</v>
      </c>
      <c r="J1170" s="993">
        <f>I1170-93.5</f>
        <v>3142.7</v>
      </c>
      <c r="K1170" s="987">
        <v>125</v>
      </c>
      <c r="L1170" s="993">
        <v>1817560</v>
      </c>
      <c r="M1170" s="993">
        <v>0</v>
      </c>
      <c r="N1170" s="993">
        <v>0</v>
      </c>
      <c r="O1170" s="993">
        <v>1817560</v>
      </c>
      <c r="P1170" s="993">
        <v>0</v>
      </c>
      <c r="Q1170" s="993">
        <v>0</v>
      </c>
      <c r="R1170" s="993">
        <f t="shared" si="393"/>
        <v>561.63401520301591</v>
      </c>
      <c r="S1170" s="987">
        <v>2018</v>
      </c>
      <c r="T1170" s="987" t="s">
        <v>1190</v>
      </c>
    </row>
    <row r="1171" spans="1:20" s="1004" customFormat="1" ht="41.25" customHeight="1">
      <c r="A1171" s="1271">
        <v>118</v>
      </c>
      <c r="B1171" s="1272" t="s">
        <v>258</v>
      </c>
      <c r="C1171" s="1271">
        <v>1950</v>
      </c>
      <c r="D1171" s="1271"/>
      <c r="E1171" s="1271" t="s">
        <v>220</v>
      </c>
      <c r="F1171" s="1271">
        <v>2</v>
      </c>
      <c r="G1171" s="1271">
        <v>3</v>
      </c>
      <c r="H1171" s="993">
        <v>1395.9</v>
      </c>
      <c r="I1171" s="993">
        <v>1264.5999999999999</v>
      </c>
      <c r="J1171" s="993">
        <f>I1171-213-138.3</f>
        <v>913.3</v>
      </c>
      <c r="K1171" s="987">
        <v>49</v>
      </c>
      <c r="L1171" s="993">
        <v>1864763</v>
      </c>
      <c r="M1171" s="993">
        <v>0</v>
      </c>
      <c r="N1171" s="993">
        <v>0</v>
      </c>
      <c r="O1171" s="993">
        <v>1864763</v>
      </c>
      <c r="P1171" s="993">
        <v>0</v>
      </c>
      <c r="Q1171" s="993">
        <v>0</v>
      </c>
      <c r="R1171" s="993">
        <f t="shared" si="393"/>
        <v>1474.5872212557331</v>
      </c>
      <c r="S1171" s="987">
        <v>2018</v>
      </c>
      <c r="T1171" s="987" t="s">
        <v>1190</v>
      </c>
    </row>
    <row r="1172" spans="1:20" s="1004" customFormat="1" ht="41.25" customHeight="1">
      <c r="A1172" s="1271">
        <v>119</v>
      </c>
      <c r="B1172" s="1272" t="s">
        <v>250</v>
      </c>
      <c r="C1172" s="1271">
        <v>1948</v>
      </c>
      <c r="D1172" s="1271"/>
      <c r="E1172" s="1271" t="s">
        <v>218</v>
      </c>
      <c r="F1172" s="1271">
        <v>2</v>
      </c>
      <c r="G1172" s="1271">
        <v>3</v>
      </c>
      <c r="H1172" s="993">
        <v>1329.8</v>
      </c>
      <c r="I1172" s="993">
        <v>1212.2</v>
      </c>
      <c r="J1172" s="993">
        <f>I1172</f>
        <v>1212.2</v>
      </c>
      <c r="K1172" s="987">
        <v>55</v>
      </c>
      <c r="L1172" s="993">
        <v>4196302</v>
      </c>
      <c r="M1172" s="993">
        <v>0</v>
      </c>
      <c r="N1172" s="993">
        <v>0</v>
      </c>
      <c r="O1172" s="993">
        <v>4196302</v>
      </c>
      <c r="P1172" s="993">
        <v>0</v>
      </c>
      <c r="Q1172" s="993">
        <v>0</v>
      </c>
      <c r="R1172" s="993">
        <f t="shared" si="393"/>
        <v>3461.7241379310344</v>
      </c>
      <c r="S1172" s="987">
        <v>2018</v>
      </c>
      <c r="T1172" s="987" t="s">
        <v>1190</v>
      </c>
    </row>
    <row r="1173" spans="1:20" s="1004" customFormat="1" ht="41.25" customHeight="1">
      <c r="A1173" s="1271">
        <v>120</v>
      </c>
      <c r="B1173" s="1272" t="s">
        <v>2245</v>
      </c>
      <c r="C1173" s="1271">
        <v>1981</v>
      </c>
      <c r="D1173" s="1271"/>
      <c r="E1173" s="1271" t="s">
        <v>218</v>
      </c>
      <c r="F1173" s="1271">
        <v>5</v>
      </c>
      <c r="G1173" s="1271">
        <v>5</v>
      </c>
      <c r="H1173" s="993">
        <v>4041.1</v>
      </c>
      <c r="I1173" s="993">
        <v>3451.5</v>
      </c>
      <c r="J1173" s="993">
        <f>I1173-356.8</f>
        <v>3094.7</v>
      </c>
      <c r="K1173" s="987">
        <v>162</v>
      </c>
      <c r="L1173" s="993">
        <v>5919970</v>
      </c>
      <c r="M1173" s="993">
        <v>0</v>
      </c>
      <c r="N1173" s="993">
        <v>0</v>
      </c>
      <c r="O1173" s="993">
        <v>5919970</v>
      </c>
      <c r="P1173" s="993">
        <v>0</v>
      </c>
      <c r="Q1173" s="993">
        <v>0</v>
      </c>
      <c r="R1173" s="993">
        <f t="shared" si="393"/>
        <v>1715.1875995943792</v>
      </c>
      <c r="S1173" s="987">
        <v>2018</v>
      </c>
      <c r="T1173" s="987" t="s">
        <v>1190</v>
      </c>
    </row>
    <row r="1174" spans="1:20" s="1004" customFormat="1" ht="41.25" customHeight="1">
      <c r="A1174" s="1271">
        <v>121</v>
      </c>
      <c r="B1174" s="1272" t="s">
        <v>1727</v>
      </c>
      <c r="C1174" s="1271">
        <v>1986</v>
      </c>
      <c r="D1174" s="1271"/>
      <c r="E1174" s="1271" t="s">
        <v>219</v>
      </c>
      <c r="F1174" s="1271">
        <v>9</v>
      </c>
      <c r="G1174" s="1271">
        <v>5</v>
      </c>
      <c r="H1174" s="993">
        <v>12062.1</v>
      </c>
      <c r="I1174" s="993">
        <v>9715.2000000000007</v>
      </c>
      <c r="J1174" s="993">
        <f>I1174-569.1-14.7</f>
        <v>9131.4</v>
      </c>
      <c r="K1174" s="987">
        <v>468</v>
      </c>
      <c r="L1174" s="993">
        <v>4014859</v>
      </c>
      <c r="M1174" s="993">
        <v>0</v>
      </c>
      <c r="N1174" s="993">
        <v>0</v>
      </c>
      <c r="O1174" s="993">
        <v>4014859</v>
      </c>
      <c r="P1174" s="993">
        <v>0</v>
      </c>
      <c r="Q1174" s="993">
        <v>0</v>
      </c>
      <c r="R1174" s="993">
        <f t="shared" si="393"/>
        <v>413.25541419631088</v>
      </c>
      <c r="S1174" s="987">
        <v>2018</v>
      </c>
      <c r="T1174" s="987" t="s">
        <v>1190</v>
      </c>
    </row>
    <row r="1175" spans="1:20" s="1004" customFormat="1" ht="41.25" customHeight="1">
      <c r="A1175" s="1271">
        <v>122</v>
      </c>
      <c r="B1175" s="1272" t="s">
        <v>1728</v>
      </c>
      <c r="C1175" s="1271">
        <v>1966</v>
      </c>
      <c r="D1175" s="1271"/>
      <c r="E1175" s="1271" t="s">
        <v>219</v>
      </c>
      <c r="F1175" s="1271">
        <v>5</v>
      </c>
      <c r="G1175" s="1271">
        <v>4</v>
      </c>
      <c r="H1175" s="993">
        <v>3824.4</v>
      </c>
      <c r="I1175" s="993">
        <v>3536.4</v>
      </c>
      <c r="J1175" s="993">
        <f>I1175-324.7</f>
        <v>3211.7000000000003</v>
      </c>
      <c r="K1175" s="987">
        <v>181</v>
      </c>
      <c r="L1175" s="993">
        <v>2766878</v>
      </c>
      <c r="M1175" s="993">
        <v>0</v>
      </c>
      <c r="N1175" s="993">
        <v>0</v>
      </c>
      <c r="O1175" s="993">
        <v>2766878</v>
      </c>
      <c r="P1175" s="993">
        <v>0</v>
      </c>
      <c r="Q1175" s="993">
        <v>0</v>
      </c>
      <c r="R1175" s="993">
        <f t="shared" si="393"/>
        <v>782.39961542811898</v>
      </c>
      <c r="S1175" s="987">
        <v>2018</v>
      </c>
      <c r="T1175" s="987" t="s">
        <v>1190</v>
      </c>
    </row>
    <row r="1176" spans="1:20" ht="44.45" customHeight="1">
      <c r="A1176" s="1271">
        <v>123</v>
      </c>
      <c r="B1176" s="1272" t="s">
        <v>1744</v>
      </c>
      <c r="C1176" s="1271">
        <v>1984</v>
      </c>
      <c r="D1176" s="1271"/>
      <c r="E1176" s="1271" t="s">
        <v>219</v>
      </c>
      <c r="F1176" s="1271">
        <v>9</v>
      </c>
      <c r="G1176" s="1271">
        <v>1</v>
      </c>
      <c r="H1176" s="993">
        <v>2185.6</v>
      </c>
      <c r="I1176" s="993">
        <v>1927.1</v>
      </c>
      <c r="J1176" s="993">
        <f>I1176-66.8</f>
        <v>1860.3</v>
      </c>
      <c r="K1176" s="987">
        <v>86</v>
      </c>
      <c r="L1176" s="993">
        <v>872207</v>
      </c>
      <c r="M1176" s="993">
        <v>0</v>
      </c>
      <c r="N1176" s="993">
        <v>0</v>
      </c>
      <c r="O1176" s="993">
        <v>872207</v>
      </c>
      <c r="P1176" s="993">
        <v>0</v>
      </c>
      <c r="Q1176" s="993">
        <v>0</v>
      </c>
      <c r="R1176" s="993">
        <f t="shared" si="393"/>
        <v>452.6007991282238</v>
      </c>
      <c r="S1176" s="987">
        <v>2018</v>
      </c>
      <c r="T1176" s="987" t="s">
        <v>1190</v>
      </c>
    </row>
    <row r="1177" spans="1:20" ht="40.15" customHeight="1">
      <c r="A1177" s="1271">
        <v>124</v>
      </c>
      <c r="B1177" s="1272" t="s">
        <v>1745</v>
      </c>
      <c r="C1177" s="1271">
        <v>1989</v>
      </c>
      <c r="D1177" s="1271"/>
      <c r="E1177" s="1271" t="s">
        <v>219</v>
      </c>
      <c r="F1177" s="1271">
        <v>9</v>
      </c>
      <c r="G1177" s="1271">
        <v>6</v>
      </c>
      <c r="H1177" s="993">
        <v>17322.900000000001</v>
      </c>
      <c r="I1177" s="993">
        <v>14905.3</v>
      </c>
      <c r="J1177" s="993">
        <f>I1177-97.8-852.1</f>
        <v>13955.4</v>
      </c>
      <c r="K1177" s="987">
        <v>657</v>
      </c>
      <c r="L1177" s="993">
        <v>5660742</v>
      </c>
      <c r="M1177" s="993">
        <v>0</v>
      </c>
      <c r="N1177" s="993">
        <v>0</v>
      </c>
      <c r="O1177" s="993">
        <v>5660742</v>
      </c>
      <c r="P1177" s="993">
        <v>0</v>
      </c>
      <c r="Q1177" s="993">
        <v>0</v>
      </c>
      <c r="R1177" s="993">
        <f t="shared" ref="R1177:R1203" si="394">L1177/I1177</f>
        <v>379.78048076858568</v>
      </c>
      <c r="S1177" s="987">
        <v>2018</v>
      </c>
      <c r="T1177" s="987" t="s">
        <v>1190</v>
      </c>
    </row>
    <row r="1178" spans="1:20" ht="42" customHeight="1">
      <c r="A1178" s="1271">
        <v>125</v>
      </c>
      <c r="B1178" s="1272" t="s">
        <v>1729</v>
      </c>
      <c r="C1178" s="1271">
        <v>1989</v>
      </c>
      <c r="D1178" s="1271"/>
      <c r="E1178" s="1271" t="s">
        <v>218</v>
      </c>
      <c r="F1178" s="1271">
        <v>9</v>
      </c>
      <c r="G1178" s="1271">
        <v>5</v>
      </c>
      <c r="H1178" s="993">
        <v>13574.1</v>
      </c>
      <c r="I1178" s="993">
        <v>10659.2</v>
      </c>
      <c r="J1178" s="993">
        <f>I1178-1010.4</f>
        <v>9648.8000000000011</v>
      </c>
      <c r="K1178" s="987">
        <v>520</v>
      </c>
      <c r="L1178" s="993">
        <v>5360944.45</v>
      </c>
      <c r="M1178" s="993">
        <v>0</v>
      </c>
      <c r="N1178" s="993">
        <v>0</v>
      </c>
      <c r="O1178" s="993">
        <f>L1178</f>
        <v>5360944.45</v>
      </c>
      <c r="P1178" s="993">
        <v>0</v>
      </c>
      <c r="Q1178" s="993">
        <v>0</v>
      </c>
      <c r="R1178" s="993">
        <f t="shared" si="394"/>
        <v>502.94060060792555</v>
      </c>
      <c r="S1178" s="987">
        <v>2018</v>
      </c>
      <c r="T1178" s="987" t="s">
        <v>1190</v>
      </c>
    </row>
    <row r="1179" spans="1:20" ht="42.6" customHeight="1">
      <c r="A1179" s="1271">
        <v>126</v>
      </c>
      <c r="B1179" s="1272" t="s">
        <v>1730</v>
      </c>
      <c r="C1179" s="1271">
        <v>1951</v>
      </c>
      <c r="D1179" s="1271"/>
      <c r="E1179" s="1271" t="s">
        <v>218</v>
      </c>
      <c r="F1179" s="1271">
        <v>2</v>
      </c>
      <c r="G1179" s="1271">
        <v>1</v>
      </c>
      <c r="H1179" s="993">
        <v>536.70000000000005</v>
      </c>
      <c r="I1179" s="993">
        <v>498</v>
      </c>
      <c r="J1179" s="993">
        <f>I1179-22.1</f>
        <v>475.9</v>
      </c>
      <c r="K1179" s="987">
        <v>20</v>
      </c>
      <c r="L1179" s="993">
        <v>1861754</v>
      </c>
      <c r="M1179" s="993">
        <v>0</v>
      </c>
      <c r="N1179" s="993">
        <v>0</v>
      </c>
      <c r="O1179" s="993">
        <v>1861754</v>
      </c>
      <c r="P1179" s="993">
        <v>0</v>
      </c>
      <c r="Q1179" s="993">
        <v>0</v>
      </c>
      <c r="R1179" s="993">
        <f t="shared" si="394"/>
        <v>3738.4618473895584</v>
      </c>
      <c r="S1179" s="987">
        <v>2018</v>
      </c>
      <c r="T1179" s="987" t="s">
        <v>1190</v>
      </c>
    </row>
    <row r="1180" spans="1:20" ht="42" customHeight="1">
      <c r="A1180" s="1271">
        <v>127</v>
      </c>
      <c r="B1180" s="1272" t="s">
        <v>1731</v>
      </c>
      <c r="C1180" s="1271">
        <v>1895</v>
      </c>
      <c r="D1180" s="1271"/>
      <c r="E1180" s="1271" t="s">
        <v>218</v>
      </c>
      <c r="F1180" s="1271">
        <v>2</v>
      </c>
      <c r="G1180" s="1271">
        <v>1</v>
      </c>
      <c r="H1180" s="993">
        <v>497.1</v>
      </c>
      <c r="I1180" s="993">
        <v>363.5</v>
      </c>
      <c r="J1180" s="993">
        <f>I1180</f>
        <v>363.5</v>
      </c>
      <c r="K1180" s="987">
        <v>12</v>
      </c>
      <c r="L1180" s="993">
        <v>193341</v>
      </c>
      <c r="M1180" s="993">
        <v>0</v>
      </c>
      <c r="N1180" s="993">
        <v>0</v>
      </c>
      <c r="O1180" s="993">
        <v>193341</v>
      </c>
      <c r="P1180" s="993">
        <v>0</v>
      </c>
      <c r="Q1180" s="993">
        <v>0</v>
      </c>
      <c r="R1180" s="993">
        <f t="shared" si="394"/>
        <v>531.88720770288853</v>
      </c>
      <c r="S1180" s="987">
        <v>2018</v>
      </c>
      <c r="T1180" s="987" t="s">
        <v>1190</v>
      </c>
    </row>
    <row r="1181" spans="1:20" ht="42" customHeight="1">
      <c r="A1181" s="1271">
        <v>128</v>
      </c>
      <c r="B1181" s="1272" t="s">
        <v>1732</v>
      </c>
      <c r="C1181" s="1271">
        <v>1972</v>
      </c>
      <c r="D1181" s="1271"/>
      <c r="E1181" s="1271" t="s">
        <v>218</v>
      </c>
      <c r="F1181" s="1271">
        <v>5</v>
      </c>
      <c r="G1181" s="1271">
        <v>2</v>
      </c>
      <c r="H1181" s="993">
        <v>3773.99</v>
      </c>
      <c r="I1181" s="993">
        <v>3489.29</v>
      </c>
      <c r="J1181" s="993">
        <f>I1181-639.8</f>
        <v>2849.49</v>
      </c>
      <c r="K1181" s="987">
        <v>191</v>
      </c>
      <c r="L1181" s="993">
        <v>2610618</v>
      </c>
      <c r="M1181" s="993">
        <v>0</v>
      </c>
      <c r="N1181" s="993">
        <v>0</v>
      </c>
      <c r="O1181" s="993">
        <v>2610618</v>
      </c>
      <c r="P1181" s="993">
        <v>0</v>
      </c>
      <c r="Q1181" s="993">
        <v>0</v>
      </c>
      <c r="R1181" s="993">
        <f t="shared" si="394"/>
        <v>748.1802888266667</v>
      </c>
      <c r="S1181" s="987">
        <v>2018</v>
      </c>
      <c r="T1181" s="987" t="s">
        <v>1190</v>
      </c>
    </row>
    <row r="1182" spans="1:20" ht="42" customHeight="1">
      <c r="A1182" s="1271">
        <v>129</v>
      </c>
      <c r="B1182" s="1272" t="s">
        <v>1733</v>
      </c>
      <c r="C1182" s="1271">
        <v>1956</v>
      </c>
      <c r="D1182" s="1271"/>
      <c r="E1182" s="1271" t="s">
        <v>218</v>
      </c>
      <c r="F1182" s="1271">
        <v>2</v>
      </c>
      <c r="G1182" s="1271">
        <v>3</v>
      </c>
      <c r="H1182" s="993">
        <v>1305.5999999999999</v>
      </c>
      <c r="I1182" s="993">
        <v>1143.5999999999999</v>
      </c>
      <c r="J1182" s="993">
        <f>I1182-57.9-60.1</f>
        <v>1025.5999999999999</v>
      </c>
      <c r="K1182" s="987">
        <v>22</v>
      </c>
      <c r="L1182" s="993">
        <v>1300391</v>
      </c>
      <c r="M1182" s="993">
        <v>0</v>
      </c>
      <c r="N1182" s="993">
        <v>0</v>
      </c>
      <c r="O1182" s="993">
        <v>1300391</v>
      </c>
      <c r="P1182" s="993">
        <v>0</v>
      </c>
      <c r="Q1182" s="993">
        <v>0</v>
      </c>
      <c r="R1182" s="993">
        <f t="shared" si="394"/>
        <v>1137.1030080447711</v>
      </c>
      <c r="S1182" s="987">
        <v>2018</v>
      </c>
      <c r="T1182" s="987" t="s">
        <v>1190</v>
      </c>
    </row>
    <row r="1183" spans="1:20" ht="42" customHeight="1">
      <c r="A1183" s="1271">
        <v>130</v>
      </c>
      <c r="B1183" s="1272" t="s">
        <v>1734</v>
      </c>
      <c r="C1183" s="1271">
        <v>1956</v>
      </c>
      <c r="D1183" s="1271"/>
      <c r="E1183" s="1271" t="s">
        <v>218</v>
      </c>
      <c r="F1183" s="1271">
        <v>2</v>
      </c>
      <c r="G1183" s="1271">
        <v>2</v>
      </c>
      <c r="H1183" s="993">
        <v>439.4</v>
      </c>
      <c r="I1183" s="993">
        <v>395.2</v>
      </c>
      <c r="J1183" s="993">
        <f>I1183-43.3</f>
        <v>351.9</v>
      </c>
      <c r="K1183" s="987">
        <v>24</v>
      </c>
      <c r="L1183" s="993">
        <v>1296697</v>
      </c>
      <c r="M1183" s="993">
        <v>0</v>
      </c>
      <c r="N1183" s="993">
        <v>0</v>
      </c>
      <c r="O1183" s="993">
        <v>1296697</v>
      </c>
      <c r="P1183" s="993">
        <v>0</v>
      </c>
      <c r="Q1183" s="993">
        <v>0</v>
      </c>
      <c r="R1183" s="993">
        <f t="shared" si="394"/>
        <v>3281.1158906882592</v>
      </c>
      <c r="S1183" s="987">
        <v>2018</v>
      </c>
      <c r="T1183" s="987" t="s">
        <v>1190</v>
      </c>
    </row>
    <row r="1184" spans="1:20" ht="42.6" customHeight="1">
      <c r="A1184" s="1271">
        <v>131</v>
      </c>
      <c r="B1184" s="1272" t="s">
        <v>1746</v>
      </c>
      <c r="C1184" s="1271">
        <v>1962</v>
      </c>
      <c r="D1184" s="1271"/>
      <c r="E1184" s="1271" t="s">
        <v>218</v>
      </c>
      <c r="F1184" s="1271">
        <v>3</v>
      </c>
      <c r="G1184" s="1271">
        <v>2</v>
      </c>
      <c r="H1184" s="993">
        <v>1023.3</v>
      </c>
      <c r="I1184" s="993">
        <v>950.3</v>
      </c>
      <c r="J1184" s="993">
        <f>I1184-129.4</f>
        <v>820.9</v>
      </c>
      <c r="K1184" s="987">
        <v>38</v>
      </c>
      <c r="L1184" s="993">
        <v>1766431</v>
      </c>
      <c r="M1184" s="993">
        <v>0</v>
      </c>
      <c r="N1184" s="993">
        <v>0</v>
      </c>
      <c r="O1184" s="993">
        <v>1766431</v>
      </c>
      <c r="P1184" s="993">
        <v>0</v>
      </c>
      <c r="Q1184" s="993">
        <v>0</v>
      </c>
      <c r="R1184" s="993">
        <f t="shared" si="394"/>
        <v>1858.8140587182995</v>
      </c>
      <c r="S1184" s="987">
        <v>2018</v>
      </c>
      <c r="T1184" s="987" t="s">
        <v>1190</v>
      </c>
    </row>
    <row r="1185" spans="1:20" ht="43.15" customHeight="1">
      <c r="A1185" s="1271">
        <v>132</v>
      </c>
      <c r="B1185" s="1272" t="s">
        <v>1735</v>
      </c>
      <c r="C1185" s="1271">
        <v>1956</v>
      </c>
      <c r="D1185" s="1271"/>
      <c r="E1185" s="1271" t="s">
        <v>218</v>
      </c>
      <c r="F1185" s="1271">
        <v>2</v>
      </c>
      <c r="G1185" s="1271">
        <v>2</v>
      </c>
      <c r="H1185" s="993">
        <v>399.1</v>
      </c>
      <c r="I1185" s="993">
        <v>352.1</v>
      </c>
      <c r="J1185" s="993">
        <f>I1185-43.9</f>
        <v>308.20000000000005</v>
      </c>
      <c r="K1185" s="987">
        <v>27</v>
      </c>
      <c r="L1185" s="993">
        <v>1335814</v>
      </c>
      <c r="M1185" s="993">
        <v>0</v>
      </c>
      <c r="N1185" s="993">
        <v>0</v>
      </c>
      <c r="O1185" s="993">
        <v>1335814</v>
      </c>
      <c r="P1185" s="993">
        <v>0</v>
      </c>
      <c r="Q1185" s="993">
        <v>0</v>
      </c>
      <c r="R1185" s="993">
        <f t="shared" si="394"/>
        <v>3793.8483385401873</v>
      </c>
      <c r="S1185" s="987">
        <v>2018</v>
      </c>
      <c r="T1185" s="987" t="s">
        <v>1190</v>
      </c>
    </row>
    <row r="1186" spans="1:20" ht="42.6" customHeight="1">
      <c r="A1186" s="1271">
        <v>133</v>
      </c>
      <c r="B1186" s="1272" t="s">
        <v>1133</v>
      </c>
      <c r="C1186" s="1271">
        <v>1917</v>
      </c>
      <c r="D1186" s="1271"/>
      <c r="E1186" s="1271" t="s">
        <v>218</v>
      </c>
      <c r="F1186" s="1071" t="s">
        <v>1148</v>
      </c>
      <c r="G1186" s="1271">
        <v>4</v>
      </c>
      <c r="H1186" s="993">
        <v>2304.3000000000002</v>
      </c>
      <c r="I1186" s="993">
        <v>2167.6999999999998</v>
      </c>
      <c r="J1186" s="993">
        <f>I1186-390.4</f>
        <v>1777.2999999999997</v>
      </c>
      <c r="K1186" s="987">
        <v>61</v>
      </c>
      <c r="L1186" s="985">
        <v>7569129.8099999996</v>
      </c>
      <c r="M1186" s="993">
        <v>0</v>
      </c>
      <c r="N1186" s="993">
        <v>0</v>
      </c>
      <c r="O1186" s="993">
        <f>L1186</f>
        <v>7569129.8099999996</v>
      </c>
      <c r="P1186" s="993">
        <v>0</v>
      </c>
      <c r="Q1186" s="993">
        <v>0</v>
      </c>
      <c r="R1186" s="993">
        <f t="shared" si="394"/>
        <v>3491.779217603912</v>
      </c>
      <c r="S1186" s="987">
        <v>2018</v>
      </c>
      <c r="T1186" s="987">
        <v>2022</v>
      </c>
    </row>
    <row r="1187" spans="1:20" ht="44.45" customHeight="1">
      <c r="A1187" s="1271">
        <v>134</v>
      </c>
      <c r="B1187" s="1272" t="s">
        <v>1495</v>
      </c>
      <c r="C1187" s="1271">
        <v>1953</v>
      </c>
      <c r="D1187" s="1271"/>
      <c r="E1187" s="1271" t="s">
        <v>218</v>
      </c>
      <c r="F1187" s="1271">
        <v>4</v>
      </c>
      <c r="G1187" s="1271">
        <v>9</v>
      </c>
      <c r="H1187" s="993">
        <v>7344.1</v>
      </c>
      <c r="I1187" s="993">
        <v>6786.8</v>
      </c>
      <c r="J1187" s="993">
        <f>I1187-842.1-1022.6</f>
        <v>4922.0999999999995</v>
      </c>
      <c r="K1187" s="987">
        <v>141</v>
      </c>
      <c r="L1187" s="993">
        <v>6599999</v>
      </c>
      <c r="M1187" s="993">
        <v>0</v>
      </c>
      <c r="N1187" s="993">
        <v>0</v>
      </c>
      <c r="O1187" s="993">
        <v>6599999</v>
      </c>
      <c r="P1187" s="993">
        <v>0</v>
      </c>
      <c r="Q1187" s="993">
        <v>0</v>
      </c>
      <c r="R1187" s="993">
        <f t="shared" si="394"/>
        <v>972.47583544527606</v>
      </c>
      <c r="S1187" s="987">
        <v>2018</v>
      </c>
      <c r="T1187" s="987" t="s">
        <v>1190</v>
      </c>
    </row>
    <row r="1188" spans="1:20" ht="40.9" customHeight="1">
      <c r="A1188" s="1271">
        <v>135</v>
      </c>
      <c r="B1188" s="1272" t="s">
        <v>1736</v>
      </c>
      <c r="C1188" s="1271">
        <v>1985</v>
      </c>
      <c r="D1188" s="1271"/>
      <c r="E1188" s="1271" t="s">
        <v>218</v>
      </c>
      <c r="F1188" s="1271">
        <v>9</v>
      </c>
      <c r="G1188" s="1271">
        <v>2</v>
      </c>
      <c r="H1188" s="993">
        <v>8993.2000000000007</v>
      </c>
      <c r="I1188" s="993">
        <v>7992.2</v>
      </c>
      <c r="J1188" s="993">
        <f>I1188-458.8-172.3</f>
        <v>7361.0999999999995</v>
      </c>
      <c r="K1188" s="987">
        <v>313</v>
      </c>
      <c r="L1188" s="993">
        <v>9367364</v>
      </c>
      <c r="M1188" s="993">
        <v>0</v>
      </c>
      <c r="N1188" s="993">
        <v>0</v>
      </c>
      <c r="O1188" s="993">
        <v>9367364</v>
      </c>
      <c r="P1188" s="993">
        <v>0</v>
      </c>
      <c r="Q1188" s="993">
        <v>0</v>
      </c>
      <c r="R1188" s="993">
        <f t="shared" si="394"/>
        <v>1172.0632616801381</v>
      </c>
      <c r="S1188" s="987">
        <v>2018</v>
      </c>
      <c r="T1188" s="987" t="s">
        <v>1190</v>
      </c>
    </row>
    <row r="1189" spans="1:20" ht="40.9" customHeight="1">
      <c r="A1189" s="1271">
        <v>136</v>
      </c>
      <c r="B1189" s="1272" t="s">
        <v>275</v>
      </c>
      <c r="C1189" s="1271">
        <v>1951</v>
      </c>
      <c r="D1189" s="1271"/>
      <c r="E1189" s="1271" t="s">
        <v>218</v>
      </c>
      <c r="F1189" s="1271">
        <v>3</v>
      </c>
      <c r="G1189" s="1271">
        <v>3</v>
      </c>
      <c r="H1189" s="993">
        <v>2015</v>
      </c>
      <c r="I1189" s="993">
        <v>1848.5</v>
      </c>
      <c r="J1189" s="993">
        <f>I1189-191.4</f>
        <v>1657.1</v>
      </c>
      <c r="K1189" s="987">
        <v>82</v>
      </c>
      <c r="L1189" s="993">
        <v>467928</v>
      </c>
      <c r="M1189" s="993">
        <v>0</v>
      </c>
      <c r="N1189" s="993">
        <v>0</v>
      </c>
      <c r="O1189" s="993">
        <v>467928</v>
      </c>
      <c r="P1189" s="993">
        <v>0</v>
      </c>
      <c r="Q1189" s="993">
        <v>0</v>
      </c>
      <c r="R1189" s="993">
        <f t="shared" si="394"/>
        <v>253.13930213686774</v>
      </c>
      <c r="S1189" s="987">
        <v>2018</v>
      </c>
      <c r="T1189" s="987" t="s">
        <v>1190</v>
      </c>
    </row>
    <row r="1190" spans="1:20" ht="41.45" customHeight="1">
      <c r="A1190" s="1271">
        <v>137</v>
      </c>
      <c r="B1190" s="1272" t="s">
        <v>1737</v>
      </c>
      <c r="C1190" s="1271">
        <v>1953</v>
      </c>
      <c r="D1190" s="1271"/>
      <c r="E1190" s="1271" t="s">
        <v>218</v>
      </c>
      <c r="F1190" s="1271">
        <v>2</v>
      </c>
      <c r="G1190" s="1271">
        <v>2</v>
      </c>
      <c r="H1190" s="993">
        <v>411.7</v>
      </c>
      <c r="I1190" s="993">
        <v>368.5</v>
      </c>
      <c r="J1190" s="993">
        <f>I1190-21.51</f>
        <v>346.99</v>
      </c>
      <c r="K1190" s="987">
        <v>24</v>
      </c>
      <c r="L1190" s="993">
        <v>720823</v>
      </c>
      <c r="M1190" s="993">
        <v>0</v>
      </c>
      <c r="N1190" s="993">
        <v>0</v>
      </c>
      <c r="O1190" s="993">
        <v>720823</v>
      </c>
      <c r="P1190" s="993">
        <v>0</v>
      </c>
      <c r="Q1190" s="993">
        <v>0</v>
      </c>
      <c r="R1190" s="993">
        <f t="shared" si="394"/>
        <v>1956.100407055631</v>
      </c>
      <c r="S1190" s="987">
        <v>2018</v>
      </c>
      <c r="T1190" s="987" t="s">
        <v>1190</v>
      </c>
    </row>
    <row r="1191" spans="1:20" ht="40.9" customHeight="1">
      <c r="A1191" s="1271">
        <v>138</v>
      </c>
      <c r="B1191" s="1272" t="s">
        <v>1738</v>
      </c>
      <c r="C1191" s="1271">
        <v>1926</v>
      </c>
      <c r="D1191" s="1271"/>
      <c r="E1191" s="1271" t="s">
        <v>221</v>
      </c>
      <c r="F1191" s="1271">
        <v>2</v>
      </c>
      <c r="G1191" s="1271">
        <v>2</v>
      </c>
      <c r="H1191" s="993">
        <v>564.5</v>
      </c>
      <c r="I1191" s="993">
        <v>519.70000000000005</v>
      </c>
      <c r="J1191" s="993">
        <f>I1191-63.6</f>
        <v>456.1</v>
      </c>
      <c r="K1191" s="987">
        <v>29</v>
      </c>
      <c r="L1191" s="993">
        <v>691750</v>
      </c>
      <c r="M1191" s="993">
        <v>0</v>
      </c>
      <c r="N1191" s="993">
        <v>0</v>
      </c>
      <c r="O1191" s="993">
        <v>691750</v>
      </c>
      <c r="P1191" s="993">
        <v>0</v>
      </c>
      <c r="Q1191" s="993">
        <v>0</v>
      </c>
      <c r="R1191" s="993">
        <f t="shared" si="394"/>
        <v>1331.0563786800076</v>
      </c>
      <c r="S1191" s="987">
        <v>2018</v>
      </c>
      <c r="T1191" s="987" t="s">
        <v>1190</v>
      </c>
    </row>
    <row r="1192" spans="1:20" ht="43.9" customHeight="1">
      <c r="A1192" s="1271">
        <v>139</v>
      </c>
      <c r="B1192" s="1272" t="s">
        <v>900</v>
      </c>
      <c r="C1192" s="1271">
        <v>1971</v>
      </c>
      <c r="D1192" s="1271"/>
      <c r="E1192" s="1271" t="s">
        <v>219</v>
      </c>
      <c r="F1192" s="1271">
        <v>5</v>
      </c>
      <c r="G1192" s="1271">
        <v>4</v>
      </c>
      <c r="H1192" s="993">
        <v>3373.1</v>
      </c>
      <c r="I1192" s="993">
        <v>3094.9</v>
      </c>
      <c r="J1192" s="993">
        <f>I1192-178.5-411.9</f>
        <v>2504.5</v>
      </c>
      <c r="K1192" s="987">
        <v>127</v>
      </c>
      <c r="L1192" s="993">
        <v>5704245</v>
      </c>
      <c r="M1192" s="993">
        <v>0</v>
      </c>
      <c r="N1192" s="993">
        <v>0</v>
      </c>
      <c r="O1192" s="993">
        <v>5704245</v>
      </c>
      <c r="P1192" s="993">
        <v>0</v>
      </c>
      <c r="Q1192" s="993">
        <v>0</v>
      </c>
      <c r="R1192" s="993">
        <f t="shared" si="394"/>
        <v>1843.1112475362693</v>
      </c>
      <c r="S1192" s="987">
        <v>2018</v>
      </c>
      <c r="T1192" s="987" t="s">
        <v>1190</v>
      </c>
    </row>
    <row r="1193" spans="1:20" ht="40.15" customHeight="1">
      <c r="A1193" s="1271">
        <v>140</v>
      </c>
      <c r="B1193" s="1272" t="s">
        <v>1747</v>
      </c>
      <c r="C1193" s="1271">
        <v>1984</v>
      </c>
      <c r="D1193" s="1271"/>
      <c r="E1193" s="1271" t="s">
        <v>219</v>
      </c>
      <c r="F1193" s="1271">
        <v>9</v>
      </c>
      <c r="G1193" s="1271">
        <v>4</v>
      </c>
      <c r="H1193" s="993">
        <v>9066.6</v>
      </c>
      <c r="I1193" s="993">
        <v>8150.7</v>
      </c>
      <c r="J1193" s="993">
        <f>I1193-500.3</f>
        <v>7650.4</v>
      </c>
      <c r="K1193" s="987">
        <v>362</v>
      </c>
      <c r="L1193" s="993">
        <v>18696087</v>
      </c>
      <c r="M1193" s="993">
        <v>0</v>
      </c>
      <c r="N1193" s="993">
        <v>0</v>
      </c>
      <c r="O1193" s="993">
        <v>18696087</v>
      </c>
      <c r="P1193" s="993">
        <v>0</v>
      </c>
      <c r="Q1193" s="993">
        <v>0</v>
      </c>
      <c r="R1193" s="993">
        <f t="shared" si="394"/>
        <v>2293.8013912915458</v>
      </c>
      <c r="S1193" s="987">
        <v>2018</v>
      </c>
      <c r="T1193" s="987" t="s">
        <v>1190</v>
      </c>
    </row>
    <row r="1194" spans="1:20" ht="42" customHeight="1">
      <c r="A1194" s="1271">
        <v>141</v>
      </c>
      <c r="B1194" s="1272" t="s">
        <v>1748</v>
      </c>
      <c r="C1194" s="1271">
        <v>1959</v>
      </c>
      <c r="D1194" s="1271"/>
      <c r="E1194" s="1271" t="s">
        <v>218</v>
      </c>
      <c r="F1194" s="1271">
        <v>5</v>
      </c>
      <c r="G1194" s="1271">
        <v>4</v>
      </c>
      <c r="H1194" s="993">
        <v>3486.6</v>
      </c>
      <c r="I1194" s="993">
        <v>3199.7</v>
      </c>
      <c r="J1194" s="993">
        <f>I1194-44</f>
        <v>3155.7</v>
      </c>
      <c r="K1194" s="987">
        <v>132</v>
      </c>
      <c r="L1194" s="993">
        <v>6817111</v>
      </c>
      <c r="M1194" s="993">
        <v>0</v>
      </c>
      <c r="N1194" s="993">
        <v>0</v>
      </c>
      <c r="O1194" s="993">
        <v>6817111</v>
      </c>
      <c r="P1194" s="993">
        <v>0</v>
      </c>
      <c r="Q1194" s="993">
        <v>0</v>
      </c>
      <c r="R1194" s="993">
        <f t="shared" si="394"/>
        <v>2130.5469262743381</v>
      </c>
      <c r="S1194" s="987">
        <v>2018</v>
      </c>
      <c r="T1194" s="987" t="s">
        <v>1190</v>
      </c>
    </row>
    <row r="1195" spans="1:20" ht="43.9" customHeight="1">
      <c r="A1195" s="1271">
        <v>142</v>
      </c>
      <c r="B1195" s="1272" t="s">
        <v>1739</v>
      </c>
      <c r="C1195" s="1271">
        <v>1968</v>
      </c>
      <c r="D1195" s="1271"/>
      <c r="E1195" s="1271" t="s">
        <v>218</v>
      </c>
      <c r="F1195" s="1271">
        <v>5</v>
      </c>
      <c r="G1195" s="1271">
        <v>4</v>
      </c>
      <c r="H1195" s="993">
        <v>3442</v>
      </c>
      <c r="I1195" s="993">
        <v>2835.3</v>
      </c>
      <c r="J1195" s="993">
        <f>I1195</f>
        <v>2835.3</v>
      </c>
      <c r="K1195" s="987">
        <v>151</v>
      </c>
      <c r="L1195" s="993">
        <v>3967506</v>
      </c>
      <c r="M1195" s="993">
        <v>0</v>
      </c>
      <c r="N1195" s="993">
        <v>0</v>
      </c>
      <c r="O1195" s="993">
        <v>3967506</v>
      </c>
      <c r="P1195" s="993">
        <v>0</v>
      </c>
      <c r="Q1195" s="993">
        <v>0</v>
      </c>
      <c r="R1195" s="993">
        <f t="shared" si="394"/>
        <v>1399.3249391598772</v>
      </c>
      <c r="S1195" s="987">
        <v>2018</v>
      </c>
      <c r="T1195" s="987" t="s">
        <v>1190</v>
      </c>
    </row>
    <row r="1196" spans="1:20" ht="43.9" customHeight="1">
      <c r="A1196" s="1271">
        <v>143</v>
      </c>
      <c r="B1196" s="1272" t="s">
        <v>1740</v>
      </c>
      <c r="C1196" s="1271">
        <v>1957</v>
      </c>
      <c r="D1196" s="1271"/>
      <c r="E1196" s="1271" t="s">
        <v>218</v>
      </c>
      <c r="F1196" s="1271">
        <v>2</v>
      </c>
      <c r="G1196" s="1271">
        <v>2</v>
      </c>
      <c r="H1196" s="993">
        <v>426.7</v>
      </c>
      <c r="I1196" s="993">
        <v>385.4</v>
      </c>
      <c r="J1196" s="993">
        <f>I1196</f>
        <v>385.4</v>
      </c>
      <c r="K1196" s="987">
        <v>27</v>
      </c>
      <c r="L1196" s="993">
        <v>1288447</v>
      </c>
      <c r="M1196" s="993">
        <v>0</v>
      </c>
      <c r="N1196" s="993">
        <v>0</v>
      </c>
      <c r="O1196" s="993">
        <v>1288447</v>
      </c>
      <c r="P1196" s="993">
        <v>0</v>
      </c>
      <c r="Q1196" s="993">
        <v>0</v>
      </c>
      <c r="R1196" s="993">
        <f t="shared" si="394"/>
        <v>3343.1421899325378</v>
      </c>
      <c r="S1196" s="987">
        <v>2018</v>
      </c>
      <c r="T1196" s="987" t="s">
        <v>1190</v>
      </c>
    </row>
    <row r="1197" spans="1:20" ht="37.9" customHeight="1">
      <c r="A1197" s="1271">
        <v>144</v>
      </c>
      <c r="B1197" s="1272" t="s">
        <v>302</v>
      </c>
      <c r="C1197" s="1271">
        <v>1986</v>
      </c>
      <c r="D1197" s="1271"/>
      <c r="E1197" s="1271" t="s">
        <v>219</v>
      </c>
      <c r="F1197" s="1271">
        <v>9</v>
      </c>
      <c r="G1197" s="1271">
        <v>3</v>
      </c>
      <c r="H1197" s="993">
        <v>9783.5</v>
      </c>
      <c r="I1197" s="993">
        <v>9111.2000000000007</v>
      </c>
      <c r="J1197" s="993">
        <f>I1197-431.9</f>
        <v>8679.3000000000011</v>
      </c>
      <c r="K1197" s="987">
        <v>179</v>
      </c>
      <c r="L1197" s="993">
        <v>3431464</v>
      </c>
      <c r="M1197" s="993">
        <v>0</v>
      </c>
      <c r="N1197" s="993">
        <v>0</v>
      </c>
      <c r="O1197" s="993">
        <v>3431464</v>
      </c>
      <c r="P1197" s="993">
        <v>0</v>
      </c>
      <c r="Q1197" s="993">
        <v>0</v>
      </c>
      <c r="R1197" s="993">
        <f t="shared" si="394"/>
        <v>376.62042321538325</v>
      </c>
      <c r="S1197" s="987">
        <v>2018</v>
      </c>
      <c r="T1197" s="987" t="s">
        <v>1190</v>
      </c>
    </row>
    <row r="1198" spans="1:20" ht="40.15" customHeight="1">
      <c r="A1198" s="1271">
        <v>145</v>
      </c>
      <c r="B1198" s="1272" t="s">
        <v>1546</v>
      </c>
      <c r="C1198" s="1271">
        <v>1960</v>
      </c>
      <c r="D1198" s="1271"/>
      <c r="E1198" s="1271" t="s">
        <v>218</v>
      </c>
      <c r="F1198" s="1271">
        <v>4</v>
      </c>
      <c r="G1198" s="1271">
        <v>3</v>
      </c>
      <c r="H1198" s="993">
        <v>2188</v>
      </c>
      <c r="I1198" s="993">
        <v>2040.8</v>
      </c>
      <c r="J1198" s="993">
        <f>I1198-184.2</f>
        <v>1856.6</v>
      </c>
      <c r="K1198" s="987">
        <v>97</v>
      </c>
      <c r="L1198" s="993">
        <v>2740531</v>
      </c>
      <c r="M1198" s="993">
        <v>0</v>
      </c>
      <c r="N1198" s="993">
        <v>0</v>
      </c>
      <c r="O1198" s="993">
        <v>2740531</v>
      </c>
      <c r="P1198" s="993">
        <v>0</v>
      </c>
      <c r="Q1198" s="993">
        <v>0</v>
      </c>
      <c r="R1198" s="993">
        <f t="shared" si="394"/>
        <v>1342.8709329674637</v>
      </c>
      <c r="S1198" s="987">
        <v>2018</v>
      </c>
      <c r="T1198" s="987" t="s">
        <v>1190</v>
      </c>
    </row>
    <row r="1199" spans="1:20" ht="39" customHeight="1">
      <c r="A1199" s="1271">
        <v>146</v>
      </c>
      <c r="B1199" s="1272" t="s">
        <v>1749</v>
      </c>
      <c r="C1199" s="1271">
        <v>1965</v>
      </c>
      <c r="D1199" s="1271"/>
      <c r="E1199" s="1271" t="s">
        <v>219</v>
      </c>
      <c r="F1199" s="1271">
        <v>5</v>
      </c>
      <c r="G1199" s="1271">
        <v>5</v>
      </c>
      <c r="H1199" s="993">
        <v>3654.8</v>
      </c>
      <c r="I1199" s="993">
        <v>3252.7</v>
      </c>
      <c r="J1199" s="993">
        <f>I1199-467.7</f>
        <v>2785</v>
      </c>
      <c r="K1199" s="987">
        <v>140</v>
      </c>
      <c r="L1199" s="993">
        <v>1194865</v>
      </c>
      <c r="M1199" s="993">
        <v>0</v>
      </c>
      <c r="N1199" s="993">
        <v>0</v>
      </c>
      <c r="O1199" s="993">
        <v>1194865</v>
      </c>
      <c r="P1199" s="993">
        <v>0</v>
      </c>
      <c r="Q1199" s="993">
        <v>0</v>
      </c>
      <c r="R1199" s="993">
        <f t="shared" si="394"/>
        <v>367.34558981768993</v>
      </c>
      <c r="S1199" s="987">
        <v>2018</v>
      </c>
      <c r="T1199" s="987" t="s">
        <v>1190</v>
      </c>
    </row>
    <row r="1200" spans="1:20" ht="42" customHeight="1">
      <c r="A1200" s="1271">
        <v>147</v>
      </c>
      <c r="B1200" s="1272" t="s">
        <v>1751</v>
      </c>
      <c r="C1200" s="1271">
        <v>1927</v>
      </c>
      <c r="D1200" s="1271"/>
      <c r="E1200" s="1271" t="s">
        <v>221</v>
      </c>
      <c r="F1200" s="1271">
        <v>2</v>
      </c>
      <c r="G1200" s="1271">
        <v>1</v>
      </c>
      <c r="H1200" s="993">
        <v>351.1</v>
      </c>
      <c r="I1200" s="993">
        <v>322.89999999999998</v>
      </c>
      <c r="J1200" s="993">
        <f>I1200-38.8</f>
        <v>284.09999999999997</v>
      </c>
      <c r="K1200" s="987">
        <v>16</v>
      </c>
      <c r="L1200" s="993">
        <v>968415</v>
      </c>
      <c r="M1200" s="993">
        <v>0</v>
      </c>
      <c r="N1200" s="993">
        <v>0</v>
      </c>
      <c r="O1200" s="993">
        <v>968415</v>
      </c>
      <c r="P1200" s="993">
        <v>0</v>
      </c>
      <c r="Q1200" s="993">
        <v>0</v>
      </c>
      <c r="R1200" s="993">
        <f t="shared" si="394"/>
        <v>2999.1173737999384</v>
      </c>
      <c r="S1200" s="987">
        <v>2018</v>
      </c>
      <c r="T1200" s="987" t="s">
        <v>1190</v>
      </c>
    </row>
    <row r="1201" spans="1:20" ht="34.9" customHeight="1">
      <c r="A1201" s="1271">
        <v>148</v>
      </c>
      <c r="B1201" s="1272" t="s">
        <v>1752</v>
      </c>
      <c r="C1201" s="1271">
        <v>1929</v>
      </c>
      <c r="D1201" s="1271"/>
      <c r="E1201" s="1271" t="s">
        <v>220</v>
      </c>
      <c r="F1201" s="1271">
        <v>3</v>
      </c>
      <c r="G1201" s="1271">
        <v>2</v>
      </c>
      <c r="H1201" s="993">
        <v>1006.1</v>
      </c>
      <c r="I1201" s="993">
        <v>966.2</v>
      </c>
      <c r="J1201" s="993">
        <f>I1201-58.1</f>
        <v>908.1</v>
      </c>
      <c r="K1201" s="987">
        <v>41</v>
      </c>
      <c r="L1201" s="993">
        <v>1418463</v>
      </c>
      <c r="M1201" s="993">
        <v>0</v>
      </c>
      <c r="N1201" s="993">
        <v>0</v>
      </c>
      <c r="O1201" s="993">
        <v>1418463</v>
      </c>
      <c r="P1201" s="993">
        <v>0</v>
      </c>
      <c r="Q1201" s="993">
        <v>0</v>
      </c>
      <c r="R1201" s="993">
        <f t="shared" si="394"/>
        <v>1468.0842475677912</v>
      </c>
      <c r="S1201" s="987">
        <v>2018</v>
      </c>
      <c r="T1201" s="987" t="s">
        <v>1190</v>
      </c>
    </row>
    <row r="1202" spans="1:20" ht="42.6" customHeight="1">
      <c r="A1202" s="1271">
        <v>149</v>
      </c>
      <c r="B1202" s="1272" t="s">
        <v>1753</v>
      </c>
      <c r="C1202" s="1271">
        <v>1950</v>
      </c>
      <c r="D1202" s="1271"/>
      <c r="E1202" s="1271" t="s">
        <v>220</v>
      </c>
      <c r="F1202" s="1271">
        <v>2</v>
      </c>
      <c r="G1202" s="1271">
        <v>1</v>
      </c>
      <c r="H1202" s="993">
        <v>463.1</v>
      </c>
      <c r="I1202" s="993">
        <v>422.3</v>
      </c>
      <c r="J1202" s="993">
        <f>I1202-53.6-136.5</f>
        <v>232.2</v>
      </c>
      <c r="K1202" s="987">
        <v>20</v>
      </c>
      <c r="L1202" s="993">
        <v>214414</v>
      </c>
      <c r="M1202" s="993">
        <v>0</v>
      </c>
      <c r="N1202" s="993">
        <v>0</v>
      </c>
      <c r="O1202" s="993">
        <v>214414</v>
      </c>
      <c r="P1202" s="993">
        <v>0</v>
      </c>
      <c r="Q1202" s="993">
        <v>0</v>
      </c>
      <c r="R1202" s="993">
        <f t="shared" si="394"/>
        <v>507.7291025337438</v>
      </c>
      <c r="S1202" s="987">
        <v>2018</v>
      </c>
      <c r="T1202" s="987" t="s">
        <v>1190</v>
      </c>
    </row>
    <row r="1203" spans="1:20" ht="40.9" customHeight="1">
      <c r="A1203" s="1271">
        <v>150</v>
      </c>
      <c r="B1203" s="1272" t="s">
        <v>1774</v>
      </c>
      <c r="C1203" s="1271">
        <v>1964</v>
      </c>
      <c r="D1203" s="1271"/>
      <c r="E1203" s="1271" t="s">
        <v>218</v>
      </c>
      <c r="F1203" s="1271">
        <v>5</v>
      </c>
      <c r="G1203" s="1271">
        <v>4</v>
      </c>
      <c r="H1203" s="993">
        <v>4243</v>
      </c>
      <c r="I1203" s="993">
        <v>3248.9</v>
      </c>
      <c r="J1203" s="993">
        <f>I1203-705.7-425.1</f>
        <v>2118.1</v>
      </c>
      <c r="K1203" s="987">
        <v>114</v>
      </c>
      <c r="L1203" s="993">
        <v>3036528</v>
      </c>
      <c r="M1203" s="993">
        <v>0</v>
      </c>
      <c r="N1203" s="993">
        <v>0</v>
      </c>
      <c r="O1203" s="993">
        <v>3036528</v>
      </c>
      <c r="P1203" s="993">
        <v>0</v>
      </c>
      <c r="Q1203" s="993">
        <v>0</v>
      </c>
      <c r="R1203" s="993">
        <f t="shared" si="394"/>
        <v>934.63264489519531</v>
      </c>
      <c r="S1203" s="987">
        <v>2018</v>
      </c>
      <c r="T1203" s="987" t="s">
        <v>1190</v>
      </c>
    </row>
    <row r="1204" spans="1:20" ht="40.9" customHeight="1">
      <c r="A1204" s="1271">
        <v>151</v>
      </c>
      <c r="B1204" s="1272" t="s">
        <v>1754</v>
      </c>
      <c r="C1204" s="1271">
        <v>1984</v>
      </c>
      <c r="D1204" s="1271"/>
      <c r="E1204" s="1271" t="s">
        <v>219</v>
      </c>
      <c r="F1204" s="1271">
        <v>9</v>
      </c>
      <c r="G1204" s="1271">
        <v>1</v>
      </c>
      <c r="H1204" s="993">
        <v>5289.8</v>
      </c>
      <c r="I1204" s="993">
        <v>4502.8</v>
      </c>
      <c r="J1204" s="993">
        <f>I1204-615.4-322.5</f>
        <v>3564.9</v>
      </c>
      <c r="K1204" s="987">
        <v>214</v>
      </c>
      <c r="L1204" s="993">
        <v>8859284.8800000008</v>
      </c>
      <c r="M1204" s="993">
        <v>0</v>
      </c>
      <c r="N1204" s="993">
        <v>0</v>
      </c>
      <c r="O1204" s="993">
        <v>8859284.8800000008</v>
      </c>
      <c r="P1204" s="993">
        <v>0</v>
      </c>
      <c r="Q1204" s="993">
        <v>0</v>
      </c>
      <c r="R1204" s="993">
        <f>L1204/I1204</f>
        <v>1967.5057475348674</v>
      </c>
      <c r="S1204" s="987">
        <v>2018</v>
      </c>
      <c r="T1204" s="987" t="s">
        <v>1190</v>
      </c>
    </row>
    <row r="1205" spans="1:20" ht="38.450000000000003" customHeight="1">
      <c r="A1205" s="1271">
        <v>152</v>
      </c>
      <c r="B1205" s="1272" t="s">
        <v>258</v>
      </c>
      <c r="C1205" s="1271">
        <v>1950</v>
      </c>
      <c r="D1205" s="1271"/>
      <c r="E1205" s="1271" t="s">
        <v>823</v>
      </c>
      <c r="F1205" s="1271">
        <v>2</v>
      </c>
      <c r="G1205" s="1271">
        <v>3</v>
      </c>
      <c r="H1205" s="993">
        <v>1395.9</v>
      </c>
      <c r="I1205" s="993">
        <v>1264.5999999999999</v>
      </c>
      <c r="J1205" s="993">
        <v>913.3</v>
      </c>
      <c r="K1205" s="987">
        <v>49</v>
      </c>
      <c r="L1205" s="993">
        <v>72530</v>
      </c>
      <c r="M1205" s="993">
        <v>0</v>
      </c>
      <c r="N1205" s="993">
        <v>0</v>
      </c>
      <c r="O1205" s="993">
        <v>72530</v>
      </c>
      <c r="P1205" s="993">
        <v>0</v>
      </c>
      <c r="Q1205" s="993">
        <v>0</v>
      </c>
      <c r="R1205" s="993">
        <f t="shared" ref="R1205:R1232" si="395">L1205/I1205</f>
        <v>57.354104064526339</v>
      </c>
      <c r="S1205" s="1271">
        <v>2019</v>
      </c>
      <c r="T1205" s="1071" t="s">
        <v>1190</v>
      </c>
    </row>
    <row r="1206" spans="1:20" ht="42.6" customHeight="1">
      <c r="A1206" s="1271">
        <v>153</v>
      </c>
      <c r="B1206" s="1272" t="s">
        <v>2246</v>
      </c>
      <c r="C1206" s="1271">
        <v>1975</v>
      </c>
      <c r="D1206" s="1271"/>
      <c r="E1206" s="1271" t="s">
        <v>219</v>
      </c>
      <c r="F1206" s="1271">
        <v>9</v>
      </c>
      <c r="G1206" s="1271">
        <v>2</v>
      </c>
      <c r="H1206" s="993">
        <v>4377.7</v>
      </c>
      <c r="I1206" s="993">
        <v>3881.7</v>
      </c>
      <c r="J1206" s="993">
        <v>3766.9</v>
      </c>
      <c r="K1206" s="987">
        <v>160</v>
      </c>
      <c r="L1206" s="993">
        <v>454777</v>
      </c>
      <c r="M1206" s="993">
        <v>0</v>
      </c>
      <c r="N1206" s="993">
        <v>0</v>
      </c>
      <c r="O1206" s="993">
        <v>454777</v>
      </c>
      <c r="P1206" s="993">
        <v>0</v>
      </c>
      <c r="Q1206" s="993">
        <v>0</v>
      </c>
      <c r="R1206" s="993">
        <f t="shared" si="395"/>
        <v>117.1592343560811</v>
      </c>
      <c r="S1206" s="1271">
        <v>2019</v>
      </c>
      <c r="T1206" s="1071" t="s">
        <v>1190</v>
      </c>
    </row>
    <row r="1207" spans="1:20" ht="40.15" customHeight="1">
      <c r="A1207" s="1271">
        <v>154</v>
      </c>
      <c r="B1207" s="1272" t="s">
        <v>2247</v>
      </c>
      <c r="C1207" s="1271" t="s">
        <v>190</v>
      </c>
      <c r="D1207" s="1271"/>
      <c r="E1207" s="1271" t="s">
        <v>218</v>
      </c>
      <c r="F1207" s="1271">
        <v>4</v>
      </c>
      <c r="G1207" s="1271">
        <v>2</v>
      </c>
      <c r="H1207" s="993">
        <v>1002.4</v>
      </c>
      <c r="I1207" s="993">
        <v>878.31</v>
      </c>
      <c r="J1207" s="993">
        <v>586.1</v>
      </c>
      <c r="K1207" s="987">
        <v>26</v>
      </c>
      <c r="L1207" s="993">
        <v>372974</v>
      </c>
      <c r="M1207" s="993">
        <v>0</v>
      </c>
      <c r="N1207" s="993">
        <v>0</v>
      </c>
      <c r="O1207" s="993">
        <v>372974</v>
      </c>
      <c r="P1207" s="993">
        <v>0</v>
      </c>
      <c r="Q1207" s="993">
        <v>0</v>
      </c>
      <c r="R1207" s="993">
        <f t="shared" si="395"/>
        <v>424.6496111851169</v>
      </c>
      <c r="S1207" s="1271">
        <v>2019</v>
      </c>
      <c r="T1207" s="1071" t="s">
        <v>1190</v>
      </c>
    </row>
    <row r="1208" spans="1:20" ht="42.6" customHeight="1">
      <c r="A1208" s="1271">
        <v>155</v>
      </c>
      <c r="B1208" s="1272" t="s">
        <v>2248</v>
      </c>
      <c r="C1208" s="1271">
        <v>1963</v>
      </c>
      <c r="D1208" s="1271"/>
      <c r="E1208" s="1271" t="s">
        <v>218</v>
      </c>
      <c r="F1208" s="1271">
        <v>4</v>
      </c>
      <c r="G1208" s="1271">
        <v>4</v>
      </c>
      <c r="H1208" s="993">
        <v>2674.2</v>
      </c>
      <c r="I1208" s="993">
        <v>2572.4</v>
      </c>
      <c r="J1208" s="993">
        <v>2530.3000000000002</v>
      </c>
      <c r="K1208" s="987">
        <v>129</v>
      </c>
      <c r="L1208" s="993">
        <v>2568253.77</v>
      </c>
      <c r="M1208" s="993">
        <v>0</v>
      </c>
      <c r="N1208" s="993">
        <v>0</v>
      </c>
      <c r="O1208" s="993">
        <f>L1208</f>
        <v>2568253.77</v>
      </c>
      <c r="P1208" s="993">
        <v>0</v>
      </c>
      <c r="Q1208" s="993">
        <v>0</v>
      </c>
      <c r="R1208" s="993">
        <f t="shared" si="395"/>
        <v>998.3881861296843</v>
      </c>
      <c r="S1208" s="1271">
        <v>2019</v>
      </c>
      <c r="T1208" s="1071" t="s">
        <v>1190</v>
      </c>
    </row>
    <row r="1209" spans="1:20" ht="43.9" customHeight="1">
      <c r="A1209" s="1271">
        <v>156</v>
      </c>
      <c r="B1209" s="1272" t="s">
        <v>2249</v>
      </c>
      <c r="C1209" s="1271">
        <v>1926</v>
      </c>
      <c r="D1209" s="1271"/>
      <c r="E1209" s="1271" t="s">
        <v>221</v>
      </c>
      <c r="F1209" s="1271">
        <v>2</v>
      </c>
      <c r="G1209" s="1271">
        <v>2</v>
      </c>
      <c r="H1209" s="993">
        <v>565.29999999999995</v>
      </c>
      <c r="I1209" s="993">
        <v>548.4</v>
      </c>
      <c r="J1209" s="993">
        <v>321.10000000000002</v>
      </c>
      <c r="K1209" s="987">
        <v>24</v>
      </c>
      <c r="L1209" s="993">
        <v>243748</v>
      </c>
      <c r="M1209" s="993">
        <v>0</v>
      </c>
      <c r="N1209" s="993">
        <v>0</v>
      </c>
      <c r="O1209" s="993">
        <v>243748</v>
      </c>
      <c r="P1209" s="993">
        <v>0</v>
      </c>
      <c r="Q1209" s="993">
        <v>0</v>
      </c>
      <c r="R1209" s="993">
        <f t="shared" si="395"/>
        <v>444.47118891320207</v>
      </c>
      <c r="S1209" s="1271">
        <v>2019</v>
      </c>
      <c r="T1209" s="1071" t="s">
        <v>1190</v>
      </c>
    </row>
    <row r="1210" spans="1:20" ht="42" customHeight="1">
      <c r="A1210" s="1271">
        <v>157</v>
      </c>
      <c r="B1210" s="1272" t="s">
        <v>2250</v>
      </c>
      <c r="C1210" s="1271">
        <v>1997</v>
      </c>
      <c r="D1210" s="1271"/>
      <c r="E1210" s="1271" t="s">
        <v>219</v>
      </c>
      <c r="F1210" s="1271">
        <v>11</v>
      </c>
      <c r="G1210" s="1271">
        <v>4</v>
      </c>
      <c r="H1210" s="993">
        <v>11350.73</v>
      </c>
      <c r="I1210" s="993">
        <v>10040</v>
      </c>
      <c r="J1210" s="993">
        <v>10040</v>
      </c>
      <c r="K1210" s="987">
        <v>363</v>
      </c>
      <c r="L1210" s="993">
        <v>3647790</v>
      </c>
      <c r="M1210" s="993">
        <v>0</v>
      </c>
      <c r="N1210" s="993">
        <v>0</v>
      </c>
      <c r="O1210" s="993">
        <v>3647790</v>
      </c>
      <c r="P1210" s="993">
        <v>0</v>
      </c>
      <c r="Q1210" s="993">
        <v>0</v>
      </c>
      <c r="R1210" s="993">
        <f t="shared" si="395"/>
        <v>363.32569721115539</v>
      </c>
      <c r="S1210" s="1271">
        <v>2019</v>
      </c>
      <c r="T1210" s="1071" t="s">
        <v>1190</v>
      </c>
    </row>
    <row r="1211" spans="1:20" ht="42" customHeight="1">
      <c r="A1211" s="1271">
        <v>158</v>
      </c>
      <c r="B1211" s="1272" t="s">
        <v>2251</v>
      </c>
      <c r="C1211" s="1271">
        <v>1834</v>
      </c>
      <c r="D1211" s="1271"/>
      <c r="E1211" s="1271" t="s">
        <v>218</v>
      </c>
      <c r="F1211" s="1271">
        <v>3</v>
      </c>
      <c r="G1211" s="1271">
        <v>2</v>
      </c>
      <c r="H1211" s="993">
        <v>946.3</v>
      </c>
      <c r="I1211" s="993">
        <v>852.3</v>
      </c>
      <c r="J1211" s="993">
        <v>261.89999999999998</v>
      </c>
      <c r="K1211" s="987">
        <v>9</v>
      </c>
      <c r="L1211" s="993">
        <v>11661978.050000001</v>
      </c>
      <c r="M1211" s="993">
        <v>0</v>
      </c>
      <c r="N1211" s="993">
        <v>0</v>
      </c>
      <c r="O1211" s="993">
        <f>L1211</f>
        <v>11661978.050000001</v>
      </c>
      <c r="P1211" s="993">
        <v>0</v>
      </c>
      <c r="Q1211" s="993">
        <v>0</v>
      </c>
      <c r="R1211" s="993">
        <f t="shared" si="395"/>
        <v>13682.949724275491</v>
      </c>
      <c r="S1211" s="1271">
        <v>2019</v>
      </c>
      <c r="T1211" s="1071" t="s">
        <v>1190</v>
      </c>
    </row>
    <row r="1212" spans="1:20" ht="42.6" customHeight="1">
      <c r="A1212" s="1271">
        <v>159</v>
      </c>
      <c r="B1212" s="1272" t="s">
        <v>2252</v>
      </c>
      <c r="C1212" s="1271" t="s">
        <v>190</v>
      </c>
      <c r="D1212" s="1271"/>
      <c r="E1212" s="1271" t="s">
        <v>218</v>
      </c>
      <c r="F1212" s="1271">
        <v>3</v>
      </c>
      <c r="G1212" s="1271">
        <v>2</v>
      </c>
      <c r="H1212" s="993">
        <v>781.2</v>
      </c>
      <c r="I1212" s="993">
        <v>709.4</v>
      </c>
      <c r="J1212" s="993">
        <v>436.3</v>
      </c>
      <c r="K1212" s="987">
        <v>42</v>
      </c>
      <c r="L1212" s="993">
        <v>405378</v>
      </c>
      <c r="M1212" s="993">
        <v>0</v>
      </c>
      <c r="N1212" s="993">
        <v>0</v>
      </c>
      <c r="O1212" s="993">
        <f>L1212</f>
        <v>405378</v>
      </c>
      <c r="P1212" s="993">
        <v>0</v>
      </c>
      <c r="Q1212" s="993">
        <v>0</v>
      </c>
      <c r="R1212" s="993">
        <f t="shared" si="395"/>
        <v>571.4378347899634</v>
      </c>
      <c r="S1212" s="1271">
        <v>2019</v>
      </c>
      <c r="T1212" s="1071" t="s">
        <v>1190</v>
      </c>
    </row>
    <row r="1213" spans="1:20" ht="40.9" customHeight="1">
      <c r="A1213" s="1271">
        <v>160</v>
      </c>
      <c r="B1213" s="1272" t="s">
        <v>2253</v>
      </c>
      <c r="C1213" s="1271">
        <v>1853</v>
      </c>
      <c r="D1213" s="1271"/>
      <c r="E1213" s="1271" t="s">
        <v>221</v>
      </c>
      <c r="F1213" s="1271">
        <v>2</v>
      </c>
      <c r="G1213" s="1271">
        <v>2</v>
      </c>
      <c r="H1213" s="993">
        <v>203.4</v>
      </c>
      <c r="I1213" s="993">
        <v>483.2</v>
      </c>
      <c r="J1213" s="993">
        <v>454.1</v>
      </c>
      <c r="K1213" s="987">
        <v>26</v>
      </c>
      <c r="L1213" s="993">
        <v>3165498</v>
      </c>
      <c r="M1213" s="993">
        <v>0</v>
      </c>
      <c r="N1213" s="993">
        <v>0</v>
      </c>
      <c r="O1213" s="993">
        <f>L1213</f>
        <v>3165498</v>
      </c>
      <c r="P1213" s="993">
        <v>0</v>
      </c>
      <c r="Q1213" s="993">
        <v>0</v>
      </c>
      <c r="R1213" s="993">
        <f t="shared" si="395"/>
        <v>6551.1134105960264</v>
      </c>
      <c r="S1213" s="1271">
        <v>2019</v>
      </c>
      <c r="T1213" s="1071" t="s">
        <v>1190</v>
      </c>
    </row>
    <row r="1214" spans="1:20" ht="40.15" customHeight="1">
      <c r="A1214" s="1271">
        <v>161</v>
      </c>
      <c r="B1214" s="1272" t="s">
        <v>2254</v>
      </c>
      <c r="C1214" s="1271">
        <v>1853</v>
      </c>
      <c r="D1214" s="1271"/>
      <c r="E1214" s="1271" t="s">
        <v>221</v>
      </c>
      <c r="F1214" s="1271">
        <v>2</v>
      </c>
      <c r="G1214" s="1271">
        <v>2</v>
      </c>
      <c r="H1214" s="993">
        <v>516.70000000000005</v>
      </c>
      <c r="I1214" s="993">
        <v>492.3</v>
      </c>
      <c r="J1214" s="993">
        <v>462.3</v>
      </c>
      <c r="K1214" s="987">
        <v>24</v>
      </c>
      <c r="L1214" s="993">
        <v>283306</v>
      </c>
      <c r="M1214" s="993">
        <v>0</v>
      </c>
      <c r="N1214" s="993">
        <v>0</v>
      </c>
      <c r="O1214" s="993">
        <v>283306</v>
      </c>
      <c r="P1214" s="993">
        <v>0</v>
      </c>
      <c r="Q1214" s="993">
        <v>0</v>
      </c>
      <c r="R1214" s="993">
        <f t="shared" si="395"/>
        <v>575.47430428600444</v>
      </c>
      <c r="S1214" s="1271">
        <v>2019</v>
      </c>
      <c r="T1214" s="1071" t="s">
        <v>1190</v>
      </c>
    </row>
    <row r="1215" spans="1:20" ht="43.9" customHeight="1">
      <c r="A1215" s="1271">
        <v>162</v>
      </c>
      <c r="B1215" s="1272" t="s">
        <v>1469</v>
      </c>
      <c r="C1215" s="1271">
        <v>1974</v>
      </c>
      <c r="D1215" s="1271"/>
      <c r="E1215" s="1271" t="s">
        <v>218</v>
      </c>
      <c r="F1215" s="1271">
        <v>9</v>
      </c>
      <c r="G1215" s="1271">
        <v>5</v>
      </c>
      <c r="H1215" s="993">
        <v>15709.9</v>
      </c>
      <c r="I1215" s="993">
        <v>15001.9</v>
      </c>
      <c r="J1215" s="993">
        <v>9777.4</v>
      </c>
      <c r="K1215" s="987">
        <v>340</v>
      </c>
      <c r="L1215" s="993">
        <v>7212203</v>
      </c>
      <c r="M1215" s="993">
        <v>0</v>
      </c>
      <c r="N1215" s="993">
        <v>0</v>
      </c>
      <c r="O1215" s="993">
        <v>7212203</v>
      </c>
      <c r="P1215" s="993">
        <v>0</v>
      </c>
      <c r="Q1215" s="993">
        <v>0</v>
      </c>
      <c r="R1215" s="993">
        <f t="shared" si="395"/>
        <v>480.75263799918679</v>
      </c>
      <c r="S1215" s="1271">
        <v>2019</v>
      </c>
      <c r="T1215" s="1071" t="s">
        <v>1190</v>
      </c>
    </row>
    <row r="1216" spans="1:20" ht="42.6" customHeight="1">
      <c r="A1216" s="1271">
        <v>163</v>
      </c>
      <c r="B1216" s="1272" t="s">
        <v>2255</v>
      </c>
      <c r="C1216" s="1271">
        <v>1954</v>
      </c>
      <c r="D1216" s="1271"/>
      <c r="E1216" s="1271" t="s">
        <v>218</v>
      </c>
      <c r="F1216" s="1271">
        <v>3</v>
      </c>
      <c r="G1216" s="1271">
        <v>3</v>
      </c>
      <c r="H1216" s="993">
        <v>2245.63</v>
      </c>
      <c r="I1216" s="993">
        <v>2070.73</v>
      </c>
      <c r="J1216" s="993">
        <v>1565.93</v>
      </c>
      <c r="K1216" s="987">
        <v>50</v>
      </c>
      <c r="L1216" s="993">
        <v>6418249.9000000004</v>
      </c>
      <c r="M1216" s="993">
        <v>0</v>
      </c>
      <c r="N1216" s="993">
        <v>0</v>
      </c>
      <c r="O1216" s="993">
        <v>6418249.9000000004</v>
      </c>
      <c r="P1216" s="993">
        <v>0</v>
      </c>
      <c r="Q1216" s="993">
        <v>0</v>
      </c>
      <c r="R1216" s="993">
        <f t="shared" si="395"/>
        <v>3099.5107522467924</v>
      </c>
      <c r="S1216" s="1271">
        <v>2019</v>
      </c>
      <c r="T1216" s="1071" t="s">
        <v>1190</v>
      </c>
    </row>
    <row r="1217" spans="1:20" ht="42.6" customHeight="1">
      <c r="A1217" s="1271">
        <v>164</v>
      </c>
      <c r="B1217" s="1272" t="s">
        <v>2256</v>
      </c>
      <c r="C1217" s="1271">
        <v>1884</v>
      </c>
      <c r="D1217" s="1271"/>
      <c r="E1217" s="1271" t="s">
        <v>218</v>
      </c>
      <c r="F1217" s="1271">
        <v>2</v>
      </c>
      <c r="G1217" s="1271">
        <v>2</v>
      </c>
      <c r="H1217" s="993">
        <v>975.5</v>
      </c>
      <c r="I1217" s="993">
        <v>886.1</v>
      </c>
      <c r="J1217" s="993">
        <v>658.7</v>
      </c>
      <c r="K1217" s="987">
        <v>52</v>
      </c>
      <c r="L1217" s="993">
        <v>569891</v>
      </c>
      <c r="M1217" s="993">
        <v>0</v>
      </c>
      <c r="N1217" s="993">
        <v>0</v>
      </c>
      <c r="O1217" s="993">
        <v>569891</v>
      </c>
      <c r="P1217" s="993">
        <v>0</v>
      </c>
      <c r="Q1217" s="993">
        <v>0</v>
      </c>
      <c r="R1217" s="993">
        <f t="shared" si="395"/>
        <v>643.1452432005417</v>
      </c>
      <c r="S1217" s="1271">
        <v>2019</v>
      </c>
      <c r="T1217" s="1071" t="s">
        <v>1190</v>
      </c>
    </row>
    <row r="1218" spans="1:20" ht="39" customHeight="1">
      <c r="A1218" s="1271">
        <v>165</v>
      </c>
      <c r="B1218" s="1272" t="s">
        <v>2257</v>
      </c>
      <c r="C1218" s="1271">
        <v>1954</v>
      </c>
      <c r="D1218" s="1271"/>
      <c r="E1218" s="1271" t="s">
        <v>218</v>
      </c>
      <c r="F1218" s="1271">
        <v>3</v>
      </c>
      <c r="G1218" s="1271">
        <v>3</v>
      </c>
      <c r="H1218" s="993">
        <v>1585</v>
      </c>
      <c r="I1218" s="993">
        <v>1437.5</v>
      </c>
      <c r="J1218" s="993">
        <v>1281.2</v>
      </c>
      <c r="K1218" s="987">
        <v>71</v>
      </c>
      <c r="L1218" s="993">
        <v>4332481.62</v>
      </c>
      <c r="M1218" s="993">
        <v>0</v>
      </c>
      <c r="N1218" s="993">
        <v>0</v>
      </c>
      <c r="O1218" s="993">
        <f>L1218</f>
        <v>4332481.62</v>
      </c>
      <c r="P1218" s="993">
        <v>0</v>
      </c>
      <c r="Q1218" s="993">
        <v>0</v>
      </c>
      <c r="R1218" s="993">
        <f t="shared" si="395"/>
        <v>3013.9002573913044</v>
      </c>
      <c r="S1218" s="1271">
        <v>2019</v>
      </c>
      <c r="T1218" s="1071" t="s">
        <v>1190</v>
      </c>
    </row>
    <row r="1219" spans="1:20" ht="44.45" customHeight="1">
      <c r="A1219" s="1271">
        <v>166</v>
      </c>
      <c r="B1219" s="1272" t="s">
        <v>2258</v>
      </c>
      <c r="C1219" s="1271">
        <v>1964</v>
      </c>
      <c r="D1219" s="1271"/>
      <c r="E1219" s="1271" t="s">
        <v>219</v>
      </c>
      <c r="F1219" s="1271">
        <v>5</v>
      </c>
      <c r="G1219" s="1271">
        <v>4</v>
      </c>
      <c r="H1219" s="993">
        <v>3687.9</v>
      </c>
      <c r="I1219" s="993">
        <v>3542</v>
      </c>
      <c r="J1219" s="993">
        <v>3311.8</v>
      </c>
      <c r="K1219" s="987">
        <v>160</v>
      </c>
      <c r="L1219" s="993">
        <v>1376298</v>
      </c>
      <c r="M1219" s="993">
        <v>0</v>
      </c>
      <c r="N1219" s="993">
        <v>0</v>
      </c>
      <c r="O1219" s="993">
        <v>1376298</v>
      </c>
      <c r="P1219" s="993">
        <v>0</v>
      </c>
      <c r="Q1219" s="993">
        <v>0</v>
      </c>
      <c r="R1219" s="993">
        <f t="shared" si="395"/>
        <v>388.56521739130437</v>
      </c>
      <c r="S1219" s="1271">
        <v>2019</v>
      </c>
      <c r="T1219" s="1071" t="s">
        <v>1190</v>
      </c>
    </row>
    <row r="1220" spans="1:20" ht="40.15" customHeight="1">
      <c r="A1220" s="1271">
        <v>167</v>
      </c>
      <c r="B1220" s="1272" t="s">
        <v>2794</v>
      </c>
      <c r="C1220" s="1271">
        <v>1914</v>
      </c>
      <c r="D1220" s="1271"/>
      <c r="E1220" s="1271" t="s">
        <v>218</v>
      </c>
      <c r="F1220" s="1271">
        <v>4</v>
      </c>
      <c r="G1220" s="1271">
        <v>5</v>
      </c>
      <c r="H1220" s="993">
        <v>2953.4</v>
      </c>
      <c r="I1220" s="993">
        <v>2592.5</v>
      </c>
      <c r="J1220" s="993">
        <v>2418.9</v>
      </c>
      <c r="K1220" s="987">
        <v>90</v>
      </c>
      <c r="L1220" s="985">
        <v>1890004</v>
      </c>
      <c r="M1220" s="993">
        <v>0</v>
      </c>
      <c r="N1220" s="993">
        <v>0</v>
      </c>
      <c r="O1220" s="993">
        <f>L1220</f>
        <v>1890004</v>
      </c>
      <c r="P1220" s="993">
        <v>0</v>
      </c>
      <c r="Q1220" s="993">
        <v>0</v>
      </c>
      <c r="R1220" s="993">
        <f t="shared" si="395"/>
        <v>729.02757955641277</v>
      </c>
      <c r="S1220" s="1271">
        <v>2019</v>
      </c>
      <c r="T1220" s="1071" t="s">
        <v>1433</v>
      </c>
    </row>
    <row r="1221" spans="1:20" ht="42" customHeight="1">
      <c r="A1221" s="1271">
        <v>168</v>
      </c>
      <c r="B1221" s="1272" t="s">
        <v>1814</v>
      </c>
      <c r="C1221" s="1271">
        <v>1985</v>
      </c>
      <c r="D1221" s="1271"/>
      <c r="E1221" s="1271" t="s">
        <v>219</v>
      </c>
      <c r="F1221" s="1271">
        <v>9</v>
      </c>
      <c r="G1221" s="1271">
        <v>10</v>
      </c>
      <c r="H1221" s="993">
        <v>21907.599999999999</v>
      </c>
      <c r="I1221" s="993">
        <v>19734.8</v>
      </c>
      <c r="J1221" s="993">
        <v>19157.599999999999</v>
      </c>
      <c r="K1221" s="987">
        <v>827</v>
      </c>
      <c r="L1221" s="993">
        <v>9302719</v>
      </c>
      <c r="M1221" s="993">
        <v>0</v>
      </c>
      <c r="N1221" s="993">
        <v>0</v>
      </c>
      <c r="O1221" s="993">
        <v>9302719</v>
      </c>
      <c r="P1221" s="993">
        <v>0</v>
      </c>
      <c r="Q1221" s="993">
        <v>0</v>
      </c>
      <c r="R1221" s="993">
        <f t="shared" si="395"/>
        <v>471.38653546020231</v>
      </c>
      <c r="S1221" s="1271">
        <v>2019</v>
      </c>
      <c r="T1221" s="1071" t="s">
        <v>1190</v>
      </c>
    </row>
    <row r="1222" spans="1:20" ht="36.6" customHeight="1">
      <c r="A1222" s="1271">
        <v>169</v>
      </c>
      <c r="B1222" s="1272" t="s">
        <v>2259</v>
      </c>
      <c r="C1222" s="1271">
        <v>1966</v>
      </c>
      <c r="D1222" s="1271"/>
      <c r="E1222" s="1271" t="s">
        <v>218</v>
      </c>
      <c r="F1222" s="1271">
        <v>9</v>
      </c>
      <c r="G1222" s="1271">
        <v>1</v>
      </c>
      <c r="H1222" s="993">
        <v>3134.8</v>
      </c>
      <c r="I1222" s="993">
        <v>2851.7</v>
      </c>
      <c r="J1222" s="993">
        <v>1892.1</v>
      </c>
      <c r="K1222" s="987">
        <v>96</v>
      </c>
      <c r="L1222" s="993">
        <v>3793797</v>
      </c>
      <c r="M1222" s="993">
        <v>0</v>
      </c>
      <c r="N1222" s="993">
        <v>0</v>
      </c>
      <c r="O1222" s="993">
        <v>3793797</v>
      </c>
      <c r="P1222" s="993">
        <v>0</v>
      </c>
      <c r="Q1222" s="993">
        <v>0</v>
      </c>
      <c r="R1222" s="993">
        <f t="shared" si="395"/>
        <v>1330.363292071396</v>
      </c>
      <c r="S1222" s="1271">
        <v>2019</v>
      </c>
      <c r="T1222" s="1071" t="s">
        <v>1190</v>
      </c>
    </row>
    <row r="1223" spans="1:20" ht="42.6" customHeight="1">
      <c r="A1223" s="1271">
        <v>170</v>
      </c>
      <c r="B1223" s="1272" t="s">
        <v>1592</v>
      </c>
      <c r="C1223" s="1271">
        <v>1961</v>
      </c>
      <c r="D1223" s="1271"/>
      <c r="E1223" s="1271" t="s">
        <v>218</v>
      </c>
      <c r="F1223" s="1271">
        <v>5</v>
      </c>
      <c r="G1223" s="1271">
        <v>2</v>
      </c>
      <c r="H1223" s="993">
        <v>1734.2</v>
      </c>
      <c r="I1223" s="993">
        <v>1611.9</v>
      </c>
      <c r="J1223" s="993">
        <v>1579.7</v>
      </c>
      <c r="K1223" s="987">
        <v>43</v>
      </c>
      <c r="L1223" s="993">
        <v>1193601</v>
      </c>
      <c r="M1223" s="993">
        <v>0</v>
      </c>
      <c r="N1223" s="993">
        <v>0</v>
      </c>
      <c r="O1223" s="993">
        <v>1193601</v>
      </c>
      <c r="P1223" s="993">
        <v>0</v>
      </c>
      <c r="Q1223" s="993">
        <v>0</v>
      </c>
      <c r="R1223" s="993">
        <f t="shared" si="395"/>
        <v>740.49320677461378</v>
      </c>
      <c r="S1223" s="1271">
        <v>2019</v>
      </c>
      <c r="T1223" s="1071" t="s">
        <v>1190</v>
      </c>
    </row>
    <row r="1224" spans="1:20" ht="42" customHeight="1">
      <c r="A1224" s="1271">
        <v>171</v>
      </c>
      <c r="B1224" s="1272" t="s">
        <v>2260</v>
      </c>
      <c r="C1224" s="1271">
        <v>1859</v>
      </c>
      <c r="D1224" s="1271"/>
      <c r="E1224" s="1271" t="s">
        <v>218</v>
      </c>
      <c r="F1224" s="1271">
        <v>5</v>
      </c>
      <c r="G1224" s="1271">
        <v>2</v>
      </c>
      <c r="H1224" s="993">
        <v>2133.6999999999998</v>
      </c>
      <c r="I1224" s="993">
        <v>1888.7</v>
      </c>
      <c r="J1224" s="993">
        <v>1325.3</v>
      </c>
      <c r="K1224" s="987">
        <v>47</v>
      </c>
      <c r="L1224" s="993">
        <v>14340281</v>
      </c>
      <c r="M1224" s="993">
        <v>0</v>
      </c>
      <c r="N1224" s="993">
        <v>0</v>
      </c>
      <c r="O1224" s="993">
        <v>14340281</v>
      </c>
      <c r="P1224" s="993">
        <v>0</v>
      </c>
      <c r="Q1224" s="993">
        <v>0</v>
      </c>
      <c r="R1224" s="993">
        <f t="shared" si="395"/>
        <v>7592.6727378620217</v>
      </c>
      <c r="S1224" s="1271">
        <v>2019</v>
      </c>
      <c r="T1224" s="1071" t="s">
        <v>1190</v>
      </c>
    </row>
    <row r="1225" spans="1:20" ht="45" customHeight="1">
      <c r="A1225" s="1271">
        <v>172</v>
      </c>
      <c r="B1225" s="1272" t="s">
        <v>2261</v>
      </c>
      <c r="C1225" s="1271">
        <v>1988</v>
      </c>
      <c r="D1225" s="1271"/>
      <c r="E1225" s="1271" t="s">
        <v>219</v>
      </c>
      <c r="F1225" s="1271">
        <v>9</v>
      </c>
      <c r="G1225" s="1271">
        <v>3</v>
      </c>
      <c r="H1225" s="993">
        <v>6516.4</v>
      </c>
      <c r="I1225" s="993">
        <v>5802.1</v>
      </c>
      <c r="J1225" s="993">
        <v>5701</v>
      </c>
      <c r="K1225" s="987">
        <v>252</v>
      </c>
      <c r="L1225" s="993">
        <v>3159503</v>
      </c>
      <c r="M1225" s="993">
        <v>0</v>
      </c>
      <c r="N1225" s="993">
        <v>0</v>
      </c>
      <c r="O1225" s="993">
        <v>3159503</v>
      </c>
      <c r="P1225" s="993">
        <v>0</v>
      </c>
      <c r="Q1225" s="993">
        <v>0</v>
      </c>
      <c r="R1225" s="993">
        <f t="shared" si="395"/>
        <v>544.54473380327806</v>
      </c>
      <c r="S1225" s="1271">
        <v>2019</v>
      </c>
      <c r="T1225" s="1071" t="s">
        <v>1190</v>
      </c>
    </row>
    <row r="1226" spans="1:20" ht="39.6" customHeight="1">
      <c r="A1226" s="1271">
        <v>173</v>
      </c>
      <c r="B1226" s="1272" t="s">
        <v>2262</v>
      </c>
      <c r="C1226" s="1271">
        <v>1953</v>
      </c>
      <c r="D1226" s="1271"/>
      <c r="E1226" s="1271" t="s">
        <v>218</v>
      </c>
      <c r="F1226" s="1271">
        <v>4</v>
      </c>
      <c r="G1226" s="1271">
        <v>5</v>
      </c>
      <c r="H1226" s="993">
        <v>5296</v>
      </c>
      <c r="I1226" s="993">
        <v>4249.7</v>
      </c>
      <c r="J1226" s="993">
        <v>3177.9</v>
      </c>
      <c r="K1226" s="987">
        <v>155</v>
      </c>
      <c r="L1226" s="993">
        <v>12525464</v>
      </c>
      <c r="M1226" s="993">
        <v>0</v>
      </c>
      <c r="N1226" s="993">
        <v>0</v>
      </c>
      <c r="O1226" s="993">
        <v>12525464</v>
      </c>
      <c r="P1226" s="993">
        <v>0</v>
      </c>
      <c r="Q1226" s="993">
        <v>0</v>
      </c>
      <c r="R1226" s="993">
        <f t="shared" si="395"/>
        <v>2947.3760500741232</v>
      </c>
      <c r="S1226" s="1271">
        <v>2019</v>
      </c>
      <c r="T1226" s="1071" t="s">
        <v>1190</v>
      </c>
    </row>
    <row r="1227" spans="1:20" ht="42.6" customHeight="1">
      <c r="A1227" s="1271">
        <v>174</v>
      </c>
      <c r="B1227" s="1272" t="s">
        <v>1741</v>
      </c>
      <c r="C1227" s="1271">
        <v>1979</v>
      </c>
      <c r="D1227" s="1271"/>
      <c r="E1227" s="1271" t="s">
        <v>218</v>
      </c>
      <c r="F1227" s="1271">
        <v>9</v>
      </c>
      <c r="G1227" s="1271">
        <v>1</v>
      </c>
      <c r="H1227" s="993">
        <v>2675.2</v>
      </c>
      <c r="I1227" s="993">
        <v>2382.6</v>
      </c>
      <c r="J1227" s="993">
        <v>2314.3000000000002</v>
      </c>
      <c r="K1227" s="987">
        <v>88</v>
      </c>
      <c r="L1227" s="993">
        <v>1527891</v>
      </c>
      <c r="M1227" s="993">
        <v>0</v>
      </c>
      <c r="N1227" s="993">
        <v>0</v>
      </c>
      <c r="O1227" s="993">
        <v>1527891</v>
      </c>
      <c r="P1227" s="993">
        <v>0</v>
      </c>
      <c r="Q1227" s="993">
        <v>0</v>
      </c>
      <c r="R1227" s="993">
        <f t="shared" si="395"/>
        <v>641.27046084109793</v>
      </c>
      <c r="S1227" s="1271">
        <v>2019</v>
      </c>
      <c r="T1227" s="1071" t="s">
        <v>1190</v>
      </c>
    </row>
    <row r="1228" spans="1:20" ht="40.9" customHeight="1">
      <c r="A1228" s="1271">
        <v>175</v>
      </c>
      <c r="B1228" s="1272" t="s">
        <v>2263</v>
      </c>
      <c r="C1228" s="1271">
        <v>1939</v>
      </c>
      <c r="D1228" s="1271"/>
      <c r="E1228" s="1271" t="s">
        <v>218</v>
      </c>
      <c r="F1228" s="1271">
        <v>5</v>
      </c>
      <c r="G1228" s="1271">
        <v>12</v>
      </c>
      <c r="H1228" s="993">
        <v>9744.2999999999993</v>
      </c>
      <c r="I1228" s="993">
        <v>8657.4</v>
      </c>
      <c r="J1228" s="993">
        <v>8470.7999999999993</v>
      </c>
      <c r="K1228" s="987">
        <v>164</v>
      </c>
      <c r="L1228" s="993">
        <v>5568593</v>
      </c>
      <c r="M1228" s="993">
        <v>0</v>
      </c>
      <c r="N1228" s="993">
        <v>0</v>
      </c>
      <c r="O1228" s="993">
        <v>5568593</v>
      </c>
      <c r="P1228" s="993">
        <v>0</v>
      </c>
      <c r="Q1228" s="993">
        <v>0</v>
      </c>
      <c r="R1228" s="993">
        <f t="shared" si="395"/>
        <v>643.21770970499233</v>
      </c>
      <c r="S1228" s="1271">
        <v>2019</v>
      </c>
      <c r="T1228" s="1071" t="s">
        <v>1190</v>
      </c>
    </row>
    <row r="1229" spans="1:20" ht="42.6" customHeight="1">
      <c r="A1229" s="1271">
        <v>176</v>
      </c>
      <c r="B1229" s="1272" t="s">
        <v>2264</v>
      </c>
      <c r="C1229" s="1271">
        <v>1956</v>
      </c>
      <c r="D1229" s="1271"/>
      <c r="E1229" s="1271" t="s">
        <v>218</v>
      </c>
      <c r="F1229" s="1271">
        <v>2</v>
      </c>
      <c r="G1229" s="1271">
        <v>1</v>
      </c>
      <c r="H1229" s="993">
        <v>569.20000000000005</v>
      </c>
      <c r="I1229" s="993">
        <v>523.9</v>
      </c>
      <c r="J1229" s="993">
        <v>523.9</v>
      </c>
      <c r="K1229" s="987">
        <v>33</v>
      </c>
      <c r="L1229" s="993">
        <v>3073193.41</v>
      </c>
      <c r="M1229" s="993">
        <v>0</v>
      </c>
      <c r="N1229" s="993">
        <v>0</v>
      </c>
      <c r="O1229" s="993">
        <f>L1229</f>
        <v>3073193.41</v>
      </c>
      <c r="P1229" s="993">
        <v>0</v>
      </c>
      <c r="Q1229" s="993">
        <v>0</v>
      </c>
      <c r="R1229" s="993">
        <f t="shared" si="395"/>
        <v>5865.9923840427564</v>
      </c>
      <c r="S1229" s="1271">
        <v>2019</v>
      </c>
      <c r="T1229" s="1071" t="s">
        <v>1190</v>
      </c>
    </row>
    <row r="1230" spans="1:20" ht="42.6" customHeight="1">
      <c r="A1230" s="1271">
        <v>177</v>
      </c>
      <c r="B1230" s="1272" t="s">
        <v>2265</v>
      </c>
      <c r="C1230" s="1271">
        <v>1980</v>
      </c>
      <c r="D1230" s="1271"/>
      <c r="E1230" s="1271" t="s">
        <v>218</v>
      </c>
      <c r="F1230" s="1271">
        <v>9</v>
      </c>
      <c r="G1230" s="1271">
        <v>1</v>
      </c>
      <c r="H1230" s="993">
        <v>2599.8000000000002</v>
      </c>
      <c r="I1230" s="993">
        <v>2307</v>
      </c>
      <c r="J1230" s="993">
        <v>2307</v>
      </c>
      <c r="K1230" s="987">
        <v>109</v>
      </c>
      <c r="L1230" s="993">
        <v>1527891</v>
      </c>
      <c r="M1230" s="993">
        <v>0</v>
      </c>
      <c r="N1230" s="993">
        <v>0</v>
      </c>
      <c r="O1230" s="993">
        <v>1527891</v>
      </c>
      <c r="P1230" s="993">
        <v>0</v>
      </c>
      <c r="Q1230" s="993">
        <v>0</v>
      </c>
      <c r="R1230" s="993">
        <f t="shared" si="395"/>
        <v>662.28478543563074</v>
      </c>
      <c r="S1230" s="1271">
        <v>2019</v>
      </c>
      <c r="T1230" s="1071" t="s">
        <v>1190</v>
      </c>
    </row>
    <row r="1231" spans="1:20" ht="42" customHeight="1">
      <c r="A1231" s="1271">
        <v>178</v>
      </c>
      <c r="B1231" s="1272" t="s">
        <v>2266</v>
      </c>
      <c r="C1231" s="1271">
        <v>1927</v>
      </c>
      <c r="D1231" s="1271"/>
      <c r="E1231" s="1271" t="s">
        <v>221</v>
      </c>
      <c r="F1231" s="1271">
        <v>2</v>
      </c>
      <c r="G1231" s="1271">
        <v>1</v>
      </c>
      <c r="H1231" s="993">
        <v>351.1</v>
      </c>
      <c r="I1231" s="993">
        <v>322.89999999999998</v>
      </c>
      <c r="J1231" s="993">
        <v>322.89999999999998</v>
      </c>
      <c r="K1231" s="987">
        <v>16</v>
      </c>
      <c r="L1231" s="993">
        <v>207695</v>
      </c>
      <c r="M1231" s="993">
        <v>0</v>
      </c>
      <c r="N1231" s="993">
        <v>0</v>
      </c>
      <c r="O1231" s="993">
        <v>207695</v>
      </c>
      <c r="P1231" s="993">
        <v>0</v>
      </c>
      <c r="Q1231" s="993">
        <v>0</v>
      </c>
      <c r="R1231" s="993">
        <f t="shared" si="395"/>
        <v>643.21771446268201</v>
      </c>
      <c r="S1231" s="1271">
        <v>2019</v>
      </c>
      <c r="T1231" s="1071" t="s">
        <v>1190</v>
      </c>
    </row>
    <row r="1232" spans="1:20" ht="40.9" customHeight="1">
      <c r="A1232" s="1271">
        <v>179</v>
      </c>
      <c r="B1232" s="1272" t="s">
        <v>1770</v>
      </c>
      <c r="C1232" s="1271">
        <v>1983</v>
      </c>
      <c r="D1232" s="1271"/>
      <c r="E1232" s="1271" t="s">
        <v>219</v>
      </c>
      <c r="F1232" s="1271">
        <v>9</v>
      </c>
      <c r="G1232" s="1271">
        <v>9</v>
      </c>
      <c r="H1232" s="993">
        <v>20300.099999999999</v>
      </c>
      <c r="I1232" s="993">
        <v>17962.599999999999</v>
      </c>
      <c r="J1232" s="993">
        <v>16952.2</v>
      </c>
      <c r="K1232" s="987">
        <v>752</v>
      </c>
      <c r="L1232" s="993">
        <v>11094163</v>
      </c>
      <c r="M1232" s="993">
        <v>0</v>
      </c>
      <c r="N1232" s="993">
        <v>0</v>
      </c>
      <c r="O1232" s="993">
        <v>11094163</v>
      </c>
      <c r="P1232" s="993">
        <v>0</v>
      </c>
      <c r="Q1232" s="993">
        <v>0</v>
      </c>
      <c r="R1232" s="993">
        <f t="shared" si="395"/>
        <v>617.62567779720086</v>
      </c>
      <c r="S1232" s="1271">
        <v>2019</v>
      </c>
      <c r="T1232" s="1071" t="s">
        <v>1190</v>
      </c>
    </row>
    <row r="1233" spans="1:20" ht="42" customHeight="1">
      <c r="A1233" s="1271"/>
      <c r="B1233" s="1272" t="s">
        <v>1393</v>
      </c>
      <c r="C1233" s="1279"/>
      <c r="D1233" s="1283"/>
      <c r="E1233" s="1271"/>
      <c r="F1233" s="1279"/>
      <c r="G1233" s="1279"/>
      <c r="H1233" s="993">
        <f>SUM(H1234:H1264)</f>
        <v>39547.450000000004</v>
      </c>
      <c r="I1233" s="993">
        <f t="shared" ref="I1233:Q1233" si="396">SUM(I1234:I1264)</f>
        <v>33998.11</v>
      </c>
      <c r="J1233" s="993">
        <f t="shared" si="396"/>
        <v>29438.724999999999</v>
      </c>
      <c r="K1233" s="987">
        <f t="shared" si="396"/>
        <v>1323</v>
      </c>
      <c r="L1233" s="993">
        <f t="shared" si="396"/>
        <v>71343210.579999998</v>
      </c>
      <c r="M1233" s="993">
        <f t="shared" si="396"/>
        <v>0</v>
      </c>
      <c r="N1233" s="993">
        <f t="shared" si="396"/>
        <v>0</v>
      </c>
      <c r="O1233" s="993">
        <f t="shared" si="396"/>
        <v>71343210.579999998</v>
      </c>
      <c r="P1233" s="993">
        <f t="shared" si="396"/>
        <v>0</v>
      </c>
      <c r="Q1233" s="993">
        <f t="shared" si="396"/>
        <v>0</v>
      </c>
      <c r="R1233" s="991" t="s">
        <v>40</v>
      </c>
      <c r="S1233" s="991" t="s">
        <v>40</v>
      </c>
      <c r="T1233" s="991" t="s">
        <v>40</v>
      </c>
    </row>
    <row r="1234" spans="1:20" ht="40.15" customHeight="1">
      <c r="A1234" s="1271">
        <v>180</v>
      </c>
      <c r="B1234" s="1276" t="s">
        <v>1146</v>
      </c>
      <c r="C1234" s="987">
        <v>1956</v>
      </c>
      <c r="D1234" s="1277"/>
      <c r="E1234" s="1271" t="s">
        <v>218</v>
      </c>
      <c r="F1234" s="987">
        <v>2</v>
      </c>
      <c r="G1234" s="987">
        <v>2</v>
      </c>
      <c r="H1234" s="993">
        <v>649.6</v>
      </c>
      <c r="I1234" s="993">
        <v>578.5</v>
      </c>
      <c r="J1234" s="993">
        <v>524.79999999999995</v>
      </c>
      <c r="K1234" s="987">
        <v>23</v>
      </c>
      <c r="L1234" s="993">
        <v>224043.26</v>
      </c>
      <c r="M1234" s="986">
        <v>0</v>
      </c>
      <c r="N1234" s="986">
        <v>0</v>
      </c>
      <c r="O1234" s="985">
        <f>L1234</f>
        <v>224043.26</v>
      </c>
      <c r="P1234" s="986">
        <v>0</v>
      </c>
      <c r="Q1234" s="986">
        <v>0</v>
      </c>
      <c r="R1234" s="1037">
        <f t="shared" ref="R1234:R1264" si="397">L1234/I1234</f>
        <v>387.28307692307692</v>
      </c>
      <c r="S1234" s="1011">
        <v>2018</v>
      </c>
      <c r="T1234" s="1011">
        <v>2022</v>
      </c>
    </row>
    <row r="1235" spans="1:20" ht="43.9" customHeight="1">
      <c r="A1235" s="1271">
        <v>181</v>
      </c>
      <c r="B1235" s="1276" t="s">
        <v>1620</v>
      </c>
      <c r="C1235" s="1023">
        <v>1961</v>
      </c>
      <c r="D1235" s="1023"/>
      <c r="E1235" s="1271" t="s">
        <v>218</v>
      </c>
      <c r="F1235" s="1023">
        <v>2</v>
      </c>
      <c r="G1235" s="1023">
        <v>2</v>
      </c>
      <c r="H1235" s="1024">
        <v>850.8</v>
      </c>
      <c r="I1235" s="1024">
        <v>850.8</v>
      </c>
      <c r="J1235" s="1024">
        <v>614.4</v>
      </c>
      <c r="K1235" s="1011">
        <v>19</v>
      </c>
      <c r="L1235" s="1024">
        <v>1749322.01</v>
      </c>
      <c r="M1235" s="986">
        <v>0</v>
      </c>
      <c r="N1235" s="986">
        <v>0</v>
      </c>
      <c r="O1235" s="985">
        <f t="shared" ref="O1235:O1264" si="398">L1235</f>
        <v>1749322.01</v>
      </c>
      <c r="P1235" s="986">
        <v>0</v>
      </c>
      <c r="Q1235" s="986">
        <v>0</v>
      </c>
      <c r="R1235" s="1037">
        <f t="shared" si="397"/>
        <v>2056.0907498824636</v>
      </c>
      <c r="S1235" s="1011">
        <v>2018</v>
      </c>
      <c r="T1235" s="1011">
        <v>2022</v>
      </c>
    </row>
    <row r="1236" spans="1:20" ht="40.15" customHeight="1">
      <c r="A1236" s="1271">
        <v>182</v>
      </c>
      <c r="B1236" s="1276" t="s">
        <v>1500</v>
      </c>
      <c r="C1236" s="1032">
        <v>1961</v>
      </c>
      <c r="D1236" s="1032"/>
      <c r="E1236" s="1271" t="s">
        <v>218</v>
      </c>
      <c r="F1236" s="1032">
        <v>3</v>
      </c>
      <c r="G1236" s="1032">
        <v>3</v>
      </c>
      <c r="H1236" s="1037">
        <v>2371.6999999999998</v>
      </c>
      <c r="I1236" s="1037">
        <v>1184</v>
      </c>
      <c r="J1236" s="1037">
        <v>219.3</v>
      </c>
      <c r="K1236" s="1068">
        <v>50</v>
      </c>
      <c r="L1236" s="1037">
        <v>5408489.0199999996</v>
      </c>
      <c r="M1236" s="986">
        <v>0</v>
      </c>
      <c r="N1236" s="986">
        <v>0</v>
      </c>
      <c r="O1236" s="985">
        <f t="shared" si="398"/>
        <v>5408489.0199999996</v>
      </c>
      <c r="P1236" s="986">
        <v>0</v>
      </c>
      <c r="Q1236" s="986">
        <v>0</v>
      </c>
      <c r="R1236" s="1037">
        <f t="shared" si="397"/>
        <v>4567.9805912162155</v>
      </c>
      <c r="S1236" s="1011">
        <v>2018</v>
      </c>
      <c r="T1236" s="1011">
        <v>2022</v>
      </c>
    </row>
    <row r="1237" spans="1:20" ht="43.9" customHeight="1">
      <c r="A1237" s="1271">
        <v>183</v>
      </c>
      <c r="B1237" s="1276" t="s">
        <v>1621</v>
      </c>
      <c r="C1237" s="1032">
        <v>1928</v>
      </c>
      <c r="D1237" s="1032"/>
      <c r="E1237" s="1271" t="s">
        <v>218</v>
      </c>
      <c r="F1237" s="1032">
        <v>3</v>
      </c>
      <c r="G1237" s="1032">
        <v>2</v>
      </c>
      <c r="H1237" s="1037">
        <v>1491.5</v>
      </c>
      <c r="I1237" s="1037">
        <v>1274.9000000000001</v>
      </c>
      <c r="J1237" s="1037">
        <v>1274.9000000000001</v>
      </c>
      <c r="K1237" s="1068">
        <v>11</v>
      </c>
      <c r="L1237" s="1037">
        <v>1160547.82</v>
      </c>
      <c r="M1237" s="986">
        <v>0</v>
      </c>
      <c r="N1237" s="986">
        <v>0</v>
      </c>
      <c r="O1237" s="985">
        <f t="shared" si="398"/>
        <v>1160547.82</v>
      </c>
      <c r="P1237" s="986">
        <v>0</v>
      </c>
      <c r="Q1237" s="986">
        <v>0</v>
      </c>
      <c r="R1237" s="1037">
        <f t="shared" si="397"/>
        <v>910.30498078280652</v>
      </c>
      <c r="S1237" s="1011">
        <v>2018</v>
      </c>
      <c r="T1237" s="1011">
        <v>2022</v>
      </c>
    </row>
    <row r="1238" spans="1:20" ht="33.6" customHeight="1">
      <c r="A1238" s="1271">
        <v>184</v>
      </c>
      <c r="B1238" s="1272" t="s">
        <v>1622</v>
      </c>
      <c r="C1238" s="1031">
        <v>1917</v>
      </c>
      <c r="D1238" s="1031"/>
      <c r="E1238" s="1031" t="s">
        <v>824</v>
      </c>
      <c r="F1238" s="1031">
        <v>2</v>
      </c>
      <c r="G1238" s="1031">
        <v>1</v>
      </c>
      <c r="H1238" s="1059">
        <v>118.3</v>
      </c>
      <c r="I1238" s="1059">
        <v>117.6</v>
      </c>
      <c r="J1238" s="1059">
        <v>86.7</v>
      </c>
      <c r="K1238" s="1266">
        <v>4</v>
      </c>
      <c r="L1238" s="1059">
        <v>389230</v>
      </c>
      <c r="M1238" s="986">
        <v>0</v>
      </c>
      <c r="N1238" s="986">
        <v>0</v>
      </c>
      <c r="O1238" s="985">
        <f t="shared" si="398"/>
        <v>389230</v>
      </c>
      <c r="P1238" s="986">
        <v>0</v>
      </c>
      <c r="Q1238" s="986">
        <v>0</v>
      </c>
      <c r="R1238" s="1033">
        <f t="shared" si="397"/>
        <v>3309.778911564626</v>
      </c>
      <c r="S1238" s="1011">
        <v>2018</v>
      </c>
      <c r="T1238" s="1011">
        <v>2022</v>
      </c>
    </row>
    <row r="1239" spans="1:20" ht="42" customHeight="1">
      <c r="A1239" s="1271">
        <v>185</v>
      </c>
      <c r="B1239" s="1272" t="s">
        <v>2929</v>
      </c>
      <c r="C1239" s="1031">
        <v>1960</v>
      </c>
      <c r="D1239" s="1031"/>
      <c r="E1239" s="1271" t="s">
        <v>218</v>
      </c>
      <c r="F1239" s="1031">
        <v>2</v>
      </c>
      <c r="G1239" s="1031">
        <v>3</v>
      </c>
      <c r="H1239" s="1059">
        <v>489.41</v>
      </c>
      <c r="I1239" s="1059">
        <v>489.41</v>
      </c>
      <c r="J1239" s="1059">
        <v>317</v>
      </c>
      <c r="K1239" s="1266">
        <v>19</v>
      </c>
      <c r="L1239" s="1037">
        <v>1865650.45</v>
      </c>
      <c r="M1239" s="986">
        <v>0</v>
      </c>
      <c r="N1239" s="986">
        <v>0</v>
      </c>
      <c r="O1239" s="985">
        <f t="shared" si="398"/>
        <v>1865650.45</v>
      </c>
      <c r="P1239" s="986">
        <v>0</v>
      </c>
      <c r="Q1239" s="986">
        <v>0</v>
      </c>
      <c r="R1239" s="1033">
        <f t="shared" si="397"/>
        <v>3812.0399051919658</v>
      </c>
      <c r="S1239" s="1011">
        <v>2018</v>
      </c>
      <c r="T1239" s="1011">
        <v>2022</v>
      </c>
    </row>
    <row r="1240" spans="1:20" ht="39.6" customHeight="1">
      <c r="A1240" s="1271">
        <v>186</v>
      </c>
      <c r="B1240" s="1272" t="s">
        <v>2930</v>
      </c>
      <c r="C1240" s="1031">
        <v>1955</v>
      </c>
      <c r="D1240" s="1031"/>
      <c r="E1240" s="1271" t="s">
        <v>218</v>
      </c>
      <c r="F1240" s="1031">
        <v>2</v>
      </c>
      <c r="G1240" s="1031">
        <v>2</v>
      </c>
      <c r="H1240" s="1059">
        <v>386.6</v>
      </c>
      <c r="I1240" s="1059">
        <v>364.6</v>
      </c>
      <c r="J1240" s="1059">
        <v>324.3</v>
      </c>
      <c r="K1240" s="1266">
        <v>19</v>
      </c>
      <c r="L1240" s="1059">
        <v>1738322.13</v>
      </c>
      <c r="M1240" s="986">
        <v>0</v>
      </c>
      <c r="N1240" s="986">
        <v>0</v>
      </c>
      <c r="O1240" s="985">
        <f t="shared" si="398"/>
        <v>1738322.13</v>
      </c>
      <c r="P1240" s="986">
        <v>0</v>
      </c>
      <c r="Q1240" s="986">
        <v>0</v>
      </c>
      <c r="R1240" s="1033">
        <f t="shared" si="397"/>
        <v>4767.751316511245</v>
      </c>
      <c r="S1240" s="1011">
        <v>2018</v>
      </c>
      <c r="T1240" s="1011">
        <v>2022</v>
      </c>
    </row>
    <row r="1241" spans="1:20" ht="44.45" customHeight="1">
      <c r="A1241" s="1271">
        <v>187</v>
      </c>
      <c r="B1241" s="1276" t="s">
        <v>1165</v>
      </c>
      <c r="C1241" s="987">
        <v>1959</v>
      </c>
      <c r="D1241" s="1277"/>
      <c r="E1241" s="1271" t="s">
        <v>218</v>
      </c>
      <c r="F1241" s="987">
        <v>2</v>
      </c>
      <c r="G1241" s="987">
        <v>1</v>
      </c>
      <c r="H1241" s="993">
        <v>280</v>
      </c>
      <c r="I1241" s="993">
        <v>263.10000000000002</v>
      </c>
      <c r="J1241" s="993">
        <v>205.14</v>
      </c>
      <c r="K1241" s="987">
        <v>17</v>
      </c>
      <c r="L1241" s="993">
        <v>58288</v>
      </c>
      <c r="M1241" s="986">
        <v>0</v>
      </c>
      <c r="N1241" s="986">
        <v>0</v>
      </c>
      <c r="O1241" s="985">
        <f t="shared" si="398"/>
        <v>58288</v>
      </c>
      <c r="P1241" s="986">
        <v>0</v>
      </c>
      <c r="Q1241" s="986">
        <v>0</v>
      </c>
      <c r="R1241" s="1037">
        <f t="shared" si="397"/>
        <v>221.54313949068793</v>
      </c>
      <c r="S1241" s="1011">
        <v>2019</v>
      </c>
      <c r="T1241" s="1011">
        <v>2020</v>
      </c>
    </row>
    <row r="1242" spans="1:20" ht="42.6" customHeight="1">
      <c r="A1242" s="1271">
        <v>188</v>
      </c>
      <c r="B1242" s="1276" t="s">
        <v>1164</v>
      </c>
      <c r="C1242" s="987">
        <v>1949</v>
      </c>
      <c r="D1242" s="1277"/>
      <c r="E1242" s="1277" t="s">
        <v>824</v>
      </c>
      <c r="F1242" s="987">
        <v>2</v>
      </c>
      <c r="G1242" s="987">
        <v>2</v>
      </c>
      <c r="H1242" s="993">
        <v>408.3</v>
      </c>
      <c r="I1242" s="993">
        <v>408.3</v>
      </c>
      <c r="J1242" s="993">
        <v>408.3</v>
      </c>
      <c r="K1242" s="987">
        <v>20</v>
      </c>
      <c r="L1242" s="993">
        <v>64243</v>
      </c>
      <c r="M1242" s="986">
        <v>0</v>
      </c>
      <c r="N1242" s="986">
        <v>0</v>
      </c>
      <c r="O1242" s="985">
        <f t="shared" si="398"/>
        <v>64243</v>
      </c>
      <c r="P1242" s="986">
        <v>0</v>
      </c>
      <c r="Q1242" s="986">
        <v>0</v>
      </c>
      <c r="R1242" s="1037">
        <f t="shared" si="397"/>
        <v>157.34264021552778</v>
      </c>
      <c r="S1242" s="1011">
        <v>2019</v>
      </c>
      <c r="T1242" s="1011">
        <v>2020</v>
      </c>
    </row>
    <row r="1243" spans="1:20" ht="40.9" customHeight="1">
      <c r="A1243" s="1271">
        <v>189</v>
      </c>
      <c r="B1243" s="1276" t="s">
        <v>1623</v>
      </c>
      <c r="C1243" s="987">
        <v>1975</v>
      </c>
      <c r="D1243" s="1277"/>
      <c r="E1243" s="1271" t="s">
        <v>218</v>
      </c>
      <c r="F1243" s="987">
        <v>1</v>
      </c>
      <c r="G1243" s="987">
        <v>1</v>
      </c>
      <c r="H1243" s="993">
        <v>180</v>
      </c>
      <c r="I1243" s="993">
        <v>178</v>
      </c>
      <c r="J1243" s="993">
        <v>178</v>
      </c>
      <c r="K1243" s="987">
        <v>8</v>
      </c>
      <c r="L1243" s="993">
        <v>1685224.61</v>
      </c>
      <c r="M1243" s="986">
        <v>0</v>
      </c>
      <c r="N1243" s="986">
        <v>0</v>
      </c>
      <c r="O1243" s="985">
        <f t="shared" si="398"/>
        <v>1685224.61</v>
      </c>
      <c r="P1243" s="986">
        <v>0</v>
      </c>
      <c r="Q1243" s="986">
        <v>0</v>
      </c>
      <c r="R1243" s="1037">
        <f t="shared" si="397"/>
        <v>9467.5539887640462</v>
      </c>
      <c r="S1243" s="1011">
        <v>2019</v>
      </c>
      <c r="T1243" s="1011">
        <v>2020</v>
      </c>
    </row>
    <row r="1244" spans="1:20" ht="39" customHeight="1">
      <c r="A1244" s="1271">
        <v>190</v>
      </c>
      <c r="B1244" s="1276" t="s">
        <v>967</v>
      </c>
      <c r="C1244" s="987">
        <v>1960</v>
      </c>
      <c r="D1244" s="1277"/>
      <c r="E1244" s="1271" t="s">
        <v>218</v>
      </c>
      <c r="F1244" s="987">
        <v>3</v>
      </c>
      <c r="G1244" s="987">
        <v>3</v>
      </c>
      <c r="H1244" s="993">
        <v>1641.6</v>
      </c>
      <c r="I1244" s="993">
        <v>1533.4</v>
      </c>
      <c r="J1244" s="993">
        <v>1492.4</v>
      </c>
      <c r="K1244" s="987">
        <v>53</v>
      </c>
      <c r="L1244" s="993">
        <v>4406007.5199999996</v>
      </c>
      <c r="M1244" s="986">
        <v>0</v>
      </c>
      <c r="N1244" s="986">
        <v>0</v>
      </c>
      <c r="O1244" s="985">
        <f t="shared" si="398"/>
        <v>4406007.5199999996</v>
      </c>
      <c r="P1244" s="986">
        <v>0</v>
      </c>
      <c r="Q1244" s="986">
        <v>0</v>
      </c>
      <c r="R1244" s="1037">
        <f t="shared" si="397"/>
        <v>2873.3582365984084</v>
      </c>
      <c r="S1244" s="1011">
        <v>2019</v>
      </c>
      <c r="T1244" s="1011">
        <v>2020</v>
      </c>
    </row>
    <row r="1245" spans="1:20" ht="40.9" customHeight="1">
      <c r="A1245" s="1271">
        <v>191</v>
      </c>
      <c r="B1245" s="1276" t="s">
        <v>1038</v>
      </c>
      <c r="C1245" s="987">
        <v>1970</v>
      </c>
      <c r="D1245" s="1277"/>
      <c r="E1245" s="1277" t="s">
        <v>221</v>
      </c>
      <c r="F1245" s="987">
        <v>2</v>
      </c>
      <c r="G1245" s="987">
        <v>2</v>
      </c>
      <c r="H1245" s="993">
        <v>599.4</v>
      </c>
      <c r="I1245" s="993">
        <v>503.8</v>
      </c>
      <c r="J1245" s="993">
        <v>121.7</v>
      </c>
      <c r="K1245" s="987">
        <v>21</v>
      </c>
      <c r="L1245" s="993">
        <v>2506832.6599999997</v>
      </c>
      <c r="M1245" s="986">
        <v>0</v>
      </c>
      <c r="N1245" s="986">
        <v>0</v>
      </c>
      <c r="O1245" s="985">
        <f t="shared" si="398"/>
        <v>2506832.6599999997</v>
      </c>
      <c r="P1245" s="986">
        <v>0</v>
      </c>
      <c r="Q1245" s="986">
        <v>0</v>
      </c>
      <c r="R1245" s="1037">
        <f t="shared" si="397"/>
        <v>4975.8488685986495</v>
      </c>
      <c r="S1245" s="1011">
        <v>2019</v>
      </c>
      <c r="T1245" s="1011">
        <v>2020</v>
      </c>
    </row>
    <row r="1246" spans="1:20" ht="42.6" customHeight="1">
      <c r="A1246" s="1271">
        <v>192</v>
      </c>
      <c r="B1246" s="1276" t="s">
        <v>964</v>
      </c>
      <c r="C1246" s="987">
        <v>1917</v>
      </c>
      <c r="D1246" s="1277"/>
      <c r="E1246" s="1277" t="s">
        <v>824</v>
      </c>
      <c r="F1246" s="987">
        <v>2</v>
      </c>
      <c r="G1246" s="987">
        <v>1</v>
      </c>
      <c r="H1246" s="993">
        <v>153.19999999999999</v>
      </c>
      <c r="I1246" s="993">
        <v>140.69999999999999</v>
      </c>
      <c r="J1246" s="993">
        <v>117.3</v>
      </c>
      <c r="K1246" s="987">
        <v>7</v>
      </c>
      <c r="L1246" s="993">
        <v>1097838.3500000001</v>
      </c>
      <c r="M1246" s="986">
        <v>0</v>
      </c>
      <c r="N1246" s="986">
        <v>0</v>
      </c>
      <c r="O1246" s="985">
        <f t="shared" si="398"/>
        <v>1097838.3500000001</v>
      </c>
      <c r="P1246" s="986">
        <v>0</v>
      </c>
      <c r="Q1246" s="986">
        <v>0</v>
      </c>
      <c r="R1246" s="1037">
        <f t="shared" si="397"/>
        <v>7802.6890547263692</v>
      </c>
      <c r="S1246" s="1011">
        <v>2019</v>
      </c>
      <c r="T1246" s="1011">
        <v>2020</v>
      </c>
    </row>
    <row r="1247" spans="1:20" ht="40.9" customHeight="1">
      <c r="A1247" s="1271">
        <v>193</v>
      </c>
      <c r="B1247" s="1276" t="s">
        <v>1037</v>
      </c>
      <c r="C1247" s="987">
        <v>1933</v>
      </c>
      <c r="D1247" s="1277"/>
      <c r="E1247" s="1277" t="s">
        <v>824</v>
      </c>
      <c r="F1247" s="987">
        <v>2</v>
      </c>
      <c r="G1247" s="987">
        <v>2</v>
      </c>
      <c r="H1247" s="993">
        <v>451.1</v>
      </c>
      <c r="I1247" s="993">
        <v>425.6</v>
      </c>
      <c r="J1247" s="993">
        <v>299.8</v>
      </c>
      <c r="K1247" s="987">
        <v>21</v>
      </c>
      <c r="L1247" s="993">
        <v>1963653.02</v>
      </c>
      <c r="M1247" s="986">
        <v>0</v>
      </c>
      <c r="N1247" s="986">
        <v>0</v>
      </c>
      <c r="O1247" s="985">
        <f t="shared" si="398"/>
        <v>1963653.02</v>
      </c>
      <c r="P1247" s="986">
        <v>0</v>
      </c>
      <c r="Q1247" s="986">
        <v>0</v>
      </c>
      <c r="R1247" s="1037">
        <f t="shared" si="397"/>
        <v>4613.8463815789473</v>
      </c>
      <c r="S1247" s="1011">
        <v>2019</v>
      </c>
      <c r="T1247" s="1011">
        <v>2020</v>
      </c>
    </row>
    <row r="1248" spans="1:20" ht="40.9" customHeight="1">
      <c r="A1248" s="1271">
        <v>194</v>
      </c>
      <c r="B1248" s="1276" t="s">
        <v>1313</v>
      </c>
      <c r="C1248" s="987">
        <v>1959</v>
      </c>
      <c r="D1248" s="1277"/>
      <c r="E1248" s="1277" t="s">
        <v>823</v>
      </c>
      <c r="F1248" s="987">
        <v>2</v>
      </c>
      <c r="G1248" s="987">
        <v>2</v>
      </c>
      <c r="H1248" s="993">
        <v>671.6</v>
      </c>
      <c r="I1248" s="993">
        <v>671.1</v>
      </c>
      <c r="J1248" s="993">
        <v>659.2</v>
      </c>
      <c r="K1248" s="987">
        <v>21</v>
      </c>
      <c r="L1248" s="993">
        <v>2012146.0099999998</v>
      </c>
      <c r="M1248" s="986">
        <v>0</v>
      </c>
      <c r="N1248" s="986">
        <v>0</v>
      </c>
      <c r="O1248" s="985">
        <f t="shared" si="398"/>
        <v>2012146.0099999998</v>
      </c>
      <c r="P1248" s="986">
        <v>0</v>
      </c>
      <c r="Q1248" s="986">
        <v>0</v>
      </c>
      <c r="R1248" s="1037">
        <f t="shared" si="397"/>
        <v>2998.2804500074499</v>
      </c>
      <c r="S1248" s="1011">
        <v>2019</v>
      </c>
      <c r="T1248" s="1011">
        <v>2020</v>
      </c>
    </row>
    <row r="1249" spans="1:20" ht="37.15" customHeight="1">
      <c r="A1249" s="1271">
        <v>195</v>
      </c>
      <c r="B1249" s="1276" t="s">
        <v>969</v>
      </c>
      <c r="C1249" s="987">
        <v>1958</v>
      </c>
      <c r="D1249" s="1277"/>
      <c r="E1249" s="1277" t="s">
        <v>824</v>
      </c>
      <c r="F1249" s="987">
        <v>2</v>
      </c>
      <c r="G1249" s="987">
        <v>1</v>
      </c>
      <c r="H1249" s="993">
        <v>414.3</v>
      </c>
      <c r="I1249" s="993">
        <v>296.8</v>
      </c>
      <c r="J1249" s="993">
        <v>206.2</v>
      </c>
      <c r="K1249" s="987">
        <v>12</v>
      </c>
      <c r="L1249" s="993">
        <v>1673843.24</v>
      </c>
      <c r="M1249" s="986">
        <v>0</v>
      </c>
      <c r="N1249" s="986">
        <v>0</v>
      </c>
      <c r="O1249" s="985">
        <f t="shared" si="398"/>
        <v>1673843.24</v>
      </c>
      <c r="P1249" s="986">
        <v>0</v>
      </c>
      <c r="Q1249" s="986">
        <v>0</v>
      </c>
      <c r="R1249" s="1037">
        <f t="shared" si="397"/>
        <v>5639.6335579514825</v>
      </c>
      <c r="S1249" s="1011">
        <v>2019</v>
      </c>
      <c r="T1249" s="1011">
        <v>2020</v>
      </c>
    </row>
    <row r="1250" spans="1:20" ht="41.45" customHeight="1">
      <c r="A1250" s="1271">
        <v>196</v>
      </c>
      <c r="B1250" s="1276" t="s">
        <v>1160</v>
      </c>
      <c r="C1250" s="987">
        <v>1964</v>
      </c>
      <c r="D1250" s="1277"/>
      <c r="E1250" s="1271" t="s">
        <v>218</v>
      </c>
      <c r="F1250" s="987">
        <v>4</v>
      </c>
      <c r="G1250" s="987">
        <v>2</v>
      </c>
      <c r="H1250" s="993">
        <v>1273.7</v>
      </c>
      <c r="I1250" s="993">
        <v>1233.2</v>
      </c>
      <c r="J1250" s="993">
        <v>999.27499999999998</v>
      </c>
      <c r="K1250" s="987">
        <v>41</v>
      </c>
      <c r="L1250" s="993">
        <v>2813592.38</v>
      </c>
      <c r="M1250" s="986">
        <v>0</v>
      </c>
      <c r="N1250" s="986">
        <v>0</v>
      </c>
      <c r="O1250" s="985">
        <f t="shared" si="398"/>
        <v>2813592.38</v>
      </c>
      <c r="P1250" s="986">
        <v>0</v>
      </c>
      <c r="Q1250" s="986">
        <v>0</v>
      </c>
      <c r="R1250" s="1037">
        <f t="shared" si="397"/>
        <v>2281.5377716509893</v>
      </c>
      <c r="S1250" s="1011">
        <v>2019</v>
      </c>
      <c r="T1250" s="1011">
        <v>2020</v>
      </c>
    </row>
    <row r="1251" spans="1:20" ht="39" customHeight="1">
      <c r="A1251" s="1271">
        <v>197</v>
      </c>
      <c r="B1251" s="1276" t="s">
        <v>1624</v>
      </c>
      <c r="C1251" s="987">
        <v>1952</v>
      </c>
      <c r="D1251" s="1277"/>
      <c r="E1251" s="1271" t="s">
        <v>218</v>
      </c>
      <c r="F1251" s="987">
        <v>3</v>
      </c>
      <c r="G1251" s="987">
        <v>3</v>
      </c>
      <c r="H1251" s="993">
        <v>1677.34</v>
      </c>
      <c r="I1251" s="993">
        <v>1287.19</v>
      </c>
      <c r="J1251" s="993">
        <v>1287.19</v>
      </c>
      <c r="K1251" s="987">
        <v>56</v>
      </c>
      <c r="L1251" s="993">
        <v>4234137.3499999996</v>
      </c>
      <c r="M1251" s="986">
        <v>0</v>
      </c>
      <c r="N1251" s="986">
        <v>0</v>
      </c>
      <c r="O1251" s="985">
        <f t="shared" si="398"/>
        <v>4234137.3499999996</v>
      </c>
      <c r="P1251" s="986">
        <v>0</v>
      </c>
      <c r="Q1251" s="986">
        <v>0</v>
      </c>
      <c r="R1251" s="1037">
        <f t="shared" si="397"/>
        <v>3289.442390012352</v>
      </c>
      <c r="S1251" s="1011">
        <v>2019</v>
      </c>
      <c r="T1251" s="1011">
        <v>2020</v>
      </c>
    </row>
    <row r="1252" spans="1:20" ht="40.15" customHeight="1">
      <c r="A1252" s="1271">
        <v>198</v>
      </c>
      <c r="B1252" s="1276" t="s">
        <v>1625</v>
      </c>
      <c r="C1252" s="987">
        <v>1960</v>
      </c>
      <c r="D1252" s="1277"/>
      <c r="E1252" s="1271" t="s">
        <v>218</v>
      </c>
      <c r="F1252" s="987">
        <v>2</v>
      </c>
      <c r="G1252" s="987">
        <v>2</v>
      </c>
      <c r="H1252" s="993">
        <v>620.70000000000005</v>
      </c>
      <c r="I1252" s="993">
        <v>620.70000000000005</v>
      </c>
      <c r="J1252" s="993">
        <v>591.5</v>
      </c>
      <c r="K1252" s="987">
        <v>23</v>
      </c>
      <c r="L1252" s="993">
        <v>2301529.5</v>
      </c>
      <c r="M1252" s="986">
        <v>0</v>
      </c>
      <c r="N1252" s="986">
        <v>0</v>
      </c>
      <c r="O1252" s="985">
        <f t="shared" si="398"/>
        <v>2301529.5</v>
      </c>
      <c r="P1252" s="986">
        <v>0</v>
      </c>
      <c r="Q1252" s="986">
        <v>0</v>
      </c>
      <c r="R1252" s="1037">
        <f t="shared" si="397"/>
        <v>3707.9579507008216</v>
      </c>
      <c r="S1252" s="1011">
        <v>2019</v>
      </c>
      <c r="T1252" s="1011">
        <v>2020</v>
      </c>
    </row>
    <row r="1253" spans="1:20" ht="42" customHeight="1">
      <c r="A1253" s="1271">
        <v>199</v>
      </c>
      <c r="B1253" s="1276" t="s">
        <v>1314</v>
      </c>
      <c r="C1253" s="987">
        <v>1937</v>
      </c>
      <c r="D1253" s="1277"/>
      <c r="E1253" s="1277" t="s">
        <v>221</v>
      </c>
      <c r="F1253" s="987">
        <v>2</v>
      </c>
      <c r="G1253" s="987">
        <v>2</v>
      </c>
      <c r="H1253" s="993">
        <v>614.5</v>
      </c>
      <c r="I1253" s="993">
        <v>499.1</v>
      </c>
      <c r="J1253" s="993">
        <v>434.7</v>
      </c>
      <c r="K1253" s="987">
        <v>25</v>
      </c>
      <c r="L1253" s="993">
        <v>2929066.9</v>
      </c>
      <c r="M1253" s="986">
        <v>0</v>
      </c>
      <c r="N1253" s="986">
        <v>0</v>
      </c>
      <c r="O1253" s="985">
        <f t="shared" si="398"/>
        <v>2929066.9</v>
      </c>
      <c r="P1253" s="986">
        <v>0</v>
      </c>
      <c r="Q1253" s="986">
        <v>0</v>
      </c>
      <c r="R1253" s="1037">
        <f t="shared" si="397"/>
        <v>5868.697455419755</v>
      </c>
      <c r="S1253" s="1011">
        <v>2019</v>
      </c>
      <c r="T1253" s="1011">
        <v>2020</v>
      </c>
    </row>
    <row r="1254" spans="1:20" ht="42" customHeight="1">
      <c r="A1254" s="1271">
        <v>200</v>
      </c>
      <c r="B1254" s="1272" t="s">
        <v>1035</v>
      </c>
      <c r="C1254" s="987">
        <v>1984</v>
      </c>
      <c r="D1254" s="1277"/>
      <c r="E1254" s="1277" t="s">
        <v>219</v>
      </c>
      <c r="F1254" s="987">
        <v>5</v>
      </c>
      <c r="G1254" s="987">
        <v>6</v>
      </c>
      <c r="H1254" s="993">
        <v>4808.8</v>
      </c>
      <c r="I1254" s="993">
        <v>4808.8</v>
      </c>
      <c r="J1254" s="993">
        <v>4300.8</v>
      </c>
      <c r="K1254" s="987">
        <v>198</v>
      </c>
      <c r="L1254" s="993">
        <v>5137383</v>
      </c>
      <c r="M1254" s="986">
        <v>0</v>
      </c>
      <c r="N1254" s="986">
        <v>0</v>
      </c>
      <c r="O1254" s="985">
        <f t="shared" si="398"/>
        <v>5137383</v>
      </c>
      <c r="P1254" s="986">
        <v>0</v>
      </c>
      <c r="Q1254" s="986">
        <v>0</v>
      </c>
      <c r="R1254" s="1033">
        <f t="shared" si="397"/>
        <v>1068.3295208783895</v>
      </c>
      <c r="S1254" s="1011">
        <v>2019</v>
      </c>
      <c r="T1254" s="1011">
        <v>2020</v>
      </c>
    </row>
    <row r="1255" spans="1:20" ht="39.6" customHeight="1">
      <c r="A1255" s="1271">
        <v>201</v>
      </c>
      <c r="B1255" s="1272" t="s">
        <v>1626</v>
      </c>
      <c r="C1255" s="987">
        <v>1972</v>
      </c>
      <c r="D1255" s="1277"/>
      <c r="E1255" s="1271" t="s">
        <v>218</v>
      </c>
      <c r="F1255" s="987">
        <v>5</v>
      </c>
      <c r="G1255" s="987">
        <v>4</v>
      </c>
      <c r="H1255" s="993">
        <v>3992.9</v>
      </c>
      <c r="I1255" s="993">
        <v>2555.4</v>
      </c>
      <c r="J1255" s="993">
        <v>2298</v>
      </c>
      <c r="K1255" s="987">
        <v>101</v>
      </c>
      <c r="L1255" s="993">
        <v>2401149</v>
      </c>
      <c r="M1255" s="986">
        <v>0</v>
      </c>
      <c r="N1255" s="986">
        <v>0</v>
      </c>
      <c r="O1255" s="985">
        <f t="shared" si="398"/>
        <v>2401149</v>
      </c>
      <c r="P1255" s="986">
        <v>0</v>
      </c>
      <c r="Q1255" s="986">
        <v>0</v>
      </c>
      <c r="R1255" s="1033">
        <f t="shared" si="397"/>
        <v>939.63723878844792</v>
      </c>
      <c r="S1255" s="1011">
        <v>2019</v>
      </c>
      <c r="T1255" s="1011">
        <v>2020</v>
      </c>
    </row>
    <row r="1256" spans="1:20" ht="40.15" customHeight="1">
      <c r="A1256" s="1271">
        <v>202</v>
      </c>
      <c r="B1256" s="1272" t="s">
        <v>1627</v>
      </c>
      <c r="C1256" s="987">
        <v>1961</v>
      </c>
      <c r="D1256" s="1277"/>
      <c r="E1256" s="1271" t="s">
        <v>218</v>
      </c>
      <c r="F1256" s="987">
        <v>3</v>
      </c>
      <c r="G1256" s="987">
        <v>2</v>
      </c>
      <c r="H1256" s="993">
        <v>990.1</v>
      </c>
      <c r="I1256" s="993">
        <v>965.5</v>
      </c>
      <c r="J1256" s="993">
        <v>647.29999999999995</v>
      </c>
      <c r="K1256" s="987">
        <v>36</v>
      </c>
      <c r="L1256" s="993">
        <v>1776821</v>
      </c>
      <c r="M1256" s="986">
        <v>0</v>
      </c>
      <c r="N1256" s="986">
        <v>0</v>
      </c>
      <c r="O1256" s="985">
        <f t="shared" si="398"/>
        <v>1776821</v>
      </c>
      <c r="P1256" s="986">
        <v>0</v>
      </c>
      <c r="Q1256" s="986">
        <v>0</v>
      </c>
      <c r="R1256" s="1033">
        <f t="shared" si="397"/>
        <v>1840.3117555670638</v>
      </c>
      <c r="S1256" s="1011">
        <v>2019</v>
      </c>
      <c r="T1256" s="1011">
        <v>2020</v>
      </c>
    </row>
    <row r="1257" spans="1:20" ht="40.15" customHeight="1">
      <c r="A1257" s="1271">
        <v>203</v>
      </c>
      <c r="B1257" s="1272" t="s">
        <v>1756</v>
      </c>
      <c r="C1257" s="987">
        <v>1960</v>
      </c>
      <c r="D1257" s="1277"/>
      <c r="E1257" s="1271" t="s">
        <v>218</v>
      </c>
      <c r="F1257" s="987">
        <v>2</v>
      </c>
      <c r="G1257" s="987">
        <v>2</v>
      </c>
      <c r="H1257" s="993">
        <v>902.4</v>
      </c>
      <c r="I1257" s="993">
        <v>866.8</v>
      </c>
      <c r="J1257" s="993">
        <v>662.3</v>
      </c>
      <c r="K1257" s="987">
        <v>32</v>
      </c>
      <c r="L1257" s="993">
        <v>3015490</v>
      </c>
      <c r="M1257" s="986">
        <v>0</v>
      </c>
      <c r="N1257" s="986">
        <v>0</v>
      </c>
      <c r="O1257" s="985">
        <f t="shared" si="398"/>
        <v>3015490</v>
      </c>
      <c r="P1257" s="986">
        <v>0</v>
      </c>
      <c r="Q1257" s="986">
        <v>0</v>
      </c>
      <c r="R1257" s="1033">
        <f t="shared" si="397"/>
        <v>3478.8763267189665</v>
      </c>
      <c r="S1257" s="1011">
        <v>2019</v>
      </c>
      <c r="T1257" s="1011">
        <v>2020</v>
      </c>
    </row>
    <row r="1258" spans="1:20" ht="46.15" customHeight="1">
      <c r="A1258" s="1271">
        <v>204</v>
      </c>
      <c r="B1258" s="1272" t="s">
        <v>1036</v>
      </c>
      <c r="C1258" s="987">
        <v>1917</v>
      </c>
      <c r="D1258" s="1277"/>
      <c r="E1258" s="1271" t="s">
        <v>218</v>
      </c>
      <c r="F1258" s="987">
        <v>3</v>
      </c>
      <c r="G1258" s="987">
        <v>2</v>
      </c>
      <c r="H1258" s="993">
        <v>827.3</v>
      </c>
      <c r="I1258" s="993">
        <v>757.3</v>
      </c>
      <c r="J1258" s="993">
        <v>663.6</v>
      </c>
      <c r="K1258" s="987">
        <v>25</v>
      </c>
      <c r="L1258" s="993">
        <v>2452124</v>
      </c>
      <c r="M1258" s="986">
        <v>0</v>
      </c>
      <c r="N1258" s="986">
        <v>0</v>
      </c>
      <c r="O1258" s="985">
        <f t="shared" si="398"/>
        <v>2452124</v>
      </c>
      <c r="P1258" s="986">
        <v>0</v>
      </c>
      <c r="Q1258" s="986">
        <v>0</v>
      </c>
      <c r="R1258" s="1033">
        <f t="shared" si="397"/>
        <v>3237.9823055592237</v>
      </c>
      <c r="S1258" s="1011">
        <v>2019</v>
      </c>
      <c r="T1258" s="1011">
        <v>2020</v>
      </c>
    </row>
    <row r="1259" spans="1:20" ht="42.6" customHeight="1">
      <c r="A1259" s="1271">
        <v>205</v>
      </c>
      <c r="B1259" s="1272" t="s">
        <v>2267</v>
      </c>
      <c r="C1259" s="987">
        <v>1972</v>
      </c>
      <c r="D1259" s="1277"/>
      <c r="E1259" s="1271" t="s">
        <v>218</v>
      </c>
      <c r="F1259" s="987">
        <v>5</v>
      </c>
      <c r="G1259" s="987">
        <v>3</v>
      </c>
      <c r="H1259" s="993">
        <v>2528.8000000000002</v>
      </c>
      <c r="I1259" s="993">
        <v>2020.1</v>
      </c>
      <c r="J1259" s="993">
        <v>1665.61</v>
      </c>
      <c r="K1259" s="987">
        <v>76</v>
      </c>
      <c r="L1259" s="993">
        <v>4248573</v>
      </c>
      <c r="M1259" s="986">
        <v>0</v>
      </c>
      <c r="N1259" s="986">
        <v>0</v>
      </c>
      <c r="O1259" s="985">
        <f t="shared" si="398"/>
        <v>4248573</v>
      </c>
      <c r="P1259" s="986">
        <v>0</v>
      </c>
      <c r="Q1259" s="986">
        <v>0</v>
      </c>
      <c r="R1259" s="1033">
        <f t="shared" si="397"/>
        <v>2103.1498440671253</v>
      </c>
      <c r="S1259" s="1011">
        <v>2019</v>
      </c>
      <c r="T1259" s="1011">
        <v>2020</v>
      </c>
    </row>
    <row r="1260" spans="1:20" ht="40.9" customHeight="1">
      <c r="A1260" s="1271">
        <v>206</v>
      </c>
      <c r="B1260" s="1272" t="s">
        <v>1394</v>
      </c>
      <c r="C1260" s="987">
        <v>1983</v>
      </c>
      <c r="D1260" s="1277"/>
      <c r="E1260" s="1271" t="s">
        <v>218</v>
      </c>
      <c r="F1260" s="987">
        <v>5</v>
      </c>
      <c r="G1260" s="987">
        <v>6</v>
      </c>
      <c r="H1260" s="993">
        <v>4014</v>
      </c>
      <c r="I1260" s="993">
        <v>4014</v>
      </c>
      <c r="J1260" s="993">
        <v>4014</v>
      </c>
      <c r="K1260" s="987">
        <v>168</v>
      </c>
      <c r="L1260" s="993">
        <v>3545886</v>
      </c>
      <c r="M1260" s="986">
        <v>0</v>
      </c>
      <c r="N1260" s="986">
        <v>0</v>
      </c>
      <c r="O1260" s="985">
        <f t="shared" si="398"/>
        <v>3545886</v>
      </c>
      <c r="P1260" s="986">
        <v>0</v>
      </c>
      <c r="Q1260" s="986">
        <v>0</v>
      </c>
      <c r="R1260" s="1033">
        <f t="shared" si="397"/>
        <v>883.3796711509716</v>
      </c>
      <c r="S1260" s="1011">
        <v>2019</v>
      </c>
      <c r="T1260" s="1011">
        <v>2020</v>
      </c>
    </row>
    <row r="1261" spans="1:20" ht="40.9" customHeight="1">
      <c r="A1261" s="1271">
        <v>207</v>
      </c>
      <c r="B1261" s="1272" t="s">
        <v>2931</v>
      </c>
      <c r="C1261" s="987">
        <v>1970</v>
      </c>
      <c r="D1261" s="1277"/>
      <c r="E1261" s="1271" t="s">
        <v>218</v>
      </c>
      <c r="F1261" s="987">
        <v>5</v>
      </c>
      <c r="G1261" s="987">
        <v>4</v>
      </c>
      <c r="H1261" s="993">
        <v>3642.1</v>
      </c>
      <c r="I1261" s="993">
        <v>3274.61</v>
      </c>
      <c r="J1261" s="993">
        <v>3121.61</v>
      </c>
      <c r="K1261" s="987">
        <v>158</v>
      </c>
      <c r="L1261" s="993">
        <v>2579122</v>
      </c>
      <c r="M1261" s="986">
        <v>0</v>
      </c>
      <c r="N1261" s="986">
        <v>0</v>
      </c>
      <c r="O1261" s="985">
        <f t="shared" si="398"/>
        <v>2579122</v>
      </c>
      <c r="P1261" s="986">
        <v>0</v>
      </c>
      <c r="Q1261" s="986">
        <v>0</v>
      </c>
      <c r="R1261" s="1033">
        <f t="shared" si="397"/>
        <v>787.61195989751445</v>
      </c>
      <c r="S1261" s="1011">
        <v>2019</v>
      </c>
      <c r="T1261" s="1011">
        <v>2020</v>
      </c>
    </row>
    <row r="1262" spans="1:20" ht="42" customHeight="1">
      <c r="A1262" s="1271">
        <v>208</v>
      </c>
      <c r="B1262" s="1272" t="s">
        <v>2932</v>
      </c>
      <c r="C1262" s="987">
        <v>1967</v>
      </c>
      <c r="D1262" s="1277"/>
      <c r="E1262" s="1271" t="s">
        <v>218</v>
      </c>
      <c r="F1262" s="987">
        <v>2</v>
      </c>
      <c r="G1262" s="987">
        <v>2</v>
      </c>
      <c r="H1262" s="993">
        <v>523.9</v>
      </c>
      <c r="I1262" s="993">
        <v>470.7</v>
      </c>
      <c r="J1262" s="993">
        <v>433.4</v>
      </c>
      <c r="K1262" s="987">
        <v>13</v>
      </c>
      <c r="L1262" s="993">
        <v>1468917.79</v>
      </c>
      <c r="M1262" s="986">
        <v>0</v>
      </c>
      <c r="N1262" s="986">
        <v>0</v>
      </c>
      <c r="O1262" s="985">
        <f t="shared" si="398"/>
        <v>1468917.79</v>
      </c>
      <c r="P1262" s="986">
        <v>0</v>
      </c>
      <c r="Q1262" s="986">
        <v>0</v>
      </c>
      <c r="R1262" s="1033">
        <f t="shared" si="397"/>
        <v>3120.709135330359</v>
      </c>
      <c r="S1262" s="1011">
        <v>2019</v>
      </c>
      <c r="T1262" s="1011">
        <v>2020</v>
      </c>
    </row>
    <row r="1263" spans="1:20" ht="40.9" customHeight="1">
      <c r="A1263" s="1271">
        <v>209</v>
      </c>
      <c r="B1263" s="1272" t="s">
        <v>2933</v>
      </c>
      <c r="C1263" s="987">
        <v>1967</v>
      </c>
      <c r="D1263" s="1277"/>
      <c r="E1263" s="1271" t="s">
        <v>218</v>
      </c>
      <c r="F1263" s="987">
        <v>2</v>
      </c>
      <c r="G1263" s="987">
        <v>2</v>
      </c>
      <c r="H1263" s="993">
        <v>501.4</v>
      </c>
      <c r="I1263" s="993">
        <v>471.2</v>
      </c>
      <c r="J1263" s="993">
        <v>397.1</v>
      </c>
      <c r="K1263" s="987">
        <v>21</v>
      </c>
      <c r="L1263" s="993">
        <v>1468917.79</v>
      </c>
      <c r="M1263" s="986">
        <v>0</v>
      </c>
      <c r="N1263" s="986">
        <v>0</v>
      </c>
      <c r="O1263" s="985">
        <f t="shared" si="398"/>
        <v>1468917.79</v>
      </c>
      <c r="P1263" s="986">
        <v>0</v>
      </c>
      <c r="Q1263" s="986">
        <v>0</v>
      </c>
      <c r="R1263" s="1033">
        <f t="shared" si="397"/>
        <v>3117.397686757216</v>
      </c>
      <c r="S1263" s="1011">
        <v>2019</v>
      </c>
      <c r="T1263" s="1011">
        <v>2020</v>
      </c>
    </row>
    <row r="1264" spans="1:20" ht="40.9" customHeight="1">
      <c r="A1264" s="1271">
        <v>210</v>
      </c>
      <c r="B1264" s="1272" t="s">
        <v>2934</v>
      </c>
      <c r="C1264" s="987">
        <v>1984</v>
      </c>
      <c r="D1264" s="1277"/>
      <c r="E1264" s="1271" t="s">
        <v>218</v>
      </c>
      <c r="F1264" s="987">
        <v>2</v>
      </c>
      <c r="G1264" s="987">
        <v>2</v>
      </c>
      <c r="H1264" s="993">
        <v>1472.1</v>
      </c>
      <c r="I1264" s="993">
        <v>872.9</v>
      </c>
      <c r="J1264" s="993">
        <v>872.9</v>
      </c>
      <c r="K1264" s="987">
        <v>25</v>
      </c>
      <c r="L1264" s="993">
        <v>2966819.77</v>
      </c>
      <c r="M1264" s="986">
        <v>0</v>
      </c>
      <c r="N1264" s="986">
        <v>0</v>
      </c>
      <c r="O1264" s="985">
        <f t="shared" si="398"/>
        <v>2966819.77</v>
      </c>
      <c r="P1264" s="986">
        <v>0</v>
      </c>
      <c r="Q1264" s="986">
        <v>0</v>
      </c>
      <c r="R1264" s="1033">
        <f t="shared" si="397"/>
        <v>3398.8083056478408</v>
      </c>
      <c r="S1264" s="1011">
        <v>2019</v>
      </c>
      <c r="T1264" s="1011">
        <v>2020</v>
      </c>
    </row>
    <row r="1265" spans="1:20" ht="40.15" customHeight="1">
      <c r="A1265" s="1271"/>
      <c r="B1265" s="1272" t="s">
        <v>2703</v>
      </c>
      <c r="C1265" s="1279"/>
      <c r="D1265" s="1283"/>
      <c r="E1265" s="1271"/>
      <c r="F1265" s="1279"/>
      <c r="G1265" s="1279"/>
      <c r="H1265" s="993">
        <f>SUM(H1266:H1336)</f>
        <v>156118.00000000003</v>
      </c>
      <c r="I1265" s="993">
        <f t="shared" ref="I1265:P1265" si="399">SUM(I1266:I1336)</f>
        <v>139080.00000000003</v>
      </c>
      <c r="J1265" s="993">
        <f t="shared" si="399"/>
        <v>102580.29000000001</v>
      </c>
      <c r="K1265" s="987">
        <f t="shared" si="399"/>
        <v>4707</v>
      </c>
      <c r="L1265" s="993">
        <f t="shared" si="399"/>
        <v>263192866.71000001</v>
      </c>
      <c r="M1265" s="993">
        <f t="shared" si="399"/>
        <v>0</v>
      </c>
      <c r="N1265" s="993">
        <f t="shared" si="399"/>
        <v>0</v>
      </c>
      <c r="O1265" s="993">
        <f t="shared" si="399"/>
        <v>263192866.71000001</v>
      </c>
      <c r="P1265" s="993">
        <f t="shared" si="399"/>
        <v>0</v>
      </c>
      <c r="Q1265" s="1222">
        <f>SUM(Q1266:Q1336)</f>
        <v>0</v>
      </c>
      <c r="R1265" s="991" t="s">
        <v>40</v>
      </c>
      <c r="S1265" s="991" t="s">
        <v>40</v>
      </c>
      <c r="T1265" s="991" t="s">
        <v>40</v>
      </c>
    </row>
    <row r="1266" spans="1:20" ht="40.15" customHeight="1">
      <c r="A1266" s="1271">
        <v>211</v>
      </c>
      <c r="B1266" s="997" t="s">
        <v>2717</v>
      </c>
      <c r="C1266" s="1271">
        <v>1949</v>
      </c>
      <c r="D1266" s="1271"/>
      <c r="E1266" s="1277" t="s">
        <v>218</v>
      </c>
      <c r="F1266" s="1271">
        <v>3</v>
      </c>
      <c r="G1266" s="1271">
        <v>3</v>
      </c>
      <c r="H1266" s="1002">
        <v>2081.1</v>
      </c>
      <c r="I1266" s="1002">
        <v>1851.9</v>
      </c>
      <c r="J1266" s="1002">
        <v>972.4</v>
      </c>
      <c r="K1266" s="987">
        <v>21</v>
      </c>
      <c r="L1266" s="993">
        <v>3525282.72</v>
      </c>
      <c r="M1266" s="993">
        <v>0</v>
      </c>
      <c r="N1266" s="993">
        <v>0</v>
      </c>
      <c r="O1266" s="993">
        <f>L1266</f>
        <v>3525282.72</v>
      </c>
      <c r="P1266" s="1078">
        <v>0</v>
      </c>
      <c r="Q1266" s="1002">
        <v>0</v>
      </c>
      <c r="R1266" s="1037">
        <f t="shared" ref="R1266:R1267" si="400">L1266/I1266</f>
        <v>1903.6031751174469</v>
      </c>
      <c r="S1266" s="1011">
        <v>2016</v>
      </c>
      <c r="T1266" s="1011">
        <v>2022</v>
      </c>
    </row>
    <row r="1267" spans="1:20" ht="39.6" customHeight="1">
      <c r="A1267" s="1271">
        <v>212</v>
      </c>
      <c r="B1267" s="1274" t="s">
        <v>2718</v>
      </c>
      <c r="C1267" s="1271">
        <v>1956</v>
      </c>
      <c r="D1267" s="1271"/>
      <c r="E1267" s="1277" t="s">
        <v>218</v>
      </c>
      <c r="F1267" s="1271">
        <v>2</v>
      </c>
      <c r="G1267" s="1271">
        <v>2</v>
      </c>
      <c r="H1267" s="1002">
        <v>1147.5</v>
      </c>
      <c r="I1267" s="1002">
        <v>1088.5999999999999</v>
      </c>
      <c r="J1267" s="1002">
        <v>378.2</v>
      </c>
      <c r="K1267" s="987">
        <v>28</v>
      </c>
      <c r="L1267" s="993">
        <v>4196830.01</v>
      </c>
      <c r="M1267" s="993">
        <v>0</v>
      </c>
      <c r="N1267" s="993">
        <v>0</v>
      </c>
      <c r="O1267" s="993">
        <f t="shared" ref="O1267:O1330" si="401">L1267</f>
        <v>4196830.01</v>
      </c>
      <c r="P1267" s="1078">
        <v>0</v>
      </c>
      <c r="Q1267" s="1002">
        <v>0</v>
      </c>
      <c r="R1267" s="1037">
        <f t="shared" si="400"/>
        <v>3855.254464449752</v>
      </c>
      <c r="S1267" s="1011">
        <v>2016</v>
      </c>
      <c r="T1267" s="1011">
        <v>2022</v>
      </c>
    </row>
    <row r="1268" spans="1:20" ht="42" customHeight="1">
      <c r="A1268" s="1271">
        <v>213</v>
      </c>
      <c r="B1268" s="1274" t="s">
        <v>2719</v>
      </c>
      <c r="C1268" s="1271">
        <v>1963</v>
      </c>
      <c r="D1268" s="1271"/>
      <c r="E1268" s="1277" t="s">
        <v>218</v>
      </c>
      <c r="F1268" s="1271">
        <v>4</v>
      </c>
      <c r="G1268" s="1271">
        <v>3</v>
      </c>
      <c r="H1268" s="1002">
        <v>2682.4</v>
      </c>
      <c r="I1268" s="1002">
        <v>1997.5</v>
      </c>
      <c r="J1268" s="1002">
        <v>1997.5</v>
      </c>
      <c r="K1268" s="987">
        <v>97</v>
      </c>
      <c r="L1268" s="993">
        <v>4615004.63</v>
      </c>
      <c r="M1268" s="993">
        <v>0</v>
      </c>
      <c r="N1268" s="993">
        <v>0</v>
      </c>
      <c r="O1268" s="993">
        <f t="shared" si="401"/>
        <v>4615004.63</v>
      </c>
      <c r="P1268" s="1078">
        <v>0</v>
      </c>
      <c r="Q1268" s="1002">
        <v>0</v>
      </c>
      <c r="R1268" s="1037">
        <f t="shared" ref="R1268:R1329" si="402">L1268/I1268</f>
        <v>2310.390302878598</v>
      </c>
      <c r="S1268" s="1011">
        <v>2016</v>
      </c>
      <c r="T1268" s="1011">
        <v>2022</v>
      </c>
    </row>
    <row r="1269" spans="1:20" ht="42" customHeight="1">
      <c r="A1269" s="1271">
        <v>214</v>
      </c>
      <c r="B1269" s="1274" t="s">
        <v>2720</v>
      </c>
      <c r="C1269" s="1271">
        <v>1959</v>
      </c>
      <c r="D1269" s="1271"/>
      <c r="E1269" s="1277" t="s">
        <v>218</v>
      </c>
      <c r="F1269" s="1271">
        <v>4</v>
      </c>
      <c r="G1269" s="1271">
        <v>4</v>
      </c>
      <c r="H1269" s="1002">
        <v>3445</v>
      </c>
      <c r="I1269" s="1002">
        <v>2645.4</v>
      </c>
      <c r="J1269" s="1002">
        <v>1889.2</v>
      </c>
      <c r="K1269" s="987">
        <v>86</v>
      </c>
      <c r="L1269" s="993">
        <v>5661296.2300000004</v>
      </c>
      <c r="M1269" s="993">
        <v>0</v>
      </c>
      <c r="N1269" s="993">
        <v>0</v>
      </c>
      <c r="O1269" s="993">
        <f t="shared" si="401"/>
        <v>5661296.2300000004</v>
      </c>
      <c r="P1269" s="1078">
        <v>0</v>
      </c>
      <c r="Q1269" s="1002">
        <v>0</v>
      </c>
      <c r="R1269" s="1037">
        <f t="shared" si="402"/>
        <v>2140.0530089967492</v>
      </c>
      <c r="S1269" s="1011">
        <v>2016</v>
      </c>
      <c r="T1269" s="1011">
        <v>2022</v>
      </c>
    </row>
    <row r="1270" spans="1:20" ht="39.6" customHeight="1">
      <c r="A1270" s="1271">
        <v>215</v>
      </c>
      <c r="B1270" s="1274" t="s">
        <v>2721</v>
      </c>
      <c r="C1270" s="1271">
        <v>1966</v>
      </c>
      <c r="D1270" s="1271"/>
      <c r="E1270" s="1271" t="s">
        <v>220</v>
      </c>
      <c r="F1270" s="1271">
        <v>5</v>
      </c>
      <c r="G1270" s="1271">
        <v>3</v>
      </c>
      <c r="H1270" s="1002">
        <v>3322.6</v>
      </c>
      <c r="I1270" s="1002">
        <v>2607.1</v>
      </c>
      <c r="J1270" s="1002">
        <v>2037.1</v>
      </c>
      <c r="K1270" s="987">
        <v>97</v>
      </c>
      <c r="L1270" s="993">
        <v>3919423.39</v>
      </c>
      <c r="M1270" s="993">
        <v>0</v>
      </c>
      <c r="N1270" s="993">
        <v>0</v>
      </c>
      <c r="O1270" s="993">
        <f t="shared" si="401"/>
        <v>3919423.39</v>
      </c>
      <c r="P1270" s="1078">
        <v>0</v>
      </c>
      <c r="Q1270" s="1002">
        <v>0</v>
      </c>
      <c r="R1270" s="1037">
        <f t="shared" si="402"/>
        <v>1503.3651912086227</v>
      </c>
      <c r="S1270" s="1011">
        <v>2016</v>
      </c>
      <c r="T1270" s="1011">
        <v>2022</v>
      </c>
    </row>
    <row r="1271" spans="1:20" ht="40.9" customHeight="1">
      <c r="A1271" s="1271">
        <v>216</v>
      </c>
      <c r="B1271" s="1010" t="s">
        <v>2722</v>
      </c>
      <c r="C1271" s="1271">
        <v>1958</v>
      </c>
      <c r="D1271" s="1271"/>
      <c r="E1271" s="1277" t="s">
        <v>218</v>
      </c>
      <c r="F1271" s="1271">
        <v>2</v>
      </c>
      <c r="G1271" s="1271">
        <v>2</v>
      </c>
      <c r="H1271" s="1002">
        <v>1345.8</v>
      </c>
      <c r="I1271" s="1002">
        <v>1345.8</v>
      </c>
      <c r="J1271" s="1002">
        <v>720.55</v>
      </c>
      <c r="K1271" s="987">
        <v>34</v>
      </c>
      <c r="L1271" s="993">
        <v>3552093</v>
      </c>
      <c r="M1271" s="993">
        <v>0</v>
      </c>
      <c r="N1271" s="993">
        <v>0</v>
      </c>
      <c r="O1271" s="993">
        <f t="shared" si="401"/>
        <v>3552093</v>
      </c>
      <c r="P1271" s="1078">
        <v>0</v>
      </c>
      <c r="Q1271" s="1002">
        <v>0</v>
      </c>
      <c r="R1271" s="1037">
        <f t="shared" si="402"/>
        <v>2639.3914400356666</v>
      </c>
      <c r="S1271" s="1011">
        <v>2017</v>
      </c>
      <c r="T1271" s="1011">
        <v>2020</v>
      </c>
    </row>
    <row r="1272" spans="1:20" ht="40.15" customHeight="1">
      <c r="A1272" s="1271">
        <v>217</v>
      </c>
      <c r="B1272" s="1010" t="s">
        <v>2723</v>
      </c>
      <c r="C1272" s="1271">
        <v>1963</v>
      </c>
      <c r="D1272" s="1271"/>
      <c r="E1272" s="1277" t="s">
        <v>218</v>
      </c>
      <c r="F1272" s="1271">
        <v>2</v>
      </c>
      <c r="G1272" s="1271">
        <v>1</v>
      </c>
      <c r="H1272" s="1002">
        <v>719.8</v>
      </c>
      <c r="I1272" s="1002">
        <v>461.7</v>
      </c>
      <c r="J1272" s="1002">
        <v>107.4</v>
      </c>
      <c r="K1272" s="987">
        <v>46</v>
      </c>
      <c r="L1272" s="985">
        <v>1763431</v>
      </c>
      <c r="M1272" s="993">
        <v>0</v>
      </c>
      <c r="N1272" s="993">
        <v>0</v>
      </c>
      <c r="O1272" s="993">
        <f t="shared" si="401"/>
        <v>1763431</v>
      </c>
      <c r="P1272" s="1078">
        <v>0</v>
      </c>
      <c r="Q1272" s="1002">
        <v>0</v>
      </c>
      <c r="R1272" s="1037">
        <f t="shared" si="402"/>
        <v>3819.4303660385531</v>
      </c>
      <c r="S1272" s="1011">
        <v>2017</v>
      </c>
      <c r="T1272" s="1011">
        <v>2020</v>
      </c>
    </row>
    <row r="1273" spans="1:20" ht="39" customHeight="1">
      <c r="A1273" s="1271">
        <v>218</v>
      </c>
      <c r="B1273" s="1010" t="s">
        <v>2724</v>
      </c>
      <c r="C1273" s="1271">
        <v>1974</v>
      </c>
      <c r="D1273" s="1271"/>
      <c r="E1273" s="1271" t="s">
        <v>219</v>
      </c>
      <c r="F1273" s="1271">
        <v>5</v>
      </c>
      <c r="G1273" s="1271">
        <v>5</v>
      </c>
      <c r="H1273" s="1002">
        <v>3970.6</v>
      </c>
      <c r="I1273" s="1002">
        <v>3970.6</v>
      </c>
      <c r="J1273" s="1002">
        <v>2778.35</v>
      </c>
      <c r="K1273" s="987">
        <v>121</v>
      </c>
      <c r="L1273" s="993">
        <v>2904552.11</v>
      </c>
      <c r="M1273" s="993">
        <v>0</v>
      </c>
      <c r="N1273" s="993">
        <v>0</v>
      </c>
      <c r="O1273" s="993">
        <f t="shared" si="401"/>
        <v>2904552.11</v>
      </c>
      <c r="P1273" s="1078">
        <v>0</v>
      </c>
      <c r="Q1273" s="1002">
        <v>0</v>
      </c>
      <c r="R1273" s="1037">
        <f t="shared" si="402"/>
        <v>731.51466025285845</v>
      </c>
      <c r="S1273" s="1011">
        <v>2017</v>
      </c>
      <c r="T1273" s="1011">
        <v>2020</v>
      </c>
    </row>
    <row r="1274" spans="1:20" ht="39.6" customHeight="1">
      <c r="A1274" s="1271">
        <v>219</v>
      </c>
      <c r="B1274" s="1010" t="s">
        <v>2710</v>
      </c>
      <c r="C1274" s="1271">
        <v>1959</v>
      </c>
      <c r="D1274" s="1271"/>
      <c r="E1274" s="1277" t="s">
        <v>218</v>
      </c>
      <c r="F1274" s="1271">
        <v>3</v>
      </c>
      <c r="G1274" s="1271">
        <v>4</v>
      </c>
      <c r="H1274" s="1002">
        <v>2824.9</v>
      </c>
      <c r="I1274" s="1002">
        <v>1991.7</v>
      </c>
      <c r="J1274" s="1002">
        <v>1721.5</v>
      </c>
      <c r="K1274" s="987">
        <v>43</v>
      </c>
      <c r="L1274" s="993">
        <v>3902737</v>
      </c>
      <c r="M1274" s="993">
        <v>0</v>
      </c>
      <c r="N1274" s="993">
        <v>0</v>
      </c>
      <c r="O1274" s="993">
        <f t="shared" si="401"/>
        <v>3902737</v>
      </c>
      <c r="P1274" s="1078">
        <v>0</v>
      </c>
      <c r="Q1274" s="1002">
        <v>0</v>
      </c>
      <c r="R1274" s="1037">
        <f t="shared" si="402"/>
        <v>1959.5004267710999</v>
      </c>
      <c r="S1274" s="1011">
        <v>2017</v>
      </c>
      <c r="T1274" s="1011">
        <v>2020</v>
      </c>
    </row>
    <row r="1275" spans="1:20" ht="39.6" customHeight="1">
      <c r="A1275" s="1271">
        <v>220</v>
      </c>
      <c r="B1275" s="1274" t="s">
        <v>2725</v>
      </c>
      <c r="C1275" s="1271">
        <v>1962</v>
      </c>
      <c r="D1275" s="1271"/>
      <c r="E1275" s="1277" t="s">
        <v>218</v>
      </c>
      <c r="F1275" s="1271">
        <v>2</v>
      </c>
      <c r="G1275" s="1271">
        <v>1</v>
      </c>
      <c r="H1275" s="1002">
        <v>326.3</v>
      </c>
      <c r="I1275" s="1002">
        <v>294.89999999999998</v>
      </c>
      <c r="J1275" s="1002">
        <v>294.89999999999998</v>
      </c>
      <c r="K1275" s="987">
        <v>23</v>
      </c>
      <c r="L1275" s="993">
        <v>1198875.73</v>
      </c>
      <c r="M1275" s="993">
        <v>0</v>
      </c>
      <c r="N1275" s="993">
        <v>0</v>
      </c>
      <c r="O1275" s="993">
        <f t="shared" si="401"/>
        <v>1198875.73</v>
      </c>
      <c r="P1275" s="1078">
        <v>0</v>
      </c>
      <c r="Q1275" s="1002">
        <v>0</v>
      </c>
      <c r="R1275" s="1037">
        <f t="shared" si="402"/>
        <v>4065.3636147846732</v>
      </c>
      <c r="S1275" s="1011">
        <v>2018</v>
      </c>
      <c r="T1275" s="1011">
        <v>2022</v>
      </c>
    </row>
    <row r="1276" spans="1:20" ht="40.9" customHeight="1">
      <c r="A1276" s="1271">
        <v>221</v>
      </c>
      <c r="B1276" s="1274" t="s">
        <v>2726</v>
      </c>
      <c r="C1276" s="1271">
        <v>1952</v>
      </c>
      <c r="D1276" s="1271"/>
      <c r="E1276" s="1277" t="s">
        <v>218</v>
      </c>
      <c r="F1276" s="1271">
        <v>2</v>
      </c>
      <c r="G1276" s="1271">
        <v>2</v>
      </c>
      <c r="H1276" s="1002">
        <v>750.6</v>
      </c>
      <c r="I1276" s="1002">
        <v>750.6</v>
      </c>
      <c r="J1276" s="1002">
        <v>383.3</v>
      </c>
      <c r="K1276" s="987">
        <v>17</v>
      </c>
      <c r="L1276" s="993">
        <v>1784217.57</v>
      </c>
      <c r="M1276" s="993">
        <v>0</v>
      </c>
      <c r="N1276" s="993">
        <v>0</v>
      </c>
      <c r="O1276" s="993">
        <f t="shared" si="401"/>
        <v>1784217.57</v>
      </c>
      <c r="P1276" s="1002">
        <v>0</v>
      </c>
      <c r="Q1276" s="993">
        <v>0</v>
      </c>
      <c r="R1276" s="1037">
        <f t="shared" si="402"/>
        <v>2377.0551159072743</v>
      </c>
      <c r="S1276" s="1011">
        <v>2018</v>
      </c>
      <c r="T1276" s="1011">
        <v>2020</v>
      </c>
    </row>
    <row r="1277" spans="1:20" ht="40.15" customHeight="1">
      <c r="A1277" s="1271">
        <v>222</v>
      </c>
      <c r="B1277" s="1274" t="s">
        <v>2727</v>
      </c>
      <c r="C1277" s="1271">
        <v>1952</v>
      </c>
      <c r="D1277" s="1271"/>
      <c r="E1277" s="1277" t="s">
        <v>218</v>
      </c>
      <c r="F1277" s="1271">
        <v>2</v>
      </c>
      <c r="G1277" s="1271">
        <v>1</v>
      </c>
      <c r="H1277" s="1002">
        <v>411.3</v>
      </c>
      <c r="I1277" s="1002">
        <v>411.3</v>
      </c>
      <c r="J1277" s="1002">
        <v>316.8</v>
      </c>
      <c r="K1277" s="987">
        <v>12</v>
      </c>
      <c r="L1277" s="993">
        <v>3158928.86</v>
      </c>
      <c r="M1277" s="993">
        <v>0</v>
      </c>
      <c r="N1277" s="993">
        <v>0</v>
      </c>
      <c r="O1277" s="993">
        <f t="shared" si="401"/>
        <v>3158928.86</v>
      </c>
      <c r="P1277" s="1002">
        <v>0</v>
      </c>
      <c r="Q1277" s="993">
        <v>0</v>
      </c>
      <c r="R1277" s="1037">
        <f t="shared" si="402"/>
        <v>7680.3522003403832</v>
      </c>
      <c r="S1277" s="1011">
        <v>2018</v>
      </c>
      <c r="T1277" s="1011">
        <v>2020</v>
      </c>
    </row>
    <row r="1278" spans="1:20" ht="40.15" customHeight="1">
      <c r="A1278" s="1271">
        <v>223</v>
      </c>
      <c r="B1278" s="1274" t="s">
        <v>2728</v>
      </c>
      <c r="C1278" s="1271">
        <v>1966</v>
      </c>
      <c r="D1278" s="1271"/>
      <c r="E1278" s="1279" t="s">
        <v>1055</v>
      </c>
      <c r="F1278" s="1271">
        <v>5</v>
      </c>
      <c r="G1278" s="1271">
        <v>3</v>
      </c>
      <c r="H1278" s="1002">
        <v>2671.1</v>
      </c>
      <c r="I1278" s="1002">
        <v>2017.3</v>
      </c>
      <c r="J1278" s="1002">
        <v>1311.11</v>
      </c>
      <c r="K1278" s="987">
        <v>106</v>
      </c>
      <c r="L1278" s="985">
        <v>4368894.3600000003</v>
      </c>
      <c r="M1278" s="993">
        <v>0</v>
      </c>
      <c r="N1278" s="993">
        <v>0</v>
      </c>
      <c r="O1278" s="993">
        <f t="shared" si="401"/>
        <v>4368894.3600000003</v>
      </c>
      <c r="P1278" s="993">
        <v>0</v>
      </c>
      <c r="Q1278" s="993">
        <v>0</v>
      </c>
      <c r="R1278" s="1037">
        <f t="shared" si="402"/>
        <v>2165.7137560105093</v>
      </c>
      <c r="S1278" s="1011">
        <v>2018</v>
      </c>
      <c r="T1278" s="1011">
        <v>2022</v>
      </c>
    </row>
    <row r="1279" spans="1:20" ht="42" customHeight="1">
      <c r="A1279" s="1271">
        <v>224</v>
      </c>
      <c r="B1279" s="1274" t="s">
        <v>2729</v>
      </c>
      <c r="C1279" s="1271">
        <v>1961</v>
      </c>
      <c r="D1279" s="1271"/>
      <c r="E1279" s="1277" t="s">
        <v>218</v>
      </c>
      <c r="F1279" s="1271">
        <v>3</v>
      </c>
      <c r="G1279" s="1271">
        <v>2</v>
      </c>
      <c r="H1279" s="1002">
        <v>996.8</v>
      </c>
      <c r="I1279" s="1002">
        <v>921.2</v>
      </c>
      <c r="J1279" s="1002">
        <v>613.92999999999995</v>
      </c>
      <c r="K1279" s="987">
        <v>41</v>
      </c>
      <c r="L1279" s="985">
        <v>1862600</v>
      </c>
      <c r="M1279" s="993">
        <v>0</v>
      </c>
      <c r="N1279" s="993">
        <v>0</v>
      </c>
      <c r="O1279" s="993">
        <f t="shared" si="401"/>
        <v>1862600</v>
      </c>
      <c r="P1279" s="993">
        <v>0</v>
      </c>
      <c r="Q1279" s="993">
        <v>0</v>
      </c>
      <c r="R1279" s="1037">
        <f t="shared" si="402"/>
        <v>2021.9279201042118</v>
      </c>
      <c r="S1279" s="1011">
        <v>2018</v>
      </c>
      <c r="T1279" s="1011">
        <v>2020</v>
      </c>
    </row>
    <row r="1280" spans="1:20" ht="40.9" customHeight="1">
      <c r="A1280" s="1271">
        <v>225</v>
      </c>
      <c r="B1280" s="1274" t="s">
        <v>2730</v>
      </c>
      <c r="C1280" s="1271">
        <v>1975</v>
      </c>
      <c r="D1280" s="1271"/>
      <c r="E1280" s="1271" t="s">
        <v>220</v>
      </c>
      <c r="F1280" s="1271">
        <v>5</v>
      </c>
      <c r="G1280" s="1271">
        <v>6</v>
      </c>
      <c r="H1280" s="1002">
        <v>5023.3999999999996</v>
      </c>
      <c r="I1280" s="1002">
        <v>4578.3999999999996</v>
      </c>
      <c r="J1280" s="1002">
        <v>2958.48</v>
      </c>
      <c r="K1280" s="987">
        <v>159</v>
      </c>
      <c r="L1280" s="985">
        <v>7047781.5</v>
      </c>
      <c r="M1280" s="993">
        <v>0</v>
      </c>
      <c r="N1280" s="993">
        <v>0</v>
      </c>
      <c r="O1280" s="993">
        <f t="shared" si="401"/>
        <v>7047781.5</v>
      </c>
      <c r="P1280" s="993">
        <v>0</v>
      </c>
      <c r="Q1280" s="993">
        <v>0</v>
      </c>
      <c r="R1280" s="1037">
        <f t="shared" si="402"/>
        <v>1539.354687226979</v>
      </c>
      <c r="S1280" s="1011">
        <v>2018</v>
      </c>
      <c r="T1280" s="1011">
        <v>2022</v>
      </c>
    </row>
    <row r="1281" spans="1:20" ht="43.9" customHeight="1">
      <c r="A1281" s="1271">
        <v>226</v>
      </c>
      <c r="B1281" s="1274" t="s">
        <v>2731</v>
      </c>
      <c r="C1281" s="1271">
        <v>1960</v>
      </c>
      <c r="D1281" s="1271"/>
      <c r="E1281" s="1277" t="s">
        <v>218</v>
      </c>
      <c r="F1281" s="1271">
        <v>2</v>
      </c>
      <c r="G1281" s="1271">
        <v>1</v>
      </c>
      <c r="H1281" s="1002">
        <v>629.70000000000005</v>
      </c>
      <c r="I1281" s="1002">
        <v>445.8</v>
      </c>
      <c r="J1281" s="1002">
        <v>246.5</v>
      </c>
      <c r="K1281" s="987">
        <v>14</v>
      </c>
      <c r="L1281" s="985">
        <v>1408601</v>
      </c>
      <c r="M1281" s="993">
        <v>0</v>
      </c>
      <c r="N1281" s="993">
        <v>0</v>
      </c>
      <c r="O1281" s="993">
        <f t="shared" si="401"/>
        <v>1408601</v>
      </c>
      <c r="P1281" s="993">
        <v>0</v>
      </c>
      <c r="Q1281" s="993">
        <v>0</v>
      </c>
      <c r="R1281" s="1037">
        <f t="shared" si="402"/>
        <v>3159.7151188873931</v>
      </c>
      <c r="S1281" s="1011">
        <v>2018</v>
      </c>
      <c r="T1281" s="1011">
        <v>2020</v>
      </c>
    </row>
    <row r="1282" spans="1:20" ht="43.9" customHeight="1">
      <c r="A1282" s="1271">
        <v>227</v>
      </c>
      <c r="B1282" s="1274" t="s">
        <v>2732</v>
      </c>
      <c r="C1282" s="1271">
        <v>1981</v>
      </c>
      <c r="D1282" s="1271"/>
      <c r="E1282" s="1277" t="s">
        <v>218</v>
      </c>
      <c r="F1282" s="1271">
        <v>9</v>
      </c>
      <c r="G1282" s="1271">
        <v>1</v>
      </c>
      <c r="H1282" s="1002">
        <v>3946.8</v>
      </c>
      <c r="I1282" s="1002">
        <v>3774</v>
      </c>
      <c r="J1282" s="1002">
        <v>2446.89</v>
      </c>
      <c r="K1282" s="987">
        <v>126</v>
      </c>
      <c r="L1282" s="993">
        <v>1964604.77</v>
      </c>
      <c r="M1282" s="993">
        <v>0</v>
      </c>
      <c r="N1282" s="993">
        <v>0</v>
      </c>
      <c r="O1282" s="993">
        <f t="shared" si="401"/>
        <v>1964604.77</v>
      </c>
      <c r="P1282" s="993">
        <v>0</v>
      </c>
      <c r="Q1282" s="993">
        <v>0</v>
      </c>
      <c r="R1282" s="1037">
        <f t="shared" si="402"/>
        <v>520.56300211976679</v>
      </c>
      <c r="S1282" s="1011">
        <v>2018</v>
      </c>
      <c r="T1282" s="1011">
        <v>2020</v>
      </c>
    </row>
    <row r="1283" spans="1:20" ht="40.15" customHeight="1">
      <c r="A1283" s="1271">
        <v>228</v>
      </c>
      <c r="B1283" s="1274" t="s">
        <v>2733</v>
      </c>
      <c r="C1283" s="1271">
        <v>1951</v>
      </c>
      <c r="D1283" s="1271"/>
      <c r="E1283" s="1277" t="s">
        <v>218</v>
      </c>
      <c r="F1283" s="1271">
        <v>2</v>
      </c>
      <c r="G1283" s="1271">
        <v>1</v>
      </c>
      <c r="H1283" s="1002">
        <v>799.7</v>
      </c>
      <c r="I1283" s="1002">
        <v>518.6</v>
      </c>
      <c r="J1283" s="1002">
        <v>518.6</v>
      </c>
      <c r="K1283" s="987">
        <v>18</v>
      </c>
      <c r="L1283" s="993">
        <v>2267684</v>
      </c>
      <c r="M1283" s="993">
        <v>0</v>
      </c>
      <c r="N1283" s="993">
        <v>0</v>
      </c>
      <c r="O1283" s="993">
        <f t="shared" si="401"/>
        <v>2267684</v>
      </c>
      <c r="P1283" s="993">
        <v>0</v>
      </c>
      <c r="Q1283" s="993">
        <v>0</v>
      </c>
      <c r="R1283" s="1037">
        <f t="shared" si="402"/>
        <v>4372.7034323177786</v>
      </c>
      <c r="S1283" s="1011">
        <v>2018</v>
      </c>
      <c r="T1283" s="1011">
        <v>2020</v>
      </c>
    </row>
    <row r="1284" spans="1:20" ht="42.6" customHeight="1">
      <c r="A1284" s="1271">
        <v>229</v>
      </c>
      <c r="B1284" s="1274" t="s">
        <v>2734</v>
      </c>
      <c r="C1284" s="1271">
        <v>1959</v>
      </c>
      <c r="D1284" s="1271"/>
      <c r="E1284" s="1277" t="s">
        <v>218</v>
      </c>
      <c r="F1284" s="1271">
        <v>2</v>
      </c>
      <c r="G1284" s="1271">
        <v>2</v>
      </c>
      <c r="H1284" s="1002">
        <v>490.5</v>
      </c>
      <c r="I1284" s="1002">
        <v>442</v>
      </c>
      <c r="J1284" s="1002">
        <v>442</v>
      </c>
      <c r="K1284" s="987">
        <v>21</v>
      </c>
      <c r="L1284" s="993">
        <v>1489225</v>
      </c>
      <c r="M1284" s="993">
        <v>0</v>
      </c>
      <c r="N1284" s="993">
        <v>0</v>
      </c>
      <c r="O1284" s="993">
        <f t="shared" si="401"/>
        <v>1489225</v>
      </c>
      <c r="P1284" s="993">
        <v>0</v>
      </c>
      <c r="Q1284" s="993">
        <v>0</v>
      </c>
      <c r="R1284" s="1037">
        <f t="shared" si="402"/>
        <v>3369.2873303167421</v>
      </c>
      <c r="S1284" s="1011">
        <v>2018</v>
      </c>
      <c r="T1284" s="1011">
        <v>2020</v>
      </c>
    </row>
    <row r="1285" spans="1:20" ht="40.9" customHeight="1">
      <c r="A1285" s="1271">
        <v>230</v>
      </c>
      <c r="B1285" s="1274" t="s">
        <v>2735</v>
      </c>
      <c r="C1285" s="1271">
        <v>1976</v>
      </c>
      <c r="D1285" s="1271"/>
      <c r="E1285" s="1277" t="s">
        <v>218</v>
      </c>
      <c r="F1285" s="1271">
        <v>5</v>
      </c>
      <c r="G1285" s="1271">
        <v>1</v>
      </c>
      <c r="H1285" s="1002">
        <v>4763.3</v>
      </c>
      <c r="I1285" s="1002">
        <v>2443.9</v>
      </c>
      <c r="J1285" s="1002">
        <v>1658.38</v>
      </c>
      <c r="K1285" s="987">
        <v>176</v>
      </c>
      <c r="L1285" s="993">
        <v>3019437</v>
      </c>
      <c r="M1285" s="993">
        <v>0</v>
      </c>
      <c r="N1285" s="993">
        <v>0</v>
      </c>
      <c r="O1285" s="993">
        <f t="shared" si="401"/>
        <v>3019437</v>
      </c>
      <c r="P1285" s="993">
        <v>0</v>
      </c>
      <c r="Q1285" s="993">
        <v>0</v>
      </c>
      <c r="R1285" s="1037">
        <f t="shared" si="402"/>
        <v>1235.4994066860345</v>
      </c>
      <c r="S1285" s="1011">
        <v>2018</v>
      </c>
      <c r="T1285" s="1011">
        <v>2020</v>
      </c>
    </row>
    <row r="1286" spans="1:20" ht="42" customHeight="1">
      <c r="A1286" s="1271">
        <v>231</v>
      </c>
      <c r="B1286" s="1274" t="s">
        <v>2736</v>
      </c>
      <c r="C1286" s="1271">
        <v>1959</v>
      </c>
      <c r="D1286" s="1271"/>
      <c r="E1286" s="1271" t="s">
        <v>823</v>
      </c>
      <c r="F1286" s="1271">
        <v>2</v>
      </c>
      <c r="G1286" s="1271">
        <v>1</v>
      </c>
      <c r="H1286" s="1002">
        <v>265.10000000000002</v>
      </c>
      <c r="I1286" s="1002">
        <v>245.1</v>
      </c>
      <c r="J1286" s="1002">
        <v>187.7</v>
      </c>
      <c r="K1286" s="987">
        <v>19</v>
      </c>
      <c r="L1286" s="993">
        <v>760568</v>
      </c>
      <c r="M1286" s="993">
        <v>0</v>
      </c>
      <c r="N1286" s="993">
        <v>0</v>
      </c>
      <c r="O1286" s="993">
        <f t="shared" si="401"/>
        <v>760568</v>
      </c>
      <c r="P1286" s="993">
        <v>0</v>
      </c>
      <c r="Q1286" s="993">
        <v>0</v>
      </c>
      <c r="R1286" s="1037">
        <f t="shared" si="402"/>
        <v>3103.0926152590778</v>
      </c>
      <c r="S1286" s="1011">
        <v>2018</v>
      </c>
      <c r="T1286" s="1011">
        <v>2020</v>
      </c>
    </row>
    <row r="1287" spans="1:20" ht="40.9" customHeight="1">
      <c r="A1287" s="1271">
        <v>232</v>
      </c>
      <c r="B1287" s="1274" t="s">
        <v>2737</v>
      </c>
      <c r="C1287" s="1271">
        <v>1966</v>
      </c>
      <c r="D1287" s="1271"/>
      <c r="E1287" s="1277" t="s">
        <v>218</v>
      </c>
      <c r="F1287" s="1271">
        <v>5</v>
      </c>
      <c r="G1287" s="1271">
        <v>4</v>
      </c>
      <c r="H1287" s="1002">
        <v>4007.7</v>
      </c>
      <c r="I1287" s="1002">
        <v>3112.3</v>
      </c>
      <c r="J1287" s="1002">
        <v>2493.4</v>
      </c>
      <c r="K1287" s="987">
        <v>198</v>
      </c>
      <c r="L1287" s="993">
        <v>3540294</v>
      </c>
      <c r="M1287" s="993">
        <v>0</v>
      </c>
      <c r="N1287" s="993">
        <v>0</v>
      </c>
      <c r="O1287" s="993">
        <f t="shared" si="401"/>
        <v>3540294</v>
      </c>
      <c r="P1287" s="993">
        <v>0</v>
      </c>
      <c r="Q1287" s="993">
        <v>0</v>
      </c>
      <c r="R1287" s="1037">
        <f t="shared" si="402"/>
        <v>1137.5169488802492</v>
      </c>
      <c r="S1287" s="1011">
        <v>2018</v>
      </c>
      <c r="T1287" s="1011">
        <v>2020</v>
      </c>
    </row>
    <row r="1288" spans="1:20" ht="40.9" customHeight="1">
      <c r="A1288" s="1271">
        <v>233</v>
      </c>
      <c r="B1288" s="1274" t="s">
        <v>2738</v>
      </c>
      <c r="C1288" s="1271">
        <v>1960</v>
      </c>
      <c r="D1288" s="1271"/>
      <c r="E1288" s="1277" t="s">
        <v>218</v>
      </c>
      <c r="F1288" s="1271">
        <v>2</v>
      </c>
      <c r="G1288" s="1271">
        <v>2</v>
      </c>
      <c r="H1288" s="1002">
        <v>602.4</v>
      </c>
      <c r="I1288" s="1002">
        <v>558</v>
      </c>
      <c r="J1288" s="1002">
        <v>382.99</v>
      </c>
      <c r="K1288" s="987">
        <v>49</v>
      </c>
      <c r="L1288" s="993">
        <v>1658455</v>
      </c>
      <c r="M1288" s="993">
        <v>0</v>
      </c>
      <c r="N1288" s="993">
        <v>0</v>
      </c>
      <c r="O1288" s="993">
        <f t="shared" si="401"/>
        <v>1658455</v>
      </c>
      <c r="P1288" s="993">
        <v>0</v>
      </c>
      <c r="Q1288" s="993">
        <v>0</v>
      </c>
      <c r="R1288" s="1037">
        <f t="shared" si="402"/>
        <v>2972.1415770609319</v>
      </c>
      <c r="S1288" s="1011">
        <v>2018</v>
      </c>
      <c r="T1288" s="1011">
        <v>2020</v>
      </c>
    </row>
    <row r="1289" spans="1:20" ht="42.6" customHeight="1">
      <c r="A1289" s="1271">
        <v>234</v>
      </c>
      <c r="B1289" s="1274" t="s">
        <v>2739</v>
      </c>
      <c r="C1289" s="1271">
        <v>1957</v>
      </c>
      <c r="D1289" s="1271"/>
      <c r="E1289" s="1277" t="s">
        <v>218</v>
      </c>
      <c r="F1289" s="1271">
        <v>2</v>
      </c>
      <c r="G1289" s="1271">
        <v>1</v>
      </c>
      <c r="H1289" s="1002">
        <v>433</v>
      </c>
      <c r="I1289" s="1002">
        <v>393.8</v>
      </c>
      <c r="J1289" s="1002">
        <v>393.8</v>
      </c>
      <c r="K1289" s="987">
        <v>17</v>
      </c>
      <c r="L1289" s="993">
        <v>1093226</v>
      </c>
      <c r="M1289" s="993">
        <v>0</v>
      </c>
      <c r="N1289" s="993">
        <v>0</v>
      </c>
      <c r="O1289" s="993">
        <f t="shared" si="401"/>
        <v>1093226</v>
      </c>
      <c r="P1289" s="993">
        <v>0</v>
      </c>
      <c r="Q1289" s="993">
        <v>0</v>
      </c>
      <c r="R1289" s="1037">
        <f t="shared" si="402"/>
        <v>2776.0944641950227</v>
      </c>
      <c r="S1289" s="1011">
        <v>2018</v>
      </c>
      <c r="T1289" s="1011">
        <v>2020</v>
      </c>
    </row>
    <row r="1290" spans="1:20" ht="36.6" customHeight="1">
      <c r="A1290" s="1271">
        <v>235</v>
      </c>
      <c r="B1290" s="997" t="s">
        <v>2740</v>
      </c>
      <c r="C1290" s="1271">
        <v>1991</v>
      </c>
      <c r="D1290" s="1271"/>
      <c r="E1290" s="1279" t="s">
        <v>219</v>
      </c>
      <c r="F1290" s="1271">
        <v>5</v>
      </c>
      <c r="G1290" s="1271">
        <v>4</v>
      </c>
      <c r="H1290" s="1002">
        <v>3557.4</v>
      </c>
      <c r="I1290" s="1002">
        <v>3287.3</v>
      </c>
      <c r="J1290" s="1002">
        <v>2188.1</v>
      </c>
      <c r="K1290" s="987">
        <v>79</v>
      </c>
      <c r="L1290" s="993">
        <v>2518802</v>
      </c>
      <c r="M1290" s="993">
        <v>0</v>
      </c>
      <c r="N1290" s="993">
        <v>0</v>
      </c>
      <c r="O1290" s="993">
        <f t="shared" si="401"/>
        <v>2518802</v>
      </c>
      <c r="P1290" s="993">
        <v>0</v>
      </c>
      <c r="Q1290" s="993">
        <v>0</v>
      </c>
      <c r="R1290" s="1037">
        <f t="shared" si="402"/>
        <v>766.22212758190608</v>
      </c>
      <c r="S1290" s="1011">
        <v>2018</v>
      </c>
      <c r="T1290" s="1011">
        <v>2020</v>
      </c>
    </row>
    <row r="1291" spans="1:20" ht="40.9" customHeight="1">
      <c r="A1291" s="1271">
        <v>236</v>
      </c>
      <c r="B1291" s="1274" t="s">
        <v>2741</v>
      </c>
      <c r="C1291" s="1271">
        <v>1984</v>
      </c>
      <c r="D1291" s="1271"/>
      <c r="E1291" s="1277" t="s">
        <v>218</v>
      </c>
      <c r="F1291" s="1271">
        <v>9</v>
      </c>
      <c r="G1291" s="1271">
        <v>1</v>
      </c>
      <c r="H1291" s="1002">
        <v>4179.8</v>
      </c>
      <c r="I1291" s="1002">
        <v>3189</v>
      </c>
      <c r="J1291" s="1002">
        <v>3189</v>
      </c>
      <c r="K1291" s="987">
        <v>132</v>
      </c>
      <c r="L1291" s="985">
        <v>1964255</v>
      </c>
      <c r="M1291" s="993">
        <v>0</v>
      </c>
      <c r="N1291" s="993">
        <v>0</v>
      </c>
      <c r="O1291" s="993">
        <f t="shared" si="401"/>
        <v>1964255</v>
      </c>
      <c r="P1291" s="993">
        <v>0</v>
      </c>
      <c r="Q1291" s="993">
        <v>0</v>
      </c>
      <c r="R1291" s="1037">
        <f t="shared" si="402"/>
        <v>615.94700533082471</v>
      </c>
      <c r="S1291" s="1011">
        <v>2018</v>
      </c>
      <c r="T1291" s="1011">
        <v>2020</v>
      </c>
    </row>
    <row r="1292" spans="1:20" ht="44.45" customHeight="1">
      <c r="A1292" s="1271">
        <v>237</v>
      </c>
      <c r="B1292" s="997" t="s">
        <v>2742</v>
      </c>
      <c r="C1292" s="1271">
        <v>1979</v>
      </c>
      <c r="D1292" s="1271"/>
      <c r="E1292" s="1279" t="s">
        <v>219</v>
      </c>
      <c r="F1292" s="1271">
        <v>5</v>
      </c>
      <c r="G1292" s="1271">
        <v>5</v>
      </c>
      <c r="H1292" s="1002">
        <v>6227.3</v>
      </c>
      <c r="I1292" s="1002">
        <v>6227.3</v>
      </c>
      <c r="J1292" s="1002">
        <v>3788.52</v>
      </c>
      <c r="K1292" s="987">
        <v>174</v>
      </c>
      <c r="L1292" s="993">
        <v>3697504</v>
      </c>
      <c r="M1292" s="993">
        <v>0</v>
      </c>
      <c r="N1292" s="993">
        <v>0</v>
      </c>
      <c r="O1292" s="993">
        <f t="shared" si="401"/>
        <v>3697504</v>
      </c>
      <c r="P1292" s="993">
        <v>0</v>
      </c>
      <c r="Q1292" s="993">
        <v>0</v>
      </c>
      <c r="R1292" s="1037">
        <f t="shared" si="402"/>
        <v>593.75716602701004</v>
      </c>
      <c r="S1292" s="1011">
        <v>2019</v>
      </c>
      <c r="T1292" s="1011">
        <v>2020</v>
      </c>
    </row>
    <row r="1293" spans="1:20" ht="40.9" customHeight="1">
      <c r="A1293" s="1271">
        <v>238</v>
      </c>
      <c r="B1293" s="1274" t="s">
        <v>2743</v>
      </c>
      <c r="C1293" s="1271">
        <v>1950</v>
      </c>
      <c r="D1293" s="1271"/>
      <c r="E1293" s="1277" t="s">
        <v>218</v>
      </c>
      <c r="F1293" s="1271">
        <v>3</v>
      </c>
      <c r="G1293" s="1271">
        <v>4</v>
      </c>
      <c r="H1293" s="1002">
        <v>2375</v>
      </c>
      <c r="I1293" s="1002">
        <v>2375</v>
      </c>
      <c r="J1293" s="1002">
        <v>1480.89</v>
      </c>
      <c r="K1293" s="987">
        <v>54</v>
      </c>
      <c r="L1293" s="993">
        <v>4662878.04</v>
      </c>
      <c r="M1293" s="993">
        <v>0</v>
      </c>
      <c r="N1293" s="993">
        <v>0</v>
      </c>
      <c r="O1293" s="993">
        <f t="shared" si="401"/>
        <v>4662878.04</v>
      </c>
      <c r="P1293" s="993">
        <v>0</v>
      </c>
      <c r="Q1293" s="993">
        <v>0</v>
      </c>
      <c r="R1293" s="1037">
        <f t="shared" si="402"/>
        <v>1963.3170694736841</v>
      </c>
      <c r="S1293" s="1011">
        <v>2019</v>
      </c>
      <c r="T1293" s="1011">
        <v>2020</v>
      </c>
    </row>
    <row r="1294" spans="1:20" ht="40.9" customHeight="1">
      <c r="A1294" s="1271">
        <v>239</v>
      </c>
      <c r="B1294" s="1274" t="s">
        <v>2744</v>
      </c>
      <c r="C1294" s="1271">
        <v>1983</v>
      </c>
      <c r="D1294" s="1271"/>
      <c r="E1294" s="1277" t="s">
        <v>218</v>
      </c>
      <c r="F1294" s="1271">
        <v>5</v>
      </c>
      <c r="G1294" s="1271">
        <v>8</v>
      </c>
      <c r="H1294" s="1002">
        <v>6381.8</v>
      </c>
      <c r="I1294" s="1002">
        <v>5782.4</v>
      </c>
      <c r="J1294" s="1002">
        <v>5782.4</v>
      </c>
      <c r="K1294" s="987">
        <v>251</v>
      </c>
      <c r="L1294" s="993">
        <v>5828295</v>
      </c>
      <c r="M1294" s="993">
        <v>0</v>
      </c>
      <c r="N1294" s="993">
        <v>0</v>
      </c>
      <c r="O1294" s="993">
        <f t="shared" si="401"/>
        <v>5828295</v>
      </c>
      <c r="P1294" s="993">
        <v>0</v>
      </c>
      <c r="Q1294" s="993">
        <v>0</v>
      </c>
      <c r="R1294" s="1037">
        <f t="shared" si="402"/>
        <v>1007.9370157719978</v>
      </c>
      <c r="S1294" s="1011">
        <v>2019</v>
      </c>
      <c r="T1294" s="1011">
        <v>2020</v>
      </c>
    </row>
    <row r="1295" spans="1:20" ht="42" customHeight="1">
      <c r="A1295" s="1271">
        <v>240</v>
      </c>
      <c r="B1295" s="1274" t="s">
        <v>2745</v>
      </c>
      <c r="C1295" s="1271">
        <v>1996</v>
      </c>
      <c r="D1295" s="1271"/>
      <c r="E1295" s="1277" t="s">
        <v>218</v>
      </c>
      <c r="F1295" s="1271">
        <v>5</v>
      </c>
      <c r="G1295" s="1271">
        <v>5</v>
      </c>
      <c r="H1295" s="1002">
        <v>4965.7</v>
      </c>
      <c r="I1295" s="1002">
        <v>3691.7</v>
      </c>
      <c r="J1295" s="1002">
        <v>3691.7</v>
      </c>
      <c r="K1295" s="987">
        <v>138</v>
      </c>
      <c r="L1295" s="993">
        <v>2937787</v>
      </c>
      <c r="M1295" s="993">
        <v>0</v>
      </c>
      <c r="N1295" s="993">
        <v>0</v>
      </c>
      <c r="O1295" s="993">
        <f t="shared" si="401"/>
        <v>2937787</v>
      </c>
      <c r="P1295" s="993">
        <v>0</v>
      </c>
      <c r="Q1295" s="993">
        <v>0</v>
      </c>
      <c r="R1295" s="1037">
        <f t="shared" si="402"/>
        <v>795.7816182246662</v>
      </c>
      <c r="S1295" s="1011">
        <v>2019</v>
      </c>
      <c r="T1295" s="1011">
        <v>2020</v>
      </c>
    </row>
    <row r="1296" spans="1:20" ht="37.15" customHeight="1">
      <c r="A1296" s="1271">
        <v>241</v>
      </c>
      <c r="B1296" s="1274" t="s">
        <v>2746</v>
      </c>
      <c r="C1296" s="1271">
        <v>1999</v>
      </c>
      <c r="D1296" s="1271"/>
      <c r="E1296" s="1271" t="s">
        <v>219</v>
      </c>
      <c r="F1296" s="1271">
        <v>5</v>
      </c>
      <c r="G1296" s="1271">
        <v>4</v>
      </c>
      <c r="H1296" s="1002">
        <v>3980.5</v>
      </c>
      <c r="I1296" s="1002">
        <v>3402.9</v>
      </c>
      <c r="J1296" s="1002">
        <v>3402.9</v>
      </c>
      <c r="K1296" s="987">
        <v>108</v>
      </c>
      <c r="L1296" s="993">
        <v>3227979</v>
      </c>
      <c r="M1296" s="993">
        <v>0</v>
      </c>
      <c r="N1296" s="993">
        <v>0</v>
      </c>
      <c r="O1296" s="993">
        <f t="shared" si="401"/>
        <v>3227979</v>
      </c>
      <c r="P1296" s="993">
        <v>0</v>
      </c>
      <c r="Q1296" s="993">
        <v>0</v>
      </c>
      <c r="R1296" s="1037">
        <f t="shared" si="402"/>
        <v>948.59649122807014</v>
      </c>
      <c r="S1296" s="1011">
        <v>2019</v>
      </c>
      <c r="T1296" s="1011">
        <v>2020</v>
      </c>
    </row>
    <row r="1297" spans="1:20" ht="40.9" customHeight="1">
      <c r="A1297" s="1271">
        <v>242</v>
      </c>
      <c r="B1297" s="1274" t="s">
        <v>2747</v>
      </c>
      <c r="C1297" s="1271">
        <v>1957</v>
      </c>
      <c r="D1297" s="1271"/>
      <c r="E1297" s="1277" t="s">
        <v>218</v>
      </c>
      <c r="F1297" s="1271">
        <v>2</v>
      </c>
      <c r="G1297" s="1271">
        <v>2</v>
      </c>
      <c r="H1297" s="1002">
        <v>886</v>
      </c>
      <c r="I1297" s="1002">
        <v>756.4</v>
      </c>
      <c r="J1297" s="1002">
        <v>756.4</v>
      </c>
      <c r="K1297" s="987">
        <v>28</v>
      </c>
      <c r="L1297" s="993">
        <v>2436914</v>
      </c>
      <c r="M1297" s="993">
        <v>0</v>
      </c>
      <c r="N1297" s="993">
        <v>0</v>
      </c>
      <c r="O1297" s="993">
        <f t="shared" si="401"/>
        <v>2436914</v>
      </c>
      <c r="P1297" s="993">
        <v>0</v>
      </c>
      <c r="Q1297" s="993">
        <v>0</v>
      </c>
      <c r="R1297" s="1037">
        <f t="shared" si="402"/>
        <v>3221.7265996827077</v>
      </c>
      <c r="S1297" s="1011">
        <v>2019</v>
      </c>
      <c r="T1297" s="1011">
        <v>2020</v>
      </c>
    </row>
    <row r="1298" spans="1:20" ht="43.9" customHeight="1">
      <c r="A1298" s="1271">
        <v>243</v>
      </c>
      <c r="B1298" s="1274" t="s">
        <v>2748</v>
      </c>
      <c r="C1298" s="1271">
        <v>1967</v>
      </c>
      <c r="D1298" s="1271"/>
      <c r="E1298" s="1277" t="s">
        <v>218</v>
      </c>
      <c r="F1298" s="1271">
        <v>5</v>
      </c>
      <c r="G1298" s="1271">
        <v>4</v>
      </c>
      <c r="H1298" s="1002">
        <v>3678.2</v>
      </c>
      <c r="I1298" s="1002">
        <v>3415.2</v>
      </c>
      <c r="J1298" s="1002">
        <v>3415.2</v>
      </c>
      <c r="K1298" s="987">
        <v>137</v>
      </c>
      <c r="L1298" s="993">
        <v>2920940</v>
      </c>
      <c r="M1298" s="993">
        <v>0</v>
      </c>
      <c r="N1298" s="993">
        <v>0</v>
      </c>
      <c r="O1298" s="993">
        <f t="shared" si="401"/>
        <v>2920940</v>
      </c>
      <c r="P1298" s="993">
        <v>0</v>
      </c>
      <c r="Q1298" s="993">
        <v>0</v>
      </c>
      <c r="R1298" s="1037">
        <f t="shared" si="402"/>
        <v>855.2764113375498</v>
      </c>
      <c r="S1298" s="1011">
        <v>2019</v>
      </c>
      <c r="T1298" s="1011">
        <v>2020</v>
      </c>
    </row>
    <row r="1299" spans="1:20" ht="42.6" customHeight="1">
      <c r="A1299" s="1271">
        <v>244</v>
      </c>
      <c r="B1299" s="1274" t="s">
        <v>2749</v>
      </c>
      <c r="C1299" s="1271">
        <v>1959</v>
      </c>
      <c r="D1299" s="1271"/>
      <c r="E1299" s="1023" t="s">
        <v>823</v>
      </c>
      <c r="F1299" s="1271">
        <v>2</v>
      </c>
      <c r="G1299" s="1271">
        <v>2</v>
      </c>
      <c r="H1299" s="1002">
        <v>643</v>
      </c>
      <c r="I1299" s="1002">
        <v>399.5</v>
      </c>
      <c r="J1299" s="1002">
        <v>398.5</v>
      </c>
      <c r="K1299" s="987">
        <v>22</v>
      </c>
      <c r="L1299" s="993">
        <v>1353840.88</v>
      </c>
      <c r="M1299" s="993">
        <v>0</v>
      </c>
      <c r="N1299" s="993">
        <v>0</v>
      </c>
      <c r="O1299" s="993">
        <f t="shared" si="401"/>
        <v>1353840.88</v>
      </c>
      <c r="P1299" s="993">
        <v>0</v>
      </c>
      <c r="Q1299" s="993">
        <v>0</v>
      </c>
      <c r="R1299" s="1037">
        <f t="shared" si="402"/>
        <v>3388.8382478097619</v>
      </c>
      <c r="S1299" s="1011">
        <v>2019</v>
      </c>
      <c r="T1299" s="1011">
        <v>2020</v>
      </c>
    </row>
    <row r="1300" spans="1:20" ht="43.9" customHeight="1">
      <c r="A1300" s="1271">
        <v>245</v>
      </c>
      <c r="B1300" s="1274" t="s">
        <v>2750</v>
      </c>
      <c r="C1300" s="1271">
        <v>1960</v>
      </c>
      <c r="D1300" s="1271"/>
      <c r="E1300" s="1277" t="s">
        <v>218</v>
      </c>
      <c r="F1300" s="1271">
        <v>2</v>
      </c>
      <c r="G1300" s="1271">
        <v>2</v>
      </c>
      <c r="H1300" s="1002">
        <v>607.20000000000005</v>
      </c>
      <c r="I1300" s="1002">
        <v>558.1</v>
      </c>
      <c r="J1300" s="1002">
        <v>406.1</v>
      </c>
      <c r="K1300" s="987">
        <v>41</v>
      </c>
      <c r="L1300" s="993">
        <v>1468863</v>
      </c>
      <c r="M1300" s="993">
        <v>0</v>
      </c>
      <c r="N1300" s="993">
        <v>0</v>
      </c>
      <c r="O1300" s="993">
        <f t="shared" si="401"/>
        <v>1468863</v>
      </c>
      <c r="P1300" s="993">
        <v>0</v>
      </c>
      <c r="Q1300" s="993">
        <v>0</v>
      </c>
      <c r="R1300" s="1037">
        <f t="shared" si="402"/>
        <v>2631.8993012005017</v>
      </c>
      <c r="S1300" s="1011">
        <v>2019</v>
      </c>
      <c r="T1300" s="1011">
        <v>2020</v>
      </c>
    </row>
    <row r="1301" spans="1:20" ht="40.9" customHeight="1">
      <c r="A1301" s="1271">
        <v>246</v>
      </c>
      <c r="B1301" s="1274" t="s">
        <v>2751</v>
      </c>
      <c r="C1301" s="1271">
        <v>1962</v>
      </c>
      <c r="D1301" s="1271"/>
      <c r="E1301" s="1271" t="s">
        <v>220</v>
      </c>
      <c r="F1301" s="1271">
        <v>5</v>
      </c>
      <c r="G1301" s="1271">
        <v>4</v>
      </c>
      <c r="H1301" s="1002">
        <v>3414.8</v>
      </c>
      <c r="I1301" s="1002">
        <v>3174.8</v>
      </c>
      <c r="J1301" s="1002">
        <v>2740.5</v>
      </c>
      <c r="K1301" s="987">
        <v>97</v>
      </c>
      <c r="L1301" s="993">
        <v>10109420</v>
      </c>
      <c r="M1301" s="993">
        <v>0</v>
      </c>
      <c r="N1301" s="993">
        <v>0</v>
      </c>
      <c r="O1301" s="993">
        <f t="shared" si="401"/>
        <v>10109420</v>
      </c>
      <c r="P1301" s="993">
        <v>0</v>
      </c>
      <c r="Q1301" s="993">
        <v>0</v>
      </c>
      <c r="R1301" s="1037">
        <f t="shared" si="402"/>
        <v>3184.2698752677334</v>
      </c>
      <c r="S1301" s="1011">
        <v>2019</v>
      </c>
      <c r="T1301" s="1011">
        <v>2020</v>
      </c>
    </row>
    <row r="1302" spans="1:20" ht="42" customHeight="1">
      <c r="A1302" s="1271">
        <v>247</v>
      </c>
      <c r="B1302" s="1274" t="s">
        <v>2752</v>
      </c>
      <c r="C1302" s="1271">
        <v>1959</v>
      </c>
      <c r="D1302" s="1271"/>
      <c r="E1302" s="1277" t="s">
        <v>218</v>
      </c>
      <c r="F1302" s="1271">
        <v>4</v>
      </c>
      <c r="G1302" s="1271">
        <v>4</v>
      </c>
      <c r="H1302" s="1002">
        <v>3445</v>
      </c>
      <c r="I1302" s="1002">
        <v>2645.4</v>
      </c>
      <c r="J1302" s="1002">
        <v>1889.2</v>
      </c>
      <c r="K1302" s="987">
        <v>86</v>
      </c>
      <c r="L1302" s="993">
        <v>5788595</v>
      </c>
      <c r="M1302" s="993">
        <v>0</v>
      </c>
      <c r="N1302" s="993">
        <v>0</v>
      </c>
      <c r="O1302" s="993">
        <f t="shared" si="401"/>
        <v>5788595</v>
      </c>
      <c r="P1302" s="993">
        <v>0</v>
      </c>
      <c r="Q1302" s="993">
        <v>0</v>
      </c>
      <c r="R1302" s="1037">
        <f t="shared" si="402"/>
        <v>2188.1738111438722</v>
      </c>
      <c r="S1302" s="1011">
        <v>2019</v>
      </c>
      <c r="T1302" s="1011">
        <v>2020</v>
      </c>
    </row>
    <row r="1303" spans="1:20" ht="42.6" customHeight="1">
      <c r="A1303" s="1271">
        <v>248</v>
      </c>
      <c r="B1303" s="1274" t="s">
        <v>2753</v>
      </c>
      <c r="C1303" s="1271">
        <v>1950</v>
      </c>
      <c r="D1303" s="1271"/>
      <c r="E1303" s="1277" t="s">
        <v>218</v>
      </c>
      <c r="F1303" s="1271">
        <v>4</v>
      </c>
      <c r="G1303" s="1271">
        <v>3</v>
      </c>
      <c r="H1303" s="1002">
        <v>2540.4</v>
      </c>
      <c r="I1303" s="1002">
        <v>2540.4</v>
      </c>
      <c r="J1303" s="1002">
        <v>1507</v>
      </c>
      <c r="K1303" s="987">
        <v>76</v>
      </c>
      <c r="L1303" s="993">
        <f>5662571+3801710.75</f>
        <v>9464281.75</v>
      </c>
      <c r="M1303" s="993">
        <v>0</v>
      </c>
      <c r="N1303" s="993">
        <v>0</v>
      </c>
      <c r="O1303" s="993">
        <f t="shared" si="401"/>
        <v>9464281.75</v>
      </c>
      <c r="P1303" s="993">
        <v>0</v>
      </c>
      <c r="Q1303" s="993">
        <v>0</v>
      </c>
      <c r="R1303" s="1037">
        <f t="shared" si="402"/>
        <v>3725.508482916076</v>
      </c>
      <c r="S1303" s="1011">
        <v>2019</v>
      </c>
      <c r="T1303" s="1011">
        <v>2022</v>
      </c>
    </row>
    <row r="1304" spans="1:20" ht="42.6" customHeight="1">
      <c r="A1304" s="1271">
        <v>249</v>
      </c>
      <c r="B1304" s="1274" t="s">
        <v>2754</v>
      </c>
      <c r="C1304" s="1271">
        <v>1961</v>
      </c>
      <c r="D1304" s="1271"/>
      <c r="E1304" s="1277" t="s">
        <v>218</v>
      </c>
      <c r="F1304" s="1271">
        <v>2</v>
      </c>
      <c r="G1304" s="1271">
        <v>2</v>
      </c>
      <c r="H1304" s="1002">
        <v>701.9</v>
      </c>
      <c r="I1304" s="1002">
        <v>655.1</v>
      </c>
      <c r="J1304" s="1002">
        <v>655.1</v>
      </c>
      <c r="K1304" s="987">
        <v>33</v>
      </c>
      <c r="L1304" s="993">
        <v>1843220</v>
      </c>
      <c r="M1304" s="993">
        <v>0</v>
      </c>
      <c r="N1304" s="993">
        <v>0</v>
      </c>
      <c r="O1304" s="993">
        <f t="shared" si="401"/>
        <v>1843220</v>
      </c>
      <c r="P1304" s="993">
        <v>0</v>
      </c>
      <c r="Q1304" s="993">
        <v>0</v>
      </c>
      <c r="R1304" s="1037">
        <f t="shared" si="402"/>
        <v>2813.6467714852693</v>
      </c>
      <c r="S1304" s="1011">
        <v>2019</v>
      </c>
      <c r="T1304" s="1011">
        <v>2020</v>
      </c>
    </row>
    <row r="1305" spans="1:20" ht="43.15" customHeight="1">
      <c r="A1305" s="1271">
        <v>250</v>
      </c>
      <c r="B1305" s="997" t="s">
        <v>2755</v>
      </c>
      <c r="C1305" s="1271">
        <v>1959</v>
      </c>
      <c r="D1305" s="1271"/>
      <c r="E1305" s="1277" t="s">
        <v>218</v>
      </c>
      <c r="F1305" s="1271">
        <v>4</v>
      </c>
      <c r="G1305" s="1271">
        <v>4</v>
      </c>
      <c r="H1305" s="1002">
        <v>4393.7</v>
      </c>
      <c r="I1305" s="1002">
        <v>2641.8</v>
      </c>
      <c r="J1305" s="1002">
        <v>2180.4</v>
      </c>
      <c r="K1305" s="987">
        <v>74</v>
      </c>
      <c r="L1305" s="993">
        <v>10628639.77</v>
      </c>
      <c r="M1305" s="993">
        <v>0</v>
      </c>
      <c r="N1305" s="993">
        <v>0</v>
      </c>
      <c r="O1305" s="993">
        <f t="shared" si="401"/>
        <v>10628639.77</v>
      </c>
      <c r="P1305" s="985">
        <v>0</v>
      </c>
      <c r="Q1305" s="985">
        <v>0</v>
      </c>
      <c r="R1305" s="1037">
        <f t="shared" si="402"/>
        <v>4023.2567832538416</v>
      </c>
      <c r="S1305" s="1011">
        <v>2019</v>
      </c>
      <c r="T1305" s="1011">
        <v>2020</v>
      </c>
    </row>
    <row r="1306" spans="1:20" ht="42" customHeight="1">
      <c r="A1306" s="1271">
        <v>251</v>
      </c>
      <c r="B1306" s="1274" t="s">
        <v>2756</v>
      </c>
      <c r="C1306" s="1271">
        <v>1950</v>
      </c>
      <c r="D1306" s="1271"/>
      <c r="E1306" s="1277" t="s">
        <v>218</v>
      </c>
      <c r="F1306" s="1271">
        <v>2</v>
      </c>
      <c r="G1306" s="1271">
        <v>1</v>
      </c>
      <c r="H1306" s="1002">
        <v>441.6</v>
      </c>
      <c r="I1306" s="1002">
        <v>354</v>
      </c>
      <c r="J1306" s="1002">
        <v>354</v>
      </c>
      <c r="K1306" s="987">
        <v>15</v>
      </c>
      <c r="L1306" s="993">
        <v>1380917.7</v>
      </c>
      <c r="M1306" s="993">
        <v>0</v>
      </c>
      <c r="N1306" s="993">
        <v>0</v>
      </c>
      <c r="O1306" s="993">
        <f t="shared" si="401"/>
        <v>1380917.7</v>
      </c>
      <c r="P1306" s="993">
        <v>0</v>
      </c>
      <c r="Q1306" s="993">
        <v>0</v>
      </c>
      <c r="R1306" s="1037">
        <f t="shared" si="402"/>
        <v>3900.8974576271185</v>
      </c>
      <c r="S1306" s="1011">
        <v>2019</v>
      </c>
      <c r="T1306" s="1011">
        <v>2020</v>
      </c>
    </row>
    <row r="1307" spans="1:20" ht="42" customHeight="1">
      <c r="A1307" s="1271">
        <v>252</v>
      </c>
      <c r="B1307" s="1274" t="s">
        <v>2757</v>
      </c>
      <c r="C1307" s="1271">
        <v>1977</v>
      </c>
      <c r="D1307" s="1271"/>
      <c r="E1307" s="1277" t="s">
        <v>218</v>
      </c>
      <c r="F1307" s="1271">
        <v>9</v>
      </c>
      <c r="G1307" s="1271">
        <v>1</v>
      </c>
      <c r="H1307" s="1002">
        <v>2537.3000000000002</v>
      </c>
      <c r="I1307" s="1002">
        <v>2237.3000000000002</v>
      </c>
      <c r="J1307" s="1002">
        <v>2237.3000000000002</v>
      </c>
      <c r="K1307" s="987">
        <v>88</v>
      </c>
      <c r="L1307" s="993">
        <v>978176</v>
      </c>
      <c r="M1307" s="993">
        <v>0</v>
      </c>
      <c r="N1307" s="993">
        <v>0</v>
      </c>
      <c r="O1307" s="993">
        <f t="shared" si="401"/>
        <v>978176</v>
      </c>
      <c r="P1307" s="993">
        <v>0</v>
      </c>
      <c r="Q1307" s="993">
        <v>0</v>
      </c>
      <c r="R1307" s="1037">
        <f t="shared" si="402"/>
        <v>437.21271175077101</v>
      </c>
      <c r="S1307" s="1011">
        <v>2019</v>
      </c>
      <c r="T1307" s="1011">
        <v>2020</v>
      </c>
    </row>
    <row r="1308" spans="1:20" ht="46.15" customHeight="1">
      <c r="A1308" s="1271">
        <v>253</v>
      </c>
      <c r="B1308" s="1274" t="s">
        <v>2758</v>
      </c>
      <c r="C1308" s="1271">
        <v>1959</v>
      </c>
      <c r="D1308" s="1271"/>
      <c r="E1308" s="1277" t="s">
        <v>218</v>
      </c>
      <c r="F1308" s="1271">
        <v>2</v>
      </c>
      <c r="G1308" s="1271">
        <v>2</v>
      </c>
      <c r="H1308" s="1002">
        <v>719.9</v>
      </c>
      <c r="I1308" s="1002">
        <v>434.9</v>
      </c>
      <c r="J1308" s="1002">
        <v>434.9</v>
      </c>
      <c r="K1308" s="987">
        <v>9</v>
      </c>
      <c r="L1308" s="993">
        <v>1825405.29</v>
      </c>
      <c r="M1308" s="993">
        <v>0</v>
      </c>
      <c r="N1308" s="993">
        <v>0</v>
      </c>
      <c r="O1308" s="993">
        <f t="shared" si="401"/>
        <v>1825405.29</v>
      </c>
      <c r="P1308" s="993">
        <v>0</v>
      </c>
      <c r="Q1308" s="993">
        <v>0</v>
      </c>
      <c r="R1308" s="1037">
        <f t="shared" si="402"/>
        <v>4197.2988962979998</v>
      </c>
      <c r="S1308" s="1011">
        <v>2019</v>
      </c>
      <c r="T1308" s="1011">
        <v>2022</v>
      </c>
    </row>
    <row r="1309" spans="1:20" ht="40.15" customHeight="1">
      <c r="A1309" s="1271">
        <v>254</v>
      </c>
      <c r="B1309" s="1274" t="s">
        <v>2759</v>
      </c>
      <c r="C1309" s="1271">
        <v>1961</v>
      </c>
      <c r="D1309" s="1271"/>
      <c r="E1309" s="1277" t="s">
        <v>218</v>
      </c>
      <c r="F1309" s="1271">
        <v>2</v>
      </c>
      <c r="G1309" s="1271">
        <v>2</v>
      </c>
      <c r="H1309" s="1002">
        <v>528.4</v>
      </c>
      <c r="I1309" s="1002">
        <v>467.4</v>
      </c>
      <c r="J1309" s="1002">
        <v>467.4</v>
      </c>
      <c r="K1309" s="987">
        <v>28</v>
      </c>
      <c r="L1309" s="993">
        <v>1441841</v>
      </c>
      <c r="M1309" s="993">
        <v>0</v>
      </c>
      <c r="N1309" s="993">
        <v>0</v>
      </c>
      <c r="O1309" s="993">
        <f t="shared" si="401"/>
        <v>1441841</v>
      </c>
      <c r="P1309" s="993">
        <v>0</v>
      </c>
      <c r="Q1309" s="993">
        <v>0</v>
      </c>
      <c r="R1309" s="1037">
        <f t="shared" si="402"/>
        <v>3084.8117244330338</v>
      </c>
      <c r="S1309" s="1011">
        <v>2019</v>
      </c>
      <c r="T1309" s="1011">
        <v>2020</v>
      </c>
    </row>
    <row r="1310" spans="1:20" ht="38.450000000000003" customHeight="1">
      <c r="A1310" s="1271">
        <v>255</v>
      </c>
      <c r="B1310" s="1274" t="s">
        <v>2760</v>
      </c>
      <c r="C1310" s="1271">
        <v>1959</v>
      </c>
      <c r="D1310" s="1271"/>
      <c r="E1310" s="1023" t="s">
        <v>823</v>
      </c>
      <c r="F1310" s="1271">
        <v>2</v>
      </c>
      <c r="G1310" s="1271">
        <v>2</v>
      </c>
      <c r="H1310" s="1002">
        <v>647.1</v>
      </c>
      <c r="I1310" s="1002">
        <v>402.1</v>
      </c>
      <c r="J1310" s="1002">
        <v>402.1</v>
      </c>
      <c r="K1310" s="987">
        <v>19</v>
      </c>
      <c r="L1310" s="993">
        <v>1353840.88</v>
      </c>
      <c r="M1310" s="993">
        <v>0</v>
      </c>
      <c r="N1310" s="993">
        <v>0</v>
      </c>
      <c r="O1310" s="993">
        <f t="shared" si="401"/>
        <v>1353840.88</v>
      </c>
      <c r="P1310" s="993">
        <v>0</v>
      </c>
      <c r="Q1310" s="993">
        <v>0</v>
      </c>
      <c r="R1310" s="1037">
        <f t="shared" si="402"/>
        <v>3366.9258393434466</v>
      </c>
      <c r="S1310" s="1011">
        <v>2019</v>
      </c>
      <c r="T1310" s="1011">
        <v>2020</v>
      </c>
    </row>
    <row r="1311" spans="1:20" ht="42.6" customHeight="1">
      <c r="A1311" s="1271">
        <v>256</v>
      </c>
      <c r="B1311" s="1041" t="s">
        <v>2761</v>
      </c>
      <c r="C1311" s="1271">
        <v>1954</v>
      </c>
      <c r="D1311" s="1271"/>
      <c r="E1311" s="1277" t="s">
        <v>218</v>
      </c>
      <c r="F1311" s="1271">
        <v>3</v>
      </c>
      <c r="G1311" s="1271">
        <v>2</v>
      </c>
      <c r="H1311" s="1002">
        <v>565.20000000000005</v>
      </c>
      <c r="I1311" s="1002">
        <v>531.1</v>
      </c>
      <c r="J1311" s="1002">
        <v>531.1</v>
      </c>
      <c r="K1311" s="987">
        <v>21</v>
      </c>
      <c r="L1311" s="993">
        <v>2676948.29</v>
      </c>
      <c r="M1311" s="993">
        <v>0</v>
      </c>
      <c r="N1311" s="993">
        <v>0</v>
      </c>
      <c r="O1311" s="993">
        <f t="shared" si="401"/>
        <v>2676948.29</v>
      </c>
      <c r="P1311" s="985">
        <v>0</v>
      </c>
      <c r="Q1311" s="1037">
        <v>0</v>
      </c>
      <c r="R1311" s="1037">
        <f t="shared" si="402"/>
        <v>5040.3846544906792</v>
      </c>
      <c r="S1311" s="1011">
        <v>2019</v>
      </c>
      <c r="T1311" s="1011">
        <v>2020</v>
      </c>
    </row>
    <row r="1312" spans="1:20" ht="46.15" customHeight="1">
      <c r="A1312" s="1271">
        <v>257</v>
      </c>
      <c r="B1312" s="1041" t="s">
        <v>2762</v>
      </c>
      <c r="C1312" s="1271">
        <v>1917</v>
      </c>
      <c r="D1312" s="1271"/>
      <c r="E1312" s="1277" t="s">
        <v>218</v>
      </c>
      <c r="F1312" s="1271">
        <v>3</v>
      </c>
      <c r="G1312" s="1271">
        <v>1</v>
      </c>
      <c r="H1312" s="1002">
        <v>435.4</v>
      </c>
      <c r="I1312" s="1002">
        <v>435.4</v>
      </c>
      <c r="J1312" s="1002">
        <v>326.5</v>
      </c>
      <c r="K1312" s="987">
        <v>23</v>
      </c>
      <c r="L1312" s="993">
        <v>1907924.38</v>
      </c>
      <c r="M1312" s="993">
        <v>0</v>
      </c>
      <c r="N1312" s="993">
        <v>0</v>
      </c>
      <c r="O1312" s="993">
        <f t="shared" si="401"/>
        <v>1907924.38</v>
      </c>
      <c r="P1312" s="985">
        <v>0</v>
      </c>
      <c r="Q1312" s="1037">
        <v>0</v>
      </c>
      <c r="R1312" s="1037">
        <f t="shared" si="402"/>
        <v>4382.0036288470374</v>
      </c>
      <c r="S1312" s="1011">
        <v>2019</v>
      </c>
      <c r="T1312" s="1011">
        <v>2020</v>
      </c>
    </row>
    <row r="1313" spans="1:20" ht="44.45" customHeight="1">
      <c r="A1313" s="1271">
        <v>258</v>
      </c>
      <c r="B1313" s="1041" t="s">
        <v>2763</v>
      </c>
      <c r="C1313" s="1271">
        <v>1917</v>
      </c>
      <c r="D1313" s="1271"/>
      <c r="E1313" s="1277" t="s">
        <v>218</v>
      </c>
      <c r="F1313" s="1271">
        <v>3</v>
      </c>
      <c r="G1313" s="1271">
        <v>1</v>
      </c>
      <c r="H1313" s="1002">
        <v>304.5</v>
      </c>
      <c r="I1313" s="1002">
        <v>304.5</v>
      </c>
      <c r="J1313" s="1002">
        <v>213.1</v>
      </c>
      <c r="K1313" s="987">
        <v>12</v>
      </c>
      <c r="L1313" s="993">
        <v>1428947.55</v>
      </c>
      <c r="M1313" s="993">
        <v>0</v>
      </c>
      <c r="N1313" s="993">
        <v>0</v>
      </c>
      <c r="O1313" s="993">
        <f t="shared" si="401"/>
        <v>1428947.55</v>
      </c>
      <c r="P1313" s="985">
        <v>0</v>
      </c>
      <c r="Q1313" s="1037">
        <v>0</v>
      </c>
      <c r="R1313" s="1037">
        <f t="shared" si="402"/>
        <v>4692.7669950738918</v>
      </c>
      <c r="S1313" s="1011">
        <v>2019</v>
      </c>
      <c r="T1313" s="1011">
        <v>2020</v>
      </c>
    </row>
    <row r="1314" spans="1:20" ht="44.45" customHeight="1">
      <c r="A1314" s="1271">
        <v>259</v>
      </c>
      <c r="B1314" s="1041" t="s">
        <v>2764</v>
      </c>
      <c r="C1314" s="1271">
        <v>1963</v>
      </c>
      <c r="D1314" s="1271"/>
      <c r="E1314" s="1277" t="s">
        <v>218</v>
      </c>
      <c r="F1314" s="1271">
        <v>4</v>
      </c>
      <c r="G1314" s="1271">
        <v>2</v>
      </c>
      <c r="H1314" s="1002">
        <v>2123.6999999999998</v>
      </c>
      <c r="I1314" s="1002">
        <v>2123.6999999999998</v>
      </c>
      <c r="J1314" s="1002">
        <v>1351.1</v>
      </c>
      <c r="K1314" s="987">
        <v>56</v>
      </c>
      <c r="L1314" s="993">
        <v>3877826.44</v>
      </c>
      <c r="M1314" s="993">
        <v>0</v>
      </c>
      <c r="N1314" s="993">
        <v>0</v>
      </c>
      <c r="O1314" s="993">
        <f t="shared" si="401"/>
        <v>3877826.44</v>
      </c>
      <c r="P1314" s="985">
        <v>0</v>
      </c>
      <c r="Q1314" s="1037">
        <v>0</v>
      </c>
      <c r="R1314" s="1037">
        <f t="shared" si="402"/>
        <v>1825.9765691952725</v>
      </c>
      <c r="S1314" s="1011">
        <v>2019</v>
      </c>
      <c r="T1314" s="1011">
        <v>2020</v>
      </c>
    </row>
    <row r="1315" spans="1:20" ht="42" customHeight="1">
      <c r="A1315" s="1271">
        <v>260</v>
      </c>
      <c r="B1315" s="1040" t="s">
        <v>2765</v>
      </c>
      <c r="C1315" s="1271">
        <v>1961</v>
      </c>
      <c r="D1315" s="1271"/>
      <c r="E1315" s="1277" t="s">
        <v>218</v>
      </c>
      <c r="F1315" s="1271">
        <v>4</v>
      </c>
      <c r="G1315" s="1271">
        <v>2</v>
      </c>
      <c r="H1315" s="1002">
        <v>1372.8</v>
      </c>
      <c r="I1315" s="1002">
        <v>1372.8</v>
      </c>
      <c r="J1315" s="1002">
        <v>1151.7</v>
      </c>
      <c r="K1315" s="987">
        <v>45</v>
      </c>
      <c r="L1315" s="993">
        <v>3060129.76</v>
      </c>
      <c r="M1315" s="993">
        <v>0</v>
      </c>
      <c r="N1315" s="993">
        <v>0</v>
      </c>
      <c r="O1315" s="993">
        <f t="shared" si="401"/>
        <v>3060129.76</v>
      </c>
      <c r="P1315" s="985">
        <v>0</v>
      </c>
      <c r="Q1315" s="1037">
        <v>0</v>
      </c>
      <c r="R1315" s="1037">
        <f t="shared" si="402"/>
        <v>2229.115501165501</v>
      </c>
      <c r="S1315" s="1011">
        <v>2019</v>
      </c>
      <c r="T1315" s="1011">
        <v>2020</v>
      </c>
    </row>
    <row r="1316" spans="1:20" ht="48.6" customHeight="1">
      <c r="A1316" s="1271">
        <v>261</v>
      </c>
      <c r="B1316" s="1040" t="s">
        <v>2766</v>
      </c>
      <c r="C1316" s="1271">
        <v>1963</v>
      </c>
      <c r="D1316" s="1271"/>
      <c r="E1316" s="1277" t="s">
        <v>218</v>
      </c>
      <c r="F1316" s="1271">
        <v>4</v>
      </c>
      <c r="G1316" s="1271">
        <v>2</v>
      </c>
      <c r="H1316" s="1002">
        <v>1216.5</v>
      </c>
      <c r="I1316" s="1002">
        <v>1216.5</v>
      </c>
      <c r="J1316" s="1002">
        <v>927.6</v>
      </c>
      <c r="K1316" s="987">
        <v>44</v>
      </c>
      <c r="L1316" s="993">
        <v>3060129.76</v>
      </c>
      <c r="M1316" s="993">
        <v>0</v>
      </c>
      <c r="N1316" s="993">
        <v>0</v>
      </c>
      <c r="O1316" s="993">
        <f t="shared" si="401"/>
        <v>3060129.76</v>
      </c>
      <c r="P1316" s="985">
        <v>0</v>
      </c>
      <c r="Q1316" s="1037">
        <v>0</v>
      </c>
      <c r="R1316" s="1037">
        <f t="shared" si="402"/>
        <v>2515.5197369502671</v>
      </c>
      <c r="S1316" s="1011">
        <v>2019</v>
      </c>
      <c r="T1316" s="1011">
        <v>2020</v>
      </c>
    </row>
    <row r="1317" spans="1:20" ht="44.45" customHeight="1">
      <c r="A1317" s="1271">
        <v>262</v>
      </c>
      <c r="B1317" s="1040" t="s">
        <v>2767</v>
      </c>
      <c r="C1317" s="1271">
        <v>1962</v>
      </c>
      <c r="D1317" s="1271"/>
      <c r="E1317" s="1277" t="s">
        <v>218</v>
      </c>
      <c r="F1317" s="1271">
        <v>4</v>
      </c>
      <c r="G1317" s="1271">
        <v>2</v>
      </c>
      <c r="H1317" s="1002">
        <v>1668.4</v>
      </c>
      <c r="I1317" s="1002">
        <v>1668.4</v>
      </c>
      <c r="J1317" s="1002">
        <v>1091.0999999999999</v>
      </c>
      <c r="K1317" s="987">
        <v>39</v>
      </c>
      <c r="L1317" s="993">
        <v>2847251.17</v>
      </c>
      <c r="M1317" s="993">
        <v>0</v>
      </c>
      <c r="N1317" s="993">
        <v>0</v>
      </c>
      <c r="O1317" s="993">
        <f t="shared" si="401"/>
        <v>2847251.17</v>
      </c>
      <c r="P1317" s="985">
        <v>0</v>
      </c>
      <c r="Q1317" s="1037">
        <v>0</v>
      </c>
      <c r="R1317" s="1037">
        <f t="shared" si="402"/>
        <v>1706.5758631023734</v>
      </c>
      <c r="S1317" s="1011">
        <v>2019</v>
      </c>
      <c r="T1317" s="1011">
        <v>2020</v>
      </c>
    </row>
    <row r="1318" spans="1:20" ht="39" customHeight="1">
      <c r="A1318" s="1271">
        <v>263</v>
      </c>
      <c r="B1318" s="1040" t="s">
        <v>2768</v>
      </c>
      <c r="C1318" s="1271">
        <v>1958</v>
      </c>
      <c r="D1318" s="1271"/>
      <c r="E1318" s="1277" t="s">
        <v>218</v>
      </c>
      <c r="F1318" s="1271">
        <v>3</v>
      </c>
      <c r="G1318" s="1271">
        <v>3</v>
      </c>
      <c r="H1318" s="1002">
        <v>1529.3</v>
      </c>
      <c r="I1318" s="1002">
        <v>1529.3</v>
      </c>
      <c r="J1318" s="1002">
        <v>1239.4000000000001</v>
      </c>
      <c r="K1318" s="987">
        <v>45</v>
      </c>
      <c r="L1318" s="993">
        <v>7367461.9699999997</v>
      </c>
      <c r="M1318" s="993">
        <v>0</v>
      </c>
      <c r="N1318" s="993">
        <v>0</v>
      </c>
      <c r="O1318" s="993">
        <f t="shared" si="401"/>
        <v>7367461.9699999997</v>
      </c>
      <c r="P1318" s="985">
        <v>0</v>
      </c>
      <c r="Q1318" s="1037">
        <v>0</v>
      </c>
      <c r="R1318" s="1037">
        <f t="shared" si="402"/>
        <v>4817.538723599032</v>
      </c>
      <c r="S1318" s="1011">
        <v>2019</v>
      </c>
      <c r="T1318" s="1011">
        <v>2020</v>
      </c>
    </row>
    <row r="1319" spans="1:20" ht="46.15" customHeight="1">
      <c r="A1319" s="1271">
        <v>264</v>
      </c>
      <c r="B1319" s="1041" t="s">
        <v>2769</v>
      </c>
      <c r="C1319" s="1271">
        <v>1962</v>
      </c>
      <c r="D1319" s="1271"/>
      <c r="E1319" s="1277" t="s">
        <v>218</v>
      </c>
      <c r="F1319" s="1271">
        <v>4</v>
      </c>
      <c r="G1319" s="1271">
        <v>2</v>
      </c>
      <c r="H1319" s="1002">
        <v>1694</v>
      </c>
      <c r="I1319" s="1002">
        <v>1694</v>
      </c>
      <c r="J1319" s="1002">
        <v>1124.2</v>
      </c>
      <c r="K1319" s="987">
        <v>62</v>
      </c>
      <c r="L1319" s="993">
        <v>3219788.7</v>
      </c>
      <c r="M1319" s="993">
        <v>0</v>
      </c>
      <c r="N1319" s="993">
        <v>0</v>
      </c>
      <c r="O1319" s="993">
        <f t="shared" si="401"/>
        <v>3219788.7</v>
      </c>
      <c r="P1319" s="985">
        <v>0</v>
      </c>
      <c r="Q1319" s="1037">
        <v>0</v>
      </c>
      <c r="R1319" s="1037">
        <f t="shared" si="402"/>
        <v>1900.7017119244392</v>
      </c>
      <c r="S1319" s="1011">
        <v>2019</v>
      </c>
      <c r="T1319" s="1011">
        <v>2020</v>
      </c>
    </row>
    <row r="1320" spans="1:20" ht="44.45" customHeight="1">
      <c r="A1320" s="1271">
        <v>265</v>
      </c>
      <c r="B1320" s="1040" t="s">
        <v>2770</v>
      </c>
      <c r="C1320" s="1271">
        <v>1917</v>
      </c>
      <c r="D1320" s="1271"/>
      <c r="E1320" s="1277" t="s">
        <v>218</v>
      </c>
      <c r="F1320" s="1271">
        <v>3</v>
      </c>
      <c r="G1320" s="1271">
        <v>2</v>
      </c>
      <c r="H1320" s="1002">
        <v>1148.3</v>
      </c>
      <c r="I1320" s="1002">
        <v>1148.3</v>
      </c>
      <c r="J1320" s="1002">
        <v>1018.3</v>
      </c>
      <c r="K1320" s="987">
        <v>45</v>
      </c>
      <c r="L1320" s="1037">
        <v>3432667.3</v>
      </c>
      <c r="M1320" s="993">
        <v>0</v>
      </c>
      <c r="N1320" s="993">
        <v>0</v>
      </c>
      <c r="O1320" s="993">
        <f t="shared" si="401"/>
        <v>3432667.3</v>
      </c>
      <c r="P1320" s="985">
        <v>0</v>
      </c>
      <c r="Q1320" s="1037">
        <v>0</v>
      </c>
      <c r="R1320" s="1037">
        <f t="shared" si="402"/>
        <v>2989.3471218322738</v>
      </c>
      <c r="S1320" s="1011">
        <v>2019</v>
      </c>
      <c r="T1320" s="1011">
        <v>2020</v>
      </c>
    </row>
    <row r="1321" spans="1:20" ht="42.6" customHeight="1">
      <c r="A1321" s="1271">
        <v>266</v>
      </c>
      <c r="B1321" s="1040" t="s">
        <v>2771</v>
      </c>
      <c r="C1321" s="1271">
        <v>1965</v>
      </c>
      <c r="D1321" s="1271"/>
      <c r="E1321" s="1277" t="s">
        <v>218</v>
      </c>
      <c r="F1321" s="1271">
        <v>4</v>
      </c>
      <c r="G1321" s="1271">
        <v>3</v>
      </c>
      <c r="H1321" s="1002">
        <v>2779.1</v>
      </c>
      <c r="I1321" s="1002">
        <v>2779.1</v>
      </c>
      <c r="J1321" s="1002">
        <v>1511.9</v>
      </c>
      <c r="K1321" s="987">
        <v>66</v>
      </c>
      <c r="L1321" s="993">
        <v>4529255.87</v>
      </c>
      <c r="M1321" s="993">
        <v>0</v>
      </c>
      <c r="N1321" s="993">
        <v>0</v>
      </c>
      <c r="O1321" s="993">
        <f t="shared" si="401"/>
        <v>4529255.87</v>
      </c>
      <c r="P1321" s="985">
        <v>0</v>
      </c>
      <c r="Q1321" s="1037">
        <v>0</v>
      </c>
      <c r="R1321" s="1037">
        <f t="shared" si="402"/>
        <v>1629.7563491777914</v>
      </c>
      <c r="S1321" s="1011">
        <v>2019</v>
      </c>
      <c r="T1321" s="1011">
        <v>2020</v>
      </c>
    </row>
    <row r="1322" spans="1:20" ht="42" customHeight="1">
      <c r="A1322" s="1271">
        <v>267</v>
      </c>
      <c r="B1322" s="1040" t="s">
        <v>2772</v>
      </c>
      <c r="C1322" s="1271">
        <v>1966</v>
      </c>
      <c r="D1322" s="1271"/>
      <c r="E1322" s="1277" t="s">
        <v>218</v>
      </c>
      <c r="F1322" s="1271">
        <v>5</v>
      </c>
      <c r="G1322" s="1271">
        <v>3</v>
      </c>
      <c r="H1322" s="1002">
        <v>3322.6</v>
      </c>
      <c r="I1322" s="1002">
        <v>3322.6</v>
      </c>
      <c r="J1322" s="1002">
        <v>2037.1</v>
      </c>
      <c r="K1322" s="987">
        <v>69</v>
      </c>
      <c r="L1322" s="993">
        <v>5422386.9000000004</v>
      </c>
      <c r="M1322" s="993">
        <v>0</v>
      </c>
      <c r="N1322" s="993">
        <v>0</v>
      </c>
      <c r="O1322" s="993">
        <f t="shared" si="401"/>
        <v>5422386.9000000004</v>
      </c>
      <c r="P1322" s="985">
        <v>0</v>
      </c>
      <c r="Q1322" s="1037">
        <v>0</v>
      </c>
      <c r="R1322" s="1037">
        <f t="shared" si="402"/>
        <v>1631.9710166736895</v>
      </c>
      <c r="S1322" s="1011">
        <v>2019</v>
      </c>
      <c r="T1322" s="1011">
        <v>2020</v>
      </c>
    </row>
    <row r="1323" spans="1:20" ht="38.450000000000003" customHeight="1">
      <c r="A1323" s="1271">
        <v>268</v>
      </c>
      <c r="B1323" s="1040" t="s">
        <v>2773</v>
      </c>
      <c r="C1323" s="1271">
        <v>1974</v>
      </c>
      <c r="D1323" s="1271"/>
      <c r="E1323" s="1277" t="s">
        <v>218</v>
      </c>
      <c r="F1323" s="1271">
        <v>5</v>
      </c>
      <c r="G1323" s="1271">
        <v>4</v>
      </c>
      <c r="H1323" s="1002">
        <v>4732.5</v>
      </c>
      <c r="I1323" s="1002">
        <v>4732.5</v>
      </c>
      <c r="J1323" s="1002">
        <v>2755.4</v>
      </c>
      <c r="K1323" s="987">
        <v>109</v>
      </c>
      <c r="L1323" s="993">
        <v>7078213.1799999997</v>
      </c>
      <c r="M1323" s="993">
        <v>0</v>
      </c>
      <c r="N1323" s="993">
        <v>0</v>
      </c>
      <c r="O1323" s="993">
        <f t="shared" si="401"/>
        <v>7078213.1799999997</v>
      </c>
      <c r="P1323" s="985">
        <v>0</v>
      </c>
      <c r="Q1323" s="1037">
        <v>0</v>
      </c>
      <c r="R1323" s="1037">
        <f t="shared" si="402"/>
        <v>1495.6604712097201</v>
      </c>
      <c r="S1323" s="1011">
        <v>2019</v>
      </c>
      <c r="T1323" s="1011">
        <v>2020</v>
      </c>
    </row>
    <row r="1324" spans="1:20" ht="40.9" customHeight="1">
      <c r="A1324" s="1271">
        <v>269</v>
      </c>
      <c r="B1324" s="1040" t="s">
        <v>2774</v>
      </c>
      <c r="C1324" s="1271">
        <v>1971</v>
      </c>
      <c r="D1324" s="1271"/>
      <c r="E1324" s="1277" t="s">
        <v>218</v>
      </c>
      <c r="F1324" s="1271">
        <v>5</v>
      </c>
      <c r="G1324" s="1271">
        <v>4</v>
      </c>
      <c r="H1324" s="1002">
        <v>3432.1</v>
      </c>
      <c r="I1324" s="1002">
        <v>3432.1</v>
      </c>
      <c r="J1324" s="1002">
        <v>2532.4</v>
      </c>
      <c r="K1324" s="987">
        <v>105</v>
      </c>
      <c r="L1324" s="993">
        <v>6785505.1200000001</v>
      </c>
      <c r="M1324" s="993">
        <v>0</v>
      </c>
      <c r="N1324" s="993">
        <v>0</v>
      </c>
      <c r="O1324" s="993">
        <f t="shared" si="401"/>
        <v>6785505.1200000001</v>
      </c>
      <c r="P1324" s="985">
        <v>0</v>
      </c>
      <c r="Q1324" s="1037">
        <v>0</v>
      </c>
      <c r="R1324" s="1037">
        <f t="shared" si="402"/>
        <v>1977.0709245068617</v>
      </c>
      <c r="S1324" s="1011">
        <v>2019</v>
      </c>
      <c r="T1324" s="1011">
        <v>2020</v>
      </c>
    </row>
    <row r="1325" spans="1:20" ht="43.9" customHeight="1">
      <c r="A1325" s="1271">
        <v>270</v>
      </c>
      <c r="B1325" s="1040" t="s">
        <v>2775</v>
      </c>
      <c r="C1325" s="1271">
        <v>1938</v>
      </c>
      <c r="D1325" s="1271"/>
      <c r="E1325" s="1277" t="s">
        <v>218</v>
      </c>
      <c r="F1325" s="1271">
        <v>4</v>
      </c>
      <c r="G1325" s="1271">
        <v>4</v>
      </c>
      <c r="H1325" s="1002">
        <v>1900.1</v>
      </c>
      <c r="I1325" s="1002">
        <v>1900.1</v>
      </c>
      <c r="J1325" s="1002">
        <v>1612.5</v>
      </c>
      <c r="K1325" s="987">
        <v>67</v>
      </c>
      <c r="L1325" s="993">
        <v>5662570.5499999998</v>
      </c>
      <c r="M1325" s="993">
        <v>0</v>
      </c>
      <c r="N1325" s="993">
        <v>0</v>
      </c>
      <c r="O1325" s="993">
        <f t="shared" si="401"/>
        <v>5662570.5499999998</v>
      </c>
      <c r="P1325" s="985">
        <v>0</v>
      </c>
      <c r="Q1325" s="1037">
        <v>0</v>
      </c>
      <c r="R1325" s="1037">
        <f t="shared" si="402"/>
        <v>2980.1434398189567</v>
      </c>
      <c r="S1325" s="1011">
        <v>2019</v>
      </c>
      <c r="T1325" s="1011">
        <v>2020</v>
      </c>
    </row>
    <row r="1326" spans="1:20" ht="45" customHeight="1">
      <c r="A1326" s="1271">
        <v>271</v>
      </c>
      <c r="B1326" s="1040" t="s">
        <v>2776</v>
      </c>
      <c r="C1326" s="1271">
        <v>1968</v>
      </c>
      <c r="D1326" s="1271"/>
      <c r="E1326" s="1277" t="s">
        <v>218</v>
      </c>
      <c r="F1326" s="1271">
        <v>5</v>
      </c>
      <c r="G1326" s="1271">
        <v>6</v>
      </c>
      <c r="H1326" s="1002">
        <v>4551.3999999999996</v>
      </c>
      <c r="I1326" s="1002">
        <v>4551.3999999999996</v>
      </c>
      <c r="J1326" s="1002">
        <v>3035.6</v>
      </c>
      <c r="K1326" s="987">
        <v>160</v>
      </c>
      <c r="L1326" s="993">
        <v>8262350.3499999996</v>
      </c>
      <c r="M1326" s="993">
        <v>0</v>
      </c>
      <c r="N1326" s="993">
        <v>0</v>
      </c>
      <c r="O1326" s="993">
        <f t="shared" si="401"/>
        <v>8262350.3499999996</v>
      </c>
      <c r="P1326" s="985">
        <v>0</v>
      </c>
      <c r="Q1326" s="1037">
        <v>0</v>
      </c>
      <c r="R1326" s="1037">
        <f t="shared" si="402"/>
        <v>1815.3426088676013</v>
      </c>
      <c r="S1326" s="1011">
        <v>2019</v>
      </c>
      <c r="T1326" s="1011">
        <v>2020</v>
      </c>
    </row>
    <row r="1327" spans="1:20" ht="40.9" customHeight="1">
      <c r="A1327" s="1271">
        <v>272</v>
      </c>
      <c r="B1327" s="1040" t="s">
        <v>2777</v>
      </c>
      <c r="C1327" s="1271">
        <v>1917</v>
      </c>
      <c r="D1327" s="1271"/>
      <c r="E1327" s="1277" t="s">
        <v>218</v>
      </c>
      <c r="F1327" s="1271">
        <v>2</v>
      </c>
      <c r="G1327" s="1271">
        <v>1</v>
      </c>
      <c r="H1327" s="1002">
        <v>238.5</v>
      </c>
      <c r="I1327" s="1002">
        <v>238.5</v>
      </c>
      <c r="J1327" s="1002">
        <v>214</v>
      </c>
      <c r="K1327" s="987">
        <v>13</v>
      </c>
      <c r="L1327" s="993">
        <v>2792414.78</v>
      </c>
      <c r="M1327" s="993">
        <v>0</v>
      </c>
      <c r="N1327" s="993">
        <v>0</v>
      </c>
      <c r="O1327" s="993">
        <f t="shared" si="401"/>
        <v>2792414.78</v>
      </c>
      <c r="P1327" s="985">
        <v>0</v>
      </c>
      <c r="Q1327" s="1037">
        <v>0</v>
      </c>
      <c r="R1327" s="1037">
        <f t="shared" si="402"/>
        <v>11708.238071278825</v>
      </c>
      <c r="S1327" s="1011">
        <v>2019</v>
      </c>
      <c r="T1327" s="1011">
        <v>2020</v>
      </c>
    </row>
    <row r="1328" spans="1:20" ht="39.6" customHeight="1">
      <c r="A1328" s="1271">
        <v>273</v>
      </c>
      <c r="B1328" s="1040" t="s">
        <v>2778</v>
      </c>
      <c r="C1328" s="1271">
        <v>1917</v>
      </c>
      <c r="D1328" s="1271"/>
      <c r="E1328" s="1277" t="s">
        <v>218</v>
      </c>
      <c r="F1328" s="1271">
        <v>3</v>
      </c>
      <c r="G1328" s="1271">
        <v>2</v>
      </c>
      <c r="H1328" s="1002">
        <v>787.2</v>
      </c>
      <c r="I1328" s="1002">
        <v>787.2</v>
      </c>
      <c r="J1328" s="1002">
        <v>508.3</v>
      </c>
      <c r="K1328" s="987">
        <v>21</v>
      </c>
      <c r="L1328" s="993">
        <v>4229642.34</v>
      </c>
      <c r="M1328" s="993">
        <v>0</v>
      </c>
      <c r="N1328" s="993">
        <v>0</v>
      </c>
      <c r="O1328" s="993">
        <f t="shared" si="401"/>
        <v>4229642.34</v>
      </c>
      <c r="P1328" s="985">
        <v>0</v>
      </c>
      <c r="Q1328" s="1037">
        <v>0</v>
      </c>
      <c r="R1328" s="1037">
        <f t="shared" si="402"/>
        <v>5373.0212652439022</v>
      </c>
      <c r="S1328" s="1011">
        <v>2019</v>
      </c>
      <c r="T1328" s="1011">
        <v>2020</v>
      </c>
    </row>
    <row r="1329" spans="1:20" ht="37.15" customHeight="1">
      <c r="A1329" s="1271">
        <v>274</v>
      </c>
      <c r="B1329" s="1041" t="s">
        <v>2779</v>
      </c>
      <c r="C1329" s="1271">
        <v>1964</v>
      </c>
      <c r="D1329" s="1271"/>
      <c r="E1329" s="1277" t="s">
        <v>218</v>
      </c>
      <c r="F1329" s="1271">
        <v>4</v>
      </c>
      <c r="G1329" s="1271">
        <v>3</v>
      </c>
      <c r="H1329" s="1002">
        <v>2492</v>
      </c>
      <c r="I1329" s="1002">
        <v>2492</v>
      </c>
      <c r="J1329" s="1002">
        <v>1479</v>
      </c>
      <c r="K1329" s="987">
        <v>78</v>
      </c>
      <c r="L1329" s="993">
        <v>4847750.93</v>
      </c>
      <c r="M1329" s="993">
        <v>0</v>
      </c>
      <c r="N1329" s="993">
        <v>0</v>
      </c>
      <c r="O1329" s="993">
        <f t="shared" si="401"/>
        <v>4847750.93</v>
      </c>
      <c r="P1329" s="985">
        <v>0</v>
      </c>
      <c r="Q1329" s="1037">
        <v>0</v>
      </c>
      <c r="R1329" s="1037">
        <f t="shared" si="402"/>
        <v>1945.3254133226324</v>
      </c>
      <c r="S1329" s="1011">
        <v>2019</v>
      </c>
      <c r="T1329" s="1011">
        <v>2020</v>
      </c>
    </row>
    <row r="1330" spans="1:20" ht="37.5">
      <c r="A1330" s="1271">
        <v>275</v>
      </c>
      <c r="B1330" s="1041" t="s">
        <v>2780</v>
      </c>
      <c r="C1330" s="1271">
        <v>1981</v>
      </c>
      <c r="D1330" s="1271"/>
      <c r="E1330" s="1277" t="s">
        <v>218</v>
      </c>
      <c r="F1330" s="1271">
        <v>2</v>
      </c>
      <c r="G1330" s="1271">
        <v>2</v>
      </c>
      <c r="H1330" s="1002">
        <v>654</v>
      </c>
      <c r="I1330" s="1002">
        <v>654</v>
      </c>
      <c r="J1330" s="1002">
        <v>459.5</v>
      </c>
      <c r="K1330" s="987">
        <v>18</v>
      </c>
      <c r="L1330" s="993">
        <v>2256513.08</v>
      </c>
      <c r="M1330" s="993">
        <v>0</v>
      </c>
      <c r="N1330" s="993">
        <v>0</v>
      </c>
      <c r="O1330" s="993">
        <f t="shared" si="401"/>
        <v>2256513.08</v>
      </c>
      <c r="P1330" s="985">
        <v>0</v>
      </c>
      <c r="Q1330" s="1037">
        <v>0</v>
      </c>
      <c r="R1330" s="1037">
        <f t="shared" ref="R1330:R1336" si="403">L1330/I1330</f>
        <v>3450.3258103975536</v>
      </c>
      <c r="S1330" s="1011">
        <v>2019</v>
      </c>
      <c r="T1330" s="1011">
        <v>2020</v>
      </c>
    </row>
    <row r="1331" spans="1:20" ht="42.6" customHeight="1">
      <c r="A1331" s="1271">
        <v>276</v>
      </c>
      <c r="B1331" s="1040" t="s">
        <v>2781</v>
      </c>
      <c r="C1331" s="1271">
        <v>1957</v>
      </c>
      <c r="D1331" s="1271"/>
      <c r="E1331" s="1277" t="s">
        <v>218</v>
      </c>
      <c r="F1331" s="1271">
        <v>4</v>
      </c>
      <c r="G1331" s="1271">
        <v>4</v>
      </c>
      <c r="H1331" s="1002">
        <v>3664.2</v>
      </c>
      <c r="I1331" s="1002">
        <v>3664.2</v>
      </c>
      <c r="J1331" s="1002">
        <v>2332.1</v>
      </c>
      <c r="K1331" s="987">
        <v>80</v>
      </c>
      <c r="L1331" s="993">
        <v>7460912.7699999996</v>
      </c>
      <c r="M1331" s="993">
        <v>0</v>
      </c>
      <c r="N1331" s="993">
        <v>0</v>
      </c>
      <c r="O1331" s="993">
        <f t="shared" ref="O1331:O1336" si="404">L1331</f>
        <v>7460912.7699999996</v>
      </c>
      <c r="P1331" s="985">
        <v>0</v>
      </c>
      <c r="Q1331" s="1037">
        <v>0</v>
      </c>
      <c r="R1331" s="1037">
        <f t="shared" si="403"/>
        <v>2036.1641749904481</v>
      </c>
      <c r="S1331" s="1011">
        <v>2019</v>
      </c>
      <c r="T1331" s="1011">
        <v>2020</v>
      </c>
    </row>
    <row r="1332" spans="1:20" ht="43.9" customHeight="1">
      <c r="A1332" s="1271">
        <v>277</v>
      </c>
      <c r="B1332" s="1040" t="s">
        <v>2782</v>
      </c>
      <c r="C1332" s="1271">
        <v>1960</v>
      </c>
      <c r="D1332" s="1271"/>
      <c r="E1332" s="1277" t="s">
        <v>218</v>
      </c>
      <c r="F1332" s="1271">
        <v>3</v>
      </c>
      <c r="G1332" s="1271">
        <v>4</v>
      </c>
      <c r="H1332" s="1002">
        <v>1945.1</v>
      </c>
      <c r="I1332" s="1002">
        <v>1945.1</v>
      </c>
      <c r="J1332" s="1002">
        <v>969</v>
      </c>
      <c r="K1332" s="987">
        <v>39</v>
      </c>
      <c r="L1332" s="993">
        <v>4924643.9000000004</v>
      </c>
      <c r="M1332" s="993">
        <v>0</v>
      </c>
      <c r="N1332" s="993">
        <v>0</v>
      </c>
      <c r="O1332" s="993">
        <f t="shared" si="404"/>
        <v>4924643.9000000004</v>
      </c>
      <c r="P1332" s="985">
        <v>0</v>
      </c>
      <c r="Q1332" s="1037">
        <v>0</v>
      </c>
      <c r="R1332" s="1037">
        <f t="shared" si="403"/>
        <v>2531.820420543931</v>
      </c>
      <c r="S1332" s="1011">
        <v>2019</v>
      </c>
      <c r="T1332" s="1011">
        <v>2020</v>
      </c>
    </row>
    <row r="1333" spans="1:20" ht="36.6" customHeight="1">
      <c r="A1333" s="1271">
        <v>278</v>
      </c>
      <c r="B1333" s="1041" t="s">
        <v>2783</v>
      </c>
      <c r="C1333" s="1271">
        <v>1961</v>
      </c>
      <c r="D1333" s="1271"/>
      <c r="E1333" s="1277" t="s">
        <v>218</v>
      </c>
      <c r="F1333" s="1271">
        <v>4</v>
      </c>
      <c r="G1333" s="1271">
        <v>3</v>
      </c>
      <c r="H1333" s="1002">
        <v>2834.9</v>
      </c>
      <c r="I1333" s="1002">
        <v>2834.9</v>
      </c>
      <c r="J1333" s="1002">
        <v>1494.3</v>
      </c>
      <c r="K1333" s="987">
        <v>66</v>
      </c>
      <c r="L1333" s="993">
        <v>4896207.62</v>
      </c>
      <c r="M1333" s="993">
        <v>0</v>
      </c>
      <c r="N1333" s="993">
        <v>0</v>
      </c>
      <c r="O1333" s="993">
        <f t="shared" si="404"/>
        <v>4896207.62</v>
      </c>
      <c r="P1333" s="985">
        <v>0</v>
      </c>
      <c r="Q1333" s="1037">
        <v>0</v>
      </c>
      <c r="R1333" s="1037">
        <f t="shared" si="403"/>
        <v>1727.1182828318458</v>
      </c>
      <c r="S1333" s="1011">
        <v>2019</v>
      </c>
      <c r="T1333" s="1011">
        <v>2020</v>
      </c>
    </row>
    <row r="1334" spans="1:20" ht="40.15" customHeight="1">
      <c r="A1334" s="1271">
        <v>279</v>
      </c>
      <c r="B1334" s="1041" t="s">
        <v>2784</v>
      </c>
      <c r="C1334" s="1271">
        <v>1962</v>
      </c>
      <c r="D1334" s="1271"/>
      <c r="E1334" s="1277" t="s">
        <v>218</v>
      </c>
      <c r="F1334" s="1271">
        <v>4</v>
      </c>
      <c r="G1334" s="1271">
        <v>2</v>
      </c>
      <c r="H1334" s="1002">
        <v>1840.9</v>
      </c>
      <c r="I1334" s="1002">
        <v>1840.9</v>
      </c>
      <c r="J1334" s="1002">
        <v>1164.5</v>
      </c>
      <c r="K1334" s="987">
        <v>51</v>
      </c>
      <c r="L1334" s="993">
        <v>3344154.72</v>
      </c>
      <c r="M1334" s="993">
        <v>0</v>
      </c>
      <c r="N1334" s="993">
        <v>0</v>
      </c>
      <c r="O1334" s="993">
        <f t="shared" si="404"/>
        <v>3344154.72</v>
      </c>
      <c r="P1334" s="985">
        <v>0</v>
      </c>
      <c r="Q1334" s="1037">
        <v>0</v>
      </c>
      <c r="R1334" s="1037">
        <f t="shared" si="403"/>
        <v>1816.5868433918192</v>
      </c>
      <c r="S1334" s="1011">
        <v>2019</v>
      </c>
      <c r="T1334" s="1011">
        <v>2020</v>
      </c>
    </row>
    <row r="1335" spans="1:20" ht="44.45" customHeight="1">
      <c r="A1335" s="1271">
        <v>280</v>
      </c>
      <c r="B1335" s="1041" t="s">
        <v>2785</v>
      </c>
      <c r="C1335" s="1271">
        <v>1952</v>
      </c>
      <c r="D1335" s="1271"/>
      <c r="E1335" s="1277" t="s">
        <v>218</v>
      </c>
      <c r="F1335" s="1271">
        <v>4</v>
      </c>
      <c r="G1335" s="1271">
        <v>3</v>
      </c>
      <c r="H1335" s="1002">
        <v>1772.2</v>
      </c>
      <c r="I1335" s="1002">
        <v>1772.2</v>
      </c>
      <c r="J1335" s="1002">
        <v>1359.2</v>
      </c>
      <c r="K1335" s="987">
        <v>66</v>
      </c>
      <c r="L1335" s="993">
        <v>3662260.54</v>
      </c>
      <c r="M1335" s="993">
        <v>0</v>
      </c>
      <c r="N1335" s="993">
        <v>0</v>
      </c>
      <c r="O1335" s="993">
        <f t="shared" si="404"/>
        <v>3662260.54</v>
      </c>
      <c r="P1335" s="985">
        <v>0</v>
      </c>
      <c r="Q1335" s="1037">
        <v>0</v>
      </c>
      <c r="R1335" s="1037">
        <f t="shared" si="403"/>
        <v>2066.5052138584811</v>
      </c>
      <c r="S1335" s="1011">
        <v>2019</v>
      </c>
      <c r="T1335" s="1011">
        <v>2020</v>
      </c>
    </row>
    <row r="1336" spans="1:20" ht="36.6" customHeight="1">
      <c r="A1336" s="1271">
        <v>281</v>
      </c>
      <c r="B1336" s="1041" t="s">
        <v>2786</v>
      </c>
      <c r="C1336" s="1271">
        <v>1954</v>
      </c>
      <c r="D1336" s="1271"/>
      <c r="E1336" s="1277" t="s">
        <v>218</v>
      </c>
      <c r="F1336" s="1271">
        <v>4</v>
      </c>
      <c r="G1336" s="1271">
        <v>4</v>
      </c>
      <c r="H1336" s="1002">
        <v>2603.6999999999998</v>
      </c>
      <c r="I1336" s="1002">
        <v>2603.6999999999998</v>
      </c>
      <c r="J1336" s="1002">
        <v>1522.8</v>
      </c>
      <c r="K1336" s="987">
        <v>49</v>
      </c>
      <c r="L1336" s="993">
        <v>5662570.5499999998</v>
      </c>
      <c r="M1336" s="993">
        <v>0</v>
      </c>
      <c r="N1336" s="993">
        <v>0</v>
      </c>
      <c r="O1336" s="993">
        <f t="shared" si="404"/>
        <v>5662570.5499999998</v>
      </c>
      <c r="P1336" s="985">
        <v>0</v>
      </c>
      <c r="Q1336" s="1037">
        <v>0</v>
      </c>
      <c r="R1336" s="1037">
        <f t="shared" si="403"/>
        <v>2174.8168183738526</v>
      </c>
      <c r="S1336" s="1011">
        <v>2019</v>
      </c>
      <c r="T1336" s="1011">
        <v>2020</v>
      </c>
    </row>
    <row r="1337" spans="1:20" ht="40.15" customHeight="1">
      <c r="A1337" s="1271"/>
      <c r="B1337" s="1273" t="s">
        <v>1062</v>
      </c>
      <c r="C1337" s="1279"/>
      <c r="D1337" s="1283"/>
      <c r="E1337" s="1271"/>
      <c r="F1337" s="1279"/>
      <c r="G1337" s="1279"/>
      <c r="H1337" s="985">
        <f>SUM(H1338:H1361)</f>
        <v>50123.100000000006</v>
      </c>
      <c r="I1337" s="985">
        <f t="shared" ref="I1337:Q1337" si="405">SUM(I1338:I1361)</f>
        <v>44810.8</v>
      </c>
      <c r="J1337" s="985">
        <f t="shared" si="405"/>
        <v>41834.200000000012</v>
      </c>
      <c r="K1337" s="1064">
        <f t="shared" si="405"/>
        <v>1688</v>
      </c>
      <c r="L1337" s="985">
        <f t="shared" si="405"/>
        <v>62321284.950000003</v>
      </c>
      <c r="M1337" s="985">
        <f t="shared" si="405"/>
        <v>0</v>
      </c>
      <c r="N1337" s="985">
        <f t="shared" si="405"/>
        <v>0</v>
      </c>
      <c r="O1337" s="985">
        <f t="shared" si="405"/>
        <v>62321284.950000003</v>
      </c>
      <c r="P1337" s="985">
        <f t="shared" si="405"/>
        <v>0</v>
      </c>
      <c r="Q1337" s="985">
        <f t="shared" si="405"/>
        <v>0</v>
      </c>
      <c r="R1337" s="991" t="s">
        <v>40</v>
      </c>
      <c r="S1337" s="991" t="s">
        <v>40</v>
      </c>
      <c r="T1337" s="991" t="s">
        <v>40</v>
      </c>
    </row>
    <row r="1338" spans="1:20" ht="42.6" customHeight="1">
      <c r="A1338" s="1271">
        <v>282</v>
      </c>
      <c r="B1338" s="1273" t="s">
        <v>1093</v>
      </c>
      <c r="C1338" s="1279">
        <v>1977</v>
      </c>
      <c r="D1338" s="1271"/>
      <c r="E1338" s="1271" t="s">
        <v>218</v>
      </c>
      <c r="F1338" s="1279">
        <v>5</v>
      </c>
      <c r="G1338" s="1279">
        <v>4</v>
      </c>
      <c r="H1338" s="985">
        <v>2967.8</v>
      </c>
      <c r="I1338" s="985">
        <v>2815.7</v>
      </c>
      <c r="J1338" s="985">
        <v>2754</v>
      </c>
      <c r="K1338" s="987">
        <v>117</v>
      </c>
      <c r="L1338" s="986">
        <f t="shared" ref="L1338" si="406">O1338</f>
        <v>4202669</v>
      </c>
      <c r="M1338" s="986">
        <v>0</v>
      </c>
      <c r="N1338" s="986">
        <v>0</v>
      </c>
      <c r="O1338" s="986">
        <v>4202669</v>
      </c>
      <c r="P1338" s="993">
        <f t="shared" ref="P1338" si="407">Q1338</f>
        <v>0</v>
      </c>
      <c r="Q1338" s="986">
        <v>0</v>
      </c>
      <c r="R1338" s="1037">
        <f t="shared" ref="R1338" si="408">L1338/I1338</f>
        <v>1492.5840821110205</v>
      </c>
      <c r="S1338" s="987">
        <v>2017</v>
      </c>
      <c r="T1338" s="987">
        <v>2020</v>
      </c>
    </row>
    <row r="1339" spans="1:20" ht="40.9" customHeight="1">
      <c r="A1339" s="1271">
        <v>283</v>
      </c>
      <c r="B1339" s="1274" t="s">
        <v>1102</v>
      </c>
      <c r="C1339" s="1271">
        <v>1976</v>
      </c>
      <c r="D1339" s="1271"/>
      <c r="E1339" s="1271" t="s">
        <v>218</v>
      </c>
      <c r="F1339" s="1279">
        <v>5</v>
      </c>
      <c r="G1339" s="1279">
        <v>5</v>
      </c>
      <c r="H1339" s="985">
        <v>3048</v>
      </c>
      <c r="I1339" s="985">
        <v>2772.4</v>
      </c>
      <c r="J1339" s="985">
        <v>2772.4</v>
      </c>
      <c r="K1339" s="987">
        <v>110</v>
      </c>
      <c r="L1339" s="986">
        <v>2250909.38</v>
      </c>
      <c r="M1339" s="986">
        <v>0</v>
      </c>
      <c r="N1339" s="986">
        <v>0</v>
      </c>
      <c r="O1339" s="986">
        <f t="shared" ref="O1339:O1361" si="409">L1339</f>
        <v>2250909.38</v>
      </c>
      <c r="P1339" s="1033">
        <v>0</v>
      </c>
      <c r="Q1339" s="986">
        <v>0</v>
      </c>
      <c r="R1339" s="1037">
        <f t="shared" ref="R1339:R1353" si="410">L1339/I1339</f>
        <v>811.89921367767988</v>
      </c>
      <c r="S1339" s="987">
        <v>2017</v>
      </c>
      <c r="T1339" s="987">
        <v>2020</v>
      </c>
    </row>
    <row r="1340" spans="1:20" ht="42" customHeight="1">
      <c r="A1340" s="1271">
        <v>284</v>
      </c>
      <c r="B1340" s="1058" t="s">
        <v>1103</v>
      </c>
      <c r="C1340" s="1271">
        <v>1966</v>
      </c>
      <c r="D1340" s="1271"/>
      <c r="E1340" s="1271" t="s">
        <v>218</v>
      </c>
      <c r="F1340" s="1279">
        <v>5</v>
      </c>
      <c r="G1340" s="1279">
        <v>4</v>
      </c>
      <c r="H1340" s="985">
        <v>3306.1</v>
      </c>
      <c r="I1340" s="985">
        <v>3109</v>
      </c>
      <c r="J1340" s="985">
        <v>2844.2</v>
      </c>
      <c r="K1340" s="987">
        <v>112</v>
      </c>
      <c r="L1340" s="986">
        <v>2556927.04</v>
      </c>
      <c r="M1340" s="986">
        <v>0</v>
      </c>
      <c r="N1340" s="986">
        <v>0</v>
      </c>
      <c r="O1340" s="986">
        <f t="shared" si="409"/>
        <v>2556927.04</v>
      </c>
      <c r="P1340" s="1033">
        <v>0</v>
      </c>
      <c r="Q1340" s="986">
        <v>0</v>
      </c>
      <c r="R1340" s="1037">
        <f t="shared" si="410"/>
        <v>822.42748150530713</v>
      </c>
      <c r="S1340" s="987">
        <v>2017</v>
      </c>
      <c r="T1340" s="987">
        <v>2020</v>
      </c>
    </row>
    <row r="1341" spans="1:20" ht="36" customHeight="1">
      <c r="A1341" s="1271">
        <v>285</v>
      </c>
      <c r="B1341" s="1274" t="s">
        <v>1100</v>
      </c>
      <c r="C1341" s="1271">
        <v>1969</v>
      </c>
      <c r="D1341" s="1279"/>
      <c r="E1341" s="1271" t="s">
        <v>218</v>
      </c>
      <c r="F1341" s="1279">
        <v>5</v>
      </c>
      <c r="G1341" s="1279">
        <v>4</v>
      </c>
      <c r="H1341" s="985">
        <v>3440.1</v>
      </c>
      <c r="I1341" s="985">
        <v>3182.2</v>
      </c>
      <c r="J1341" s="985">
        <f>2559.8-233.1</f>
        <v>2326.7000000000003</v>
      </c>
      <c r="K1341" s="987">
        <v>110</v>
      </c>
      <c r="L1341" s="985">
        <v>2617852.0699999998</v>
      </c>
      <c r="M1341" s="985">
        <v>0</v>
      </c>
      <c r="N1341" s="985">
        <v>0</v>
      </c>
      <c r="O1341" s="985">
        <f t="shared" si="409"/>
        <v>2617852.0699999998</v>
      </c>
      <c r="P1341" s="985">
        <v>0</v>
      </c>
      <c r="Q1341" s="985">
        <v>0</v>
      </c>
      <c r="R1341" s="985">
        <f t="shared" si="410"/>
        <v>822.65478913958896</v>
      </c>
      <c r="S1341" s="987">
        <v>2017</v>
      </c>
      <c r="T1341" s="987">
        <v>2020</v>
      </c>
    </row>
    <row r="1342" spans="1:20" ht="42.6" customHeight="1">
      <c r="A1342" s="1271">
        <v>286</v>
      </c>
      <c r="B1342" s="1274" t="s">
        <v>2268</v>
      </c>
      <c r="C1342" s="1271">
        <v>1963</v>
      </c>
      <c r="D1342" s="1279"/>
      <c r="E1342" s="1271" t="s">
        <v>218</v>
      </c>
      <c r="F1342" s="1279">
        <v>4</v>
      </c>
      <c r="G1342" s="1279">
        <v>4</v>
      </c>
      <c r="H1342" s="985">
        <v>2686.9</v>
      </c>
      <c r="I1342" s="985">
        <v>2453.4</v>
      </c>
      <c r="J1342" s="985">
        <f>2453.4-28.2</f>
        <v>2425.2000000000003</v>
      </c>
      <c r="K1342" s="987">
        <v>100</v>
      </c>
      <c r="L1342" s="985">
        <v>3577155.73</v>
      </c>
      <c r="M1342" s="985">
        <v>0</v>
      </c>
      <c r="N1342" s="985">
        <v>0</v>
      </c>
      <c r="O1342" s="985">
        <f t="shared" si="409"/>
        <v>3577155.73</v>
      </c>
      <c r="P1342" s="985">
        <v>0</v>
      </c>
      <c r="Q1342" s="985">
        <v>0</v>
      </c>
      <c r="R1342" s="985">
        <f t="shared" si="410"/>
        <v>1458.0401605934621</v>
      </c>
      <c r="S1342" s="987">
        <v>2017</v>
      </c>
      <c r="T1342" s="987">
        <v>2020</v>
      </c>
    </row>
    <row r="1343" spans="1:20" ht="40.15" customHeight="1">
      <c r="A1343" s="1271">
        <v>287</v>
      </c>
      <c r="B1343" s="1274" t="s">
        <v>1101</v>
      </c>
      <c r="C1343" s="1271">
        <v>1965</v>
      </c>
      <c r="D1343" s="1279"/>
      <c r="E1343" s="1271" t="s">
        <v>218</v>
      </c>
      <c r="F1343" s="1279">
        <v>5</v>
      </c>
      <c r="G1343" s="1279">
        <v>2</v>
      </c>
      <c r="H1343" s="985">
        <v>2078.6999999999998</v>
      </c>
      <c r="I1343" s="985">
        <v>1782.9</v>
      </c>
      <c r="J1343" s="985">
        <v>1782.9</v>
      </c>
      <c r="K1343" s="987">
        <v>60</v>
      </c>
      <c r="L1343" s="985">
        <v>1500157.35</v>
      </c>
      <c r="M1343" s="985">
        <v>0</v>
      </c>
      <c r="N1343" s="985">
        <v>0</v>
      </c>
      <c r="O1343" s="985">
        <f t="shared" si="409"/>
        <v>1500157.35</v>
      </c>
      <c r="P1343" s="985">
        <v>0</v>
      </c>
      <c r="Q1343" s="985">
        <v>0</v>
      </c>
      <c r="R1343" s="985">
        <f t="shared" si="410"/>
        <v>841.41418475517412</v>
      </c>
      <c r="S1343" s="987">
        <v>2017</v>
      </c>
      <c r="T1343" s="987">
        <v>2020</v>
      </c>
    </row>
    <row r="1344" spans="1:20" ht="42" customHeight="1">
      <c r="A1344" s="1271">
        <v>288</v>
      </c>
      <c r="B1344" s="1274" t="s">
        <v>1099</v>
      </c>
      <c r="C1344" s="1271">
        <v>1960</v>
      </c>
      <c r="D1344" s="1271"/>
      <c r="E1344" s="1271" t="s">
        <v>218</v>
      </c>
      <c r="F1344" s="1279">
        <v>3</v>
      </c>
      <c r="G1344" s="1279">
        <v>3</v>
      </c>
      <c r="H1344" s="985">
        <v>1735.3</v>
      </c>
      <c r="I1344" s="985">
        <v>1516.6</v>
      </c>
      <c r="J1344" s="985">
        <f>1448.5-86.9</f>
        <v>1361.6</v>
      </c>
      <c r="K1344" s="987">
        <v>70</v>
      </c>
      <c r="L1344" s="985">
        <v>2939370.25</v>
      </c>
      <c r="M1344" s="985">
        <v>0</v>
      </c>
      <c r="N1344" s="985">
        <v>0</v>
      </c>
      <c r="O1344" s="985">
        <f t="shared" si="409"/>
        <v>2939370.25</v>
      </c>
      <c r="P1344" s="985">
        <v>0</v>
      </c>
      <c r="Q1344" s="985">
        <v>0</v>
      </c>
      <c r="R1344" s="985">
        <f t="shared" si="410"/>
        <v>1938.1315112752211</v>
      </c>
      <c r="S1344" s="987">
        <v>2017</v>
      </c>
      <c r="T1344" s="987">
        <v>2020</v>
      </c>
    </row>
    <row r="1345" spans="1:20" ht="45" customHeight="1">
      <c r="A1345" s="1271">
        <v>289</v>
      </c>
      <c r="B1345" s="1274" t="s">
        <v>1094</v>
      </c>
      <c r="C1345" s="1279">
        <v>1974</v>
      </c>
      <c r="D1345" s="1279"/>
      <c r="E1345" s="1271" t="s">
        <v>218</v>
      </c>
      <c r="F1345" s="1279">
        <v>5</v>
      </c>
      <c r="G1345" s="1279">
        <v>4</v>
      </c>
      <c r="H1345" s="1077">
        <v>3418.1</v>
      </c>
      <c r="I1345" s="1077">
        <f>2529+648</f>
        <v>3177</v>
      </c>
      <c r="J1345" s="1077">
        <f>3177-43.6</f>
        <v>3133.4</v>
      </c>
      <c r="K1345" s="1064">
        <v>103</v>
      </c>
      <c r="L1345" s="985">
        <v>5977205.2800000003</v>
      </c>
      <c r="M1345" s="985">
        <v>0</v>
      </c>
      <c r="N1345" s="985">
        <v>0</v>
      </c>
      <c r="O1345" s="985">
        <f t="shared" si="409"/>
        <v>5977205.2800000003</v>
      </c>
      <c r="P1345" s="985">
        <v>0</v>
      </c>
      <c r="Q1345" s="985">
        <v>0</v>
      </c>
      <c r="R1345" s="985">
        <f t="shared" si="410"/>
        <v>1881.399206798867</v>
      </c>
      <c r="S1345" s="987">
        <v>2018</v>
      </c>
      <c r="T1345" s="987">
        <v>2020</v>
      </c>
    </row>
    <row r="1346" spans="1:20" ht="37.9" customHeight="1">
      <c r="A1346" s="1271">
        <v>290</v>
      </c>
      <c r="B1346" s="1274" t="s">
        <v>977</v>
      </c>
      <c r="C1346" s="1279">
        <v>1951</v>
      </c>
      <c r="D1346" s="1279"/>
      <c r="E1346" s="1271" t="s">
        <v>823</v>
      </c>
      <c r="F1346" s="1279">
        <v>2</v>
      </c>
      <c r="G1346" s="1279">
        <v>1</v>
      </c>
      <c r="H1346" s="1077">
        <v>528.9</v>
      </c>
      <c r="I1346" s="1077">
        <v>492.3</v>
      </c>
      <c r="J1346" s="1077">
        <f>492.3-54.4</f>
        <v>437.90000000000003</v>
      </c>
      <c r="K1346" s="1064">
        <v>19</v>
      </c>
      <c r="L1346" s="985">
        <v>1585945.51</v>
      </c>
      <c r="M1346" s="985">
        <v>0</v>
      </c>
      <c r="N1346" s="985">
        <v>0</v>
      </c>
      <c r="O1346" s="985">
        <f t="shared" si="409"/>
        <v>1585945.51</v>
      </c>
      <c r="P1346" s="985">
        <v>0</v>
      </c>
      <c r="Q1346" s="985">
        <v>0</v>
      </c>
      <c r="R1346" s="985">
        <f t="shared" si="410"/>
        <v>3221.5021531586431</v>
      </c>
      <c r="S1346" s="987">
        <v>2018</v>
      </c>
      <c r="T1346" s="987">
        <v>2020</v>
      </c>
    </row>
    <row r="1347" spans="1:20" ht="37.9" customHeight="1">
      <c r="A1347" s="1271">
        <v>291</v>
      </c>
      <c r="B1347" s="1274" t="s">
        <v>1371</v>
      </c>
      <c r="C1347" s="1279">
        <v>1960</v>
      </c>
      <c r="D1347" s="1279"/>
      <c r="E1347" s="1271" t="s">
        <v>218</v>
      </c>
      <c r="F1347" s="1279">
        <v>2</v>
      </c>
      <c r="G1347" s="1279">
        <v>6</v>
      </c>
      <c r="H1347" s="1077">
        <v>310.10000000000002</v>
      </c>
      <c r="I1347" s="1077">
        <v>310.10000000000002</v>
      </c>
      <c r="J1347" s="1077">
        <v>256.5</v>
      </c>
      <c r="K1347" s="1064">
        <v>15</v>
      </c>
      <c r="L1347" s="985">
        <v>1191379.97</v>
      </c>
      <c r="M1347" s="985">
        <v>0</v>
      </c>
      <c r="N1347" s="985">
        <v>0</v>
      </c>
      <c r="O1347" s="985">
        <f t="shared" si="409"/>
        <v>1191379.97</v>
      </c>
      <c r="P1347" s="985">
        <v>0</v>
      </c>
      <c r="Q1347" s="985">
        <v>0</v>
      </c>
      <c r="R1347" s="985">
        <f t="shared" si="410"/>
        <v>3841.9218639148658</v>
      </c>
      <c r="S1347" s="987">
        <v>2018</v>
      </c>
      <c r="T1347" s="987">
        <v>2020</v>
      </c>
    </row>
    <row r="1348" spans="1:20" ht="40.9" customHeight="1">
      <c r="A1348" s="1271">
        <v>292</v>
      </c>
      <c r="B1348" s="1274" t="s">
        <v>1434</v>
      </c>
      <c r="C1348" s="1279">
        <v>1957</v>
      </c>
      <c r="D1348" s="1279"/>
      <c r="E1348" s="1271" t="s">
        <v>218</v>
      </c>
      <c r="F1348" s="1279">
        <v>2</v>
      </c>
      <c r="G1348" s="1279">
        <v>3</v>
      </c>
      <c r="H1348" s="1096">
        <v>1084.2</v>
      </c>
      <c r="I1348" s="1096">
        <v>1010.2</v>
      </c>
      <c r="J1348" s="1077">
        <v>1010.2</v>
      </c>
      <c r="K1348" s="1064">
        <v>37</v>
      </c>
      <c r="L1348" s="985">
        <v>3105641.71</v>
      </c>
      <c r="M1348" s="985">
        <v>0</v>
      </c>
      <c r="N1348" s="985">
        <v>0</v>
      </c>
      <c r="O1348" s="985">
        <f t="shared" si="409"/>
        <v>3105641.71</v>
      </c>
      <c r="P1348" s="985">
        <v>0</v>
      </c>
      <c r="Q1348" s="985">
        <v>0</v>
      </c>
      <c r="R1348" s="985">
        <f t="shared" si="410"/>
        <v>3074.2840130667191</v>
      </c>
      <c r="S1348" s="987">
        <v>2018</v>
      </c>
      <c r="T1348" s="987">
        <v>2020</v>
      </c>
    </row>
    <row r="1349" spans="1:20" ht="42.6" customHeight="1">
      <c r="A1349" s="1271">
        <v>293</v>
      </c>
      <c r="B1349" s="1274" t="s">
        <v>1144</v>
      </c>
      <c r="C1349" s="1279">
        <v>1917</v>
      </c>
      <c r="D1349" s="1279"/>
      <c r="E1349" s="1271" t="s">
        <v>218</v>
      </c>
      <c r="F1349" s="1279">
        <v>2</v>
      </c>
      <c r="G1349" s="1279">
        <v>1</v>
      </c>
      <c r="H1349" s="1077">
        <v>267.3</v>
      </c>
      <c r="I1349" s="1077">
        <v>221.1</v>
      </c>
      <c r="J1349" s="1077">
        <f>221.1-31.9-37.7</f>
        <v>151.5</v>
      </c>
      <c r="K1349" s="1064">
        <v>12</v>
      </c>
      <c r="L1349" s="985">
        <v>1249211.18</v>
      </c>
      <c r="M1349" s="985">
        <v>0</v>
      </c>
      <c r="N1349" s="985">
        <v>0</v>
      </c>
      <c r="O1349" s="985">
        <f t="shared" si="409"/>
        <v>1249211.18</v>
      </c>
      <c r="P1349" s="985">
        <v>0</v>
      </c>
      <c r="Q1349" s="985">
        <v>0</v>
      </c>
      <c r="R1349" s="985">
        <f t="shared" si="410"/>
        <v>5649.9827227498872</v>
      </c>
      <c r="S1349" s="987">
        <v>2019</v>
      </c>
      <c r="T1349" s="987">
        <v>2022</v>
      </c>
    </row>
    <row r="1350" spans="1:20" ht="39.6" customHeight="1">
      <c r="A1350" s="1271">
        <v>294</v>
      </c>
      <c r="B1350" s="1274" t="s">
        <v>1145</v>
      </c>
      <c r="C1350" s="1279">
        <v>1936</v>
      </c>
      <c r="D1350" s="1279"/>
      <c r="E1350" s="1271" t="s">
        <v>218</v>
      </c>
      <c r="F1350" s="1279">
        <v>2</v>
      </c>
      <c r="G1350" s="1279">
        <v>2</v>
      </c>
      <c r="H1350" s="1077">
        <v>588.9</v>
      </c>
      <c r="I1350" s="1077">
        <v>522.9</v>
      </c>
      <c r="J1350" s="1077">
        <v>522.9</v>
      </c>
      <c r="K1350" s="1064">
        <v>13</v>
      </c>
      <c r="L1350" s="985">
        <v>2233837.4500000002</v>
      </c>
      <c r="M1350" s="985">
        <v>0</v>
      </c>
      <c r="N1350" s="985">
        <v>0</v>
      </c>
      <c r="O1350" s="985">
        <f t="shared" si="409"/>
        <v>2233837.4500000002</v>
      </c>
      <c r="P1350" s="985">
        <v>0</v>
      </c>
      <c r="Q1350" s="985">
        <v>0</v>
      </c>
      <c r="R1350" s="985">
        <f t="shared" si="410"/>
        <v>4272.0165423599165</v>
      </c>
      <c r="S1350" s="987">
        <v>2019</v>
      </c>
      <c r="T1350" s="987">
        <v>2020</v>
      </c>
    </row>
    <row r="1351" spans="1:20" ht="44.45" customHeight="1">
      <c r="A1351" s="1271">
        <v>295</v>
      </c>
      <c r="B1351" s="1274" t="s">
        <v>1143</v>
      </c>
      <c r="C1351" s="1279">
        <v>1972</v>
      </c>
      <c r="D1351" s="1279"/>
      <c r="E1351" s="1271" t="s">
        <v>218</v>
      </c>
      <c r="F1351" s="1279">
        <v>5</v>
      </c>
      <c r="G1351" s="1279">
        <v>4</v>
      </c>
      <c r="H1351" s="1077">
        <v>3738.8</v>
      </c>
      <c r="I1351" s="1077">
        <v>2674.5</v>
      </c>
      <c r="J1351" s="1077">
        <f>I1351-45-30.7</f>
        <v>2598.8000000000002</v>
      </c>
      <c r="K1351" s="1064">
        <v>98</v>
      </c>
      <c r="L1351" s="985">
        <v>2426418.34</v>
      </c>
      <c r="M1351" s="985">
        <v>0</v>
      </c>
      <c r="N1351" s="985">
        <v>0</v>
      </c>
      <c r="O1351" s="985">
        <f t="shared" si="409"/>
        <v>2426418.34</v>
      </c>
      <c r="P1351" s="985">
        <v>0</v>
      </c>
      <c r="Q1351" s="985">
        <v>0</v>
      </c>
      <c r="R1351" s="985">
        <f t="shared" si="410"/>
        <v>907.24185455225268</v>
      </c>
      <c r="S1351" s="987">
        <v>2019</v>
      </c>
      <c r="T1351" s="987">
        <v>2020</v>
      </c>
    </row>
    <row r="1352" spans="1:20" ht="38.450000000000003" customHeight="1">
      <c r="A1352" s="1271">
        <v>296</v>
      </c>
      <c r="B1352" s="1274" t="s">
        <v>1757</v>
      </c>
      <c r="C1352" s="1279">
        <v>1993</v>
      </c>
      <c r="D1352" s="1279"/>
      <c r="E1352" s="1271" t="s">
        <v>219</v>
      </c>
      <c r="F1352" s="1279">
        <v>5</v>
      </c>
      <c r="G1352" s="1279">
        <v>8</v>
      </c>
      <c r="H1352" s="1077">
        <v>7034.9</v>
      </c>
      <c r="I1352" s="1077">
        <v>6408.6</v>
      </c>
      <c r="J1352" s="1077">
        <f>I1352-67.9</f>
        <v>6340.7000000000007</v>
      </c>
      <c r="K1352" s="1064">
        <v>238</v>
      </c>
      <c r="L1352" s="985">
        <v>4106298.68</v>
      </c>
      <c r="M1352" s="985">
        <v>0</v>
      </c>
      <c r="N1352" s="985">
        <v>0</v>
      </c>
      <c r="O1352" s="985">
        <f t="shared" si="409"/>
        <v>4106298.68</v>
      </c>
      <c r="P1352" s="985">
        <v>0</v>
      </c>
      <c r="Q1352" s="985">
        <v>0</v>
      </c>
      <c r="R1352" s="985">
        <f t="shared" si="410"/>
        <v>640.74816340542395</v>
      </c>
      <c r="S1352" s="987">
        <v>2019</v>
      </c>
      <c r="T1352" s="987">
        <v>2020</v>
      </c>
    </row>
    <row r="1353" spans="1:20" ht="39.6" customHeight="1">
      <c r="A1353" s="1271">
        <v>297</v>
      </c>
      <c r="B1353" s="1274" t="s">
        <v>1758</v>
      </c>
      <c r="C1353" s="1279">
        <v>1965</v>
      </c>
      <c r="D1353" s="1279"/>
      <c r="E1353" s="1271" t="s">
        <v>218</v>
      </c>
      <c r="F1353" s="1279">
        <v>2</v>
      </c>
      <c r="G1353" s="1279">
        <v>1</v>
      </c>
      <c r="H1353" s="1077">
        <v>337.5</v>
      </c>
      <c r="I1353" s="1077">
        <v>310.39999999999998</v>
      </c>
      <c r="J1353" s="1077">
        <v>310.39999999999998</v>
      </c>
      <c r="K1353" s="1064">
        <v>20</v>
      </c>
      <c r="L1353" s="985">
        <v>998457.65</v>
      </c>
      <c r="M1353" s="985">
        <v>0</v>
      </c>
      <c r="N1353" s="985">
        <v>0</v>
      </c>
      <c r="O1353" s="985">
        <f t="shared" si="409"/>
        <v>998457.65</v>
      </c>
      <c r="P1353" s="985">
        <v>0</v>
      </c>
      <c r="Q1353" s="985">
        <v>0</v>
      </c>
      <c r="R1353" s="985">
        <f t="shared" si="410"/>
        <v>3216.6805734536088</v>
      </c>
      <c r="S1353" s="987">
        <v>2019</v>
      </c>
      <c r="T1353" s="987">
        <v>2020</v>
      </c>
    </row>
    <row r="1354" spans="1:20" ht="39.6" customHeight="1">
      <c r="A1354" s="1271">
        <v>298</v>
      </c>
      <c r="B1354" s="1274" t="s">
        <v>1372</v>
      </c>
      <c r="C1354" s="1279">
        <v>1972</v>
      </c>
      <c r="D1354" s="1279"/>
      <c r="E1354" s="1271" t="s">
        <v>218</v>
      </c>
      <c r="F1354" s="1279">
        <v>2</v>
      </c>
      <c r="G1354" s="1279">
        <v>2</v>
      </c>
      <c r="H1354" s="1077">
        <v>684.4</v>
      </c>
      <c r="I1354" s="1077">
        <v>637.79999999999995</v>
      </c>
      <c r="J1354" s="1077">
        <v>593.1</v>
      </c>
      <c r="K1354" s="1064">
        <v>23</v>
      </c>
      <c r="L1354" s="985">
        <v>2051068.93</v>
      </c>
      <c r="M1354" s="985">
        <v>0</v>
      </c>
      <c r="N1354" s="985">
        <v>0</v>
      </c>
      <c r="O1354" s="985">
        <f t="shared" si="409"/>
        <v>2051068.93</v>
      </c>
      <c r="P1354" s="985">
        <v>0</v>
      </c>
      <c r="Q1354" s="985">
        <v>0</v>
      </c>
      <c r="R1354" s="985">
        <f t="shared" ref="R1354:R1361" si="411">L1354/I1354</f>
        <v>3215.849686422076</v>
      </c>
      <c r="S1354" s="987">
        <v>2019</v>
      </c>
      <c r="T1354" s="987">
        <v>2020</v>
      </c>
    </row>
    <row r="1355" spans="1:20" ht="45" customHeight="1">
      <c r="A1355" s="1271">
        <v>299</v>
      </c>
      <c r="B1355" s="1274" t="s">
        <v>1373</v>
      </c>
      <c r="C1355" s="1279">
        <v>1961</v>
      </c>
      <c r="D1355" s="1279"/>
      <c r="E1355" s="1271" t="s">
        <v>218</v>
      </c>
      <c r="F1355" s="1279">
        <v>4</v>
      </c>
      <c r="G1355" s="1279">
        <v>4</v>
      </c>
      <c r="H1355" s="1077">
        <v>2717.6</v>
      </c>
      <c r="I1355" s="1077">
        <v>2525.6999999999998</v>
      </c>
      <c r="J1355" s="1077">
        <v>2412.1999999999998</v>
      </c>
      <c r="K1355" s="1064">
        <v>104</v>
      </c>
      <c r="L1355" s="985">
        <v>3698293.39</v>
      </c>
      <c r="M1355" s="985">
        <v>0</v>
      </c>
      <c r="N1355" s="985">
        <v>0</v>
      </c>
      <c r="O1355" s="985">
        <f t="shared" si="409"/>
        <v>3698293.39</v>
      </c>
      <c r="P1355" s="985">
        <v>0</v>
      </c>
      <c r="Q1355" s="985">
        <v>0</v>
      </c>
      <c r="R1355" s="985">
        <f t="shared" si="411"/>
        <v>1464.2647147325495</v>
      </c>
      <c r="S1355" s="987">
        <v>2019</v>
      </c>
      <c r="T1355" s="987">
        <v>2020</v>
      </c>
    </row>
    <row r="1356" spans="1:20" ht="40.9" customHeight="1">
      <c r="A1356" s="1271">
        <v>300</v>
      </c>
      <c r="B1356" s="1274" t="s">
        <v>1374</v>
      </c>
      <c r="C1356" s="1279">
        <v>1933</v>
      </c>
      <c r="D1356" s="1279"/>
      <c r="E1356" s="1271" t="s">
        <v>218</v>
      </c>
      <c r="F1356" s="1279">
        <v>3</v>
      </c>
      <c r="G1356" s="1279">
        <v>2</v>
      </c>
      <c r="H1356" s="1077">
        <v>1006.1</v>
      </c>
      <c r="I1356" s="1077">
        <v>936.8</v>
      </c>
      <c r="J1356" s="1077">
        <v>810.9</v>
      </c>
      <c r="K1356" s="1064">
        <v>57</v>
      </c>
      <c r="L1356" s="985">
        <v>1537624.78</v>
      </c>
      <c r="M1356" s="985">
        <v>0</v>
      </c>
      <c r="N1356" s="985">
        <v>0</v>
      </c>
      <c r="O1356" s="985">
        <f t="shared" si="409"/>
        <v>1537624.78</v>
      </c>
      <c r="P1356" s="985">
        <v>0</v>
      </c>
      <c r="Q1356" s="985">
        <v>0</v>
      </c>
      <c r="R1356" s="985">
        <f t="shared" si="411"/>
        <v>1641.3586464560206</v>
      </c>
      <c r="S1356" s="987">
        <v>2019</v>
      </c>
      <c r="T1356" s="987">
        <v>2020</v>
      </c>
    </row>
    <row r="1357" spans="1:20" ht="44.45" customHeight="1">
      <c r="A1357" s="1271">
        <v>301</v>
      </c>
      <c r="B1357" s="1274" t="s">
        <v>1375</v>
      </c>
      <c r="C1357" s="1279">
        <v>1966</v>
      </c>
      <c r="D1357" s="1279"/>
      <c r="E1357" s="1271" t="s">
        <v>218</v>
      </c>
      <c r="F1357" s="1279">
        <v>4</v>
      </c>
      <c r="G1357" s="1279">
        <v>2</v>
      </c>
      <c r="H1357" s="1077">
        <v>1278.5999999999999</v>
      </c>
      <c r="I1357" s="1077">
        <v>1255</v>
      </c>
      <c r="J1357" s="1077">
        <v>1255</v>
      </c>
      <c r="K1357" s="1064">
        <v>42</v>
      </c>
      <c r="L1357" s="985">
        <v>2443526.83</v>
      </c>
      <c r="M1357" s="985">
        <v>0</v>
      </c>
      <c r="N1357" s="985">
        <v>0</v>
      </c>
      <c r="O1357" s="985">
        <f t="shared" si="409"/>
        <v>2443526.83</v>
      </c>
      <c r="P1357" s="985">
        <v>0</v>
      </c>
      <c r="Q1357" s="985">
        <v>0</v>
      </c>
      <c r="R1357" s="985">
        <f t="shared" si="411"/>
        <v>1947.0333306772909</v>
      </c>
      <c r="S1357" s="987">
        <v>2019</v>
      </c>
      <c r="T1357" s="987">
        <v>2020</v>
      </c>
    </row>
    <row r="1358" spans="1:20" ht="40.15" customHeight="1">
      <c r="A1358" s="1271">
        <v>302</v>
      </c>
      <c r="B1358" s="1274" t="s">
        <v>1376</v>
      </c>
      <c r="C1358" s="1279">
        <v>1966</v>
      </c>
      <c r="D1358" s="1279"/>
      <c r="E1358" s="1271" t="s">
        <v>218</v>
      </c>
      <c r="F1358" s="1279">
        <v>4</v>
      </c>
      <c r="G1358" s="1279">
        <v>3</v>
      </c>
      <c r="H1358" s="1077">
        <v>2142.8000000000002</v>
      </c>
      <c r="I1358" s="1077">
        <v>1997.8</v>
      </c>
      <c r="J1358" s="1077">
        <v>1168.9000000000001</v>
      </c>
      <c r="K1358" s="1064">
        <v>58</v>
      </c>
      <c r="L1358" s="985">
        <v>3854035.4</v>
      </c>
      <c r="M1358" s="985">
        <v>0</v>
      </c>
      <c r="N1358" s="985">
        <v>0</v>
      </c>
      <c r="O1358" s="985">
        <f t="shared" si="409"/>
        <v>3854035.4</v>
      </c>
      <c r="P1358" s="985">
        <v>0</v>
      </c>
      <c r="Q1358" s="985">
        <v>0</v>
      </c>
      <c r="R1358" s="985">
        <f t="shared" si="411"/>
        <v>1929.139753729102</v>
      </c>
      <c r="S1358" s="987">
        <v>2019</v>
      </c>
      <c r="T1358" s="987">
        <v>2020</v>
      </c>
    </row>
    <row r="1359" spans="1:20" ht="40.15" customHeight="1">
      <c r="A1359" s="1271">
        <v>303</v>
      </c>
      <c r="B1359" s="1274" t="s">
        <v>1377</v>
      </c>
      <c r="C1359" s="1279">
        <v>1968</v>
      </c>
      <c r="D1359" s="1279"/>
      <c r="E1359" s="1271" t="s">
        <v>218</v>
      </c>
      <c r="F1359" s="1279">
        <v>3</v>
      </c>
      <c r="G1359" s="1279">
        <v>3</v>
      </c>
      <c r="H1359" s="1077">
        <v>1826.3</v>
      </c>
      <c r="I1359" s="1077">
        <v>1581.5</v>
      </c>
      <c r="J1359" s="1077">
        <v>1548.1</v>
      </c>
      <c r="K1359" s="1064">
        <v>49</v>
      </c>
      <c r="L1359" s="985">
        <v>2833588.96</v>
      </c>
      <c r="M1359" s="985">
        <v>0</v>
      </c>
      <c r="N1359" s="985">
        <v>0</v>
      </c>
      <c r="O1359" s="985">
        <f t="shared" si="409"/>
        <v>2833588.96</v>
      </c>
      <c r="P1359" s="985">
        <v>0</v>
      </c>
      <c r="Q1359" s="985">
        <v>0</v>
      </c>
      <c r="R1359" s="985">
        <f t="shared" si="411"/>
        <v>1791.7097439140057</v>
      </c>
      <c r="S1359" s="987">
        <v>2019</v>
      </c>
      <c r="T1359" s="987">
        <v>2020</v>
      </c>
    </row>
    <row r="1360" spans="1:20" ht="36.6" customHeight="1">
      <c r="A1360" s="1271">
        <v>304</v>
      </c>
      <c r="B1360" s="1274" t="s">
        <v>1378</v>
      </c>
      <c r="C1360" s="1279">
        <v>1988</v>
      </c>
      <c r="D1360" s="1279"/>
      <c r="E1360" s="1271" t="s">
        <v>219</v>
      </c>
      <c r="F1360" s="1279">
        <v>5</v>
      </c>
      <c r="G1360" s="1279">
        <v>3</v>
      </c>
      <c r="H1360" s="1077">
        <v>3046.9</v>
      </c>
      <c r="I1360" s="1077">
        <v>2315.3000000000002</v>
      </c>
      <c r="J1360" s="1077">
        <v>2261.4</v>
      </c>
      <c r="K1360" s="1064">
        <v>91</v>
      </c>
      <c r="L1360" s="985">
        <v>1491717.44</v>
      </c>
      <c r="M1360" s="985">
        <v>0</v>
      </c>
      <c r="N1360" s="985">
        <v>0</v>
      </c>
      <c r="O1360" s="985">
        <f t="shared" si="409"/>
        <v>1491717.44</v>
      </c>
      <c r="P1360" s="985">
        <v>0</v>
      </c>
      <c r="Q1360" s="985">
        <v>0</v>
      </c>
      <c r="R1360" s="985">
        <f t="shared" si="411"/>
        <v>644.28689154753158</v>
      </c>
      <c r="S1360" s="987">
        <v>2019</v>
      </c>
      <c r="T1360" s="987">
        <v>2020</v>
      </c>
    </row>
    <row r="1361" spans="1:20" ht="46.9" customHeight="1">
      <c r="A1361" s="1271">
        <v>305</v>
      </c>
      <c r="B1361" s="1274" t="s">
        <v>1379</v>
      </c>
      <c r="C1361" s="1279">
        <v>1958</v>
      </c>
      <c r="D1361" s="1279"/>
      <c r="E1361" s="1271" t="s">
        <v>218</v>
      </c>
      <c r="F1361" s="1279">
        <v>2</v>
      </c>
      <c r="G1361" s="1279">
        <v>2</v>
      </c>
      <c r="H1361" s="1077">
        <v>848.8</v>
      </c>
      <c r="I1361" s="1077">
        <v>801.6</v>
      </c>
      <c r="J1361" s="1077">
        <v>755.3</v>
      </c>
      <c r="K1361" s="1064">
        <v>30</v>
      </c>
      <c r="L1361" s="985">
        <v>1891992.63</v>
      </c>
      <c r="M1361" s="985">
        <v>0</v>
      </c>
      <c r="N1361" s="985">
        <v>0</v>
      </c>
      <c r="O1361" s="985">
        <f t="shared" si="409"/>
        <v>1891992.63</v>
      </c>
      <c r="P1361" s="985">
        <v>0</v>
      </c>
      <c r="Q1361" s="985">
        <v>0</v>
      </c>
      <c r="R1361" s="985">
        <f t="shared" si="411"/>
        <v>2360.270247005988</v>
      </c>
      <c r="S1361" s="987">
        <v>2019</v>
      </c>
      <c r="T1361" s="987">
        <v>2020</v>
      </c>
    </row>
    <row r="1362" spans="1:20" ht="40.9" customHeight="1">
      <c r="A1362" s="1271"/>
      <c r="B1362" s="1273" t="s">
        <v>1124</v>
      </c>
      <c r="C1362" s="1279"/>
      <c r="D1362" s="1283"/>
      <c r="E1362" s="1271"/>
      <c r="F1362" s="1279"/>
      <c r="G1362" s="1279"/>
      <c r="H1362" s="985">
        <f>SUM(H1363:H1371)</f>
        <v>52660.700000000004</v>
      </c>
      <c r="I1362" s="985">
        <f t="shared" ref="I1362:Q1362" si="412">SUM(I1363:I1371)</f>
        <v>34259.29</v>
      </c>
      <c r="J1362" s="985">
        <f t="shared" si="412"/>
        <v>22570.29</v>
      </c>
      <c r="K1362" s="1064">
        <f t="shared" si="412"/>
        <v>1692</v>
      </c>
      <c r="L1362" s="985">
        <f t="shared" si="412"/>
        <v>31266103.439999998</v>
      </c>
      <c r="M1362" s="985">
        <f t="shared" si="412"/>
        <v>0</v>
      </c>
      <c r="N1362" s="985">
        <f t="shared" si="412"/>
        <v>0</v>
      </c>
      <c r="O1362" s="985">
        <f t="shared" si="412"/>
        <v>31266103.439999998</v>
      </c>
      <c r="P1362" s="985">
        <f t="shared" si="412"/>
        <v>0</v>
      </c>
      <c r="Q1362" s="985">
        <f t="shared" si="412"/>
        <v>0</v>
      </c>
      <c r="R1362" s="991" t="s">
        <v>40</v>
      </c>
      <c r="S1362" s="991" t="s">
        <v>40</v>
      </c>
      <c r="T1362" s="991" t="s">
        <v>40</v>
      </c>
    </row>
    <row r="1363" spans="1:20" ht="39" customHeight="1">
      <c r="A1363" s="1271">
        <v>306</v>
      </c>
      <c r="B1363" s="1089" t="s">
        <v>1104</v>
      </c>
      <c r="C1363" s="1015">
        <v>1992</v>
      </c>
      <c r="D1363" s="1023"/>
      <c r="E1363" s="1271" t="s">
        <v>219</v>
      </c>
      <c r="F1363" s="1023">
        <v>5</v>
      </c>
      <c r="G1363" s="1023">
        <v>4</v>
      </c>
      <c r="H1363" s="1024">
        <v>5889.4</v>
      </c>
      <c r="I1363" s="1024">
        <v>3447.9</v>
      </c>
      <c r="J1363" s="1024">
        <v>2831.8</v>
      </c>
      <c r="K1363" s="1110">
        <v>135</v>
      </c>
      <c r="L1363" s="986">
        <v>2121484.12</v>
      </c>
      <c r="M1363" s="986">
        <v>0</v>
      </c>
      <c r="N1363" s="986">
        <v>0</v>
      </c>
      <c r="O1363" s="986">
        <v>2121484.12</v>
      </c>
      <c r="P1363" s="1033">
        <v>0</v>
      </c>
      <c r="Q1363" s="986">
        <v>0</v>
      </c>
      <c r="R1363" s="1024">
        <f t="shared" ref="R1363:R1367" si="413">L1363/I1363</f>
        <v>615.29746222338235</v>
      </c>
      <c r="S1363" s="987">
        <v>2016</v>
      </c>
      <c r="T1363" s="987">
        <v>2022</v>
      </c>
    </row>
    <row r="1364" spans="1:20" ht="40.9" customHeight="1">
      <c r="A1364" s="1271">
        <v>307</v>
      </c>
      <c r="B1364" s="1089" t="s">
        <v>942</v>
      </c>
      <c r="C1364" s="1015">
        <v>1966</v>
      </c>
      <c r="D1364" s="1023"/>
      <c r="E1364" s="1271" t="s">
        <v>218</v>
      </c>
      <c r="F1364" s="1023">
        <v>5</v>
      </c>
      <c r="G1364" s="1023">
        <v>4</v>
      </c>
      <c r="H1364" s="1024">
        <v>5298</v>
      </c>
      <c r="I1364" s="1024">
        <v>3567.1</v>
      </c>
      <c r="J1364" s="1024">
        <v>1608.76</v>
      </c>
      <c r="K1364" s="1110">
        <v>96</v>
      </c>
      <c r="L1364" s="986">
        <v>2463360.0699999998</v>
      </c>
      <c r="M1364" s="986">
        <v>0</v>
      </c>
      <c r="N1364" s="986">
        <v>0</v>
      </c>
      <c r="O1364" s="986">
        <f>L1364</f>
        <v>2463360.0699999998</v>
      </c>
      <c r="P1364" s="1033">
        <v>0</v>
      </c>
      <c r="Q1364" s="986">
        <v>0</v>
      </c>
      <c r="R1364" s="1024">
        <f t="shared" si="413"/>
        <v>690.57779989347091</v>
      </c>
      <c r="S1364" s="987">
        <v>2017</v>
      </c>
      <c r="T1364" s="987">
        <v>2022</v>
      </c>
    </row>
    <row r="1365" spans="1:20" ht="39.6" customHeight="1">
      <c r="A1365" s="1271">
        <v>308</v>
      </c>
      <c r="B1365" s="1089" t="s">
        <v>357</v>
      </c>
      <c r="C1365" s="1015">
        <v>1964</v>
      </c>
      <c r="D1365" s="1023"/>
      <c r="E1365" s="1271" t="s">
        <v>218</v>
      </c>
      <c r="F1365" s="1023">
        <v>5</v>
      </c>
      <c r="G1365" s="1023">
        <v>4</v>
      </c>
      <c r="H1365" s="1024">
        <v>5248.9</v>
      </c>
      <c r="I1365" s="1024">
        <v>3367</v>
      </c>
      <c r="J1365" s="1024">
        <v>2316.5</v>
      </c>
      <c r="K1365" s="1110">
        <v>178</v>
      </c>
      <c r="L1365" s="986">
        <v>1958042</v>
      </c>
      <c r="M1365" s="986">
        <v>0</v>
      </c>
      <c r="N1365" s="986">
        <v>0</v>
      </c>
      <c r="O1365" s="986">
        <f t="shared" ref="O1365:O1367" si="414">L1365</f>
        <v>1958042</v>
      </c>
      <c r="P1365" s="1033">
        <v>0</v>
      </c>
      <c r="Q1365" s="986">
        <v>0</v>
      </c>
      <c r="R1365" s="1024">
        <f t="shared" si="413"/>
        <v>581.53905553905554</v>
      </c>
      <c r="S1365" s="987">
        <v>2017</v>
      </c>
      <c r="T1365" s="987">
        <v>2022</v>
      </c>
    </row>
    <row r="1366" spans="1:20" ht="33" customHeight="1">
      <c r="A1366" s="1271">
        <v>309</v>
      </c>
      <c r="B1366" s="1089" t="s">
        <v>737</v>
      </c>
      <c r="C1366" s="1015">
        <v>1968</v>
      </c>
      <c r="D1366" s="1023"/>
      <c r="E1366" s="1271" t="s">
        <v>219</v>
      </c>
      <c r="F1366" s="1023">
        <v>5</v>
      </c>
      <c r="G1366" s="1023">
        <v>6</v>
      </c>
      <c r="H1366" s="1024">
        <v>5788.6</v>
      </c>
      <c r="I1366" s="1024">
        <v>4355.8</v>
      </c>
      <c r="J1366" s="1024">
        <v>2217.1</v>
      </c>
      <c r="K1366" s="1110">
        <v>263</v>
      </c>
      <c r="L1366" s="986">
        <v>6279770.8799999999</v>
      </c>
      <c r="M1366" s="986">
        <v>0</v>
      </c>
      <c r="N1366" s="986">
        <v>0</v>
      </c>
      <c r="O1366" s="986">
        <f t="shared" si="414"/>
        <v>6279770.8799999999</v>
      </c>
      <c r="P1366" s="1033">
        <v>0</v>
      </c>
      <c r="Q1366" s="986">
        <v>0</v>
      </c>
      <c r="R1366" s="1024">
        <f t="shared" si="413"/>
        <v>1441.7032186969097</v>
      </c>
      <c r="S1366" s="987">
        <v>2018</v>
      </c>
      <c r="T1366" s="987">
        <v>2022</v>
      </c>
    </row>
    <row r="1367" spans="1:20" ht="33.6" customHeight="1">
      <c r="A1367" s="1271">
        <v>310</v>
      </c>
      <c r="B1367" s="1089" t="s">
        <v>739</v>
      </c>
      <c r="C1367" s="1015">
        <v>1967</v>
      </c>
      <c r="D1367" s="1023"/>
      <c r="E1367" s="1271" t="s">
        <v>219</v>
      </c>
      <c r="F1367" s="1023">
        <v>5</v>
      </c>
      <c r="G1367" s="1023">
        <v>6</v>
      </c>
      <c r="H1367" s="1024">
        <v>5774.2</v>
      </c>
      <c r="I1367" s="1024">
        <v>4340.7</v>
      </c>
      <c r="J1367" s="1024">
        <v>2339.63</v>
      </c>
      <c r="K1367" s="1110">
        <v>255</v>
      </c>
      <c r="L1367" s="986">
        <v>6279770.8799999999</v>
      </c>
      <c r="M1367" s="986">
        <v>0</v>
      </c>
      <c r="N1367" s="986">
        <v>0</v>
      </c>
      <c r="O1367" s="986">
        <f t="shared" si="414"/>
        <v>6279770.8799999999</v>
      </c>
      <c r="P1367" s="1033">
        <v>0</v>
      </c>
      <c r="Q1367" s="986">
        <v>0</v>
      </c>
      <c r="R1367" s="1024">
        <f t="shared" si="413"/>
        <v>1446.7184739788513</v>
      </c>
      <c r="S1367" s="987">
        <v>2018</v>
      </c>
      <c r="T1367" s="987">
        <v>2022</v>
      </c>
    </row>
    <row r="1368" spans="1:20" ht="39.6" customHeight="1">
      <c r="A1368" s="1271">
        <v>311</v>
      </c>
      <c r="B1368" s="1089" t="s">
        <v>907</v>
      </c>
      <c r="C1368" s="1015">
        <v>1965</v>
      </c>
      <c r="D1368" s="1023"/>
      <c r="E1368" s="1271" t="s">
        <v>218</v>
      </c>
      <c r="F1368" s="1023">
        <v>5</v>
      </c>
      <c r="G1368" s="1023">
        <v>3</v>
      </c>
      <c r="H1368" s="1024">
        <v>3780.5</v>
      </c>
      <c r="I1368" s="1024">
        <v>2488</v>
      </c>
      <c r="J1368" s="1024">
        <v>1486.4</v>
      </c>
      <c r="K1368" s="1110">
        <v>136</v>
      </c>
      <c r="L1368" s="986">
        <v>1405474.49</v>
      </c>
      <c r="M1368" s="986">
        <v>0</v>
      </c>
      <c r="N1368" s="986">
        <v>0</v>
      </c>
      <c r="O1368" s="986">
        <v>1405474.49</v>
      </c>
      <c r="P1368" s="1033">
        <v>0</v>
      </c>
      <c r="Q1368" s="986">
        <v>0</v>
      </c>
      <c r="R1368" s="1077">
        <v>564.90132234726684</v>
      </c>
      <c r="S1368" s="987">
        <v>2016</v>
      </c>
      <c r="T1368" s="987">
        <v>2020</v>
      </c>
    </row>
    <row r="1369" spans="1:20" ht="42.6" customHeight="1">
      <c r="A1369" s="1271">
        <v>312</v>
      </c>
      <c r="B1369" s="1089" t="s">
        <v>943</v>
      </c>
      <c r="C1369" s="1015">
        <v>1964</v>
      </c>
      <c r="D1369" s="1023"/>
      <c r="E1369" s="1271" t="s">
        <v>218</v>
      </c>
      <c r="F1369" s="1023">
        <v>5</v>
      </c>
      <c r="G1369" s="1023">
        <v>5</v>
      </c>
      <c r="H1369" s="1024">
        <v>6196.8</v>
      </c>
      <c r="I1369" s="1024">
        <v>4027.51</v>
      </c>
      <c r="J1369" s="1024">
        <v>3262.28</v>
      </c>
      <c r="K1369" s="1110">
        <v>233</v>
      </c>
      <c r="L1369" s="986">
        <v>3518714</v>
      </c>
      <c r="M1369" s="986">
        <v>0</v>
      </c>
      <c r="N1369" s="986">
        <v>0</v>
      </c>
      <c r="O1369" s="986">
        <v>3518714</v>
      </c>
      <c r="P1369" s="1033">
        <v>0</v>
      </c>
      <c r="Q1369" s="986">
        <v>0</v>
      </c>
      <c r="R1369" s="1024">
        <v>873.66983570493926</v>
      </c>
      <c r="S1369" s="987">
        <v>2019</v>
      </c>
      <c r="T1369" s="987">
        <v>2020</v>
      </c>
    </row>
    <row r="1370" spans="1:20" ht="40.15" customHeight="1">
      <c r="A1370" s="1271">
        <v>313</v>
      </c>
      <c r="B1370" s="1089" t="s">
        <v>741</v>
      </c>
      <c r="C1370" s="1015">
        <v>1979</v>
      </c>
      <c r="D1370" s="1023"/>
      <c r="E1370" s="1271" t="s">
        <v>218</v>
      </c>
      <c r="F1370" s="1023">
        <v>5</v>
      </c>
      <c r="G1370" s="1023">
        <v>5</v>
      </c>
      <c r="H1370" s="1024">
        <v>6648.4</v>
      </c>
      <c r="I1370" s="1024">
        <v>3931</v>
      </c>
      <c r="J1370" s="1024">
        <v>2464.7399999999998</v>
      </c>
      <c r="K1370" s="1110">
        <v>182</v>
      </c>
      <c r="L1370" s="986">
        <v>3337208</v>
      </c>
      <c r="M1370" s="986">
        <v>0</v>
      </c>
      <c r="N1370" s="986">
        <v>0</v>
      </c>
      <c r="O1370" s="986">
        <v>3337208</v>
      </c>
      <c r="P1370" s="1033">
        <v>0</v>
      </c>
      <c r="Q1370" s="986">
        <v>0</v>
      </c>
      <c r="R1370" s="1024">
        <v>848.94632409056214</v>
      </c>
      <c r="S1370" s="987">
        <v>2019</v>
      </c>
      <c r="T1370" s="987">
        <v>2020</v>
      </c>
    </row>
    <row r="1371" spans="1:20" ht="42.6" customHeight="1">
      <c r="A1371" s="1271">
        <v>314</v>
      </c>
      <c r="B1371" s="1089" t="s">
        <v>742</v>
      </c>
      <c r="C1371" s="1015">
        <v>1975</v>
      </c>
      <c r="D1371" s="1023"/>
      <c r="E1371" s="1271" t="s">
        <v>218</v>
      </c>
      <c r="F1371" s="1023">
        <v>5</v>
      </c>
      <c r="G1371" s="1023">
        <v>6</v>
      </c>
      <c r="H1371" s="1024">
        <v>8035.9</v>
      </c>
      <c r="I1371" s="1024">
        <v>4734.28</v>
      </c>
      <c r="J1371" s="1024">
        <v>4043.08</v>
      </c>
      <c r="K1371" s="1110">
        <v>214</v>
      </c>
      <c r="L1371" s="986">
        <v>3902279</v>
      </c>
      <c r="M1371" s="986">
        <v>0</v>
      </c>
      <c r="N1371" s="986">
        <v>0</v>
      </c>
      <c r="O1371" s="986">
        <v>3902279</v>
      </c>
      <c r="P1371" s="1033">
        <v>0</v>
      </c>
      <c r="Q1371" s="986">
        <v>0</v>
      </c>
      <c r="R1371" s="1024">
        <v>824.26028878731302</v>
      </c>
      <c r="S1371" s="987">
        <v>2019</v>
      </c>
      <c r="T1371" s="987">
        <v>2020</v>
      </c>
    </row>
    <row r="1372" spans="1:20" ht="37.9" customHeight="1">
      <c r="A1372" s="1271"/>
      <c r="B1372" s="1273" t="s">
        <v>1123</v>
      </c>
      <c r="C1372" s="1279"/>
      <c r="D1372" s="1283"/>
      <c r="E1372" s="1271"/>
      <c r="F1372" s="1279"/>
      <c r="G1372" s="1279"/>
      <c r="H1372" s="1024">
        <f>H1373+H1374</f>
        <v>4284.7</v>
      </c>
      <c r="I1372" s="1024">
        <f t="shared" ref="I1372:Q1372" si="415">I1373+I1374</f>
        <v>3030.4</v>
      </c>
      <c r="J1372" s="1024">
        <f t="shared" si="415"/>
        <v>2763.5</v>
      </c>
      <c r="K1372" s="1011">
        <f t="shared" si="415"/>
        <v>97</v>
      </c>
      <c r="L1372" s="1024">
        <f t="shared" si="415"/>
        <v>14594826.83</v>
      </c>
      <c r="M1372" s="1024">
        <f t="shared" si="415"/>
        <v>0</v>
      </c>
      <c r="N1372" s="1024">
        <f t="shared" si="415"/>
        <v>0</v>
      </c>
      <c r="O1372" s="1024">
        <f t="shared" si="415"/>
        <v>14594826.83</v>
      </c>
      <c r="P1372" s="1024">
        <f t="shared" si="415"/>
        <v>0</v>
      </c>
      <c r="Q1372" s="1024">
        <f t="shared" si="415"/>
        <v>0</v>
      </c>
      <c r="R1372" s="991" t="s">
        <v>40</v>
      </c>
      <c r="S1372" s="991" t="s">
        <v>40</v>
      </c>
      <c r="T1372" s="991" t="s">
        <v>40</v>
      </c>
    </row>
    <row r="1373" spans="1:20" ht="40.9" customHeight="1">
      <c r="A1373" s="1271">
        <v>315</v>
      </c>
      <c r="B1373" s="1273" t="s">
        <v>865</v>
      </c>
      <c r="C1373" s="1271">
        <v>1961</v>
      </c>
      <c r="D1373" s="1279">
        <v>2012</v>
      </c>
      <c r="E1373" s="1271" t="s">
        <v>218</v>
      </c>
      <c r="F1373" s="1279">
        <v>3</v>
      </c>
      <c r="G1373" s="1279">
        <v>3</v>
      </c>
      <c r="H1373" s="985">
        <v>2106.6999999999998</v>
      </c>
      <c r="I1373" s="985">
        <v>1512.5</v>
      </c>
      <c r="J1373" s="985">
        <v>1432</v>
      </c>
      <c r="K1373" s="987">
        <v>50</v>
      </c>
      <c r="L1373" s="986">
        <v>7887040.2599999998</v>
      </c>
      <c r="M1373" s="986">
        <v>0</v>
      </c>
      <c r="N1373" s="986">
        <v>0</v>
      </c>
      <c r="O1373" s="986">
        <f>L1373</f>
        <v>7887040.2599999998</v>
      </c>
      <c r="P1373" s="993">
        <v>0</v>
      </c>
      <c r="Q1373" s="986">
        <v>0</v>
      </c>
      <c r="R1373" s="985">
        <v>4730.227438016529</v>
      </c>
      <c r="S1373" s="987">
        <v>2018</v>
      </c>
      <c r="T1373" s="987">
        <v>2020</v>
      </c>
    </row>
    <row r="1374" spans="1:20" ht="39.6" customHeight="1">
      <c r="A1374" s="1271">
        <v>316</v>
      </c>
      <c r="B1374" s="1273" t="s">
        <v>866</v>
      </c>
      <c r="C1374" s="1271">
        <v>1963</v>
      </c>
      <c r="D1374" s="1279">
        <v>2012</v>
      </c>
      <c r="E1374" s="1271" t="s">
        <v>218</v>
      </c>
      <c r="F1374" s="1279">
        <v>3</v>
      </c>
      <c r="G1374" s="1279">
        <v>3</v>
      </c>
      <c r="H1374" s="985">
        <v>2178</v>
      </c>
      <c r="I1374" s="985">
        <v>1517.9</v>
      </c>
      <c r="J1374" s="985">
        <v>1331.5</v>
      </c>
      <c r="K1374" s="987">
        <v>47</v>
      </c>
      <c r="L1374" s="986">
        <v>6707786.5700000003</v>
      </c>
      <c r="M1374" s="986">
        <v>0</v>
      </c>
      <c r="N1374" s="986">
        <v>0</v>
      </c>
      <c r="O1374" s="986">
        <f>L1374</f>
        <v>6707786.5700000003</v>
      </c>
      <c r="P1374" s="993">
        <v>0</v>
      </c>
      <c r="Q1374" s="986">
        <v>0</v>
      </c>
      <c r="R1374" s="985">
        <v>3738.312800579748</v>
      </c>
      <c r="S1374" s="987">
        <v>2018</v>
      </c>
      <c r="T1374" s="987">
        <v>2020</v>
      </c>
    </row>
    <row r="1375" spans="1:20" ht="42.6" customHeight="1">
      <c r="A1375" s="1271"/>
      <c r="B1375" s="1273" t="s">
        <v>1435</v>
      </c>
      <c r="C1375" s="1279"/>
      <c r="D1375" s="1283"/>
      <c r="E1375" s="1271"/>
      <c r="F1375" s="1279"/>
      <c r="G1375" s="1279"/>
      <c r="H1375" s="985">
        <f t="shared" ref="H1375:Q1375" si="416">SUM(H1376:H1384)</f>
        <v>4626.2</v>
      </c>
      <c r="I1375" s="985">
        <f t="shared" si="416"/>
        <v>4092.0000000000005</v>
      </c>
      <c r="J1375" s="985">
        <f t="shared" si="416"/>
        <v>3449.3</v>
      </c>
      <c r="K1375" s="1064">
        <f t="shared" si="416"/>
        <v>146</v>
      </c>
      <c r="L1375" s="985">
        <f t="shared" si="416"/>
        <v>16441564.260000002</v>
      </c>
      <c r="M1375" s="985">
        <f t="shared" si="416"/>
        <v>0</v>
      </c>
      <c r="N1375" s="985">
        <f t="shared" si="416"/>
        <v>0</v>
      </c>
      <c r="O1375" s="985">
        <f t="shared" si="416"/>
        <v>16441564.260000002</v>
      </c>
      <c r="P1375" s="985">
        <f t="shared" si="416"/>
        <v>0</v>
      </c>
      <c r="Q1375" s="985">
        <f t="shared" si="416"/>
        <v>0</v>
      </c>
      <c r="R1375" s="991" t="s">
        <v>40</v>
      </c>
      <c r="S1375" s="991" t="s">
        <v>40</v>
      </c>
      <c r="T1375" s="991" t="s">
        <v>40</v>
      </c>
    </row>
    <row r="1376" spans="1:20" ht="40.9" customHeight="1">
      <c r="A1376" s="1271">
        <v>317</v>
      </c>
      <c r="B1376" s="1040" t="s">
        <v>2149</v>
      </c>
      <c r="C1376" s="1032">
        <v>1979</v>
      </c>
      <c r="D1376" s="1032"/>
      <c r="E1376" s="1271" t="s">
        <v>218</v>
      </c>
      <c r="F1376" s="1032">
        <v>2</v>
      </c>
      <c r="G1376" s="1032">
        <v>2</v>
      </c>
      <c r="H1376" s="1037">
        <v>916.7</v>
      </c>
      <c r="I1376" s="1037">
        <v>832.1</v>
      </c>
      <c r="J1376" s="1037">
        <v>782.6</v>
      </c>
      <c r="K1376" s="1068">
        <v>23</v>
      </c>
      <c r="L1376" s="986">
        <v>2620866</v>
      </c>
      <c r="M1376" s="986">
        <v>0</v>
      </c>
      <c r="N1376" s="986">
        <v>0</v>
      </c>
      <c r="O1376" s="986">
        <f t="shared" ref="O1376:O1378" si="417">L1376</f>
        <v>2620866</v>
      </c>
      <c r="P1376" s="1033">
        <v>0</v>
      </c>
      <c r="Q1376" s="986">
        <v>0</v>
      </c>
      <c r="R1376" s="1037">
        <f t="shared" ref="R1376:R1378" si="418">L1376/I1376</f>
        <v>3149.7007571205381</v>
      </c>
      <c r="S1376" s="987">
        <v>2016</v>
      </c>
      <c r="T1376" s="987">
        <v>2020</v>
      </c>
    </row>
    <row r="1377" spans="1:20" ht="38.450000000000003" customHeight="1">
      <c r="A1377" s="1271">
        <v>318</v>
      </c>
      <c r="B1377" s="1040" t="s">
        <v>2150</v>
      </c>
      <c r="C1377" s="1032">
        <v>1966</v>
      </c>
      <c r="D1377" s="1032"/>
      <c r="E1377" s="1271" t="s">
        <v>218</v>
      </c>
      <c r="F1377" s="1032">
        <v>2</v>
      </c>
      <c r="G1377" s="1032">
        <v>2</v>
      </c>
      <c r="H1377" s="1037">
        <v>434</v>
      </c>
      <c r="I1377" s="1037">
        <v>396.4</v>
      </c>
      <c r="J1377" s="1037">
        <v>396.4</v>
      </c>
      <c r="K1377" s="1068">
        <v>12</v>
      </c>
      <c r="L1377" s="986">
        <v>1255505</v>
      </c>
      <c r="M1377" s="986">
        <v>0</v>
      </c>
      <c r="N1377" s="986">
        <v>0</v>
      </c>
      <c r="O1377" s="986">
        <f t="shared" si="417"/>
        <v>1255505</v>
      </c>
      <c r="P1377" s="1033">
        <v>0</v>
      </c>
      <c r="Q1377" s="986">
        <v>0</v>
      </c>
      <c r="R1377" s="1037">
        <f t="shared" si="418"/>
        <v>3167.2679112008072</v>
      </c>
      <c r="S1377" s="987">
        <v>2016</v>
      </c>
      <c r="T1377" s="987">
        <v>2020</v>
      </c>
    </row>
    <row r="1378" spans="1:20" ht="38.450000000000003" customHeight="1">
      <c r="A1378" s="1271">
        <v>319</v>
      </c>
      <c r="B1378" s="1040" t="s">
        <v>2151</v>
      </c>
      <c r="C1378" s="1032">
        <v>1962</v>
      </c>
      <c r="D1378" s="1032"/>
      <c r="E1378" s="1271" t="s">
        <v>218</v>
      </c>
      <c r="F1378" s="1032">
        <v>2</v>
      </c>
      <c r="G1378" s="1032">
        <v>1</v>
      </c>
      <c r="H1378" s="1037">
        <v>342.6</v>
      </c>
      <c r="I1378" s="1037">
        <v>307.39999999999998</v>
      </c>
      <c r="J1378" s="1037">
        <v>237.3</v>
      </c>
      <c r="K1378" s="1068">
        <v>15</v>
      </c>
      <c r="L1378" s="986">
        <v>1473794.61</v>
      </c>
      <c r="M1378" s="986">
        <v>0</v>
      </c>
      <c r="N1378" s="986">
        <v>0</v>
      </c>
      <c r="O1378" s="986">
        <f t="shared" si="417"/>
        <v>1473794.61</v>
      </c>
      <c r="P1378" s="1033">
        <v>0</v>
      </c>
      <c r="Q1378" s="986">
        <v>0</v>
      </c>
      <c r="R1378" s="1037">
        <f t="shared" si="418"/>
        <v>4794.3871502927786</v>
      </c>
      <c r="S1378" s="987">
        <v>2016</v>
      </c>
      <c r="T1378" s="987">
        <v>2022</v>
      </c>
    </row>
    <row r="1379" spans="1:20" ht="45" customHeight="1">
      <c r="A1379" s="1271">
        <v>320</v>
      </c>
      <c r="B1379" s="1274" t="s">
        <v>2152</v>
      </c>
      <c r="C1379" s="1279">
        <v>1964</v>
      </c>
      <c r="D1379" s="1279"/>
      <c r="E1379" s="1271" t="s">
        <v>218</v>
      </c>
      <c r="F1379" s="1279">
        <v>2</v>
      </c>
      <c r="G1379" s="1279">
        <v>3</v>
      </c>
      <c r="H1379" s="1037">
        <v>567.29999999999995</v>
      </c>
      <c r="I1379" s="1037">
        <v>404.9</v>
      </c>
      <c r="J1379" s="1037">
        <v>93.4</v>
      </c>
      <c r="K1379" s="1068">
        <v>7</v>
      </c>
      <c r="L1379" s="986">
        <v>1726319</v>
      </c>
      <c r="M1379" s="986">
        <v>0</v>
      </c>
      <c r="N1379" s="986">
        <v>0</v>
      </c>
      <c r="O1379" s="986">
        <v>1726319</v>
      </c>
      <c r="P1379" s="1033">
        <v>0</v>
      </c>
      <c r="Q1379" s="986">
        <v>0</v>
      </c>
      <c r="R1379" s="1037">
        <f t="shared" ref="R1379" si="419">L1379/I1379</f>
        <v>4263.5687824154111</v>
      </c>
      <c r="S1379" s="987">
        <v>2016</v>
      </c>
      <c r="T1379" s="987">
        <v>2020</v>
      </c>
    </row>
    <row r="1380" spans="1:20" ht="42.6" customHeight="1">
      <c r="A1380" s="1271">
        <v>321</v>
      </c>
      <c r="B1380" s="1040" t="s">
        <v>2935</v>
      </c>
      <c r="C1380" s="1032">
        <v>1967</v>
      </c>
      <c r="D1380" s="1032"/>
      <c r="E1380" s="1271" t="s">
        <v>218</v>
      </c>
      <c r="F1380" s="1032">
        <v>2</v>
      </c>
      <c r="G1380" s="1032">
        <v>2</v>
      </c>
      <c r="H1380" s="1037">
        <v>563.20000000000005</v>
      </c>
      <c r="I1380" s="1037">
        <v>528.4</v>
      </c>
      <c r="J1380" s="1037">
        <v>475.3</v>
      </c>
      <c r="K1380" s="1068">
        <v>14</v>
      </c>
      <c r="L1380" s="986">
        <v>2121307.2200000002</v>
      </c>
      <c r="M1380" s="986">
        <v>0</v>
      </c>
      <c r="N1380" s="986">
        <v>0</v>
      </c>
      <c r="O1380" s="986">
        <f>L1380</f>
        <v>2121307.2200000002</v>
      </c>
      <c r="P1380" s="1033">
        <v>0</v>
      </c>
      <c r="Q1380" s="986">
        <v>0</v>
      </c>
      <c r="R1380" s="1037">
        <f t="shared" ref="R1380:R1384" si="420">L1380/I1380</f>
        <v>4014.5859576078733</v>
      </c>
      <c r="S1380" s="987">
        <v>2016</v>
      </c>
      <c r="T1380" s="987">
        <v>2022</v>
      </c>
    </row>
    <row r="1381" spans="1:20" ht="42.6" customHeight="1">
      <c r="A1381" s="1271">
        <v>322</v>
      </c>
      <c r="B1381" s="1274" t="s">
        <v>2153</v>
      </c>
      <c r="C1381" s="1279">
        <v>1971</v>
      </c>
      <c r="D1381" s="1279"/>
      <c r="E1381" s="1271" t="s">
        <v>218</v>
      </c>
      <c r="F1381" s="1279">
        <v>2</v>
      </c>
      <c r="G1381" s="1279">
        <v>2</v>
      </c>
      <c r="H1381" s="985">
        <v>604.4</v>
      </c>
      <c r="I1381" s="985">
        <v>545.6</v>
      </c>
      <c r="J1381" s="985">
        <v>506.9</v>
      </c>
      <c r="K1381" s="1064">
        <v>26</v>
      </c>
      <c r="L1381" s="986">
        <v>3276804.41</v>
      </c>
      <c r="M1381" s="986">
        <v>0</v>
      </c>
      <c r="N1381" s="986">
        <v>0</v>
      </c>
      <c r="O1381" s="986">
        <f>L1381</f>
        <v>3276804.41</v>
      </c>
      <c r="P1381" s="993">
        <f>Q1381</f>
        <v>0</v>
      </c>
      <c r="Q1381" s="986">
        <v>0</v>
      </c>
      <c r="R1381" s="985">
        <f t="shared" si="420"/>
        <v>6005.8731854838707</v>
      </c>
      <c r="S1381" s="987">
        <v>2017</v>
      </c>
      <c r="T1381" s="987">
        <v>2021</v>
      </c>
    </row>
    <row r="1382" spans="1:20" ht="42.6" customHeight="1">
      <c r="A1382" s="1271">
        <v>323</v>
      </c>
      <c r="B1382" s="1274" t="s">
        <v>2151</v>
      </c>
      <c r="C1382" s="1279">
        <v>1962</v>
      </c>
      <c r="D1382" s="1279"/>
      <c r="E1382" s="1271" t="s">
        <v>218</v>
      </c>
      <c r="F1382" s="1279">
        <v>2</v>
      </c>
      <c r="G1382" s="1279">
        <v>1</v>
      </c>
      <c r="H1382" s="985">
        <v>342.6</v>
      </c>
      <c r="I1382" s="985">
        <v>307.39999999999998</v>
      </c>
      <c r="J1382" s="985">
        <v>237.3</v>
      </c>
      <c r="K1382" s="1064">
        <v>15</v>
      </c>
      <c r="L1382" s="986">
        <v>943734.47</v>
      </c>
      <c r="M1382" s="986">
        <v>0</v>
      </c>
      <c r="N1382" s="986">
        <v>0</v>
      </c>
      <c r="O1382" s="986">
        <v>943734.47</v>
      </c>
      <c r="P1382" s="993">
        <f>Q1382</f>
        <v>0</v>
      </c>
      <c r="Q1382" s="986">
        <v>0</v>
      </c>
      <c r="R1382" s="985">
        <f t="shared" si="420"/>
        <v>3070.0535783994796</v>
      </c>
      <c r="S1382" s="987">
        <v>2017</v>
      </c>
      <c r="T1382" s="987">
        <v>2022</v>
      </c>
    </row>
    <row r="1383" spans="1:20" ht="45" customHeight="1">
      <c r="A1383" s="1271">
        <v>324</v>
      </c>
      <c r="B1383" s="1274" t="s">
        <v>2150</v>
      </c>
      <c r="C1383" s="1279">
        <v>1966</v>
      </c>
      <c r="D1383" s="1279"/>
      <c r="E1383" s="1271" t="s">
        <v>218</v>
      </c>
      <c r="F1383" s="1279">
        <v>2</v>
      </c>
      <c r="G1383" s="1279">
        <v>2</v>
      </c>
      <c r="H1383" s="985">
        <v>434</v>
      </c>
      <c r="I1383" s="985">
        <v>396.4</v>
      </c>
      <c r="J1383" s="985">
        <v>396.4</v>
      </c>
      <c r="K1383" s="1064">
        <v>12</v>
      </c>
      <c r="L1383" s="986">
        <v>1343796</v>
      </c>
      <c r="M1383" s="986">
        <v>0</v>
      </c>
      <c r="N1383" s="986">
        <v>0</v>
      </c>
      <c r="O1383" s="986">
        <v>1343796</v>
      </c>
      <c r="P1383" s="993">
        <f>Q1383</f>
        <v>0</v>
      </c>
      <c r="Q1383" s="986">
        <v>0</v>
      </c>
      <c r="R1383" s="985">
        <f t="shared" si="420"/>
        <v>3390</v>
      </c>
      <c r="S1383" s="987">
        <v>2017</v>
      </c>
      <c r="T1383" s="987">
        <v>2022</v>
      </c>
    </row>
    <row r="1384" spans="1:20" ht="39" customHeight="1">
      <c r="A1384" s="1271">
        <v>325</v>
      </c>
      <c r="B1384" s="1274" t="s">
        <v>2936</v>
      </c>
      <c r="C1384" s="1279">
        <v>1970</v>
      </c>
      <c r="D1384" s="1279"/>
      <c r="E1384" s="1271" t="s">
        <v>218</v>
      </c>
      <c r="F1384" s="1279">
        <v>2</v>
      </c>
      <c r="G1384" s="1279">
        <v>2</v>
      </c>
      <c r="H1384" s="985">
        <v>421.4</v>
      </c>
      <c r="I1384" s="985">
        <v>373.4</v>
      </c>
      <c r="J1384" s="985">
        <v>323.7</v>
      </c>
      <c r="K1384" s="1064">
        <v>22</v>
      </c>
      <c r="L1384" s="986">
        <v>1679437.55</v>
      </c>
      <c r="M1384" s="986">
        <v>0</v>
      </c>
      <c r="N1384" s="986">
        <v>0</v>
      </c>
      <c r="O1384" s="986">
        <f>L1384</f>
        <v>1679437.55</v>
      </c>
      <c r="P1384" s="993">
        <v>0</v>
      </c>
      <c r="Q1384" s="986">
        <v>0</v>
      </c>
      <c r="R1384" s="985">
        <f t="shared" si="420"/>
        <v>4497.6902785216926</v>
      </c>
      <c r="S1384" s="987">
        <v>2018</v>
      </c>
      <c r="T1384" s="987">
        <v>2022</v>
      </c>
    </row>
    <row r="1385" spans="1:20" ht="42.6" customHeight="1">
      <c r="A1385" s="1271"/>
      <c r="B1385" s="1274" t="s">
        <v>41</v>
      </c>
      <c r="C1385" s="1279"/>
      <c r="D1385" s="1283"/>
      <c r="E1385" s="1271"/>
      <c r="F1385" s="1279"/>
      <c r="G1385" s="1279"/>
      <c r="H1385" s="985">
        <f>H1386</f>
        <v>7271</v>
      </c>
      <c r="I1385" s="985">
        <f t="shared" ref="I1385:Q1385" si="421">I1386</f>
        <v>6085.9</v>
      </c>
      <c r="J1385" s="985">
        <f t="shared" si="421"/>
        <v>5547.4</v>
      </c>
      <c r="K1385" s="1064">
        <f t="shared" si="421"/>
        <v>276</v>
      </c>
      <c r="L1385" s="986">
        <f t="shared" ref="L1385" si="422">O1385</f>
        <v>13043909.720000001</v>
      </c>
      <c r="M1385" s="986">
        <f t="shared" si="421"/>
        <v>0</v>
      </c>
      <c r="N1385" s="986">
        <f t="shared" si="421"/>
        <v>0</v>
      </c>
      <c r="O1385" s="986">
        <f t="shared" si="421"/>
        <v>13043909.720000001</v>
      </c>
      <c r="P1385" s="993">
        <f t="shared" ref="P1385:P1426" si="423">Q1385</f>
        <v>0</v>
      </c>
      <c r="Q1385" s="986">
        <f t="shared" si="421"/>
        <v>0</v>
      </c>
      <c r="R1385" s="991" t="s">
        <v>40</v>
      </c>
      <c r="S1385" s="991" t="s">
        <v>40</v>
      </c>
      <c r="T1385" s="991" t="s">
        <v>40</v>
      </c>
    </row>
    <row r="1386" spans="1:20" ht="40.9" customHeight="1">
      <c r="A1386" s="1271"/>
      <c r="B1386" s="1274" t="s">
        <v>2901</v>
      </c>
      <c r="C1386" s="1279"/>
      <c r="D1386" s="1283"/>
      <c r="E1386" s="1271"/>
      <c r="F1386" s="1279"/>
      <c r="G1386" s="1279"/>
      <c r="H1386" s="1035">
        <f>SUM(H1387:H1394)</f>
        <v>7271</v>
      </c>
      <c r="I1386" s="1035">
        <f t="shared" ref="I1386:Q1386" si="424">SUM(I1387:I1394)</f>
        <v>6085.9</v>
      </c>
      <c r="J1386" s="1035">
        <f t="shared" si="424"/>
        <v>5547.4</v>
      </c>
      <c r="K1386" s="1064">
        <f t="shared" si="424"/>
        <v>276</v>
      </c>
      <c r="L1386" s="1035">
        <f t="shared" si="424"/>
        <v>13043909.720000001</v>
      </c>
      <c r="M1386" s="1035">
        <f t="shared" si="424"/>
        <v>0</v>
      </c>
      <c r="N1386" s="1035">
        <f t="shared" si="424"/>
        <v>0</v>
      </c>
      <c r="O1386" s="1035">
        <f t="shared" si="424"/>
        <v>13043909.720000001</v>
      </c>
      <c r="P1386" s="1035">
        <f t="shared" si="424"/>
        <v>0</v>
      </c>
      <c r="Q1386" s="1035">
        <f t="shared" si="424"/>
        <v>0</v>
      </c>
      <c r="R1386" s="991" t="s">
        <v>40</v>
      </c>
      <c r="S1386" s="991" t="s">
        <v>40</v>
      </c>
      <c r="T1386" s="991" t="s">
        <v>40</v>
      </c>
    </row>
    <row r="1387" spans="1:20" ht="40.9" customHeight="1">
      <c r="A1387" s="1031">
        <v>326</v>
      </c>
      <c r="B1387" s="1014" t="s">
        <v>1259</v>
      </c>
      <c r="C1387" s="1023">
        <v>1966</v>
      </c>
      <c r="D1387" s="1023">
        <v>2013</v>
      </c>
      <c r="E1387" s="1271" t="s">
        <v>218</v>
      </c>
      <c r="F1387" s="1023">
        <v>5</v>
      </c>
      <c r="G1387" s="1023">
        <v>2</v>
      </c>
      <c r="H1387" s="1024">
        <v>2171.1999999999998</v>
      </c>
      <c r="I1387" s="1024">
        <v>1607.3</v>
      </c>
      <c r="J1387" s="1024">
        <f>I1387-30.6</f>
        <v>1576.7</v>
      </c>
      <c r="K1387" s="1011">
        <v>64</v>
      </c>
      <c r="L1387" s="1024">
        <v>2342562</v>
      </c>
      <c r="M1387" s="1024">
        <v>0</v>
      </c>
      <c r="N1387" s="1024">
        <v>0</v>
      </c>
      <c r="O1387" s="1024">
        <v>2342562</v>
      </c>
      <c r="P1387" s="1024">
        <v>0</v>
      </c>
      <c r="Q1387" s="1024">
        <v>0</v>
      </c>
      <c r="R1387" s="1024">
        <f>L1387/I1387</f>
        <v>1457.4516269520313</v>
      </c>
      <c r="S1387" s="987">
        <v>2017</v>
      </c>
      <c r="T1387" s="987">
        <v>2022</v>
      </c>
    </row>
    <row r="1388" spans="1:20" ht="40.15" customHeight="1">
      <c r="A1388" s="1031">
        <v>327</v>
      </c>
      <c r="B1388" s="1014" t="s">
        <v>1042</v>
      </c>
      <c r="C1388" s="1023">
        <v>1955</v>
      </c>
      <c r="D1388" s="1023">
        <v>2005</v>
      </c>
      <c r="E1388" s="1271" t="s">
        <v>218</v>
      </c>
      <c r="F1388" s="1023">
        <v>3</v>
      </c>
      <c r="G1388" s="1023">
        <v>2</v>
      </c>
      <c r="H1388" s="1024">
        <v>1065.8</v>
      </c>
      <c r="I1388" s="1024">
        <v>959.8</v>
      </c>
      <c r="J1388" s="1024">
        <f>I1388-123.4</f>
        <v>836.4</v>
      </c>
      <c r="K1388" s="1011">
        <v>38</v>
      </c>
      <c r="L1388" s="1024">
        <v>2575541</v>
      </c>
      <c r="M1388" s="1024">
        <v>0</v>
      </c>
      <c r="N1388" s="1024">
        <v>0</v>
      </c>
      <c r="O1388" s="1024">
        <v>2575541</v>
      </c>
      <c r="P1388" s="1024">
        <v>0</v>
      </c>
      <c r="Q1388" s="1024">
        <v>0</v>
      </c>
      <c r="R1388" s="1024">
        <f t="shared" ref="R1388:R1394" si="425">L1388/I1388</f>
        <v>2683.4142529693686</v>
      </c>
      <c r="S1388" s="987">
        <v>2017</v>
      </c>
      <c r="T1388" s="987">
        <v>2022</v>
      </c>
    </row>
    <row r="1389" spans="1:20" ht="36" customHeight="1">
      <c r="A1389" s="1031">
        <v>328</v>
      </c>
      <c r="B1389" s="1014" t="s">
        <v>1044</v>
      </c>
      <c r="C1389" s="1023">
        <v>1969</v>
      </c>
      <c r="D1389" s="1023">
        <v>1996</v>
      </c>
      <c r="E1389" s="1015" t="s">
        <v>823</v>
      </c>
      <c r="F1389" s="1023">
        <v>2</v>
      </c>
      <c r="G1389" s="1023">
        <v>2</v>
      </c>
      <c r="H1389" s="1024">
        <v>628.5</v>
      </c>
      <c r="I1389" s="1024">
        <v>627.20000000000005</v>
      </c>
      <c r="J1389" s="1024">
        <f>I1389</f>
        <v>627.20000000000005</v>
      </c>
      <c r="K1389" s="1011">
        <v>30</v>
      </c>
      <c r="L1389" s="1024">
        <v>2064903.9</v>
      </c>
      <c r="M1389" s="1024">
        <v>0</v>
      </c>
      <c r="N1389" s="1024">
        <v>0</v>
      </c>
      <c r="O1389" s="1024">
        <v>2064903.9</v>
      </c>
      <c r="P1389" s="1024">
        <v>0</v>
      </c>
      <c r="Q1389" s="1024">
        <v>0</v>
      </c>
      <c r="R1389" s="1024">
        <f t="shared" si="425"/>
        <v>3292.2574936224487</v>
      </c>
      <c r="S1389" s="987">
        <v>2017</v>
      </c>
      <c r="T1389" s="987">
        <v>2022</v>
      </c>
    </row>
    <row r="1390" spans="1:20" ht="44.45" customHeight="1">
      <c r="A1390" s="1031">
        <v>329</v>
      </c>
      <c r="B1390" s="1014" t="s">
        <v>1043</v>
      </c>
      <c r="C1390" s="1023">
        <v>1952</v>
      </c>
      <c r="D1390" s="1023">
        <v>2011</v>
      </c>
      <c r="E1390" s="1271" t="s">
        <v>218</v>
      </c>
      <c r="F1390" s="1023">
        <v>3</v>
      </c>
      <c r="G1390" s="1023">
        <v>2</v>
      </c>
      <c r="H1390" s="1024">
        <v>924.5</v>
      </c>
      <c r="I1390" s="1024">
        <v>878.6</v>
      </c>
      <c r="J1390" s="1024">
        <f>I1390-65.6</f>
        <v>813</v>
      </c>
      <c r="K1390" s="1011">
        <v>37</v>
      </c>
      <c r="L1390" s="1024">
        <v>2133082</v>
      </c>
      <c r="M1390" s="1024">
        <v>0</v>
      </c>
      <c r="N1390" s="1024">
        <v>0</v>
      </c>
      <c r="O1390" s="1024">
        <v>2133082</v>
      </c>
      <c r="P1390" s="1024">
        <v>0</v>
      </c>
      <c r="Q1390" s="1024">
        <v>0</v>
      </c>
      <c r="R1390" s="1024">
        <f t="shared" si="425"/>
        <v>2427.819257910312</v>
      </c>
      <c r="S1390" s="987">
        <v>2017</v>
      </c>
      <c r="T1390" s="987">
        <v>2020</v>
      </c>
    </row>
    <row r="1391" spans="1:20" ht="42.6" customHeight="1">
      <c r="A1391" s="1031">
        <v>330</v>
      </c>
      <c r="B1391" s="1014" t="s">
        <v>1045</v>
      </c>
      <c r="C1391" s="1023">
        <v>1957</v>
      </c>
      <c r="D1391" s="1023">
        <v>2011</v>
      </c>
      <c r="E1391" s="1015" t="s">
        <v>1380</v>
      </c>
      <c r="F1391" s="1023">
        <v>2</v>
      </c>
      <c r="G1391" s="1023">
        <v>2</v>
      </c>
      <c r="H1391" s="1024">
        <v>426.8</v>
      </c>
      <c r="I1391" s="1024">
        <v>395</v>
      </c>
      <c r="J1391" s="1024">
        <f>I1391-95.1</f>
        <v>299.89999999999998</v>
      </c>
      <c r="K1391" s="1011">
        <v>20</v>
      </c>
      <c r="L1391" s="1024">
        <v>875463.2</v>
      </c>
      <c r="M1391" s="1024">
        <v>0</v>
      </c>
      <c r="N1391" s="1024">
        <v>0</v>
      </c>
      <c r="O1391" s="1024">
        <v>875463.2</v>
      </c>
      <c r="P1391" s="1024">
        <v>0</v>
      </c>
      <c r="Q1391" s="1024">
        <v>0</v>
      </c>
      <c r="R1391" s="1024">
        <f t="shared" si="425"/>
        <v>2216.3625316455696</v>
      </c>
      <c r="S1391" s="987">
        <v>2018</v>
      </c>
      <c r="T1391" s="987">
        <v>2022</v>
      </c>
    </row>
    <row r="1392" spans="1:20" ht="42.6" customHeight="1">
      <c r="A1392" s="1031">
        <v>331</v>
      </c>
      <c r="B1392" s="1014" t="s">
        <v>1046</v>
      </c>
      <c r="C1392" s="1023">
        <v>1956</v>
      </c>
      <c r="D1392" s="1023">
        <v>1997</v>
      </c>
      <c r="E1392" s="1271" t="s">
        <v>218</v>
      </c>
      <c r="F1392" s="1023">
        <v>2</v>
      </c>
      <c r="G1392" s="1023">
        <v>1</v>
      </c>
      <c r="H1392" s="1024">
        <v>960</v>
      </c>
      <c r="I1392" s="1024">
        <v>572.1</v>
      </c>
      <c r="J1392" s="1024">
        <f>I1392-196.3</f>
        <v>375.8</v>
      </c>
      <c r="K1392" s="1011">
        <v>40</v>
      </c>
      <c r="L1392" s="1024">
        <v>537484.63</v>
      </c>
      <c r="M1392" s="1024">
        <v>0</v>
      </c>
      <c r="N1392" s="1024">
        <v>0</v>
      </c>
      <c r="O1392" s="1024">
        <v>537484.63</v>
      </c>
      <c r="P1392" s="1024">
        <v>0</v>
      </c>
      <c r="Q1392" s="1024">
        <v>0</v>
      </c>
      <c r="R1392" s="1024">
        <f t="shared" si="425"/>
        <v>939.49419681873792</v>
      </c>
      <c r="S1392" s="987">
        <v>2018</v>
      </c>
      <c r="T1392" s="987">
        <v>2022</v>
      </c>
    </row>
    <row r="1393" spans="1:20" ht="40.15" customHeight="1">
      <c r="A1393" s="1031">
        <v>332</v>
      </c>
      <c r="B1393" s="1014" t="s">
        <v>1047</v>
      </c>
      <c r="C1393" s="1023">
        <v>1952</v>
      </c>
      <c r="D1393" s="1023"/>
      <c r="E1393" s="1271" t="s">
        <v>218</v>
      </c>
      <c r="F1393" s="1023">
        <v>2</v>
      </c>
      <c r="G1393" s="1023">
        <v>2</v>
      </c>
      <c r="H1393" s="1024">
        <v>715.8</v>
      </c>
      <c r="I1393" s="1024">
        <v>712</v>
      </c>
      <c r="J1393" s="1024">
        <f>I1393-27.5</f>
        <v>684.5</v>
      </c>
      <c r="K1393" s="1011">
        <v>32</v>
      </c>
      <c r="L1393" s="1024">
        <v>1451416.99</v>
      </c>
      <c r="M1393" s="1024">
        <v>0</v>
      </c>
      <c r="N1393" s="1024">
        <v>0</v>
      </c>
      <c r="O1393" s="1024">
        <v>1451416.99</v>
      </c>
      <c r="P1393" s="1024">
        <v>0</v>
      </c>
      <c r="Q1393" s="1024">
        <v>0</v>
      </c>
      <c r="R1393" s="1024">
        <f t="shared" si="425"/>
        <v>2038.5070084269662</v>
      </c>
      <c r="S1393" s="987">
        <v>2018</v>
      </c>
      <c r="T1393" s="987">
        <v>2022</v>
      </c>
    </row>
    <row r="1394" spans="1:20" ht="40.9" customHeight="1">
      <c r="A1394" s="1031">
        <v>333</v>
      </c>
      <c r="B1394" s="1014" t="s">
        <v>1260</v>
      </c>
      <c r="C1394" s="1023">
        <v>1957</v>
      </c>
      <c r="D1394" s="1023"/>
      <c r="E1394" s="1271" t="s">
        <v>218</v>
      </c>
      <c r="F1394" s="1023">
        <v>2</v>
      </c>
      <c r="G1394" s="1023">
        <v>1</v>
      </c>
      <c r="H1394" s="1024">
        <v>378.4</v>
      </c>
      <c r="I1394" s="1024">
        <v>333.9</v>
      </c>
      <c r="J1394" s="1024">
        <v>333.9</v>
      </c>
      <c r="K1394" s="1011">
        <v>15</v>
      </c>
      <c r="L1394" s="1024">
        <v>1063456</v>
      </c>
      <c r="M1394" s="1024">
        <v>0</v>
      </c>
      <c r="N1394" s="1024">
        <v>0</v>
      </c>
      <c r="O1394" s="1024">
        <v>1063456</v>
      </c>
      <c r="P1394" s="1024">
        <v>0</v>
      </c>
      <c r="Q1394" s="1024">
        <v>0</v>
      </c>
      <c r="R1394" s="1024">
        <f t="shared" si="425"/>
        <v>3184.9535789158431</v>
      </c>
      <c r="S1394" s="987">
        <v>2018</v>
      </c>
      <c r="T1394" s="987">
        <v>2020</v>
      </c>
    </row>
    <row r="1395" spans="1:20" ht="46.15" customHeight="1">
      <c r="A1395" s="1271"/>
      <c r="B1395" s="1273" t="s">
        <v>2673</v>
      </c>
      <c r="C1395" s="1279"/>
      <c r="D1395" s="1283"/>
      <c r="E1395" s="1271"/>
      <c r="F1395" s="1279"/>
      <c r="G1395" s="1279"/>
      <c r="H1395" s="985">
        <f>H1396+H1397+H1398</f>
        <v>1510.8</v>
      </c>
      <c r="I1395" s="985">
        <f t="shared" ref="I1395:Q1395" si="426">I1396+I1397+I1398</f>
        <v>1237.5999999999999</v>
      </c>
      <c r="J1395" s="985">
        <f t="shared" si="426"/>
        <v>982.2</v>
      </c>
      <c r="K1395" s="1064">
        <f t="shared" si="426"/>
        <v>52</v>
      </c>
      <c r="L1395" s="985">
        <f t="shared" si="426"/>
        <v>1811818.74</v>
      </c>
      <c r="M1395" s="985">
        <f t="shared" si="426"/>
        <v>0</v>
      </c>
      <c r="N1395" s="985">
        <f t="shared" si="426"/>
        <v>0</v>
      </c>
      <c r="O1395" s="985">
        <f t="shared" si="426"/>
        <v>1811818.74</v>
      </c>
      <c r="P1395" s="985">
        <f t="shared" si="426"/>
        <v>0</v>
      </c>
      <c r="Q1395" s="985">
        <f t="shared" si="426"/>
        <v>0</v>
      </c>
      <c r="R1395" s="991" t="s">
        <v>40</v>
      </c>
      <c r="S1395" s="991" t="s">
        <v>40</v>
      </c>
      <c r="T1395" s="991" t="s">
        <v>40</v>
      </c>
    </row>
    <row r="1396" spans="1:20" ht="40.9" customHeight="1">
      <c r="A1396" s="1271">
        <v>334</v>
      </c>
      <c r="B1396" s="1273" t="s">
        <v>2698</v>
      </c>
      <c r="C1396" s="1279">
        <v>1946</v>
      </c>
      <c r="D1396" s="1279"/>
      <c r="E1396" s="1271" t="s">
        <v>218</v>
      </c>
      <c r="F1396" s="1279">
        <v>2</v>
      </c>
      <c r="G1396" s="1279">
        <v>1</v>
      </c>
      <c r="H1396" s="985">
        <v>362.9</v>
      </c>
      <c r="I1396" s="985">
        <v>247.4</v>
      </c>
      <c r="J1396" s="985">
        <v>159.80000000000001</v>
      </c>
      <c r="K1396" s="1064">
        <v>15</v>
      </c>
      <c r="L1396" s="986">
        <v>229600.59</v>
      </c>
      <c r="M1396" s="986">
        <v>0</v>
      </c>
      <c r="N1396" s="986">
        <v>0</v>
      </c>
      <c r="O1396" s="986">
        <v>229600.59</v>
      </c>
      <c r="P1396" s="993">
        <f t="shared" si="423"/>
        <v>0</v>
      </c>
      <c r="Q1396" s="986">
        <v>0</v>
      </c>
      <c r="R1396" s="985">
        <f>L1396/I1396</f>
        <v>928.05412287793047</v>
      </c>
      <c r="S1396" s="987">
        <v>2017</v>
      </c>
      <c r="T1396" s="987">
        <v>2022</v>
      </c>
    </row>
    <row r="1397" spans="1:20" ht="43.9" customHeight="1">
      <c r="A1397" s="1271">
        <v>335</v>
      </c>
      <c r="B1397" s="1273" t="s">
        <v>2699</v>
      </c>
      <c r="C1397" s="1279">
        <v>1930</v>
      </c>
      <c r="D1397" s="1279"/>
      <c r="E1397" s="1271" t="s">
        <v>218</v>
      </c>
      <c r="F1397" s="1279">
        <v>2</v>
      </c>
      <c r="G1397" s="1279">
        <v>1</v>
      </c>
      <c r="H1397" s="985">
        <v>285.2</v>
      </c>
      <c r="I1397" s="985">
        <v>266</v>
      </c>
      <c r="J1397" s="985">
        <v>153.9</v>
      </c>
      <c r="K1397" s="1064">
        <v>13</v>
      </c>
      <c r="L1397" s="986">
        <v>901836.45</v>
      </c>
      <c r="M1397" s="986">
        <v>0</v>
      </c>
      <c r="N1397" s="986">
        <v>0</v>
      </c>
      <c r="O1397" s="986">
        <v>901836.45</v>
      </c>
      <c r="P1397" s="993">
        <v>0</v>
      </c>
      <c r="Q1397" s="986">
        <v>0</v>
      </c>
      <c r="R1397" s="985">
        <f>L1397/I1397</f>
        <v>3390.3625939849621</v>
      </c>
      <c r="S1397" s="987">
        <v>2018</v>
      </c>
      <c r="T1397" s="987">
        <v>2022</v>
      </c>
    </row>
    <row r="1398" spans="1:20" ht="45" customHeight="1">
      <c r="A1398" s="1271">
        <v>336</v>
      </c>
      <c r="B1398" s="1273" t="s">
        <v>2700</v>
      </c>
      <c r="C1398" s="1279">
        <v>1941</v>
      </c>
      <c r="D1398" s="1279"/>
      <c r="E1398" s="1271" t="s">
        <v>218</v>
      </c>
      <c r="F1398" s="1279">
        <v>2</v>
      </c>
      <c r="G1398" s="1279">
        <v>2</v>
      </c>
      <c r="H1398" s="985">
        <v>862.7</v>
      </c>
      <c r="I1398" s="985">
        <v>724.2</v>
      </c>
      <c r="J1398" s="985">
        <v>668.5</v>
      </c>
      <c r="K1398" s="1064">
        <v>24</v>
      </c>
      <c r="L1398" s="986">
        <v>680381.7</v>
      </c>
      <c r="M1398" s="986">
        <v>0</v>
      </c>
      <c r="N1398" s="986">
        <v>0</v>
      </c>
      <c r="O1398" s="986">
        <v>680381.7</v>
      </c>
      <c r="P1398" s="993">
        <v>0</v>
      </c>
      <c r="Q1398" s="986">
        <v>0</v>
      </c>
      <c r="R1398" s="985">
        <f>L1398/I1398</f>
        <v>939.49420049710011</v>
      </c>
      <c r="S1398" s="987">
        <v>2019</v>
      </c>
      <c r="T1398" s="987">
        <v>2022</v>
      </c>
    </row>
    <row r="1399" spans="1:20" ht="42" customHeight="1">
      <c r="A1399" s="1271"/>
      <c r="B1399" s="1273" t="s">
        <v>43</v>
      </c>
      <c r="C1399" s="1279"/>
      <c r="D1399" s="1283"/>
      <c r="E1399" s="1271"/>
      <c r="F1399" s="1279"/>
      <c r="G1399" s="1279"/>
      <c r="H1399" s="985">
        <f t="shared" ref="H1399:Q1399" si="427">H1400+H1418</f>
        <v>48233.100000000013</v>
      </c>
      <c r="I1399" s="985">
        <f t="shared" si="427"/>
        <v>37349.450000000004</v>
      </c>
      <c r="J1399" s="985">
        <f t="shared" si="427"/>
        <v>33080.06</v>
      </c>
      <c r="K1399" s="1064">
        <f t="shared" si="427"/>
        <v>1648</v>
      </c>
      <c r="L1399" s="985">
        <f t="shared" si="427"/>
        <v>46526178.43</v>
      </c>
      <c r="M1399" s="985">
        <f t="shared" si="427"/>
        <v>0</v>
      </c>
      <c r="N1399" s="985">
        <f t="shared" si="427"/>
        <v>0</v>
      </c>
      <c r="O1399" s="985">
        <f t="shared" si="427"/>
        <v>46526178.43</v>
      </c>
      <c r="P1399" s="985">
        <f t="shared" si="427"/>
        <v>0</v>
      </c>
      <c r="Q1399" s="985">
        <f t="shared" si="427"/>
        <v>0</v>
      </c>
      <c r="R1399" s="991" t="s">
        <v>40</v>
      </c>
      <c r="S1399" s="991" t="s">
        <v>40</v>
      </c>
      <c r="T1399" s="991" t="s">
        <v>40</v>
      </c>
    </row>
    <row r="1400" spans="1:20" ht="42" customHeight="1">
      <c r="A1400" s="1271"/>
      <c r="B1400" s="1274" t="s">
        <v>2937</v>
      </c>
      <c r="C1400" s="1279"/>
      <c r="D1400" s="1283"/>
      <c r="E1400" s="1271"/>
      <c r="F1400" s="1279"/>
      <c r="G1400" s="1279"/>
      <c r="H1400" s="985">
        <f>SUM(H1401:H1417)</f>
        <v>44613.700000000012</v>
      </c>
      <c r="I1400" s="985">
        <f t="shared" ref="I1400:Q1400" si="428">SUM(I1401:I1417)</f>
        <v>33730.050000000003</v>
      </c>
      <c r="J1400" s="985">
        <f t="shared" si="428"/>
        <v>29941.46</v>
      </c>
      <c r="K1400" s="1064">
        <f t="shared" si="428"/>
        <v>1525</v>
      </c>
      <c r="L1400" s="985">
        <f t="shared" si="428"/>
        <v>46342844.43</v>
      </c>
      <c r="M1400" s="985">
        <f t="shared" si="428"/>
        <v>0</v>
      </c>
      <c r="N1400" s="985">
        <f t="shared" si="428"/>
        <v>0</v>
      </c>
      <c r="O1400" s="985">
        <f t="shared" si="428"/>
        <v>46342844.43</v>
      </c>
      <c r="P1400" s="985">
        <f t="shared" si="428"/>
        <v>0</v>
      </c>
      <c r="Q1400" s="985">
        <f t="shared" si="428"/>
        <v>0</v>
      </c>
      <c r="R1400" s="991" t="s">
        <v>40</v>
      </c>
      <c r="S1400" s="991" t="s">
        <v>40</v>
      </c>
      <c r="T1400" s="991" t="s">
        <v>40</v>
      </c>
    </row>
    <row r="1401" spans="1:20" ht="42.6" customHeight="1">
      <c r="A1401" s="1271">
        <v>337</v>
      </c>
      <c r="B1401" s="1040" t="s">
        <v>397</v>
      </c>
      <c r="C1401" s="1032">
        <v>1953</v>
      </c>
      <c r="D1401" s="1031"/>
      <c r="E1401" s="1271" t="s">
        <v>218</v>
      </c>
      <c r="F1401" s="1032">
        <v>2</v>
      </c>
      <c r="G1401" s="1031">
        <v>2</v>
      </c>
      <c r="H1401" s="1059">
        <v>470.96</v>
      </c>
      <c r="I1401" s="1059">
        <v>417.36</v>
      </c>
      <c r="J1401" s="1059">
        <v>356.76</v>
      </c>
      <c r="K1401" s="1266">
        <v>10</v>
      </c>
      <c r="L1401" s="986">
        <v>1405964</v>
      </c>
      <c r="M1401" s="986">
        <v>0</v>
      </c>
      <c r="N1401" s="986">
        <v>0</v>
      </c>
      <c r="O1401" s="986">
        <f t="shared" ref="O1401:O1415" si="429">L1401</f>
        <v>1405964</v>
      </c>
      <c r="P1401" s="1033">
        <v>0</v>
      </c>
      <c r="Q1401" s="986">
        <v>0</v>
      </c>
      <c r="R1401" s="1097">
        <f>L1401/I1401</f>
        <v>3368.7080697718993</v>
      </c>
      <c r="S1401" s="987">
        <v>2016</v>
      </c>
      <c r="T1401" s="987">
        <v>2020</v>
      </c>
    </row>
    <row r="1402" spans="1:20" ht="41.45" customHeight="1">
      <c r="A1402" s="1271">
        <v>338</v>
      </c>
      <c r="B1402" s="1039" t="s">
        <v>403</v>
      </c>
      <c r="C1402" s="1032">
        <v>1956</v>
      </c>
      <c r="D1402" s="1031"/>
      <c r="E1402" s="1271" t="s">
        <v>218</v>
      </c>
      <c r="F1402" s="1032">
        <v>2</v>
      </c>
      <c r="G1402" s="1031">
        <v>2</v>
      </c>
      <c r="H1402" s="1037">
        <v>833.9</v>
      </c>
      <c r="I1402" s="1037">
        <v>785.9</v>
      </c>
      <c r="J1402" s="1037">
        <v>675</v>
      </c>
      <c r="K1402" s="1266">
        <v>32</v>
      </c>
      <c r="L1402" s="986">
        <v>1799806.88</v>
      </c>
      <c r="M1402" s="986">
        <v>0</v>
      </c>
      <c r="N1402" s="986">
        <v>0</v>
      </c>
      <c r="O1402" s="986">
        <f t="shared" si="429"/>
        <v>1799806.88</v>
      </c>
      <c r="P1402" s="1033">
        <v>0</v>
      </c>
      <c r="Q1402" s="986">
        <v>0</v>
      </c>
      <c r="R1402" s="1097">
        <f t="shared" ref="R1402" si="430">L1402/I1402</f>
        <v>2290.1220002544851</v>
      </c>
      <c r="S1402" s="987">
        <v>2016</v>
      </c>
      <c r="T1402" s="987">
        <v>2022</v>
      </c>
    </row>
    <row r="1403" spans="1:20" ht="40.9" customHeight="1">
      <c r="A1403" s="1271">
        <v>339</v>
      </c>
      <c r="B1403" s="1274" t="s">
        <v>2269</v>
      </c>
      <c r="C1403" s="1279">
        <v>1978</v>
      </c>
      <c r="D1403" s="1279"/>
      <c r="E1403" s="1271" t="s">
        <v>219</v>
      </c>
      <c r="F1403" s="1279">
        <v>5</v>
      </c>
      <c r="G1403" s="1279">
        <v>6</v>
      </c>
      <c r="H1403" s="986">
        <v>4541</v>
      </c>
      <c r="I1403" s="986">
        <v>4237.8</v>
      </c>
      <c r="J1403" s="986">
        <v>4116.8</v>
      </c>
      <c r="K1403" s="1064">
        <v>174</v>
      </c>
      <c r="L1403" s="986">
        <v>3638269</v>
      </c>
      <c r="M1403" s="986">
        <v>0</v>
      </c>
      <c r="N1403" s="986">
        <v>0</v>
      </c>
      <c r="O1403" s="986">
        <f t="shared" si="429"/>
        <v>3638269</v>
      </c>
      <c r="P1403" s="1033">
        <v>0</v>
      </c>
      <c r="Q1403" s="986">
        <v>0</v>
      </c>
      <c r="R1403" s="985">
        <f t="shared" ref="R1403:R1419" si="431">L1403/I1403</f>
        <v>858.52777384491947</v>
      </c>
      <c r="S1403" s="987">
        <v>2017</v>
      </c>
      <c r="T1403" s="987">
        <v>2020</v>
      </c>
    </row>
    <row r="1404" spans="1:20" ht="43.15" customHeight="1">
      <c r="A1404" s="1271">
        <v>340</v>
      </c>
      <c r="B1404" s="1274" t="s">
        <v>1932</v>
      </c>
      <c r="C1404" s="1279">
        <v>1960</v>
      </c>
      <c r="D1404" s="1279"/>
      <c r="E1404" s="1271" t="s">
        <v>218</v>
      </c>
      <c r="F1404" s="1279">
        <v>4</v>
      </c>
      <c r="G1404" s="1279">
        <v>6</v>
      </c>
      <c r="H1404" s="986">
        <v>6684.68</v>
      </c>
      <c r="I1404" s="986">
        <v>4253.5</v>
      </c>
      <c r="J1404" s="986">
        <v>3347</v>
      </c>
      <c r="K1404" s="1064">
        <v>353</v>
      </c>
      <c r="L1404" s="986">
        <v>7570644.7199999997</v>
      </c>
      <c r="M1404" s="986">
        <v>0</v>
      </c>
      <c r="N1404" s="986">
        <v>0</v>
      </c>
      <c r="O1404" s="986">
        <f t="shared" si="429"/>
        <v>7570644.7199999997</v>
      </c>
      <c r="P1404" s="1033">
        <v>0</v>
      </c>
      <c r="Q1404" s="986">
        <v>0</v>
      </c>
      <c r="R1404" s="985">
        <f t="shared" si="431"/>
        <v>1779.8624003761608</v>
      </c>
      <c r="S1404" s="987">
        <v>2017</v>
      </c>
      <c r="T1404" s="987">
        <v>2022</v>
      </c>
    </row>
    <row r="1405" spans="1:20" ht="42" customHeight="1">
      <c r="A1405" s="1271">
        <v>341</v>
      </c>
      <c r="B1405" s="1274" t="s">
        <v>1023</v>
      </c>
      <c r="C1405" s="1271">
        <v>1992</v>
      </c>
      <c r="D1405" s="1274"/>
      <c r="E1405" s="1271" t="s">
        <v>219</v>
      </c>
      <c r="F1405" s="1279">
        <v>3</v>
      </c>
      <c r="G1405" s="1279">
        <v>3</v>
      </c>
      <c r="H1405" s="986">
        <v>1573.9</v>
      </c>
      <c r="I1405" s="986">
        <v>1440.7</v>
      </c>
      <c r="J1405" s="986">
        <v>1387.7</v>
      </c>
      <c r="K1405" s="1064">
        <v>69</v>
      </c>
      <c r="L1405" s="986">
        <v>1082991.2</v>
      </c>
      <c r="M1405" s="986">
        <v>0</v>
      </c>
      <c r="N1405" s="986">
        <v>0</v>
      </c>
      <c r="O1405" s="986">
        <f t="shared" si="429"/>
        <v>1082991.2</v>
      </c>
      <c r="P1405" s="1033">
        <v>0</v>
      </c>
      <c r="Q1405" s="986">
        <v>0</v>
      </c>
      <c r="R1405" s="985">
        <f>L1405/I1405</f>
        <v>751.71180676060249</v>
      </c>
      <c r="S1405" s="987">
        <v>2017</v>
      </c>
      <c r="T1405" s="987">
        <v>2022</v>
      </c>
    </row>
    <row r="1406" spans="1:20" ht="39" customHeight="1">
      <c r="A1406" s="1271">
        <v>342</v>
      </c>
      <c r="B1406" s="1274" t="s">
        <v>1022</v>
      </c>
      <c r="C1406" s="1271">
        <v>1980</v>
      </c>
      <c r="D1406" s="1274"/>
      <c r="E1406" s="1271" t="s">
        <v>221</v>
      </c>
      <c r="F1406" s="1279">
        <v>2</v>
      </c>
      <c r="G1406" s="1279">
        <v>2</v>
      </c>
      <c r="H1406" s="986">
        <v>509.8</v>
      </c>
      <c r="I1406" s="986">
        <v>383</v>
      </c>
      <c r="J1406" s="986">
        <v>383</v>
      </c>
      <c r="K1406" s="1064">
        <v>12</v>
      </c>
      <c r="L1406" s="986">
        <v>1100148.81</v>
      </c>
      <c r="M1406" s="986">
        <v>0</v>
      </c>
      <c r="N1406" s="986">
        <v>0</v>
      </c>
      <c r="O1406" s="986">
        <f t="shared" si="429"/>
        <v>1100148.81</v>
      </c>
      <c r="P1406" s="1033">
        <v>0</v>
      </c>
      <c r="Q1406" s="986">
        <v>0</v>
      </c>
      <c r="R1406" s="985">
        <f t="shared" si="431"/>
        <v>2872.4512010443864</v>
      </c>
      <c r="S1406" s="987">
        <v>2017</v>
      </c>
      <c r="T1406" s="987">
        <v>2022</v>
      </c>
    </row>
    <row r="1407" spans="1:20" ht="40.9" customHeight="1">
      <c r="A1407" s="1271">
        <v>343</v>
      </c>
      <c r="B1407" s="1274" t="s">
        <v>1024</v>
      </c>
      <c r="C1407" s="1271">
        <v>1973</v>
      </c>
      <c r="D1407" s="1271"/>
      <c r="E1407" s="1271" t="s">
        <v>218</v>
      </c>
      <c r="F1407" s="1279">
        <v>5</v>
      </c>
      <c r="G1407" s="1279">
        <v>4</v>
      </c>
      <c r="H1407" s="986">
        <v>4312.3999999999996</v>
      </c>
      <c r="I1407" s="986">
        <v>2531.8000000000002</v>
      </c>
      <c r="J1407" s="986">
        <v>1890.8</v>
      </c>
      <c r="K1407" s="1064">
        <v>109</v>
      </c>
      <c r="L1407" s="986">
        <v>2603033</v>
      </c>
      <c r="M1407" s="986">
        <v>0</v>
      </c>
      <c r="N1407" s="986">
        <v>0</v>
      </c>
      <c r="O1407" s="986">
        <f t="shared" si="429"/>
        <v>2603033</v>
      </c>
      <c r="P1407" s="1033">
        <v>0</v>
      </c>
      <c r="Q1407" s="986">
        <v>0</v>
      </c>
      <c r="R1407" s="985">
        <f t="shared" si="431"/>
        <v>1028.1353187455566</v>
      </c>
      <c r="S1407" s="987">
        <v>2018</v>
      </c>
      <c r="T1407" s="987">
        <v>2020</v>
      </c>
    </row>
    <row r="1408" spans="1:20" ht="40.9" customHeight="1">
      <c r="A1408" s="1271">
        <v>344</v>
      </c>
      <c r="B1408" s="1274" t="s">
        <v>1020</v>
      </c>
      <c r="C1408" s="1271">
        <v>1975</v>
      </c>
      <c r="D1408" s="1271"/>
      <c r="E1408" s="1271" t="s">
        <v>218</v>
      </c>
      <c r="F1408" s="1279">
        <v>5</v>
      </c>
      <c r="G1408" s="1279">
        <v>6</v>
      </c>
      <c r="H1408" s="986">
        <v>5848.7</v>
      </c>
      <c r="I1408" s="986">
        <v>4132.8</v>
      </c>
      <c r="J1408" s="986">
        <v>3596.1</v>
      </c>
      <c r="K1408" s="1064">
        <v>162</v>
      </c>
      <c r="L1408" s="986">
        <v>3757824</v>
      </c>
      <c r="M1408" s="986">
        <v>0</v>
      </c>
      <c r="N1408" s="986">
        <v>0</v>
      </c>
      <c r="O1408" s="986">
        <f t="shared" si="429"/>
        <v>3757824</v>
      </c>
      <c r="P1408" s="1033">
        <v>0</v>
      </c>
      <c r="Q1408" s="986">
        <v>0</v>
      </c>
      <c r="R1408" s="985">
        <f t="shared" si="431"/>
        <v>909.26829268292681</v>
      </c>
      <c r="S1408" s="987">
        <v>2018</v>
      </c>
      <c r="T1408" s="987">
        <v>2020</v>
      </c>
    </row>
    <row r="1409" spans="1:20" ht="40.9" customHeight="1">
      <c r="A1409" s="1271">
        <v>345</v>
      </c>
      <c r="B1409" s="1274" t="s">
        <v>1028</v>
      </c>
      <c r="C1409" s="1271">
        <v>1967</v>
      </c>
      <c r="D1409" s="1271"/>
      <c r="E1409" s="1271" t="s">
        <v>218</v>
      </c>
      <c r="F1409" s="1279">
        <v>5</v>
      </c>
      <c r="G1409" s="1279">
        <v>4</v>
      </c>
      <c r="H1409" s="986">
        <v>4858.2</v>
      </c>
      <c r="I1409" s="986">
        <v>3164.9</v>
      </c>
      <c r="J1409" s="986">
        <v>2838.4</v>
      </c>
      <c r="K1409" s="1064">
        <v>103</v>
      </c>
      <c r="L1409" s="986">
        <v>4188076.42</v>
      </c>
      <c r="M1409" s="986">
        <v>0</v>
      </c>
      <c r="N1409" s="986">
        <v>0</v>
      </c>
      <c r="O1409" s="986">
        <f t="shared" si="429"/>
        <v>4188076.42</v>
      </c>
      <c r="P1409" s="1033">
        <v>0</v>
      </c>
      <c r="Q1409" s="986">
        <v>0</v>
      </c>
      <c r="R1409" s="985">
        <f t="shared" si="431"/>
        <v>1323.288704224462</v>
      </c>
      <c r="S1409" s="987">
        <v>2018</v>
      </c>
      <c r="T1409" s="987">
        <v>2022</v>
      </c>
    </row>
    <row r="1410" spans="1:20" ht="39.6" customHeight="1">
      <c r="A1410" s="1271">
        <v>346</v>
      </c>
      <c r="B1410" s="1274" t="s">
        <v>1029</v>
      </c>
      <c r="C1410" s="1271">
        <v>1951</v>
      </c>
      <c r="D1410" s="1271"/>
      <c r="E1410" s="1271" t="s">
        <v>221</v>
      </c>
      <c r="F1410" s="1279">
        <v>2</v>
      </c>
      <c r="G1410" s="1279">
        <v>2</v>
      </c>
      <c r="H1410" s="986">
        <v>464</v>
      </c>
      <c r="I1410" s="986">
        <v>416.2</v>
      </c>
      <c r="J1410" s="986">
        <v>416.2</v>
      </c>
      <c r="K1410" s="1064">
        <v>17</v>
      </c>
      <c r="L1410" s="986">
        <v>1203937.3999999999</v>
      </c>
      <c r="M1410" s="986">
        <v>0</v>
      </c>
      <c r="N1410" s="986">
        <v>0</v>
      </c>
      <c r="O1410" s="986">
        <f t="shared" si="429"/>
        <v>1203937.3999999999</v>
      </c>
      <c r="P1410" s="1033">
        <v>0</v>
      </c>
      <c r="Q1410" s="986">
        <v>0</v>
      </c>
      <c r="R1410" s="985">
        <f t="shared" si="431"/>
        <v>2892.6895723209996</v>
      </c>
      <c r="S1410" s="987">
        <v>2018</v>
      </c>
      <c r="T1410" s="987">
        <v>2022</v>
      </c>
    </row>
    <row r="1411" spans="1:20" ht="39.6" customHeight="1">
      <c r="A1411" s="1271">
        <v>347</v>
      </c>
      <c r="B1411" s="1274" t="s">
        <v>2270</v>
      </c>
      <c r="C1411" s="1271">
        <v>1979</v>
      </c>
      <c r="D1411" s="1271"/>
      <c r="E1411" s="1271" t="s">
        <v>219</v>
      </c>
      <c r="F1411" s="1279">
        <v>5</v>
      </c>
      <c r="G1411" s="1279">
        <v>6</v>
      </c>
      <c r="H1411" s="986">
        <v>4414.3</v>
      </c>
      <c r="I1411" s="986">
        <v>3976.3</v>
      </c>
      <c r="J1411" s="986">
        <v>3828.8</v>
      </c>
      <c r="K1411" s="1064">
        <v>174</v>
      </c>
      <c r="L1411" s="986">
        <v>3170918</v>
      </c>
      <c r="M1411" s="986">
        <v>0</v>
      </c>
      <c r="N1411" s="986">
        <v>0</v>
      </c>
      <c r="O1411" s="986">
        <f t="shared" si="429"/>
        <v>3170918</v>
      </c>
      <c r="P1411" s="1033">
        <v>0</v>
      </c>
      <c r="Q1411" s="986">
        <v>0</v>
      </c>
      <c r="R1411" s="985">
        <f t="shared" si="431"/>
        <v>797.4544174232326</v>
      </c>
      <c r="S1411" s="987">
        <v>2019</v>
      </c>
      <c r="T1411" s="987">
        <v>2020</v>
      </c>
    </row>
    <row r="1412" spans="1:20" ht="40.15" customHeight="1">
      <c r="A1412" s="1271">
        <v>348</v>
      </c>
      <c r="B1412" s="1274" t="s">
        <v>1023</v>
      </c>
      <c r="C1412" s="1271">
        <v>1998</v>
      </c>
      <c r="D1412" s="1271"/>
      <c r="E1412" s="1271" t="s">
        <v>219</v>
      </c>
      <c r="F1412" s="1279">
        <v>3</v>
      </c>
      <c r="G1412" s="1279">
        <v>3</v>
      </c>
      <c r="H1412" s="986">
        <v>1573.9</v>
      </c>
      <c r="I1412" s="986">
        <v>1440.7</v>
      </c>
      <c r="J1412" s="986">
        <v>1387.7</v>
      </c>
      <c r="K1412" s="1064">
        <v>69</v>
      </c>
      <c r="L1412" s="986">
        <v>751421</v>
      </c>
      <c r="M1412" s="986">
        <v>0</v>
      </c>
      <c r="N1412" s="986">
        <v>0</v>
      </c>
      <c r="O1412" s="986">
        <f t="shared" si="429"/>
        <v>751421</v>
      </c>
      <c r="P1412" s="1033">
        <v>0</v>
      </c>
      <c r="Q1412" s="986">
        <v>0</v>
      </c>
      <c r="R1412" s="985">
        <f t="shared" si="431"/>
        <v>521.56659956965359</v>
      </c>
      <c r="S1412" s="987">
        <v>2019</v>
      </c>
      <c r="T1412" s="987">
        <v>2020</v>
      </c>
    </row>
    <row r="1413" spans="1:20" ht="38.450000000000003" customHeight="1">
      <c r="A1413" s="1271">
        <v>349</v>
      </c>
      <c r="B1413" s="1274" t="s">
        <v>1025</v>
      </c>
      <c r="C1413" s="1271">
        <v>1955</v>
      </c>
      <c r="D1413" s="1271"/>
      <c r="E1413" s="1271" t="s">
        <v>220</v>
      </c>
      <c r="F1413" s="1279">
        <v>2</v>
      </c>
      <c r="G1413" s="1279">
        <v>2</v>
      </c>
      <c r="H1413" s="986">
        <v>780.4</v>
      </c>
      <c r="I1413" s="986">
        <v>691.9</v>
      </c>
      <c r="J1413" s="986">
        <v>547.79999999999995</v>
      </c>
      <c r="K1413" s="1064">
        <v>47</v>
      </c>
      <c r="L1413" s="986">
        <v>2032991</v>
      </c>
      <c r="M1413" s="986">
        <v>0</v>
      </c>
      <c r="N1413" s="986">
        <v>0</v>
      </c>
      <c r="O1413" s="986">
        <f t="shared" si="429"/>
        <v>2032991</v>
      </c>
      <c r="P1413" s="1033">
        <v>0</v>
      </c>
      <c r="Q1413" s="986">
        <v>0</v>
      </c>
      <c r="R1413" s="985">
        <f t="shared" si="431"/>
        <v>2938.2728718022836</v>
      </c>
      <c r="S1413" s="987">
        <v>2019</v>
      </c>
      <c r="T1413" s="987">
        <v>2020</v>
      </c>
    </row>
    <row r="1414" spans="1:20" ht="40.9" customHeight="1">
      <c r="A1414" s="1271">
        <v>350</v>
      </c>
      <c r="B1414" s="1274" t="s">
        <v>1057</v>
      </c>
      <c r="C1414" s="1271">
        <v>1960</v>
      </c>
      <c r="D1414" s="1271"/>
      <c r="E1414" s="1271" t="s">
        <v>218</v>
      </c>
      <c r="F1414" s="1279">
        <v>2</v>
      </c>
      <c r="G1414" s="1279">
        <v>3</v>
      </c>
      <c r="H1414" s="986">
        <v>680.6</v>
      </c>
      <c r="I1414" s="986">
        <v>614.70000000000005</v>
      </c>
      <c r="J1414" s="986">
        <v>550.79999999999995</v>
      </c>
      <c r="K1414" s="1064">
        <v>26</v>
      </c>
      <c r="L1414" s="986">
        <v>435795</v>
      </c>
      <c r="M1414" s="986">
        <v>0</v>
      </c>
      <c r="N1414" s="986">
        <v>0</v>
      </c>
      <c r="O1414" s="986">
        <f t="shared" si="429"/>
        <v>435795</v>
      </c>
      <c r="P1414" s="1033">
        <v>0</v>
      </c>
      <c r="Q1414" s="986">
        <v>0</v>
      </c>
      <c r="R1414" s="985">
        <f t="shared" si="431"/>
        <v>708.95558809175202</v>
      </c>
      <c r="S1414" s="987">
        <v>2019</v>
      </c>
      <c r="T1414" s="987">
        <v>2020</v>
      </c>
    </row>
    <row r="1415" spans="1:20" ht="39" customHeight="1">
      <c r="A1415" s="1271">
        <v>351</v>
      </c>
      <c r="B1415" s="1274" t="s">
        <v>1032</v>
      </c>
      <c r="C1415" s="1271">
        <v>1956</v>
      </c>
      <c r="D1415" s="1271"/>
      <c r="E1415" s="1271" t="s">
        <v>218</v>
      </c>
      <c r="F1415" s="1279">
        <v>2</v>
      </c>
      <c r="G1415" s="1279">
        <v>3</v>
      </c>
      <c r="H1415" s="986">
        <v>939.8</v>
      </c>
      <c r="I1415" s="986">
        <v>870.8</v>
      </c>
      <c r="J1415" s="986">
        <v>870.8</v>
      </c>
      <c r="K1415" s="1064">
        <v>28</v>
      </c>
      <c r="L1415" s="986">
        <v>3552669</v>
      </c>
      <c r="M1415" s="986">
        <v>0</v>
      </c>
      <c r="N1415" s="986">
        <v>0</v>
      </c>
      <c r="O1415" s="986">
        <f t="shared" si="429"/>
        <v>3552669</v>
      </c>
      <c r="P1415" s="1033">
        <v>0</v>
      </c>
      <c r="Q1415" s="986">
        <v>0</v>
      </c>
      <c r="R1415" s="985">
        <f t="shared" si="431"/>
        <v>4079.7760679834637</v>
      </c>
      <c r="S1415" s="987">
        <v>2019</v>
      </c>
      <c r="T1415" s="987">
        <v>2020</v>
      </c>
    </row>
    <row r="1416" spans="1:20" ht="42.6" customHeight="1">
      <c r="A1416" s="1271">
        <v>352</v>
      </c>
      <c r="B1416" s="1274" t="s">
        <v>1033</v>
      </c>
      <c r="C1416" s="1271">
        <v>1974</v>
      </c>
      <c r="D1416" s="1271"/>
      <c r="E1416" s="1271" t="s">
        <v>219</v>
      </c>
      <c r="F1416" s="1279">
        <v>5</v>
      </c>
      <c r="G1416" s="1279">
        <v>4</v>
      </c>
      <c r="H1416" s="986">
        <v>3714.79</v>
      </c>
      <c r="I1416" s="986">
        <v>2691.59</v>
      </c>
      <c r="J1416" s="986">
        <v>2510</v>
      </c>
      <c r="K1416" s="1064">
        <v>103</v>
      </c>
      <c r="L1416" s="986">
        <v>1856142</v>
      </c>
      <c r="M1416" s="986">
        <v>0</v>
      </c>
      <c r="N1416" s="986">
        <v>0</v>
      </c>
      <c r="O1416" s="986">
        <f t="shared" ref="O1416" si="432">L1416</f>
        <v>1856142</v>
      </c>
      <c r="P1416" s="1033">
        <v>0</v>
      </c>
      <c r="Q1416" s="986">
        <v>0</v>
      </c>
      <c r="R1416" s="985">
        <f t="shared" ref="R1416" si="433">L1416/I1416</f>
        <v>689.60800121861053</v>
      </c>
      <c r="S1416" s="987">
        <v>2019</v>
      </c>
      <c r="T1416" s="987">
        <v>2020</v>
      </c>
    </row>
    <row r="1417" spans="1:20" ht="47.45" customHeight="1">
      <c r="A1417" s="1271">
        <v>353</v>
      </c>
      <c r="B1417" s="1274" t="s">
        <v>1027</v>
      </c>
      <c r="C1417" s="1271">
        <v>1950</v>
      </c>
      <c r="D1417" s="1271"/>
      <c r="E1417" s="1271" t="s">
        <v>218</v>
      </c>
      <c r="F1417" s="1279">
        <v>4</v>
      </c>
      <c r="G1417" s="1279">
        <v>3</v>
      </c>
      <c r="H1417" s="986">
        <v>2412.37</v>
      </c>
      <c r="I1417" s="986">
        <v>1680.1</v>
      </c>
      <c r="J1417" s="986">
        <v>1237.8</v>
      </c>
      <c r="K1417" s="1064">
        <v>37</v>
      </c>
      <c r="L1417" s="986">
        <v>6192213</v>
      </c>
      <c r="M1417" s="986">
        <v>0</v>
      </c>
      <c r="N1417" s="986">
        <v>0</v>
      </c>
      <c r="O1417" s="986">
        <v>6192213</v>
      </c>
      <c r="P1417" s="1033">
        <v>0</v>
      </c>
      <c r="Q1417" s="986">
        <v>0</v>
      </c>
      <c r="R1417" s="985">
        <f t="shared" si="431"/>
        <v>3685.6216891851677</v>
      </c>
      <c r="S1417" s="987">
        <v>2019</v>
      </c>
      <c r="T1417" s="987">
        <v>2022</v>
      </c>
    </row>
    <row r="1418" spans="1:20" ht="50.45" customHeight="1">
      <c r="A1418" s="1271"/>
      <c r="B1418" s="1273" t="s">
        <v>1139</v>
      </c>
      <c r="C1418" s="1279"/>
      <c r="D1418" s="1283"/>
      <c r="E1418" s="1271"/>
      <c r="F1418" s="1279"/>
      <c r="G1418" s="1279"/>
      <c r="H1418" s="986">
        <f>H1419</f>
        <v>3619.4</v>
      </c>
      <c r="I1418" s="986">
        <f t="shared" ref="I1418:Q1418" si="434">I1419</f>
        <v>3619.4</v>
      </c>
      <c r="J1418" s="986">
        <f t="shared" si="434"/>
        <v>3138.6</v>
      </c>
      <c r="K1418" s="1269">
        <f t="shared" si="434"/>
        <v>123</v>
      </c>
      <c r="L1418" s="986">
        <f t="shared" si="434"/>
        <v>183334</v>
      </c>
      <c r="M1418" s="986">
        <f t="shared" si="434"/>
        <v>0</v>
      </c>
      <c r="N1418" s="986">
        <f t="shared" si="434"/>
        <v>0</v>
      </c>
      <c r="O1418" s="986">
        <f t="shared" si="434"/>
        <v>183334</v>
      </c>
      <c r="P1418" s="986">
        <f t="shared" si="434"/>
        <v>0</v>
      </c>
      <c r="Q1418" s="986">
        <f t="shared" si="434"/>
        <v>0</v>
      </c>
      <c r="R1418" s="991" t="s">
        <v>40</v>
      </c>
      <c r="S1418" s="991" t="s">
        <v>40</v>
      </c>
      <c r="T1418" s="991" t="s">
        <v>40</v>
      </c>
    </row>
    <row r="1419" spans="1:20" ht="40.9" customHeight="1">
      <c r="A1419" s="1271">
        <v>354</v>
      </c>
      <c r="B1419" s="1274" t="s">
        <v>1391</v>
      </c>
      <c r="C1419" s="1271">
        <v>1989</v>
      </c>
      <c r="D1419" s="1271"/>
      <c r="E1419" s="1271" t="s">
        <v>218</v>
      </c>
      <c r="F1419" s="1279">
        <v>5</v>
      </c>
      <c r="G1419" s="1279">
        <v>5</v>
      </c>
      <c r="H1419" s="986">
        <v>3619.4</v>
      </c>
      <c r="I1419" s="986">
        <v>3619.4</v>
      </c>
      <c r="J1419" s="986">
        <v>3138.6</v>
      </c>
      <c r="K1419" s="1064">
        <v>123</v>
      </c>
      <c r="L1419" s="986">
        <v>183334</v>
      </c>
      <c r="M1419" s="986">
        <v>0</v>
      </c>
      <c r="N1419" s="986">
        <v>0</v>
      </c>
      <c r="O1419" s="986">
        <v>183334</v>
      </c>
      <c r="P1419" s="993">
        <v>0</v>
      </c>
      <c r="Q1419" s="986">
        <v>0</v>
      </c>
      <c r="R1419" s="985">
        <f t="shared" si="431"/>
        <v>50.653146930430459</v>
      </c>
      <c r="S1419" s="987">
        <v>2018</v>
      </c>
      <c r="T1419" s="987">
        <v>2020</v>
      </c>
    </row>
    <row r="1420" spans="1:20" ht="39.6" customHeight="1">
      <c r="A1420" s="1271"/>
      <c r="B1420" s="1273" t="s">
        <v>1370</v>
      </c>
      <c r="C1420" s="1279"/>
      <c r="D1420" s="1283"/>
      <c r="E1420" s="1271"/>
      <c r="F1420" s="1279"/>
      <c r="G1420" s="1279"/>
      <c r="H1420" s="1035">
        <f>SUM(H1421:H1426)</f>
        <v>7463.9</v>
      </c>
      <c r="I1420" s="1035">
        <f t="shared" ref="I1420:Q1420" si="435">SUM(I1421:I1426)</f>
        <v>7463.9</v>
      </c>
      <c r="J1420" s="1035">
        <f t="shared" si="435"/>
        <v>4824</v>
      </c>
      <c r="K1420" s="1064">
        <f t="shared" si="435"/>
        <v>133</v>
      </c>
      <c r="L1420" s="1035">
        <f t="shared" si="435"/>
        <v>14971020.529999999</v>
      </c>
      <c r="M1420" s="1035">
        <f t="shared" si="435"/>
        <v>0</v>
      </c>
      <c r="N1420" s="1035">
        <f t="shared" si="435"/>
        <v>0</v>
      </c>
      <c r="O1420" s="1035">
        <f t="shared" si="435"/>
        <v>14971020.529999999</v>
      </c>
      <c r="P1420" s="1035">
        <f t="shared" si="435"/>
        <v>0</v>
      </c>
      <c r="Q1420" s="1035">
        <f t="shared" si="435"/>
        <v>0</v>
      </c>
      <c r="R1420" s="991" t="s">
        <v>40</v>
      </c>
      <c r="S1420" s="991" t="s">
        <v>40</v>
      </c>
      <c r="T1420" s="991" t="s">
        <v>40</v>
      </c>
    </row>
    <row r="1421" spans="1:20" ht="40.9" customHeight="1">
      <c r="A1421" s="1271">
        <v>355</v>
      </c>
      <c r="B1421" s="1274" t="s">
        <v>2154</v>
      </c>
      <c r="C1421" s="1279">
        <v>1985</v>
      </c>
      <c r="D1421" s="1279"/>
      <c r="E1421" s="1271" t="s">
        <v>220</v>
      </c>
      <c r="F1421" s="1279">
        <v>3</v>
      </c>
      <c r="G1421" s="1279">
        <v>3</v>
      </c>
      <c r="H1421" s="985">
        <v>1425</v>
      </c>
      <c r="I1421" s="985">
        <v>1425</v>
      </c>
      <c r="J1421" s="985">
        <v>1307</v>
      </c>
      <c r="K1421" s="1064">
        <v>14</v>
      </c>
      <c r="L1421" s="985">
        <v>1591980</v>
      </c>
      <c r="M1421" s="985">
        <v>0</v>
      </c>
      <c r="N1421" s="985">
        <v>0</v>
      </c>
      <c r="O1421" s="985">
        <v>1591980</v>
      </c>
      <c r="P1421" s="985">
        <v>0</v>
      </c>
      <c r="Q1421" s="985">
        <v>0</v>
      </c>
      <c r="R1421" s="985">
        <f t="shared" ref="R1421:R1426" si="436">L1421/I1421</f>
        <v>1117.1789473684209</v>
      </c>
      <c r="S1421" s="987">
        <v>2019</v>
      </c>
      <c r="T1421" s="987">
        <v>2020</v>
      </c>
    </row>
    <row r="1422" spans="1:20" ht="39.6" customHeight="1">
      <c r="A1422" s="1271">
        <v>356</v>
      </c>
      <c r="B1422" s="1274" t="s">
        <v>2938</v>
      </c>
      <c r="C1422" s="1279">
        <v>1983</v>
      </c>
      <c r="D1422" s="1279"/>
      <c r="E1422" s="1271" t="s">
        <v>218</v>
      </c>
      <c r="F1422" s="1279">
        <v>5</v>
      </c>
      <c r="G1422" s="1279">
        <v>4</v>
      </c>
      <c r="H1422" s="985">
        <v>3016</v>
      </c>
      <c r="I1422" s="985">
        <v>3016</v>
      </c>
      <c r="J1422" s="985">
        <v>755.9</v>
      </c>
      <c r="K1422" s="1064">
        <v>54</v>
      </c>
      <c r="L1422" s="985">
        <v>4221937</v>
      </c>
      <c r="M1422" s="985">
        <v>0</v>
      </c>
      <c r="N1422" s="985">
        <v>0</v>
      </c>
      <c r="O1422" s="985">
        <v>4221937</v>
      </c>
      <c r="P1422" s="985">
        <v>0</v>
      </c>
      <c r="Q1422" s="985">
        <v>0</v>
      </c>
      <c r="R1422" s="985">
        <f t="shared" si="436"/>
        <v>1399.8464854111405</v>
      </c>
      <c r="S1422" s="987">
        <v>2019</v>
      </c>
      <c r="T1422" s="987">
        <v>2020</v>
      </c>
    </row>
    <row r="1423" spans="1:20" ht="40.9" customHeight="1">
      <c r="A1423" s="1271">
        <v>357</v>
      </c>
      <c r="B1423" s="1274" t="s">
        <v>2155</v>
      </c>
      <c r="C1423" s="1279">
        <v>1967</v>
      </c>
      <c r="D1423" s="1279"/>
      <c r="E1423" s="1271" t="s">
        <v>218</v>
      </c>
      <c r="F1423" s="1279">
        <v>2</v>
      </c>
      <c r="G1423" s="1279">
        <v>2</v>
      </c>
      <c r="H1423" s="985">
        <v>568</v>
      </c>
      <c r="I1423" s="985">
        <v>568</v>
      </c>
      <c r="J1423" s="985">
        <v>519</v>
      </c>
      <c r="K1423" s="1064">
        <v>14</v>
      </c>
      <c r="L1423" s="985">
        <v>1648301.27</v>
      </c>
      <c r="M1423" s="985">
        <v>0</v>
      </c>
      <c r="N1423" s="985">
        <v>0</v>
      </c>
      <c r="O1423" s="985">
        <v>1648301.27</v>
      </c>
      <c r="P1423" s="985">
        <v>0</v>
      </c>
      <c r="Q1423" s="985">
        <v>0</v>
      </c>
      <c r="R1423" s="985">
        <f t="shared" si="436"/>
        <v>2901.9388556338026</v>
      </c>
      <c r="S1423" s="987">
        <v>2019</v>
      </c>
      <c r="T1423" s="987">
        <v>2020</v>
      </c>
    </row>
    <row r="1424" spans="1:20" ht="40.9" customHeight="1">
      <c r="A1424" s="1271">
        <v>358</v>
      </c>
      <c r="B1424" s="1274" t="s">
        <v>2156</v>
      </c>
      <c r="C1424" s="1271">
        <v>1972</v>
      </c>
      <c r="D1424" s="1279"/>
      <c r="E1424" s="1271" t="s">
        <v>218</v>
      </c>
      <c r="F1424" s="1279">
        <v>2</v>
      </c>
      <c r="G1424" s="1279">
        <v>2</v>
      </c>
      <c r="H1424" s="985">
        <v>571</v>
      </c>
      <c r="I1424" s="985">
        <v>571</v>
      </c>
      <c r="J1424" s="985">
        <v>521</v>
      </c>
      <c r="K1424" s="1064">
        <v>12</v>
      </c>
      <c r="L1424" s="986">
        <v>2445729.9300000002</v>
      </c>
      <c r="M1424" s="986">
        <v>0</v>
      </c>
      <c r="N1424" s="986">
        <v>0</v>
      </c>
      <c r="O1424" s="986">
        <v>2445729.9300000002</v>
      </c>
      <c r="P1424" s="993">
        <v>0</v>
      </c>
      <c r="Q1424" s="986">
        <v>0</v>
      </c>
      <c r="R1424" s="1078">
        <f t="shared" si="436"/>
        <v>4283.2398073555169</v>
      </c>
      <c r="S1424" s="987">
        <v>2018</v>
      </c>
      <c r="T1424" s="987">
        <v>2020</v>
      </c>
    </row>
    <row r="1425" spans="1:20" ht="42.6" customHeight="1">
      <c r="A1425" s="1271">
        <v>359</v>
      </c>
      <c r="B1425" s="1274" t="s">
        <v>2157</v>
      </c>
      <c r="C1425" s="1271">
        <v>1981</v>
      </c>
      <c r="D1425" s="1279"/>
      <c r="E1425" s="1271" t="s">
        <v>220</v>
      </c>
      <c r="F1425" s="1279">
        <v>3</v>
      </c>
      <c r="G1425" s="1279">
        <v>3</v>
      </c>
      <c r="H1425" s="985">
        <v>1423</v>
      </c>
      <c r="I1425" s="985">
        <v>1423</v>
      </c>
      <c r="J1425" s="985">
        <v>1289</v>
      </c>
      <c r="K1425" s="1064">
        <v>27</v>
      </c>
      <c r="L1425" s="986">
        <v>2552584.11</v>
      </c>
      <c r="M1425" s="986">
        <v>0</v>
      </c>
      <c r="N1425" s="986">
        <v>0</v>
      </c>
      <c r="O1425" s="986">
        <v>2552584.11</v>
      </c>
      <c r="P1425" s="993">
        <f t="shared" si="423"/>
        <v>0</v>
      </c>
      <c r="Q1425" s="986">
        <v>0</v>
      </c>
      <c r="R1425" s="985">
        <f t="shared" si="436"/>
        <v>1793.8047153900211</v>
      </c>
      <c r="S1425" s="987">
        <v>2017</v>
      </c>
      <c r="T1425" s="987">
        <v>2020</v>
      </c>
    </row>
    <row r="1426" spans="1:20" ht="43.9" customHeight="1">
      <c r="A1426" s="1271">
        <v>360</v>
      </c>
      <c r="B1426" s="1274" t="s">
        <v>2158</v>
      </c>
      <c r="C1426" s="1279">
        <v>1966</v>
      </c>
      <c r="D1426" s="1279"/>
      <c r="E1426" s="1271" t="s">
        <v>218</v>
      </c>
      <c r="F1426" s="1279">
        <v>2</v>
      </c>
      <c r="G1426" s="1279">
        <v>2</v>
      </c>
      <c r="H1426" s="985">
        <v>460.9</v>
      </c>
      <c r="I1426" s="985">
        <v>460.9</v>
      </c>
      <c r="J1426" s="985">
        <v>432.1</v>
      </c>
      <c r="K1426" s="1064">
        <v>12</v>
      </c>
      <c r="L1426" s="986">
        <v>2510488.2200000002</v>
      </c>
      <c r="M1426" s="986">
        <v>0</v>
      </c>
      <c r="N1426" s="986">
        <v>0</v>
      </c>
      <c r="O1426" s="986">
        <v>2510488.2200000002</v>
      </c>
      <c r="P1426" s="993">
        <f t="shared" si="423"/>
        <v>0</v>
      </c>
      <c r="Q1426" s="986">
        <v>0</v>
      </c>
      <c r="R1426" s="985">
        <f t="shared" si="436"/>
        <v>5446.9260577131708</v>
      </c>
      <c r="S1426" s="987">
        <v>2017</v>
      </c>
      <c r="T1426" s="987">
        <v>2020</v>
      </c>
    </row>
    <row r="1427" spans="1:20" ht="42" customHeight="1">
      <c r="A1427" s="1271"/>
      <c r="B1427" s="1273" t="s">
        <v>46</v>
      </c>
      <c r="C1427" s="1279"/>
      <c r="D1427" s="1283"/>
      <c r="E1427" s="1279"/>
      <c r="F1427" s="1279"/>
      <c r="G1427" s="1279"/>
      <c r="H1427" s="993">
        <f>H1428</f>
        <v>1450.7</v>
      </c>
      <c r="I1427" s="993">
        <f t="shared" ref="I1427:Q1427" si="437">I1428</f>
        <v>1296.7</v>
      </c>
      <c r="J1427" s="993">
        <f t="shared" si="437"/>
        <v>1109</v>
      </c>
      <c r="K1427" s="987">
        <f t="shared" si="437"/>
        <v>51</v>
      </c>
      <c r="L1427" s="993">
        <f t="shared" si="437"/>
        <v>6313286.6600000001</v>
      </c>
      <c r="M1427" s="993">
        <f t="shared" si="437"/>
        <v>0</v>
      </c>
      <c r="N1427" s="993">
        <f t="shared" si="437"/>
        <v>0</v>
      </c>
      <c r="O1427" s="993">
        <f t="shared" si="437"/>
        <v>6313286.6600000001</v>
      </c>
      <c r="P1427" s="993">
        <f t="shared" si="437"/>
        <v>0</v>
      </c>
      <c r="Q1427" s="993">
        <f t="shared" si="437"/>
        <v>0</v>
      </c>
      <c r="R1427" s="991" t="s">
        <v>40</v>
      </c>
      <c r="S1427" s="991" t="s">
        <v>40</v>
      </c>
      <c r="T1427" s="991" t="s">
        <v>40</v>
      </c>
    </row>
    <row r="1428" spans="1:20" ht="40.9" customHeight="1">
      <c r="A1428" s="1271"/>
      <c r="B1428" s="1273" t="s">
        <v>1085</v>
      </c>
      <c r="C1428" s="1279"/>
      <c r="D1428" s="1283"/>
      <c r="E1428" s="1279"/>
      <c r="F1428" s="1279"/>
      <c r="G1428" s="1279"/>
      <c r="H1428" s="993">
        <f>H1429+H1430+H1431</f>
        <v>1450.7</v>
      </c>
      <c r="I1428" s="993">
        <f t="shared" ref="I1428:Q1428" si="438">I1429+I1430+I1431</f>
        <v>1296.7</v>
      </c>
      <c r="J1428" s="993">
        <f t="shared" si="438"/>
        <v>1109</v>
      </c>
      <c r="K1428" s="987">
        <f t="shared" si="438"/>
        <v>51</v>
      </c>
      <c r="L1428" s="993">
        <f t="shared" si="438"/>
        <v>6313286.6600000001</v>
      </c>
      <c r="M1428" s="993">
        <f t="shared" si="438"/>
        <v>0</v>
      </c>
      <c r="N1428" s="993">
        <f t="shared" si="438"/>
        <v>0</v>
      </c>
      <c r="O1428" s="993">
        <f t="shared" si="438"/>
        <v>6313286.6600000001</v>
      </c>
      <c r="P1428" s="993">
        <f t="shared" si="438"/>
        <v>0</v>
      </c>
      <c r="Q1428" s="993">
        <f t="shared" si="438"/>
        <v>0</v>
      </c>
      <c r="R1428" s="991" t="s">
        <v>40</v>
      </c>
      <c r="S1428" s="991" t="s">
        <v>40</v>
      </c>
      <c r="T1428" s="991" t="s">
        <v>40</v>
      </c>
    </row>
    <row r="1429" spans="1:20" ht="42.6" customHeight="1">
      <c r="A1429" s="1271">
        <v>361</v>
      </c>
      <c r="B1429" s="1274" t="s">
        <v>1381</v>
      </c>
      <c r="C1429" s="1271">
        <v>1966</v>
      </c>
      <c r="D1429" s="1271"/>
      <c r="E1429" s="1271" t="s">
        <v>218</v>
      </c>
      <c r="F1429" s="1271">
        <v>2</v>
      </c>
      <c r="G1429" s="1271">
        <v>2</v>
      </c>
      <c r="H1429" s="993">
        <v>525.4</v>
      </c>
      <c r="I1429" s="993">
        <v>469</v>
      </c>
      <c r="J1429" s="993">
        <v>384.8</v>
      </c>
      <c r="K1429" s="987">
        <v>16</v>
      </c>
      <c r="L1429" s="986">
        <v>1415265</v>
      </c>
      <c r="M1429" s="986">
        <v>0</v>
      </c>
      <c r="N1429" s="986">
        <v>0</v>
      </c>
      <c r="O1429" s="986">
        <v>1415265</v>
      </c>
      <c r="P1429" s="993">
        <v>0</v>
      </c>
      <c r="Q1429" s="986">
        <v>0</v>
      </c>
      <c r="R1429" s="993">
        <f>L1429/I1429</f>
        <v>3017.6226012793177</v>
      </c>
      <c r="S1429" s="987">
        <v>2018</v>
      </c>
      <c r="T1429" s="987">
        <v>2020</v>
      </c>
    </row>
    <row r="1430" spans="1:20" ht="39.6" customHeight="1">
      <c r="A1430" s="1271">
        <v>362</v>
      </c>
      <c r="B1430" s="1274" t="s">
        <v>1382</v>
      </c>
      <c r="C1430" s="1271">
        <v>1958</v>
      </c>
      <c r="D1430" s="1271"/>
      <c r="E1430" s="1271" t="s">
        <v>222</v>
      </c>
      <c r="F1430" s="1271">
        <v>2</v>
      </c>
      <c r="G1430" s="1271">
        <v>2</v>
      </c>
      <c r="H1430" s="993">
        <v>459.1</v>
      </c>
      <c r="I1430" s="993">
        <v>410.7</v>
      </c>
      <c r="J1430" s="993">
        <v>353.4</v>
      </c>
      <c r="K1430" s="987">
        <v>17</v>
      </c>
      <c r="L1430" s="986">
        <v>2435054.66</v>
      </c>
      <c r="M1430" s="986">
        <v>0</v>
      </c>
      <c r="N1430" s="986">
        <v>0</v>
      </c>
      <c r="O1430" s="986">
        <v>2435054.66</v>
      </c>
      <c r="P1430" s="993">
        <v>0</v>
      </c>
      <c r="Q1430" s="986">
        <v>0</v>
      </c>
      <c r="R1430" s="993">
        <f t="shared" ref="R1430:R1431" si="439">L1430/I1430</f>
        <v>5929.0349646944251</v>
      </c>
      <c r="S1430" s="987">
        <v>2019</v>
      </c>
      <c r="T1430" s="987">
        <v>2020</v>
      </c>
    </row>
    <row r="1431" spans="1:20" ht="44.45" customHeight="1">
      <c r="A1431" s="1271">
        <v>363</v>
      </c>
      <c r="B1431" s="1274" t="s">
        <v>592</v>
      </c>
      <c r="C1431" s="1271">
        <v>1959</v>
      </c>
      <c r="D1431" s="1271"/>
      <c r="E1431" s="1271" t="s">
        <v>222</v>
      </c>
      <c r="F1431" s="1271">
        <v>2</v>
      </c>
      <c r="G1431" s="1271">
        <v>2</v>
      </c>
      <c r="H1431" s="993">
        <v>466.2</v>
      </c>
      <c r="I1431" s="993">
        <v>417</v>
      </c>
      <c r="J1431" s="993">
        <v>370.8</v>
      </c>
      <c r="K1431" s="987">
        <v>18</v>
      </c>
      <c r="L1431" s="986">
        <v>2462967</v>
      </c>
      <c r="M1431" s="986">
        <v>0</v>
      </c>
      <c r="N1431" s="986">
        <v>0</v>
      </c>
      <c r="O1431" s="986">
        <v>2462967</v>
      </c>
      <c r="P1431" s="993">
        <v>0</v>
      </c>
      <c r="Q1431" s="986">
        <v>0</v>
      </c>
      <c r="R1431" s="993">
        <f t="shared" si="439"/>
        <v>5906.3956834532373</v>
      </c>
      <c r="S1431" s="987">
        <v>2019</v>
      </c>
      <c r="T1431" s="987">
        <v>2020</v>
      </c>
    </row>
    <row r="1432" spans="1:20" ht="41.45" customHeight="1">
      <c r="A1432" s="1271"/>
      <c r="B1432" s="1273" t="s">
        <v>1649</v>
      </c>
      <c r="C1432" s="1279"/>
      <c r="D1432" s="1283"/>
      <c r="E1432" s="1279"/>
      <c r="F1432" s="1279"/>
      <c r="G1432" s="1279"/>
      <c r="H1432" s="1035">
        <f>SUM(H1433:H1441)</f>
        <v>6157.1</v>
      </c>
      <c r="I1432" s="1035">
        <f t="shared" ref="I1432:Q1432" si="440">SUM(I1433:I1441)</f>
        <v>5532</v>
      </c>
      <c r="J1432" s="1035">
        <f t="shared" si="440"/>
        <v>5532</v>
      </c>
      <c r="K1432" s="1064">
        <f t="shared" si="440"/>
        <v>218</v>
      </c>
      <c r="L1432" s="1035">
        <f t="shared" si="440"/>
        <v>15338279.420000002</v>
      </c>
      <c r="M1432" s="1035">
        <f t="shared" si="440"/>
        <v>0</v>
      </c>
      <c r="N1432" s="1035">
        <f t="shared" si="440"/>
        <v>689834.26</v>
      </c>
      <c r="O1432" s="1035">
        <f t="shared" si="440"/>
        <v>14648445.16</v>
      </c>
      <c r="P1432" s="1035">
        <f t="shared" si="440"/>
        <v>0</v>
      </c>
      <c r="Q1432" s="1035">
        <f t="shared" si="440"/>
        <v>0</v>
      </c>
      <c r="R1432" s="991" t="s">
        <v>40</v>
      </c>
      <c r="S1432" s="991" t="s">
        <v>40</v>
      </c>
      <c r="T1432" s="991" t="s">
        <v>40</v>
      </c>
    </row>
    <row r="1433" spans="1:20" ht="43.9" customHeight="1">
      <c r="A1433" s="1031">
        <v>364</v>
      </c>
      <c r="B1433" s="1041" t="s">
        <v>2159</v>
      </c>
      <c r="C1433" s="1032">
        <v>1965</v>
      </c>
      <c r="D1433" s="1032"/>
      <c r="E1433" s="1271" t="s">
        <v>218</v>
      </c>
      <c r="F1433" s="1032">
        <v>2</v>
      </c>
      <c r="G1433" s="1032">
        <v>2</v>
      </c>
      <c r="H1433" s="1037">
        <v>425.2</v>
      </c>
      <c r="I1433" s="1037">
        <v>374.5</v>
      </c>
      <c r="J1433" s="1037">
        <v>374.5</v>
      </c>
      <c r="K1433" s="1068">
        <v>21</v>
      </c>
      <c r="L1433" s="1037">
        <v>1194765</v>
      </c>
      <c r="M1433" s="1037">
        <v>0</v>
      </c>
      <c r="N1433" s="1037">
        <v>262659.20000000001</v>
      </c>
      <c r="O1433" s="1037">
        <v>932105.8</v>
      </c>
      <c r="P1433" s="1037">
        <v>0</v>
      </c>
      <c r="Q1433" s="1037">
        <v>0</v>
      </c>
      <c r="R1433" s="1037">
        <f t="shared" ref="R1433:R1441" si="441">L1433/I1433</f>
        <v>3190.293724966622</v>
      </c>
      <c r="S1433" s="987">
        <v>2016</v>
      </c>
      <c r="T1433" s="987">
        <v>2020</v>
      </c>
    </row>
    <row r="1434" spans="1:20" ht="48" customHeight="1">
      <c r="A1434" s="1031">
        <v>365</v>
      </c>
      <c r="B1434" s="1041" t="s">
        <v>2160</v>
      </c>
      <c r="C1434" s="1032">
        <v>1984</v>
      </c>
      <c r="D1434" s="1032"/>
      <c r="E1434" s="1271" t="s">
        <v>219</v>
      </c>
      <c r="F1434" s="1032">
        <v>3</v>
      </c>
      <c r="G1434" s="1032">
        <v>2</v>
      </c>
      <c r="H1434" s="1037">
        <v>933.9</v>
      </c>
      <c r="I1434" s="1037">
        <v>843.5</v>
      </c>
      <c r="J1434" s="1037">
        <v>843.5</v>
      </c>
      <c r="K1434" s="1068">
        <v>36</v>
      </c>
      <c r="L1434" s="1037">
        <v>1627575</v>
      </c>
      <c r="M1434" s="1037">
        <v>0</v>
      </c>
      <c r="N1434" s="1037">
        <v>0</v>
      </c>
      <c r="O1434" s="1037">
        <v>1627575</v>
      </c>
      <c r="P1434" s="1037">
        <v>0</v>
      </c>
      <c r="Q1434" s="1037">
        <v>0</v>
      </c>
      <c r="R1434" s="1037">
        <f t="shared" si="441"/>
        <v>1929.5494961470065</v>
      </c>
      <c r="S1434" s="987">
        <v>2016</v>
      </c>
      <c r="T1434" s="987">
        <v>2022</v>
      </c>
    </row>
    <row r="1435" spans="1:20" ht="40.15" customHeight="1">
      <c r="A1435" s="1031">
        <v>366</v>
      </c>
      <c r="B1435" s="1041" t="s">
        <v>2939</v>
      </c>
      <c r="C1435" s="1032">
        <v>1967</v>
      </c>
      <c r="D1435" s="1032"/>
      <c r="E1435" s="1271" t="s">
        <v>218</v>
      </c>
      <c r="F1435" s="1032">
        <v>2</v>
      </c>
      <c r="G1435" s="1032">
        <v>2</v>
      </c>
      <c r="H1435" s="1024">
        <v>520.5</v>
      </c>
      <c r="I1435" s="1037">
        <v>439.5</v>
      </c>
      <c r="J1435" s="1037">
        <v>439.5</v>
      </c>
      <c r="K1435" s="1068">
        <v>16</v>
      </c>
      <c r="L1435" s="1037">
        <v>1570456</v>
      </c>
      <c r="M1435" s="1037">
        <v>0</v>
      </c>
      <c r="N1435" s="1037">
        <v>273934.2</v>
      </c>
      <c r="O1435" s="1037">
        <v>1296521.8</v>
      </c>
      <c r="P1435" s="1037">
        <v>0</v>
      </c>
      <c r="Q1435" s="1037">
        <v>0</v>
      </c>
      <c r="R1435" s="1037">
        <f t="shared" si="441"/>
        <v>3573.2787258248009</v>
      </c>
      <c r="S1435" s="987">
        <v>2016</v>
      </c>
      <c r="T1435" s="987">
        <v>2020</v>
      </c>
    </row>
    <row r="1436" spans="1:20" ht="37.9" customHeight="1">
      <c r="A1436" s="1031">
        <v>367</v>
      </c>
      <c r="B1436" s="1041" t="s">
        <v>2940</v>
      </c>
      <c r="C1436" s="1032">
        <v>1983</v>
      </c>
      <c r="D1436" s="1032"/>
      <c r="E1436" s="1271" t="s">
        <v>219</v>
      </c>
      <c r="F1436" s="1032">
        <v>3</v>
      </c>
      <c r="G1436" s="1032">
        <v>3</v>
      </c>
      <c r="H1436" s="1037">
        <v>1446.2</v>
      </c>
      <c r="I1436" s="1037">
        <v>1291</v>
      </c>
      <c r="J1436" s="1037">
        <v>1291</v>
      </c>
      <c r="K1436" s="1068">
        <v>38</v>
      </c>
      <c r="L1436" s="1037">
        <v>2416059.7000000002</v>
      </c>
      <c r="M1436" s="1024">
        <v>0</v>
      </c>
      <c r="N1436" s="1037">
        <v>153240.85999999999</v>
      </c>
      <c r="O1436" s="1037">
        <v>2262818.84</v>
      </c>
      <c r="P1436" s="1037">
        <v>0</v>
      </c>
      <c r="Q1436" s="1037">
        <v>0</v>
      </c>
      <c r="R1436" s="1037">
        <f t="shared" si="441"/>
        <v>1871.4637490317584</v>
      </c>
      <c r="S1436" s="987">
        <v>2016</v>
      </c>
      <c r="T1436" s="987">
        <v>2022</v>
      </c>
    </row>
    <row r="1437" spans="1:20" ht="43.15" customHeight="1">
      <c r="A1437" s="1031">
        <v>368</v>
      </c>
      <c r="B1437" s="1012" t="s">
        <v>2161</v>
      </c>
      <c r="C1437" s="1023">
        <v>1963</v>
      </c>
      <c r="D1437" s="1023"/>
      <c r="E1437" s="1271" t="s">
        <v>218</v>
      </c>
      <c r="F1437" s="1023">
        <v>2</v>
      </c>
      <c r="G1437" s="1023">
        <v>2</v>
      </c>
      <c r="H1437" s="1024">
        <v>503</v>
      </c>
      <c r="I1437" s="1024">
        <v>444.9</v>
      </c>
      <c r="J1437" s="1024">
        <v>444.9</v>
      </c>
      <c r="K1437" s="1011">
        <v>19</v>
      </c>
      <c r="L1437" s="1024">
        <v>1579931.79</v>
      </c>
      <c r="M1437" s="1024">
        <v>0</v>
      </c>
      <c r="N1437" s="1024">
        <v>0</v>
      </c>
      <c r="O1437" s="1024">
        <f>L1437</f>
        <v>1579931.79</v>
      </c>
      <c r="P1437" s="1024">
        <v>0</v>
      </c>
      <c r="Q1437" s="1024">
        <v>0</v>
      </c>
      <c r="R1437" s="1037">
        <f t="shared" si="441"/>
        <v>3551.2065407956848</v>
      </c>
      <c r="S1437" s="987">
        <v>2017</v>
      </c>
      <c r="T1437" s="987">
        <v>2020</v>
      </c>
    </row>
    <row r="1438" spans="1:20" ht="41.45" customHeight="1">
      <c r="A1438" s="1031">
        <v>369</v>
      </c>
      <c r="B1438" s="1012" t="s">
        <v>2162</v>
      </c>
      <c r="C1438" s="1023">
        <v>1977</v>
      </c>
      <c r="D1438" s="1023"/>
      <c r="E1438" s="1271" t="s">
        <v>220</v>
      </c>
      <c r="F1438" s="1023">
        <v>2</v>
      </c>
      <c r="G1438" s="1023">
        <v>2</v>
      </c>
      <c r="H1438" s="1024">
        <v>593.5</v>
      </c>
      <c r="I1438" s="1024">
        <v>543.20000000000005</v>
      </c>
      <c r="J1438" s="1024">
        <v>543.20000000000005</v>
      </c>
      <c r="K1438" s="1011">
        <v>18</v>
      </c>
      <c r="L1438" s="1024">
        <v>1562951</v>
      </c>
      <c r="M1438" s="1024">
        <v>0</v>
      </c>
      <c r="N1438" s="1024">
        <v>0</v>
      </c>
      <c r="O1438" s="1024">
        <v>1562951</v>
      </c>
      <c r="P1438" s="1024">
        <v>0</v>
      </c>
      <c r="Q1438" s="1024">
        <v>0</v>
      </c>
      <c r="R1438" s="1037">
        <f t="shared" si="441"/>
        <v>2877.3030191458024</v>
      </c>
      <c r="S1438" s="987">
        <v>2017</v>
      </c>
      <c r="T1438" s="987">
        <v>2020</v>
      </c>
    </row>
    <row r="1439" spans="1:20" ht="48.6" customHeight="1">
      <c r="A1439" s="1031">
        <v>370</v>
      </c>
      <c r="B1439" s="1014" t="s">
        <v>2314</v>
      </c>
      <c r="C1439" s="1023">
        <v>1962</v>
      </c>
      <c r="D1439" s="1023"/>
      <c r="E1439" s="1271" t="s">
        <v>218</v>
      </c>
      <c r="F1439" s="1023">
        <v>2</v>
      </c>
      <c r="G1439" s="1023">
        <v>2</v>
      </c>
      <c r="H1439" s="1024">
        <v>331.7</v>
      </c>
      <c r="I1439" s="1024">
        <v>298.89999999999998</v>
      </c>
      <c r="J1439" s="1024">
        <v>298.89999999999998</v>
      </c>
      <c r="K1439" s="1011">
        <v>13</v>
      </c>
      <c r="L1439" s="1024">
        <v>974952</v>
      </c>
      <c r="M1439" s="1024">
        <v>0</v>
      </c>
      <c r="N1439" s="1024">
        <v>0</v>
      </c>
      <c r="O1439" s="1024">
        <v>974952</v>
      </c>
      <c r="P1439" s="1024">
        <v>0</v>
      </c>
      <c r="Q1439" s="1024">
        <v>0</v>
      </c>
      <c r="R1439" s="1037">
        <f t="shared" si="441"/>
        <v>3261.7999330879898</v>
      </c>
      <c r="S1439" s="987">
        <v>2017</v>
      </c>
      <c r="T1439" s="987">
        <v>2020</v>
      </c>
    </row>
    <row r="1440" spans="1:20" ht="48" customHeight="1">
      <c r="A1440" s="1031">
        <v>371</v>
      </c>
      <c r="B1440" s="1012" t="s">
        <v>2163</v>
      </c>
      <c r="C1440" s="1032">
        <v>1962</v>
      </c>
      <c r="D1440" s="1032"/>
      <c r="E1440" s="1271" t="s">
        <v>218</v>
      </c>
      <c r="F1440" s="1032">
        <v>2</v>
      </c>
      <c r="G1440" s="1032">
        <v>2</v>
      </c>
      <c r="H1440" s="1037">
        <v>473.1</v>
      </c>
      <c r="I1440" s="1037">
        <v>467</v>
      </c>
      <c r="J1440" s="1037">
        <v>467</v>
      </c>
      <c r="K1440" s="1068">
        <v>12</v>
      </c>
      <c r="L1440" s="1037">
        <v>1423323.48</v>
      </c>
      <c r="M1440" s="1037">
        <v>0</v>
      </c>
      <c r="N1440" s="1037">
        <v>0</v>
      </c>
      <c r="O1440" s="1037">
        <v>1423323.48</v>
      </c>
      <c r="P1440" s="1037">
        <v>0</v>
      </c>
      <c r="Q1440" s="1037">
        <v>0</v>
      </c>
      <c r="R1440" s="1037">
        <f t="shared" si="441"/>
        <v>3047.8018843683085</v>
      </c>
      <c r="S1440" s="987">
        <v>2017</v>
      </c>
      <c r="T1440" s="987">
        <v>2020</v>
      </c>
    </row>
    <row r="1441" spans="1:20" ht="42.6" customHeight="1">
      <c r="A1441" s="1031">
        <v>372</v>
      </c>
      <c r="B1441" s="1012" t="s">
        <v>2164</v>
      </c>
      <c r="C1441" s="1032">
        <v>1989</v>
      </c>
      <c r="D1441" s="1032"/>
      <c r="E1441" s="1271" t="s">
        <v>218</v>
      </c>
      <c r="F1441" s="1032">
        <v>2</v>
      </c>
      <c r="G1441" s="1032">
        <v>3</v>
      </c>
      <c r="H1441" s="1037">
        <v>930</v>
      </c>
      <c r="I1441" s="1037">
        <v>829.5</v>
      </c>
      <c r="J1441" s="1037">
        <v>829.5</v>
      </c>
      <c r="K1441" s="1068">
        <v>45</v>
      </c>
      <c r="L1441" s="1037">
        <v>2988265.45</v>
      </c>
      <c r="M1441" s="1037">
        <v>0</v>
      </c>
      <c r="N1441" s="1037">
        <v>0</v>
      </c>
      <c r="O1441" s="1037">
        <v>2988265.45</v>
      </c>
      <c r="P1441" s="1037">
        <v>0</v>
      </c>
      <c r="Q1441" s="1037">
        <v>0</v>
      </c>
      <c r="R1441" s="1037">
        <f t="shared" si="441"/>
        <v>3602.4899939722727</v>
      </c>
      <c r="S1441" s="987">
        <v>2019</v>
      </c>
      <c r="T1441" s="987">
        <v>2020</v>
      </c>
    </row>
    <row r="1442" spans="1:20" ht="40.15" customHeight="1">
      <c r="A1442" s="1271"/>
      <c r="B1442" s="1276" t="s">
        <v>2674</v>
      </c>
      <c r="C1442" s="1279"/>
      <c r="D1442" s="1283"/>
      <c r="E1442" s="1279"/>
      <c r="F1442" s="1279"/>
      <c r="G1442" s="1279"/>
      <c r="H1442" s="985">
        <f>H1443+H1444+H1445+H1446+H1447</f>
        <v>4071.3</v>
      </c>
      <c r="I1442" s="985">
        <f t="shared" ref="I1442:Q1442" si="442">I1443+I1444+I1445+I1446+I1447</f>
        <v>3282.6</v>
      </c>
      <c r="J1442" s="985">
        <f t="shared" si="442"/>
        <v>3110.6000000000004</v>
      </c>
      <c r="K1442" s="1064">
        <f t="shared" si="442"/>
        <v>155</v>
      </c>
      <c r="L1442" s="985">
        <f t="shared" si="442"/>
        <v>9377092.4900000002</v>
      </c>
      <c r="M1442" s="985">
        <f t="shared" si="442"/>
        <v>0</v>
      </c>
      <c r="N1442" s="985">
        <f t="shared" si="442"/>
        <v>0</v>
      </c>
      <c r="O1442" s="985">
        <f t="shared" si="442"/>
        <v>9377092.4900000002</v>
      </c>
      <c r="P1442" s="985">
        <f t="shared" si="442"/>
        <v>0</v>
      </c>
      <c r="Q1442" s="985">
        <f t="shared" si="442"/>
        <v>0</v>
      </c>
      <c r="R1442" s="991" t="s">
        <v>40</v>
      </c>
      <c r="S1442" s="991" t="s">
        <v>40</v>
      </c>
      <c r="T1442" s="991" t="s">
        <v>40</v>
      </c>
    </row>
    <row r="1443" spans="1:20" ht="49.15" customHeight="1">
      <c r="A1443" s="1271">
        <v>373</v>
      </c>
      <c r="B1443" s="1274" t="s">
        <v>2687</v>
      </c>
      <c r="C1443" s="1279">
        <v>1986</v>
      </c>
      <c r="D1443" s="1279"/>
      <c r="E1443" s="1271" t="s">
        <v>218</v>
      </c>
      <c r="F1443" s="1279">
        <v>3</v>
      </c>
      <c r="G1443" s="1279">
        <v>2</v>
      </c>
      <c r="H1443" s="985">
        <v>1876</v>
      </c>
      <c r="I1443" s="985">
        <v>1297.7</v>
      </c>
      <c r="J1443" s="985">
        <v>1297.7</v>
      </c>
      <c r="K1443" s="1064">
        <v>41</v>
      </c>
      <c r="L1443" s="986">
        <v>3678196</v>
      </c>
      <c r="M1443" s="986">
        <v>0</v>
      </c>
      <c r="N1443" s="986">
        <v>0</v>
      </c>
      <c r="O1443" s="986">
        <v>3678196</v>
      </c>
      <c r="P1443" s="993">
        <v>0</v>
      </c>
      <c r="Q1443" s="986">
        <v>0</v>
      </c>
      <c r="R1443" s="985">
        <v>2834.3962395006547</v>
      </c>
      <c r="S1443" s="987">
        <v>2019</v>
      </c>
      <c r="T1443" s="987">
        <v>2020</v>
      </c>
    </row>
    <row r="1444" spans="1:20" ht="46.15" customHeight="1">
      <c r="A1444" s="1271">
        <v>374</v>
      </c>
      <c r="B1444" s="1274" t="s">
        <v>2688</v>
      </c>
      <c r="C1444" s="1279">
        <v>1963</v>
      </c>
      <c r="D1444" s="1279"/>
      <c r="E1444" s="1271" t="s">
        <v>218</v>
      </c>
      <c r="F1444" s="1279">
        <v>2</v>
      </c>
      <c r="G1444" s="1279">
        <v>2</v>
      </c>
      <c r="H1444" s="985">
        <v>560.6</v>
      </c>
      <c r="I1444" s="985">
        <v>474.4</v>
      </c>
      <c r="J1444" s="985">
        <v>398.1</v>
      </c>
      <c r="K1444" s="1064">
        <v>25</v>
      </c>
      <c r="L1444" s="986">
        <v>1456995</v>
      </c>
      <c r="M1444" s="986">
        <v>0</v>
      </c>
      <c r="N1444" s="986">
        <v>0</v>
      </c>
      <c r="O1444" s="986">
        <v>1456995</v>
      </c>
      <c r="P1444" s="993">
        <v>0</v>
      </c>
      <c r="Q1444" s="986">
        <v>0</v>
      </c>
      <c r="R1444" s="985">
        <v>3352.1732715008434</v>
      </c>
      <c r="S1444" s="987">
        <v>2017</v>
      </c>
      <c r="T1444" s="987">
        <v>2020</v>
      </c>
    </row>
    <row r="1445" spans="1:20" ht="45" customHeight="1">
      <c r="A1445" s="1271">
        <v>375</v>
      </c>
      <c r="B1445" s="1274" t="s">
        <v>2689</v>
      </c>
      <c r="C1445" s="1279">
        <v>1968</v>
      </c>
      <c r="D1445" s="1279"/>
      <c r="E1445" s="1271" t="s">
        <v>218</v>
      </c>
      <c r="F1445" s="1279">
        <v>5</v>
      </c>
      <c r="G1445" s="1279">
        <v>4</v>
      </c>
      <c r="H1445" s="985">
        <v>541.20000000000005</v>
      </c>
      <c r="I1445" s="985">
        <v>476.4</v>
      </c>
      <c r="J1445" s="985">
        <v>387.3</v>
      </c>
      <c r="K1445" s="1064">
        <v>39</v>
      </c>
      <c r="L1445" s="986">
        <v>1572372</v>
      </c>
      <c r="M1445" s="986">
        <v>0</v>
      </c>
      <c r="N1445" s="986">
        <v>0</v>
      </c>
      <c r="O1445" s="986">
        <v>1572372</v>
      </c>
      <c r="P1445" s="993">
        <v>0</v>
      </c>
      <c r="Q1445" s="986">
        <v>0</v>
      </c>
      <c r="R1445" s="985">
        <v>3300.5289672544081</v>
      </c>
      <c r="S1445" s="987">
        <v>2018</v>
      </c>
      <c r="T1445" s="987">
        <v>2020</v>
      </c>
    </row>
    <row r="1446" spans="1:20" ht="43.15" customHeight="1">
      <c r="A1446" s="1271">
        <v>376</v>
      </c>
      <c r="B1446" s="1274" t="s">
        <v>2690</v>
      </c>
      <c r="C1446" s="1279">
        <v>1980</v>
      </c>
      <c r="D1446" s="1279"/>
      <c r="E1446" s="1271" t="s">
        <v>218</v>
      </c>
      <c r="F1446" s="1279">
        <v>2</v>
      </c>
      <c r="G1446" s="1279">
        <v>2</v>
      </c>
      <c r="H1446" s="985">
        <v>789.1</v>
      </c>
      <c r="I1446" s="985">
        <v>729.7</v>
      </c>
      <c r="J1446" s="985">
        <v>729.7</v>
      </c>
      <c r="K1446" s="1064">
        <v>33</v>
      </c>
      <c r="L1446" s="986">
        <v>1298765.6000000001</v>
      </c>
      <c r="M1446" s="986">
        <v>0</v>
      </c>
      <c r="N1446" s="986">
        <v>0</v>
      </c>
      <c r="O1446" s="986">
        <v>1298765.6000000001</v>
      </c>
      <c r="P1446" s="993">
        <v>0</v>
      </c>
      <c r="Q1446" s="986">
        <v>0</v>
      </c>
      <c r="R1446" s="1037">
        <f t="shared" ref="R1446" si="443">L1446/I1446</f>
        <v>1779.8624092092641</v>
      </c>
      <c r="S1446" s="987">
        <v>2018</v>
      </c>
      <c r="T1446" s="987">
        <v>2022</v>
      </c>
    </row>
    <row r="1447" spans="1:20" ht="48" customHeight="1">
      <c r="A1447" s="1271">
        <v>377</v>
      </c>
      <c r="B1447" s="1098" t="s">
        <v>1385</v>
      </c>
      <c r="C1447" s="1023">
        <v>1964</v>
      </c>
      <c r="D1447" s="1023"/>
      <c r="E1447" s="1271" t="s">
        <v>218</v>
      </c>
      <c r="F1447" s="1023">
        <v>2</v>
      </c>
      <c r="G1447" s="1023">
        <v>1</v>
      </c>
      <c r="H1447" s="1024">
        <v>304.39999999999998</v>
      </c>
      <c r="I1447" s="1024">
        <v>304.39999999999998</v>
      </c>
      <c r="J1447" s="1024">
        <v>297.8</v>
      </c>
      <c r="K1447" s="1011">
        <v>17</v>
      </c>
      <c r="L1447" s="986">
        <v>1370763.89</v>
      </c>
      <c r="M1447" s="986">
        <v>0</v>
      </c>
      <c r="N1447" s="986">
        <v>0</v>
      </c>
      <c r="O1447" s="986">
        <v>1370763.89</v>
      </c>
      <c r="P1447" s="1033">
        <v>0</v>
      </c>
      <c r="Q1447" s="986">
        <v>0</v>
      </c>
      <c r="R1447" s="985">
        <f>L1447/I1447</f>
        <v>4503.1665243101179</v>
      </c>
      <c r="S1447" s="987">
        <v>2019</v>
      </c>
      <c r="T1447" s="987">
        <v>2020</v>
      </c>
    </row>
    <row r="1448" spans="1:20" ht="43.15" customHeight="1">
      <c r="A1448" s="1271"/>
      <c r="B1448" s="1273" t="s">
        <v>49</v>
      </c>
      <c r="C1448" s="1279"/>
      <c r="D1448" s="1283"/>
      <c r="E1448" s="1279"/>
      <c r="F1448" s="1279"/>
      <c r="G1448" s="1279"/>
      <c r="H1448" s="985">
        <f>H1449+H1457+H1453+H1451+H1455</f>
        <v>5794</v>
      </c>
      <c r="I1448" s="985">
        <f t="shared" ref="I1448:Q1448" si="444">I1449+I1457+I1453+I1451+I1455</f>
        <v>5220.9000000000005</v>
      </c>
      <c r="J1448" s="985">
        <f t="shared" si="444"/>
        <v>4319.1000000000004</v>
      </c>
      <c r="K1448" s="1064">
        <f t="shared" si="444"/>
        <v>221</v>
      </c>
      <c r="L1448" s="985">
        <f t="shared" si="444"/>
        <v>9832874.6799999997</v>
      </c>
      <c r="M1448" s="985">
        <f t="shared" si="444"/>
        <v>0</v>
      </c>
      <c r="N1448" s="985">
        <f t="shared" si="444"/>
        <v>150000</v>
      </c>
      <c r="O1448" s="985">
        <f t="shared" si="444"/>
        <v>9682874.6799999997</v>
      </c>
      <c r="P1448" s="985">
        <f t="shared" si="444"/>
        <v>0</v>
      </c>
      <c r="Q1448" s="985">
        <f t="shared" si="444"/>
        <v>0</v>
      </c>
      <c r="R1448" s="991" t="s">
        <v>40</v>
      </c>
      <c r="S1448" s="991" t="s">
        <v>40</v>
      </c>
      <c r="T1448" s="991" t="s">
        <v>40</v>
      </c>
    </row>
    <row r="1449" spans="1:20" ht="42.6" customHeight="1">
      <c r="A1449" s="1271"/>
      <c r="B1449" s="1273" t="s">
        <v>1125</v>
      </c>
      <c r="C1449" s="1279"/>
      <c r="D1449" s="1283"/>
      <c r="E1449" s="1271"/>
      <c r="F1449" s="1279"/>
      <c r="G1449" s="1279"/>
      <c r="H1449" s="985">
        <f>H1450</f>
        <v>3496.4</v>
      </c>
      <c r="I1449" s="985">
        <f t="shared" ref="I1449:Q1449" si="445">I1450</f>
        <v>3230.1</v>
      </c>
      <c r="J1449" s="985">
        <f t="shared" si="445"/>
        <v>2516.1</v>
      </c>
      <c r="K1449" s="1064">
        <f t="shared" si="445"/>
        <v>121</v>
      </c>
      <c r="L1449" s="985">
        <f t="shared" si="445"/>
        <v>2567710.34</v>
      </c>
      <c r="M1449" s="985">
        <f t="shared" si="445"/>
        <v>0</v>
      </c>
      <c r="N1449" s="985">
        <f t="shared" si="445"/>
        <v>0</v>
      </c>
      <c r="O1449" s="985">
        <f t="shared" si="445"/>
        <v>2567710.34</v>
      </c>
      <c r="P1449" s="985">
        <f t="shared" si="445"/>
        <v>0</v>
      </c>
      <c r="Q1449" s="985">
        <f t="shared" si="445"/>
        <v>0</v>
      </c>
      <c r="R1449" s="991" t="s">
        <v>40</v>
      </c>
      <c r="S1449" s="991" t="s">
        <v>40</v>
      </c>
      <c r="T1449" s="991" t="s">
        <v>40</v>
      </c>
    </row>
    <row r="1450" spans="1:20" ht="42" customHeight="1">
      <c r="A1450" s="1271">
        <v>378</v>
      </c>
      <c r="B1450" s="1273" t="s">
        <v>1126</v>
      </c>
      <c r="C1450" s="1279">
        <v>1972</v>
      </c>
      <c r="D1450" s="1279"/>
      <c r="E1450" s="1271" t="s">
        <v>219</v>
      </c>
      <c r="F1450" s="1279">
        <v>5</v>
      </c>
      <c r="G1450" s="1279">
        <v>4</v>
      </c>
      <c r="H1450" s="985">
        <v>3496.4</v>
      </c>
      <c r="I1450" s="985">
        <v>3230.1</v>
      </c>
      <c r="J1450" s="985">
        <v>2516.1</v>
      </c>
      <c r="K1450" s="1064">
        <v>121</v>
      </c>
      <c r="L1450" s="986">
        <v>2567710.34</v>
      </c>
      <c r="M1450" s="986">
        <v>0</v>
      </c>
      <c r="N1450" s="986">
        <v>0</v>
      </c>
      <c r="O1450" s="986">
        <f>L1450</f>
        <v>2567710.34</v>
      </c>
      <c r="P1450" s="993">
        <v>0</v>
      </c>
      <c r="Q1450" s="986">
        <v>0</v>
      </c>
      <c r="R1450" s="985">
        <f>L1450/I1450</f>
        <v>794.93215070740837</v>
      </c>
      <c r="S1450" s="987">
        <v>2019</v>
      </c>
      <c r="T1450" s="987">
        <v>2020</v>
      </c>
    </row>
    <row r="1451" spans="1:20" ht="43.9" customHeight="1">
      <c r="A1451" s="1271"/>
      <c r="B1451" s="1390" t="s">
        <v>1147</v>
      </c>
      <c r="C1451" s="1390"/>
      <c r="D1451" s="1390"/>
      <c r="E1451" s="1390"/>
      <c r="F1451" s="1390"/>
      <c r="G1451" s="1390"/>
      <c r="H1451" s="985">
        <v>389.6</v>
      </c>
      <c r="I1451" s="985">
        <v>389.6</v>
      </c>
      <c r="J1451" s="985">
        <v>353</v>
      </c>
      <c r="K1451" s="1064">
        <v>23</v>
      </c>
      <c r="L1451" s="985">
        <v>1167688</v>
      </c>
      <c r="M1451" s="985">
        <v>0</v>
      </c>
      <c r="N1451" s="985">
        <v>150000</v>
      </c>
      <c r="O1451" s="985">
        <v>1017688</v>
      </c>
      <c r="P1451" s="985">
        <v>0</v>
      </c>
      <c r="Q1451" s="985">
        <v>0</v>
      </c>
      <c r="R1451" s="991" t="s">
        <v>40</v>
      </c>
      <c r="S1451" s="991" t="s">
        <v>40</v>
      </c>
      <c r="T1451" s="991" t="s">
        <v>40</v>
      </c>
    </row>
    <row r="1452" spans="1:20" ht="40.9" customHeight="1">
      <c r="A1452" s="1271">
        <v>379</v>
      </c>
      <c r="B1452" s="1274" t="s">
        <v>2941</v>
      </c>
      <c r="C1452" s="1279">
        <v>1963</v>
      </c>
      <c r="D1452" s="1279"/>
      <c r="E1452" s="1271" t="s">
        <v>218</v>
      </c>
      <c r="F1452" s="1279">
        <v>2</v>
      </c>
      <c r="G1452" s="1279">
        <v>2</v>
      </c>
      <c r="H1452" s="985">
        <v>389.6</v>
      </c>
      <c r="I1452" s="985">
        <v>389.6</v>
      </c>
      <c r="J1452" s="985">
        <v>353</v>
      </c>
      <c r="K1452" s="1064">
        <v>23</v>
      </c>
      <c r="L1452" s="986">
        <v>1167688</v>
      </c>
      <c r="M1452" s="986">
        <v>0</v>
      </c>
      <c r="N1452" s="986">
        <v>150000</v>
      </c>
      <c r="O1452" s="986">
        <v>1017688</v>
      </c>
      <c r="P1452" s="993">
        <v>0</v>
      </c>
      <c r="Q1452" s="986">
        <v>0</v>
      </c>
      <c r="R1452" s="985">
        <v>2997.1457905544148</v>
      </c>
      <c r="S1452" s="987">
        <v>2019</v>
      </c>
      <c r="T1452" s="987">
        <v>2020</v>
      </c>
    </row>
    <row r="1453" spans="1:20" ht="42" customHeight="1">
      <c r="A1453" s="1271"/>
      <c r="B1453" s="1273" t="s">
        <v>1356</v>
      </c>
      <c r="C1453" s="1279"/>
      <c r="D1453" s="1283"/>
      <c r="E1453" s="1271"/>
      <c r="F1453" s="1279"/>
      <c r="G1453" s="1279"/>
      <c r="H1453" s="985">
        <f>H1454</f>
        <v>400.9</v>
      </c>
      <c r="I1453" s="985">
        <f t="shared" ref="I1453:Q1453" si="446">I1454</f>
        <v>420.7</v>
      </c>
      <c r="J1453" s="985">
        <f t="shared" si="446"/>
        <v>320.3</v>
      </c>
      <c r="K1453" s="1064">
        <f t="shared" si="446"/>
        <v>24</v>
      </c>
      <c r="L1453" s="985">
        <f t="shared" si="446"/>
        <v>1401226</v>
      </c>
      <c r="M1453" s="985">
        <f t="shared" si="446"/>
        <v>0</v>
      </c>
      <c r="N1453" s="985">
        <f t="shared" si="446"/>
        <v>0</v>
      </c>
      <c r="O1453" s="985">
        <f t="shared" si="446"/>
        <v>1401226</v>
      </c>
      <c r="P1453" s="985">
        <f t="shared" si="446"/>
        <v>0</v>
      </c>
      <c r="Q1453" s="985">
        <f t="shared" si="446"/>
        <v>0</v>
      </c>
      <c r="R1453" s="991" t="s">
        <v>40</v>
      </c>
      <c r="S1453" s="991" t="s">
        <v>40</v>
      </c>
      <c r="T1453" s="991" t="s">
        <v>40</v>
      </c>
    </row>
    <row r="1454" spans="1:20" ht="40.9" customHeight="1">
      <c r="A1454" s="1271">
        <v>380</v>
      </c>
      <c r="B1454" s="1014" t="s">
        <v>1359</v>
      </c>
      <c r="C1454" s="1279">
        <v>1957</v>
      </c>
      <c r="D1454" s="1273"/>
      <c r="E1454" s="1271" t="s">
        <v>218</v>
      </c>
      <c r="F1454" s="1279">
        <v>2</v>
      </c>
      <c r="G1454" s="1279">
        <v>3</v>
      </c>
      <c r="H1454" s="985">
        <v>400.9</v>
      </c>
      <c r="I1454" s="985">
        <v>420.7</v>
      </c>
      <c r="J1454" s="985">
        <v>320.3</v>
      </c>
      <c r="K1454" s="1064">
        <v>24</v>
      </c>
      <c r="L1454" s="986">
        <v>1401226</v>
      </c>
      <c r="M1454" s="986">
        <v>0</v>
      </c>
      <c r="N1454" s="986">
        <v>0</v>
      </c>
      <c r="O1454" s="986">
        <v>1401226</v>
      </c>
      <c r="P1454" s="993">
        <v>0</v>
      </c>
      <c r="Q1454" s="986">
        <v>0</v>
      </c>
      <c r="R1454" s="985">
        <f t="shared" ref="R1454" si="447">L1454/I1454</f>
        <v>3330.7012122652723</v>
      </c>
      <c r="S1454" s="987">
        <v>2019</v>
      </c>
      <c r="T1454" s="987">
        <v>2020</v>
      </c>
    </row>
    <row r="1455" spans="1:20" ht="43.9" customHeight="1">
      <c r="A1455" s="1271"/>
      <c r="B1455" s="1273" t="s">
        <v>1065</v>
      </c>
      <c r="C1455" s="1279"/>
      <c r="D1455" s="1283"/>
      <c r="E1455" s="1279"/>
      <c r="F1455" s="1279"/>
      <c r="G1455" s="1279"/>
      <c r="H1455" s="985">
        <f>H1456</f>
        <v>637.1</v>
      </c>
      <c r="I1455" s="985">
        <f t="shared" ref="I1455:Q1455" si="448">I1456</f>
        <v>415.1</v>
      </c>
      <c r="J1455" s="985">
        <f t="shared" si="448"/>
        <v>412.1</v>
      </c>
      <c r="K1455" s="1064">
        <f t="shared" si="448"/>
        <v>24</v>
      </c>
      <c r="L1455" s="985">
        <f t="shared" si="448"/>
        <v>2064607.34</v>
      </c>
      <c r="M1455" s="985">
        <f t="shared" si="448"/>
        <v>0</v>
      </c>
      <c r="N1455" s="985">
        <f t="shared" si="448"/>
        <v>0</v>
      </c>
      <c r="O1455" s="985">
        <f t="shared" si="448"/>
        <v>2064607.34</v>
      </c>
      <c r="P1455" s="985">
        <f t="shared" si="448"/>
        <v>0</v>
      </c>
      <c r="Q1455" s="985">
        <f t="shared" si="448"/>
        <v>0</v>
      </c>
      <c r="R1455" s="991" t="s">
        <v>40</v>
      </c>
      <c r="S1455" s="991" t="s">
        <v>40</v>
      </c>
      <c r="T1455" s="991" t="s">
        <v>40</v>
      </c>
    </row>
    <row r="1456" spans="1:20" ht="45" customHeight="1">
      <c r="A1456" s="1271">
        <v>381</v>
      </c>
      <c r="B1456" s="1014" t="s">
        <v>1431</v>
      </c>
      <c r="C1456" s="1279">
        <v>1965</v>
      </c>
      <c r="D1456" s="1273"/>
      <c r="E1456" s="1271" t="s">
        <v>218</v>
      </c>
      <c r="F1456" s="1279">
        <v>2</v>
      </c>
      <c r="G1456" s="1279">
        <v>2</v>
      </c>
      <c r="H1456" s="985">
        <v>637.1</v>
      </c>
      <c r="I1456" s="985">
        <v>415.1</v>
      </c>
      <c r="J1456" s="985">
        <v>412.1</v>
      </c>
      <c r="K1456" s="1064">
        <v>24</v>
      </c>
      <c r="L1456" s="986">
        <v>2064607.34</v>
      </c>
      <c r="M1456" s="986">
        <v>0</v>
      </c>
      <c r="N1456" s="986">
        <v>0</v>
      </c>
      <c r="O1456" s="986">
        <v>2064607.34</v>
      </c>
      <c r="P1456" s="993">
        <v>0</v>
      </c>
      <c r="Q1456" s="986">
        <v>0</v>
      </c>
      <c r="R1456" s="985">
        <f t="shared" ref="R1456" si="449">L1456/I1456</f>
        <v>4973.7589496506862</v>
      </c>
      <c r="S1456" s="987">
        <v>2019</v>
      </c>
      <c r="T1456" s="987">
        <v>2020</v>
      </c>
    </row>
    <row r="1457" spans="1:20" ht="40.9" customHeight="1">
      <c r="A1457" s="1271"/>
      <c r="B1457" s="1273" t="s">
        <v>1128</v>
      </c>
      <c r="C1457" s="1279"/>
      <c r="D1457" s="1283"/>
      <c r="E1457" s="1271"/>
      <c r="F1457" s="1279"/>
      <c r="G1457" s="1279"/>
      <c r="H1457" s="985">
        <f>H1458+H1459</f>
        <v>870</v>
      </c>
      <c r="I1457" s="985">
        <f t="shared" ref="I1457:J1457" si="450">I1458+I1459</f>
        <v>765.40000000000009</v>
      </c>
      <c r="J1457" s="985">
        <f t="shared" si="450"/>
        <v>717.6</v>
      </c>
      <c r="K1457" s="1064">
        <f>K1458+K1459</f>
        <v>29</v>
      </c>
      <c r="L1457" s="986">
        <f>L1458+L1459</f>
        <v>2631643</v>
      </c>
      <c r="M1457" s="986">
        <f t="shared" ref="M1457:Q1457" si="451">M1458+M1459</f>
        <v>0</v>
      </c>
      <c r="N1457" s="986">
        <f t="shared" si="451"/>
        <v>0</v>
      </c>
      <c r="O1457" s="986">
        <f t="shared" si="451"/>
        <v>2631643</v>
      </c>
      <c r="P1457" s="986">
        <f t="shared" si="451"/>
        <v>0</v>
      </c>
      <c r="Q1457" s="986">
        <f t="shared" si="451"/>
        <v>0</v>
      </c>
      <c r="R1457" s="991" t="s">
        <v>40</v>
      </c>
      <c r="S1457" s="991" t="s">
        <v>40</v>
      </c>
      <c r="T1457" s="991" t="s">
        <v>40</v>
      </c>
    </row>
    <row r="1458" spans="1:20" ht="39.6" customHeight="1">
      <c r="A1458" s="1271">
        <v>382</v>
      </c>
      <c r="B1458" s="1274" t="s">
        <v>2942</v>
      </c>
      <c r="C1458" s="1279">
        <v>1957</v>
      </c>
      <c r="D1458" s="1279"/>
      <c r="E1458" s="1271" t="s">
        <v>218</v>
      </c>
      <c r="F1458" s="1279">
        <v>2</v>
      </c>
      <c r="G1458" s="1279">
        <v>1</v>
      </c>
      <c r="H1458" s="985">
        <v>363.1</v>
      </c>
      <c r="I1458" s="985">
        <v>363.1</v>
      </c>
      <c r="J1458" s="985">
        <v>363.1</v>
      </c>
      <c r="K1458" s="1064">
        <v>15</v>
      </c>
      <c r="L1458" s="986">
        <v>1326764</v>
      </c>
      <c r="M1458" s="986">
        <v>0</v>
      </c>
      <c r="N1458" s="986">
        <v>0</v>
      </c>
      <c r="O1458" s="986">
        <v>1326764</v>
      </c>
      <c r="P1458" s="993">
        <v>0</v>
      </c>
      <c r="Q1458" s="986">
        <v>0</v>
      </c>
      <c r="R1458" s="985">
        <f>L1458/I1458</f>
        <v>3653.9906361883777</v>
      </c>
      <c r="S1458" s="987">
        <v>2019</v>
      </c>
      <c r="T1458" s="987">
        <v>2020</v>
      </c>
    </row>
    <row r="1459" spans="1:20" ht="40.15" customHeight="1">
      <c r="A1459" s="1271">
        <v>383</v>
      </c>
      <c r="B1459" s="1273" t="s">
        <v>1129</v>
      </c>
      <c r="C1459" s="1279">
        <v>1958</v>
      </c>
      <c r="D1459" s="1279"/>
      <c r="E1459" s="1271" t="s">
        <v>218</v>
      </c>
      <c r="F1459" s="1279">
        <v>2</v>
      </c>
      <c r="G1459" s="1279">
        <v>1</v>
      </c>
      <c r="H1459" s="985">
        <v>506.9</v>
      </c>
      <c r="I1459" s="985">
        <v>402.3</v>
      </c>
      <c r="J1459" s="985">
        <v>354.5</v>
      </c>
      <c r="K1459" s="1064">
        <v>14</v>
      </c>
      <c r="L1459" s="986">
        <v>1304879</v>
      </c>
      <c r="M1459" s="986">
        <v>0</v>
      </c>
      <c r="N1459" s="986">
        <v>0</v>
      </c>
      <c r="O1459" s="986">
        <v>1304879</v>
      </c>
      <c r="P1459" s="993">
        <v>0</v>
      </c>
      <c r="Q1459" s="986">
        <v>0</v>
      </c>
      <c r="R1459" s="985">
        <f>L1459/I1459</f>
        <v>3243.547104151131</v>
      </c>
      <c r="S1459" s="987">
        <v>2018</v>
      </c>
      <c r="T1459" s="987">
        <v>2020</v>
      </c>
    </row>
    <row r="1460" spans="1:20" ht="40.9" customHeight="1">
      <c r="A1460" s="1271"/>
      <c r="B1460" s="1273" t="s">
        <v>50</v>
      </c>
      <c r="C1460" s="1279"/>
      <c r="D1460" s="1283"/>
      <c r="E1460" s="1271"/>
      <c r="F1460" s="1279"/>
      <c r="G1460" s="1279"/>
      <c r="H1460" s="985">
        <f>H1461</f>
        <v>1359.8</v>
      </c>
      <c r="I1460" s="985">
        <f t="shared" ref="I1460:Q1460" si="452">I1461</f>
        <v>1337.7</v>
      </c>
      <c r="J1460" s="985">
        <f t="shared" si="452"/>
        <v>1082.5</v>
      </c>
      <c r="K1460" s="1064">
        <f t="shared" si="452"/>
        <v>63</v>
      </c>
      <c r="L1460" s="985">
        <f t="shared" si="452"/>
        <v>5358925.92</v>
      </c>
      <c r="M1460" s="985">
        <f t="shared" si="452"/>
        <v>0</v>
      </c>
      <c r="N1460" s="985">
        <f t="shared" si="452"/>
        <v>0</v>
      </c>
      <c r="O1460" s="985">
        <f t="shared" si="452"/>
        <v>5358925.92</v>
      </c>
      <c r="P1460" s="985">
        <f t="shared" si="452"/>
        <v>0</v>
      </c>
      <c r="Q1460" s="985">
        <f t="shared" si="452"/>
        <v>0</v>
      </c>
      <c r="R1460" s="991" t="s">
        <v>40</v>
      </c>
      <c r="S1460" s="991" t="s">
        <v>40</v>
      </c>
      <c r="T1460" s="991" t="s">
        <v>40</v>
      </c>
    </row>
    <row r="1461" spans="1:20" ht="38.450000000000003" customHeight="1">
      <c r="A1461" s="1271"/>
      <c r="B1461" s="1273" t="s">
        <v>1067</v>
      </c>
      <c r="C1461" s="1279"/>
      <c r="D1461" s="1283"/>
      <c r="E1461" s="1271"/>
      <c r="F1461" s="1279"/>
      <c r="G1461" s="1279"/>
      <c r="H1461" s="985">
        <f>SUM(H1462:H1464)</f>
        <v>1359.8</v>
      </c>
      <c r="I1461" s="985">
        <f t="shared" ref="I1461:Q1461" si="453">SUM(I1462:I1464)</f>
        <v>1337.7</v>
      </c>
      <c r="J1461" s="985">
        <f t="shared" si="453"/>
        <v>1082.5</v>
      </c>
      <c r="K1461" s="1064">
        <f t="shared" si="453"/>
        <v>63</v>
      </c>
      <c r="L1461" s="985">
        <f t="shared" si="453"/>
        <v>5358925.92</v>
      </c>
      <c r="M1461" s="985">
        <f t="shared" si="453"/>
        <v>0</v>
      </c>
      <c r="N1461" s="985">
        <f t="shared" si="453"/>
        <v>0</v>
      </c>
      <c r="O1461" s="985">
        <f t="shared" si="453"/>
        <v>5358925.92</v>
      </c>
      <c r="P1461" s="985">
        <f t="shared" si="453"/>
        <v>0</v>
      </c>
      <c r="Q1461" s="985">
        <f t="shared" si="453"/>
        <v>0</v>
      </c>
      <c r="R1461" s="991" t="s">
        <v>40</v>
      </c>
      <c r="S1461" s="991" t="s">
        <v>40</v>
      </c>
      <c r="T1461" s="991" t="s">
        <v>40</v>
      </c>
    </row>
    <row r="1462" spans="1:20" ht="42.6" customHeight="1">
      <c r="A1462" s="1031">
        <v>384</v>
      </c>
      <c r="B1462" s="1286" t="s">
        <v>413</v>
      </c>
      <c r="C1462" s="1287">
        <v>1967</v>
      </c>
      <c r="D1462" s="1081"/>
      <c r="E1462" s="1271" t="s">
        <v>218</v>
      </c>
      <c r="F1462" s="1047">
        <v>2</v>
      </c>
      <c r="G1462" s="1047">
        <v>3</v>
      </c>
      <c r="H1462" s="1288">
        <v>483.9</v>
      </c>
      <c r="I1462" s="1082">
        <v>483.2</v>
      </c>
      <c r="J1462" s="1289">
        <v>413.9</v>
      </c>
      <c r="K1462" s="1267">
        <v>22</v>
      </c>
      <c r="L1462" s="1084">
        <v>2223596.0299999998</v>
      </c>
      <c r="M1462" s="1084">
        <v>0</v>
      </c>
      <c r="N1462" s="1084">
        <v>0</v>
      </c>
      <c r="O1462" s="1084">
        <v>2223596.0299999998</v>
      </c>
      <c r="P1462" s="1084">
        <v>0</v>
      </c>
      <c r="Q1462" s="1084">
        <v>0</v>
      </c>
      <c r="R1462" s="1079">
        <f>L1462/I1462</f>
        <v>4601.8129759933772</v>
      </c>
      <c r="S1462" s="1031">
        <v>2019</v>
      </c>
      <c r="T1462" s="1031">
        <v>2022</v>
      </c>
    </row>
    <row r="1463" spans="1:20" ht="40.15" customHeight="1">
      <c r="A1463" s="1031">
        <v>385</v>
      </c>
      <c r="B1463" s="1286" t="s">
        <v>1108</v>
      </c>
      <c r="C1463" s="1287">
        <v>1967</v>
      </c>
      <c r="D1463" s="1081"/>
      <c r="E1463" s="1271" t="s">
        <v>218</v>
      </c>
      <c r="F1463" s="1047">
        <v>2</v>
      </c>
      <c r="G1463" s="1047">
        <v>2</v>
      </c>
      <c r="H1463" s="1288">
        <v>579.70000000000005</v>
      </c>
      <c r="I1463" s="1289">
        <v>579.70000000000005</v>
      </c>
      <c r="J1463" s="1289">
        <v>484.5</v>
      </c>
      <c r="K1463" s="1267">
        <v>19</v>
      </c>
      <c r="L1463" s="1084">
        <v>1842411.89</v>
      </c>
      <c r="M1463" s="1084">
        <v>0</v>
      </c>
      <c r="N1463" s="1084">
        <v>0</v>
      </c>
      <c r="O1463" s="1084">
        <v>1842411.89</v>
      </c>
      <c r="P1463" s="1084">
        <v>0</v>
      </c>
      <c r="Q1463" s="1084">
        <v>0</v>
      </c>
      <c r="R1463" s="1079">
        <f>L1463/I1463</f>
        <v>3178.2161290322574</v>
      </c>
      <c r="S1463" s="1031">
        <v>2019</v>
      </c>
      <c r="T1463" s="1031">
        <v>2022</v>
      </c>
    </row>
    <row r="1464" spans="1:20" ht="41.45" customHeight="1">
      <c r="A1464" s="1248">
        <v>386</v>
      </c>
      <c r="B1464" s="1249" t="s">
        <v>2667</v>
      </c>
      <c r="C1464" s="1250">
        <v>1962</v>
      </c>
      <c r="D1464" s="1251"/>
      <c r="E1464" s="1271" t="s">
        <v>218</v>
      </c>
      <c r="F1464" s="1250">
        <v>2</v>
      </c>
      <c r="G1464" s="1250">
        <v>2</v>
      </c>
      <c r="H1464" s="1252">
        <v>296.2</v>
      </c>
      <c r="I1464" s="1252">
        <v>274.8</v>
      </c>
      <c r="J1464" s="1252">
        <v>184.1</v>
      </c>
      <c r="K1464" s="1270">
        <v>22</v>
      </c>
      <c r="L1464" s="1253">
        <v>1292918</v>
      </c>
      <c r="M1464" s="1254">
        <v>0</v>
      </c>
      <c r="N1464" s="1254">
        <v>0</v>
      </c>
      <c r="O1464" s="1253">
        <v>1292918</v>
      </c>
      <c r="P1464" s="1254">
        <v>0</v>
      </c>
      <c r="Q1464" s="1254">
        <v>0</v>
      </c>
      <c r="R1464" s="1255">
        <v>4704.9417758369718</v>
      </c>
      <c r="S1464" s="1248">
        <v>2019</v>
      </c>
      <c r="T1464" s="1248">
        <v>2020</v>
      </c>
    </row>
    <row r="1465" spans="1:20" ht="42" customHeight="1">
      <c r="A1465" s="1271"/>
      <c r="B1465" s="1273" t="s">
        <v>1169</v>
      </c>
      <c r="C1465" s="1279"/>
      <c r="D1465" s="1283"/>
      <c r="E1465" s="1271"/>
      <c r="F1465" s="1279"/>
      <c r="G1465" s="1279"/>
      <c r="H1465" s="985">
        <f t="shared" ref="H1465:Q1465" si="454">H1466+H1467+H1468+H1469+H1470+H1471+H1472+H1473+H1474+H1475+H1476+H1477</f>
        <v>6032</v>
      </c>
      <c r="I1465" s="985">
        <f t="shared" si="454"/>
        <v>6032</v>
      </c>
      <c r="J1465" s="985">
        <f t="shared" si="454"/>
        <v>3947.7</v>
      </c>
      <c r="K1465" s="1064">
        <f t="shared" si="454"/>
        <v>266</v>
      </c>
      <c r="L1465" s="985">
        <f t="shared" si="454"/>
        <v>17539787.02</v>
      </c>
      <c r="M1465" s="985">
        <f t="shared" si="454"/>
        <v>0</v>
      </c>
      <c r="N1465" s="985">
        <f t="shared" si="454"/>
        <v>0</v>
      </c>
      <c r="O1465" s="985">
        <f t="shared" si="454"/>
        <v>17539787.02</v>
      </c>
      <c r="P1465" s="985">
        <f t="shared" si="454"/>
        <v>0</v>
      </c>
      <c r="Q1465" s="985">
        <f t="shared" si="454"/>
        <v>0</v>
      </c>
      <c r="R1465" s="991" t="s">
        <v>40</v>
      </c>
      <c r="S1465" s="991" t="s">
        <v>40</v>
      </c>
      <c r="T1465" s="991" t="s">
        <v>40</v>
      </c>
    </row>
    <row r="1466" spans="1:20" ht="40.15" customHeight="1">
      <c r="A1466" s="1271">
        <v>387</v>
      </c>
      <c r="B1466" s="1099" t="s">
        <v>2165</v>
      </c>
      <c r="C1466" s="1032">
        <v>1917</v>
      </c>
      <c r="D1466" s="1032"/>
      <c r="E1466" s="1271" t="s">
        <v>218</v>
      </c>
      <c r="F1466" s="1032">
        <v>2</v>
      </c>
      <c r="G1466" s="1032">
        <v>1</v>
      </c>
      <c r="H1466" s="1037">
        <v>329</v>
      </c>
      <c r="I1466" s="1037">
        <v>329</v>
      </c>
      <c r="J1466" s="1037">
        <v>172.1</v>
      </c>
      <c r="K1466" s="1068">
        <v>12</v>
      </c>
      <c r="L1466" s="1037">
        <v>298782.77</v>
      </c>
      <c r="M1466" s="1037">
        <v>0</v>
      </c>
      <c r="N1466" s="1037">
        <v>0</v>
      </c>
      <c r="O1466" s="1037">
        <v>298782.77</v>
      </c>
      <c r="P1466" s="1037">
        <v>0</v>
      </c>
      <c r="Q1466" s="1037">
        <v>0</v>
      </c>
      <c r="R1466" s="1088">
        <f t="shared" ref="R1466:R1475" si="455">L1466/I1466</f>
        <v>908.15431610942255</v>
      </c>
      <c r="S1466" s="1032">
        <v>2016</v>
      </c>
      <c r="T1466" s="1032">
        <v>2022</v>
      </c>
    </row>
    <row r="1467" spans="1:20" ht="41.45" customHeight="1">
      <c r="A1467" s="1271">
        <v>388</v>
      </c>
      <c r="B1467" s="1041" t="s">
        <v>2166</v>
      </c>
      <c r="C1467" s="1032">
        <v>1917</v>
      </c>
      <c r="D1467" s="1032"/>
      <c r="E1467" s="1032" t="s">
        <v>221</v>
      </c>
      <c r="F1467" s="1032">
        <v>2</v>
      </c>
      <c r="G1467" s="1032">
        <v>2</v>
      </c>
      <c r="H1467" s="1037">
        <v>213.1</v>
      </c>
      <c r="I1467" s="1037">
        <v>213.1</v>
      </c>
      <c r="J1467" s="1037">
        <v>201.3</v>
      </c>
      <c r="K1467" s="1068">
        <v>10</v>
      </c>
      <c r="L1467" s="1037">
        <v>1128003.98</v>
      </c>
      <c r="M1467" s="1037">
        <v>0</v>
      </c>
      <c r="N1467" s="1037">
        <v>0</v>
      </c>
      <c r="O1467" s="1037">
        <v>1128003.98</v>
      </c>
      <c r="P1467" s="1037">
        <v>0</v>
      </c>
      <c r="Q1467" s="1037">
        <v>0</v>
      </c>
      <c r="R1467" s="1088">
        <f t="shared" si="455"/>
        <v>5293.308212106992</v>
      </c>
      <c r="S1467" s="1032">
        <v>2016</v>
      </c>
      <c r="T1467" s="1032">
        <v>2022</v>
      </c>
    </row>
    <row r="1468" spans="1:20" ht="40.9" customHeight="1">
      <c r="A1468" s="1271">
        <v>389</v>
      </c>
      <c r="B1468" s="1041" t="s">
        <v>2167</v>
      </c>
      <c r="C1468" s="1032">
        <v>1955</v>
      </c>
      <c r="D1468" s="1032"/>
      <c r="E1468" s="1271" t="s">
        <v>218</v>
      </c>
      <c r="F1468" s="1032">
        <v>2</v>
      </c>
      <c r="G1468" s="1032">
        <v>2</v>
      </c>
      <c r="H1468" s="1037">
        <v>431.2</v>
      </c>
      <c r="I1468" s="1037">
        <v>431.2</v>
      </c>
      <c r="J1468" s="1037">
        <v>389.4</v>
      </c>
      <c r="K1468" s="1068">
        <v>20</v>
      </c>
      <c r="L1468" s="985">
        <v>1554682.43</v>
      </c>
      <c r="M1468" s="1037">
        <v>0</v>
      </c>
      <c r="N1468" s="1037">
        <v>0</v>
      </c>
      <c r="O1468" s="985">
        <v>1554682.43</v>
      </c>
      <c r="P1468" s="1037">
        <v>0</v>
      </c>
      <c r="Q1468" s="1037">
        <v>0</v>
      </c>
      <c r="R1468" s="1088">
        <f t="shared" si="455"/>
        <v>3605.4787337662337</v>
      </c>
      <c r="S1468" s="1032">
        <v>2016</v>
      </c>
      <c r="T1468" s="1032">
        <v>2022</v>
      </c>
    </row>
    <row r="1469" spans="1:20" ht="42" customHeight="1">
      <c r="A1469" s="1271">
        <v>390</v>
      </c>
      <c r="B1469" s="1041" t="s">
        <v>2168</v>
      </c>
      <c r="C1469" s="1032">
        <v>1976</v>
      </c>
      <c r="D1469" s="1032"/>
      <c r="E1469" s="1271" t="s">
        <v>218</v>
      </c>
      <c r="F1469" s="1032">
        <v>2</v>
      </c>
      <c r="G1469" s="1032">
        <v>2</v>
      </c>
      <c r="H1469" s="1037">
        <v>560.79999999999995</v>
      </c>
      <c r="I1469" s="1037">
        <v>560.79999999999995</v>
      </c>
      <c r="J1469" s="1037">
        <v>303.2</v>
      </c>
      <c r="K1469" s="1068">
        <v>19</v>
      </c>
      <c r="L1469" s="985">
        <v>2011655.53</v>
      </c>
      <c r="M1469" s="1037">
        <v>0</v>
      </c>
      <c r="N1469" s="1037">
        <v>0</v>
      </c>
      <c r="O1469" s="985">
        <v>2011655.53</v>
      </c>
      <c r="P1469" s="1037">
        <v>0</v>
      </c>
      <c r="Q1469" s="1037">
        <v>0</v>
      </c>
      <c r="R1469" s="1088">
        <f t="shared" ref="R1469:R1470" si="456">L1469/I1469</f>
        <v>3587.117564194009</v>
      </c>
      <c r="S1469" s="1032">
        <v>2016</v>
      </c>
      <c r="T1469" s="1032">
        <v>2022</v>
      </c>
    </row>
    <row r="1470" spans="1:20" ht="36.6" customHeight="1">
      <c r="A1470" s="1271">
        <v>391</v>
      </c>
      <c r="B1470" s="1041" t="s">
        <v>2169</v>
      </c>
      <c r="C1470" s="1032">
        <v>1975</v>
      </c>
      <c r="D1470" s="1032"/>
      <c r="E1470" s="1271" t="s">
        <v>218</v>
      </c>
      <c r="F1470" s="1032">
        <v>2</v>
      </c>
      <c r="G1470" s="1032">
        <v>2</v>
      </c>
      <c r="H1470" s="1037">
        <v>333.5</v>
      </c>
      <c r="I1470" s="1037">
        <v>333.5</v>
      </c>
      <c r="J1470" s="1037">
        <v>302.5</v>
      </c>
      <c r="K1470" s="1068">
        <v>19</v>
      </c>
      <c r="L1470" s="985">
        <v>1221986.53</v>
      </c>
      <c r="M1470" s="1037">
        <v>0</v>
      </c>
      <c r="N1470" s="1037">
        <v>0</v>
      </c>
      <c r="O1470" s="985">
        <v>1221986.53</v>
      </c>
      <c r="P1470" s="1037">
        <v>0</v>
      </c>
      <c r="Q1470" s="1037">
        <v>0</v>
      </c>
      <c r="R1470" s="1088">
        <f t="shared" si="456"/>
        <v>3664.1275262368817</v>
      </c>
      <c r="S1470" s="1032">
        <v>2016</v>
      </c>
      <c r="T1470" s="1032">
        <v>2022</v>
      </c>
    </row>
    <row r="1471" spans="1:20" ht="42.6" customHeight="1">
      <c r="A1471" s="1271">
        <v>392</v>
      </c>
      <c r="B1471" s="1040" t="s">
        <v>2170</v>
      </c>
      <c r="C1471" s="1031" t="s">
        <v>190</v>
      </c>
      <c r="D1471" s="1032"/>
      <c r="E1471" s="1271" t="s">
        <v>218</v>
      </c>
      <c r="F1471" s="1032">
        <v>1</v>
      </c>
      <c r="G1471" s="1032">
        <v>2</v>
      </c>
      <c r="H1471" s="1037">
        <v>333.1</v>
      </c>
      <c r="I1471" s="1037">
        <v>333.1</v>
      </c>
      <c r="J1471" s="1037">
        <v>231.8</v>
      </c>
      <c r="K1471" s="1068">
        <v>11</v>
      </c>
      <c r="L1471" s="1037">
        <v>1291846.3799999999</v>
      </c>
      <c r="M1471" s="1037">
        <v>0</v>
      </c>
      <c r="N1471" s="1037">
        <v>0</v>
      </c>
      <c r="O1471" s="1037">
        <v>1291846.3799999999</v>
      </c>
      <c r="P1471" s="1037">
        <v>0</v>
      </c>
      <c r="Q1471" s="1037">
        <v>0</v>
      </c>
      <c r="R1471" s="1088">
        <f t="shared" si="455"/>
        <v>3878.2539177424192</v>
      </c>
      <c r="S1471" s="1032">
        <v>2017</v>
      </c>
      <c r="T1471" s="1032">
        <v>2022</v>
      </c>
    </row>
    <row r="1472" spans="1:20" ht="39" customHeight="1">
      <c r="A1472" s="1271">
        <v>393</v>
      </c>
      <c r="B1472" s="1040" t="s">
        <v>2171</v>
      </c>
      <c r="C1472" s="1032">
        <v>1988</v>
      </c>
      <c r="D1472" s="1032"/>
      <c r="E1472" s="1271" t="s">
        <v>218</v>
      </c>
      <c r="F1472" s="1032">
        <v>4</v>
      </c>
      <c r="G1472" s="1032">
        <v>1</v>
      </c>
      <c r="H1472" s="1037">
        <v>1590</v>
      </c>
      <c r="I1472" s="1037">
        <v>1590</v>
      </c>
      <c r="J1472" s="1037">
        <v>988.8</v>
      </c>
      <c r="K1472" s="1068">
        <v>99</v>
      </c>
      <c r="L1472" s="1037">
        <v>4091527.11</v>
      </c>
      <c r="M1472" s="1037">
        <v>0</v>
      </c>
      <c r="N1472" s="1037">
        <v>0</v>
      </c>
      <c r="O1472" s="1037">
        <v>4091527.11</v>
      </c>
      <c r="P1472" s="1037">
        <v>0</v>
      </c>
      <c r="Q1472" s="1037">
        <v>0</v>
      </c>
      <c r="R1472" s="1088">
        <f t="shared" si="455"/>
        <v>2573.2874905660378</v>
      </c>
      <c r="S1472" s="1032">
        <v>2017</v>
      </c>
      <c r="T1472" s="1032">
        <v>2022</v>
      </c>
    </row>
    <row r="1473" spans="1:20" ht="37.15" customHeight="1">
      <c r="A1473" s="1271">
        <v>394</v>
      </c>
      <c r="B1473" s="1014" t="s">
        <v>2172</v>
      </c>
      <c r="C1473" s="1015" t="s">
        <v>190</v>
      </c>
      <c r="D1473" s="1015"/>
      <c r="E1473" s="1271" t="s">
        <v>218</v>
      </c>
      <c r="F1473" s="1015">
        <v>2</v>
      </c>
      <c r="G1473" s="1015">
        <v>2</v>
      </c>
      <c r="H1473" s="1033">
        <v>245</v>
      </c>
      <c r="I1473" s="1033">
        <v>245</v>
      </c>
      <c r="J1473" s="1033">
        <v>126</v>
      </c>
      <c r="K1473" s="1110">
        <v>7</v>
      </c>
      <c r="L1473" s="1033">
        <v>1050104.82</v>
      </c>
      <c r="M1473" s="1033">
        <v>0</v>
      </c>
      <c r="N1473" s="1033">
        <v>0</v>
      </c>
      <c r="O1473" s="1033">
        <v>1050104.82</v>
      </c>
      <c r="P1473" s="1033">
        <v>0</v>
      </c>
      <c r="Q1473" s="1033">
        <v>0</v>
      </c>
      <c r="R1473" s="1088">
        <f t="shared" si="455"/>
        <v>4286.1421224489795</v>
      </c>
      <c r="S1473" s="1032">
        <v>2018</v>
      </c>
      <c r="T1473" s="1032">
        <v>2022</v>
      </c>
    </row>
    <row r="1474" spans="1:20" ht="43.9" customHeight="1">
      <c r="A1474" s="1271">
        <v>395</v>
      </c>
      <c r="B1474" s="1100" t="s">
        <v>2173</v>
      </c>
      <c r="C1474" s="1279">
        <v>1917</v>
      </c>
      <c r="D1474" s="1279"/>
      <c r="E1474" s="1271" t="s">
        <v>218</v>
      </c>
      <c r="F1474" s="1279">
        <v>3</v>
      </c>
      <c r="G1474" s="1279">
        <v>1</v>
      </c>
      <c r="H1474" s="985">
        <v>534.29999999999995</v>
      </c>
      <c r="I1474" s="985">
        <v>534.29999999999995</v>
      </c>
      <c r="J1474" s="985">
        <v>266.3</v>
      </c>
      <c r="K1474" s="1064">
        <v>14</v>
      </c>
      <c r="L1474" s="985">
        <v>1646831.78</v>
      </c>
      <c r="M1474" s="985">
        <v>0</v>
      </c>
      <c r="N1474" s="985">
        <v>0</v>
      </c>
      <c r="O1474" s="985">
        <v>1646831.78</v>
      </c>
      <c r="P1474" s="985">
        <v>0</v>
      </c>
      <c r="Q1474" s="985">
        <v>0</v>
      </c>
      <c r="R1474" s="1088">
        <f t="shared" si="455"/>
        <v>3082.2230582070001</v>
      </c>
      <c r="S1474" s="1032">
        <v>2019</v>
      </c>
      <c r="T1474" s="1032">
        <v>2022</v>
      </c>
    </row>
    <row r="1475" spans="1:20" ht="39.6" customHeight="1">
      <c r="A1475" s="1271">
        <v>396</v>
      </c>
      <c r="B1475" s="1100" t="s">
        <v>2997</v>
      </c>
      <c r="C1475" s="1279">
        <v>1917</v>
      </c>
      <c r="D1475" s="1279"/>
      <c r="E1475" s="1271" t="s">
        <v>218</v>
      </c>
      <c r="F1475" s="1279">
        <v>3</v>
      </c>
      <c r="G1475" s="1279">
        <v>1</v>
      </c>
      <c r="H1475" s="985">
        <v>456.8</v>
      </c>
      <c r="I1475" s="985">
        <v>456.8</v>
      </c>
      <c r="J1475" s="985">
        <v>296.7</v>
      </c>
      <c r="K1475" s="1064">
        <v>18</v>
      </c>
      <c r="L1475" s="985">
        <v>1639242.69</v>
      </c>
      <c r="M1475" s="985">
        <v>0</v>
      </c>
      <c r="N1475" s="985">
        <v>0</v>
      </c>
      <c r="O1475" s="985">
        <v>1639242.69</v>
      </c>
      <c r="P1475" s="985">
        <v>0</v>
      </c>
      <c r="Q1475" s="985">
        <v>0</v>
      </c>
      <c r="R1475" s="1088">
        <f t="shared" si="455"/>
        <v>3588.5347854640977</v>
      </c>
      <c r="S1475" s="1032">
        <v>2019</v>
      </c>
      <c r="T1475" s="1032">
        <v>2022</v>
      </c>
    </row>
    <row r="1476" spans="1:20" ht="38.450000000000003" customHeight="1">
      <c r="A1476" s="1271">
        <v>397</v>
      </c>
      <c r="B1476" s="1101" t="s">
        <v>885</v>
      </c>
      <c r="C1476" s="1102">
        <v>1938</v>
      </c>
      <c r="D1476" s="1103"/>
      <c r="E1476" s="1271" t="s">
        <v>221</v>
      </c>
      <c r="F1476" s="1102">
        <v>2</v>
      </c>
      <c r="G1476" s="1102">
        <v>1</v>
      </c>
      <c r="H1476" s="1053">
        <v>488.7</v>
      </c>
      <c r="I1476" s="1053">
        <v>488.7</v>
      </c>
      <c r="J1476" s="1053">
        <v>353.6</v>
      </c>
      <c r="K1476" s="1265">
        <v>15</v>
      </c>
      <c r="L1476" s="986">
        <v>247569</v>
      </c>
      <c r="M1476" s="986">
        <v>0</v>
      </c>
      <c r="N1476" s="986">
        <v>0</v>
      </c>
      <c r="O1476" s="986">
        <v>247569</v>
      </c>
      <c r="P1476" s="993">
        <v>0</v>
      </c>
      <c r="Q1476" s="986">
        <v>0</v>
      </c>
      <c r="R1476" s="1053">
        <v>2018</v>
      </c>
      <c r="S1476" s="987">
        <v>2018</v>
      </c>
      <c r="T1476" s="1032">
        <v>2022</v>
      </c>
    </row>
    <row r="1477" spans="1:20" ht="38.450000000000003" customHeight="1">
      <c r="A1477" s="1271">
        <v>398</v>
      </c>
      <c r="B1477" s="1101" t="s">
        <v>884</v>
      </c>
      <c r="C1477" s="1102">
        <v>1948</v>
      </c>
      <c r="D1477" s="1103"/>
      <c r="E1477" s="1271" t="s">
        <v>221</v>
      </c>
      <c r="F1477" s="1102">
        <v>2</v>
      </c>
      <c r="G1477" s="1102">
        <v>2</v>
      </c>
      <c r="H1477" s="1053">
        <v>516.5</v>
      </c>
      <c r="I1477" s="1053">
        <v>516.5</v>
      </c>
      <c r="J1477" s="1053">
        <v>316</v>
      </c>
      <c r="K1477" s="1265">
        <v>22</v>
      </c>
      <c r="L1477" s="986">
        <v>1357554</v>
      </c>
      <c r="M1477" s="986">
        <v>0</v>
      </c>
      <c r="N1477" s="986">
        <v>0</v>
      </c>
      <c r="O1477" s="986">
        <v>1357554</v>
      </c>
      <c r="P1477" s="993">
        <v>0</v>
      </c>
      <c r="Q1477" s="986">
        <v>0</v>
      </c>
      <c r="R1477" s="1053">
        <v>579.24491771539203</v>
      </c>
      <c r="S1477" s="987">
        <v>2018</v>
      </c>
      <c r="T1477" s="1032">
        <v>2022</v>
      </c>
    </row>
    <row r="1478" spans="1:20" ht="36.6" customHeight="1">
      <c r="A1478" s="1271"/>
      <c r="B1478" s="1391" t="s">
        <v>2702</v>
      </c>
      <c r="C1478" s="1391"/>
      <c r="D1478" s="1391"/>
      <c r="E1478" s="1391"/>
      <c r="F1478" s="1391"/>
      <c r="G1478" s="1391"/>
      <c r="H1478" s="985">
        <f>H1479+H1483+H1487+H1489+H1491</f>
        <v>6076.7000000000007</v>
      </c>
      <c r="I1478" s="985">
        <f t="shared" ref="I1478:Q1478" si="457">I1479+I1483+I1487+I1489+I1491</f>
        <v>5808.3000000000011</v>
      </c>
      <c r="J1478" s="985">
        <f t="shared" si="457"/>
        <v>3971.3</v>
      </c>
      <c r="K1478" s="1064">
        <f t="shared" si="457"/>
        <v>243</v>
      </c>
      <c r="L1478" s="985">
        <f t="shared" si="457"/>
        <v>9596345.7100000009</v>
      </c>
      <c r="M1478" s="985">
        <f t="shared" si="457"/>
        <v>0</v>
      </c>
      <c r="N1478" s="985">
        <f t="shared" si="457"/>
        <v>0</v>
      </c>
      <c r="O1478" s="985">
        <f t="shared" si="457"/>
        <v>9596345.7100000009</v>
      </c>
      <c r="P1478" s="985">
        <f t="shared" si="457"/>
        <v>0</v>
      </c>
      <c r="Q1478" s="985">
        <f t="shared" si="457"/>
        <v>0</v>
      </c>
      <c r="R1478" s="991" t="s">
        <v>40</v>
      </c>
      <c r="S1478" s="991" t="s">
        <v>40</v>
      </c>
      <c r="T1478" s="991" t="s">
        <v>40</v>
      </c>
    </row>
    <row r="1479" spans="1:20" ht="42.6" customHeight="1">
      <c r="A1479" s="1271"/>
      <c r="B1479" s="1272" t="s">
        <v>1060</v>
      </c>
      <c r="C1479" s="987"/>
      <c r="D1479" s="1277"/>
      <c r="E1479" s="1277"/>
      <c r="F1479" s="987"/>
      <c r="G1479" s="987"/>
      <c r="H1479" s="993">
        <f>H1480+H1481+H1482</f>
        <v>1838.4</v>
      </c>
      <c r="I1479" s="993">
        <f t="shared" ref="I1479:Q1479" si="458">I1480+I1481+I1482</f>
        <v>1672.5</v>
      </c>
      <c r="J1479" s="993">
        <f t="shared" si="458"/>
        <v>1276</v>
      </c>
      <c r="K1479" s="987">
        <f t="shared" si="458"/>
        <v>95</v>
      </c>
      <c r="L1479" s="993">
        <f t="shared" si="458"/>
        <v>1785657</v>
      </c>
      <c r="M1479" s="993">
        <f t="shared" si="458"/>
        <v>0</v>
      </c>
      <c r="N1479" s="993">
        <f t="shared" si="458"/>
        <v>0</v>
      </c>
      <c r="O1479" s="993">
        <f t="shared" si="458"/>
        <v>1785657</v>
      </c>
      <c r="P1479" s="993">
        <f t="shared" si="458"/>
        <v>0</v>
      </c>
      <c r="Q1479" s="993">
        <f t="shared" si="458"/>
        <v>0</v>
      </c>
      <c r="R1479" s="991" t="s">
        <v>40</v>
      </c>
      <c r="S1479" s="991" t="s">
        <v>40</v>
      </c>
      <c r="T1479" s="991" t="s">
        <v>40</v>
      </c>
    </row>
    <row r="1480" spans="1:20" ht="40.15" customHeight="1">
      <c r="A1480" s="1271">
        <v>399</v>
      </c>
      <c r="B1480" s="1276" t="s">
        <v>645</v>
      </c>
      <c r="C1480" s="987">
        <v>1953</v>
      </c>
      <c r="D1480" s="1277"/>
      <c r="E1480" s="1277" t="s">
        <v>1380</v>
      </c>
      <c r="F1480" s="987">
        <v>2</v>
      </c>
      <c r="G1480" s="987">
        <v>1</v>
      </c>
      <c r="H1480" s="993">
        <v>432.8</v>
      </c>
      <c r="I1480" s="993">
        <v>396.8</v>
      </c>
      <c r="J1480" s="993">
        <v>245.1</v>
      </c>
      <c r="K1480" s="987">
        <v>27</v>
      </c>
      <c r="L1480" s="993">
        <v>494147</v>
      </c>
      <c r="M1480" s="986">
        <v>0</v>
      </c>
      <c r="N1480" s="986">
        <v>0</v>
      </c>
      <c r="O1480" s="985">
        <v>494147</v>
      </c>
      <c r="P1480" s="986">
        <v>0</v>
      </c>
      <c r="Q1480" s="986">
        <v>0</v>
      </c>
      <c r="R1480" s="1037">
        <f t="shared" ref="R1480:R1482" si="459">L1480/I1480</f>
        <v>1245.3301411290322</v>
      </c>
      <c r="S1480" s="1011">
        <v>2017</v>
      </c>
      <c r="T1480" s="1011">
        <v>2020</v>
      </c>
    </row>
    <row r="1481" spans="1:20" ht="40.15" customHeight="1">
      <c r="A1481" s="1271">
        <v>400</v>
      </c>
      <c r="B1481" s="1276" t="s">
        <v>647</v>
      </c>
      <c r="C1481" s="987">
        <v>1953</v>
      </c>
      <c r="D1481" s="1277"/>
      <c r="E1481" s="1277" t="s">
        <v>1380</v>
      </c>
      <c r="F1481" s="987">
        <v>2</v>
      </c>
      <c r="G1481" s="987">
        <v>1</v>
      </c>
      <c r="H1481" s="993">
        <v>431.8</v>
      </c>
      <c r="I1481" s="993">
        <v>395.2</v>
      </c>
      <c r="J1481" s="993">
        <v>288.8</v>
      </c>
      <c r="K1481" s="987">
        <v>22</v>
      </c>
      <c r="L1481" s="993">
        <v>591972</v>
      </c>
      <c r="M1481" s="986">
        <v>0</v>
      </c>
      <c r="N1481" s="986">
        <v>0</v>
      </c>
      <c r="O1481" s="985">
        <v>591972</v>
      </c>
      <c r="P1481" s="986">
        <v>0</v>
      </c>
      <c r="Q1481" s="986">
        <v>0</v>
      </c>
      <c r="R1481" s="1037">
        <f t="shared" si="459"/>
        <v>1497.9048582995952</v>
      </c>
      <c r="S1481" s="1011">
        <v>2018</v>
      </c>
      <c r="T1481" s="1011">
        <v>2020</v>
      </c>
    </row>
    <row r="1482" spans="1:20" ht="40.15" customHeight="1">
      <c r="A1482" s="1271">
        <v>401</v>
      </c>
      <c r="B1482" s="1276" t="s">
        <v>1130</v>
      </c>
      <c r="C1482" s="987">
        <v>1959</v>
      </c>
      <c r="D1482" s="1277"/>
      <c r="E1482" s="1277" t="s">
        <v>218</v>
      </c>
      <c r="F1482" s="987">
        <v>3</v>
      </c>
      <c r="G1482" s="987">
        <v>3</v>
      </c>
      <c r="H1482" s="993">
        <v>973.8</v>
      </c>
      <c r="I1482" s="993">
        <v>880.5</v>
      </c>
      <c r="J1482" s="993">
        <v>742.1</v>
      </c>
      <c r="K1482" s="987">
        <v>46</v>
      </c>
      <c r="L1482" s="993">
        <v>699538</v>
      </c>
      <c r="M1482" s="986">
        <v>0</v>
      </c>
      <c r="N1482" s="986">
        <v>0</v>
      </c>
      <c r="O1482" s="985">
        <v>699538</v>
      </c>
      <c r="P1482" s="986">
        <v>0</v>
      </c>
      <c r="Q1482" s="986">
        <v>0</v>
      </c>
      <c r="R1482" s="1037">
        <f t="shared" si="459"/>
        <v>794.47813742191931</v>
      </c>
      <c r="S1482" s="1011">
        <v>2018</v>
      </c>
      <c r="T1482" s="1011">
        <v>2020</v>
      </c>
    </row>
    <row r="1483" spans="1:20" ht="34.9" customHeight="1">
      <c r="A1483" s="1271"/>
      <c r="B1483" s="1391" t="s">
        <v>1068</v>
      </c>
      <c r="C1483" s="1391"/>
      <c r="D1483" s="1391"/>
      <c r="E1483" s="1391"/>
      <c r="F1483" s="1391"/>
      <c r="G1483" s="1391"/>
      <c r="H1483" s="985">
        <f>H1484+H1485+H1486</f>
        <v>2110</v>
      </c>
      <c r="I1483" s="985">
        <f t="shared" ref="I1483:Q1483" si="460">I1484+I1485+I1486</f>
        <v>2110</v>
      </c>
      <c r="J1483" s="985">
        <f t="shared" si="460"/>
        <v>1569.5</v>
      </c>
      <c r="K1483" s="1064">
        <f t="shared" si="460"/>
        <v>80</v>
      </c>
      <c r="L1483" s="985">
        <f t="shared" si="460"/>
        <v>5266882.1500000004</v>
      </c>
      <c r="M1483" s="985">
        <f t="shared" si="460"/>
        <v>0</v>
      </c>
      <c r="N1483" s="985">
        <f t="shared" si="460"/>
        <v>0</v>
      </c>
      <c r="O1483" s="985">
        <f t="shared" si="460"/>
        <v>5266882.1500000004</v>
      </c>
      <c r="P1483" s="985">
        <f t="shared" si="460"/>
        <v>0</v>
      </c>
      <c r="Q1483" s="985">
        <f t="shared" si="460"/>
        <v>0</v>
      </c>
      <c r="R1483" s="991" t="s">
        <v>40</v>
      </c>
      <c r="S1483" s="991" t="s">
        <v>40</v>
      </c>
      <c r="T1483" s="991" t="s">
        <v>40</v>
      </c>
    </row>
    <row r="1484" spans="1:20" ht="36.6" customHeight="1">
      <c r="A1484" s="1271">
        <v>402</v>
      </c>
      <c r="B1484" s="1274" t="s">
        <v>2668</v>
      </c>
      <c r="C1484" s="1271">
        <v>1955</v>
      </c>
      <c r="D1484" s="1271"/>
      <c r="E1484" s="1271" t="s">
        <v>218</v>
      </c>
      <c r="F1484" s="1271">
        <v>2</v>
      </c>
      <c r="G1484" s="1271">
        <v>2</v>
      </c>
      <c r="H1484" s="993">
        <v>545.4</v>
      </c>
      <c r="I1484" s="993">
        <v>545.4</v>
      </c>
      <c r="J1484" s="993">
        <v>460</v>
      </c>
      <c r="K1484" s="987">
        <v>35</v>
      </c>
      <c r="L1484" s="986">
        <v>1652470</v>
      </c>
      <c r="M1484" s="986">
        <v>0</v>
      </c>
      <c r="N1484" s="986">
        <v>0</v>
      </c>
      <c r="O1484" s="986">
        <v>1652470</v>
      </c>
      <c r="P1484" s="993">
        <v>0</v>
      </c>
      <c r="Q1484" s="986">
        <v>0</v>
      </c>
      <c r="R1484" s="985">
        <v>3029.8313164649799</v>
      </c>
      <c r="S1484" s="987">
        <v>2019</v>
      </c>
      <c r="T1484" s="987">
        <v>2020</v>
      </c>
    </row>
    <row r="1485" spans="1:20" ht="37.15" customHeight="1">
      <c r="A1485" s="1271">
        <v>403</v>
      </c>
      <c r="B1485" s="1274" t="s">
        <v>2669</v>
      </c>
      <c r="C1485" s="1271">
        <v>1958</v>
      </c>
      <c r="D1485" s="1271"/>
      <c r="E1485" s="1271" t="s">
        <v>218</v>
      </c>
      <c r="F1485" s="1271">
        <v>2</v>
      </c>
      <c r="G1485" s="1271">
        <v>2</v>
      </c>
      <c r="H1485" s="993">
        <v>819.5</v>
      </c>
      <c r="I1485" s="993">
        <v>819.5</v>
      </c>
      <c r="J1485" s="993">
        <v>604.5</v>
      </c>
      <c r="K1485" s="987">
        <v>28</v>
      </c>
      <c r="L1485" s="986">
        <v>1807605</v>
      </c>
      <c r="M1485" s="986">
        <v>0</v>
      </c>
      <c r="N1485" s="986">
        <v>0</v>
      </c>
      <c r="O1485" s="986">
        <v>1807605</v>
      </c>
      <c r="P1485" s="993">
        <v>0</v>
      </c>
      <c r="Q1485" s="986">
        <v>0</v>
      </c>
      <c r="R1485" s="985">
        <v>2205.7413056741916</v>
      </c>
      <c r="S1485" s="987">
        <v>2019</v>
      </c>
      <c r="T1485" s="987">
        <v>2020</v>
      </c>
    </row>
    <row r="1486" spans="1:20" ht="40.9" customHeight="1">
      <c r="A1486" s="1271">
        <v>404</v>
      </c>
      <c r="B1486" s="1274" t="s">
        <v>674</v>
      </c>
      <c r="C1486" s="1271">
        <v>1957</v>
      </c>
      <c r="D1486" s="1271"/>
      <c r="E1486" s="1271" t="s">
        <v>218</v>
      </c>
      <c r="F1486" s="1271">
        <v>2</v>
      </c>
      <c r="G1486" s="1271">
        <v>2</v>
      </c>
      <c r="H1486" s="993">
        <v>745.1</v>
      </c>
      <c r="I1486" s="993">
        <v>745.1</v>
      </c>
      <c r="J1486" s="993">
        <v>505</v>
      </c>
      <c r="K1486" s="987">
        <v>17</v>
      </c>
      <c r="L1486" s="986">
        <v>1806807.15</v>
      </c>
      <c r="M1486" s="986">
        <v>0</v>
      </c>
      <c r="N1486" s="986">
        <v>0</v>
      </c>
      <c r="O1486" s="986">
        <v>1806807.15</v>
      </c>
      <c r="P1486" s="993">
        <v>0</v>
      </c>
      <c r="Q1486" s="986">
        <v>0</v>
      </c>
      <c r="R1486" s="985">
        <v>1381.6512948833999</v>
      </c>
      <c r="S1486" s="987">
        <v>2019</v>
      </c>
      <c r="T1486" s="987">
        <v>2020</v>
      </c>
    </row>
    <row r="1487" spans="1:20" ht="42.6" customHeight="1">
      <c r="A1487" s="1271"/>
      <c r="B1487" s="1391" t="s">
        <v>1387</v>
      </c>
      <c r="C1487" s="1391"/>
      <c r="D1487" s="1391"/>
      <c r="E1487" s="1391"/>
      <c r="F1487" s="1391"/>
      <c r="G1487" s="1391"/>
      <c r="H1487" s="993">
        <v>845.9</v>
      </c>
      <c r="I1487" s="993">
        <v>797.1</v>
      </c>
      <c r="J1487" s="993">
        <v>429.1</v>
      </c>
      <c r="K1487" s="987">
        <v>29</v>
      </c>
      <c r="L1487" s="993">
        <v>275823</v>
      </c>
      <c r="M1487" s="993">
        <v>0</v>
      </c>
      <c r="N1487" s="993">
        <v>0</v>
      </c>
      <c r="O1487" s="993">
        <v>275823</v>
      </c>
      <c r="P1487" s="993">
        <v>0</v>
      </c>
      <c r="Q1487" s="993">
        <v>0</v>
      </c>
      <c r="R1487" s="991" t="s">
        <v>40</v>
      </c>
      <c r="S1487" s="991" t="s">
        <v>40</v>
      </c>
      <c r="T1487" s="991" t="s">
        <v>40</v>
      </c>
    </row>
    <row r="1488" spans="1:20" ht="36.6" customHeight="1">
      <c r="A1488" s="1271">
        <v>405</v>
      </c>
      <c r="B1488" s="1274" t="s">
        <v>1388</v>
      </c>
      <c r="C1488" s="1271">
        <v>1986</v>
      </c>
      <c r="D1488" s="1271"/>
      <c r="E1488" s="1271" t="s">
        <v>220</v>
      </c>
      <c r="F1488" s="1271">
        <v>3</v>
      </c>
      <c r="G1488" s="1271">
        <v>2</v>
      </c>
      <c r="H1488" s="993">
        <v>845.9</v>
      </c>
      <c r="I1488" s="993">
        <v>797.1</v>
      </c>
      <c r="J1488" s="993">
        <v>429.1</v>
      </c>
      <c r="K1488" s="987">
        <v>29</v>
      </c>
      <c r="L1488" s="986">
        <v>275823</v>
      </c>
      <c r="M1488" s="986">
        <v>0</v>
      </c>
      <c r="N1488" s="986">
        <v>0</v>
      </c>
      <c r="O1488" s="986">
        <v>275823</v>
      </c>
      <c r="P1488" s="993">
        <v>0</v>
      </c>
      <c r="Q1488" s="986">
        <v>0</v>
      </c>
      <c r="R1488" s="985">
        <v>346.03312006021827</v>
      </c>
      <c r="S1488" s="987">
        <v>2019</v>
      </c>
      <c r="T1488" s="987">
        <v>2020</v>
      </c>
    </row>
    <row r="1489" spans="1:20" ht="36.6" customHeight="1">
      <c r="A1489" s="1271"/>
      <c r="B1489" s="1391" t="s">
        <v>1387</v>
      </c>
      <c r="C1489" s="1391"/>
      <c r="D1489" s="1391"/>
      <c r="E1489" s="1391"/>
      <c r="F1489" s="1391"/>
      <c r="G1489" s="1391"/>
      <c r="H1489" s="993">
        <v>532.29999999999995</v>
      </c>
      <c r="I1489" s="993">
        <v>478.6</v>
      </c>
      <c r="J1489" s="993">
        <v>47.3</v>
      </c>
      <c r="K1489" s="987">
        <v>16</v>
      </c>
      <c r="L1489" s="993">
        <v>20216</v>
      </c>
      <c r="M1489" s="993">
        <v>0</v>
      </c>
      <c r="N1489" s="993">
        <v>0</v>
      </c>
      <c r="O1489" s="993">
        <v>20216</v>
      </c>
      <c r="P1489" s="993">
        <v>0</v>
      </c>
      <c r="Q1489" s="993">
        <v>0</v>
      </c>
      <c r="R1489" s="991" t="s">
        <v>40</v>
      </c>
      <c r="S1489" s="991" t="s">
        <v>40</v>
      </c>
      <c r="T1489" s="991" t="s">
        <v>40</v>
      </c>
    </row>
    <row r="1490" spans="1:20" ht="43.9" customHeight="1">
      <c r="A1490" s="1271">
        <v>406</v>
      </c>
      <c r="B1490" s="1274" t="s">
        <v>1389</v>
      </c>
      <c r="C1490" s="1271">
        <v>1971</v>
      </c>
      <c r="D1490" s="1271"/>
      <c r="E1490" s="1271" t="s">
        <v>220</v>
      </c>
      <c r="F1490" s="1271">
        <v>2</v>
      </c>
      <c r="G1490" s="1271">
        <v>2</v>
      </c>
      <c r="H1490" s="993">
        <v>532.29999999999995</v>
      </c>
      <c r="I1490" s="993">
        <v>478.6</v>
      </c>
      <c r="J1490" s="993">
        <v>47.3</v>
      </c>
      <c r="K1490" s="987">
        <v>16</v>
      </c>
      <c r="L1490" s="986">
        <v>20216</v>
      </c>
      <c r="M1490" s="986">
        <v>0</v>
      </c>
      <c r="N1490" s="986">
        <v>0</v>
      </c>
      <c r="O1490" s="986">
        <v>20216</v>
      </c>
      <c r="P1490" s="993">
        <v>0</v>
      </c>
      <c r="Q1490" s="986">
        <v>0</v>
      </c>
      <c r="R1490" s="985">
        <v>42.2398662766402</v>
      </c>
      <c r="S1490" s="987">
        <v>2019</v>
      </c>
      <c r="T1490" s="987">
        <v>2020</v>
      </c>
    </row>
    <row r="1491" spans="1:20" ht="39.6" customHeight="1">
      <c r="A1491" s="1271"/>
      <c r="B1491" s="1391" t="s">
        <v>1084</v>
      </c>
      <c r="C1491" s="1391"/>
      <c r="D1491" s="1391"/>
      <c r="E1491" s="1391"/>
      <c r="F1491" s="1391"/>
      <c r="G1491" s="1391"/>
      <c r="H1491" s="993">
        <f>H1492</f>
        <v>750.1</v>
      </c>
      <c r="I1491" s="993">
        <f t="shared" ref="I1491:Q1491" si="461">I1492</f>
        <v>750.1</v>
      </c>
      <c r="J1491" s="993">
        <f t="shared" si="461"/>
        <v>649.4</v>
      </c>
      <c r="K1491" s="987">
        <f t="shared" si="461"/>
        <v>23</v>
      </c>
      <c r="L1491" s="993">
        <f t="shared" si="461"/>
        <v>2247767.56</v>
      </c>
      <c r="M1491" s="993">
        <f t="shared" si="461"/>
        <v>0</v>
      </c>
      <c r="N1491" s="993">
        <f t="shared" si="461"/>
        <v>0</v>
      </c>
      <c r="O1491" s="993">
        <f t="shared" si="461"/>
        <v>2247767.56</v>
      </c>
      <c r="P1491" s="993">
        <f t="shared" si="461"/>
        <v>0</v>
      </c>
      <c r="Q1491" s="993">
        <f t="shared" si="461"/>
        <v>0</v>
      </c>
      <c r="R1491" s="991" t="s">
        <v>40</v>
      </c>
      <c r="S1491" s="991" t="s">
        <v>40</v>
      </c>
      <c r="T1491" s="991" t="s">
        <v>40</v>
      </c>
    </row>
    <row r="1492" spans="1:20" ht="42.6" customHeight="1">
      <c r="A1492" s="1271">
        <v>407</v>
      </c>
      <c r="B1492" s="1274" t="s">
        <v>2943</v>
      </c>
      <c r="C1492" s="1271">
        <v>1983</v>
      </c>
      <c r="D1492" s="1271"/>
      <c r="E1492" s="1271" t="s">
        <v>218</v>
      </c>
      <c r="F1492" s="1271">
        <v>2</v>
      </c>
      <c r="G1492" s="1271">
        <v>2</v>
      </c>
      <c r="H1492" s="993">
        <v>750.1</v>
      </c>
      <c r="I1492" s="993">
        <v>750.1</v>
      </c>
      <c r="J1492" s="993">
        <v>649.4</v>
      </c>
      <c r="K1492" s="987">
        <v>23</v>
      </c>
      <c r="L1492" s="986">
        <v>2247767.56</v>
      </c>
      <c r="M1492" s="986">
        <v>0</v>
      </c>
      <c r="N1492" s="986">
        <v>0</v>
      </c>
      <c r="O1492" s="986">
        <v>2247767.56</v>
      </c>
      <c r="P1492" s="993">
        <v>0</v>
      </c>
      <c r="Q1492" s="986">
        <v>0</v>
      </c>
      <c r="R1492" s="985">
        <f t="shared" ref="R1492" si="462">L1492/I1492</f>
        <v>2996.6238634848687</v>
      </c>
      <c r="S1492" s="987">
        <v>2018</v>
      </c>
      <c r="T1492" s="987">
        <v>2020</v>
      </c>
    </row>
    <row r="1493" spans="1:20" ht="40.9" customHeight="1">
      <c r="A1493" s="1271"/>
      <c r="B1493" s="1273" t="s">
        <v>53</v>
      </c>
      <c r="C1493" s="1279"/>
      <c r="D1493" s="1283"/>
      <c r="E1493" s="1271"/>
      <c r="F1493" s="1279"/>
      <c r="G1493" s="1279"/>
      <c r="H1493" s="985">
        <f>H1494+H1511+H1519+H1515+H1533+H1507+H1528</f>
        <v>87655.7</v>
      </c>
      <c r="I1493" s="985">
        <f t="shared" ref="I1493:Q1493" si="463">I1494+I1511+I1519+I1515+I1533+I1507+I1528</f>
        <v>70034.100000000006</v>
      </c>
      <c r="J1493" s="985">
        <f t="shared" si="463"/>
        <v>64199.210000000006</v>
      </c>
      <c r="K1493" s="1064">
        <f t="shared" si="463"/>
        <v>3256</v>
      </c>
      <c r="L1493" s="985">
        <f t="shared" si="463"/>
        <v>102292759.48</v>
      </c>
      <c r="M1493" s="985">
        <f t="shared" si="463"/>
        <v>0</v>
      </c>
      <c r="N1493" s="985">
        <f t="shared" si="463"/>
        <v>0</v>
      </c>
      <c r="O1493" s="985">
        <f t="shared" si="463"/>
        <v>102292759.48</v>
      </c>
      <c r="P1493" s="985">
        <f t="shared" si="463"/>
        <v>0</v>
      </c>
      <c r="Q1493" s="985">
        <f t="shared" si="463"/>
        <v>0</v>
      </c>
      <c r="R1493" s="991" t="s">
        <v>40</v>
      </c>
      <c r="S1493" s="991" t="s">
        <v>40</v>
      </c>
      <c r="T1493" s="991" t="s">
        <v>40</v>
      </c>
    </row>
    <row r="1494" spans="1:20" ht="38.450000000000003" customHeight="1">
      <c r="A1494" s="1271"/>
      <c r="B1494" s="1273" t="s">
        <v>1069</v>
      </c>
      <c r="C1494" s="1279"/>
      <c r="D1494" s="1283"/>
      <c r="E1494" s="1271"/>
      <c r="F1494" s="1279"/>
      <c r="G1494" s="1279"/>
      <c r="H1494" s="985">
        <f>SUM(H1495:H1506)</f>
        <v>57487.3</v>
      </c>
      <c r="I1494" s="985">
        <f t="shared" ref="I1494:Q1494" si="464">SUM(I1495:I1506)</f>
        <v>42472.299999999996</v>
      </c>
      <c r="J1494" s="985">
        <f t="shared" si="464"/>
        <v>38862.800000000003</v>
      </c>
      <c r="K1494" s="1064">
        <f t="shared" si="464"/>
        <v>2029</v>
      </c>
      <c r="L1494" s="985">
        <f t="shared" si="464"/>
        <v>59153932.719999999</v>
      </c>
      <c r="M1494" s="985">
        <f t="shared" si="464"/>
        <v>0</v>
      </c>
      <c r="N1494" s="985">
        <f t="shared" si="464"/>
        <v>0</v>
      </c>
      <c r="O1494" s="985">
        <f t="shared" si="464"/>
        <v>59153932.719999999</v>
      </c>
      <c r="P1494" s="985">
        <f t="shared" si="464"/>
        <v>0</v>
      </c>
      <c r="Q1494" s="985">
        <f t="shared" si="464"/>
        <v>0</v>
      </c>
      <c r="R1494" s="991" t="s">
        <v>40</v>
      </c>
      <c r="S1494" s="991" t="s">
        <v>40</v>
      </c>
      <c r="T1494" s="991" t="s">
        <v>40</v>
      </c>
    </row>
    <row r="1495" spans="1:20" ht="40.15" customHeight="1">
      <c r="A1495" s="1271">
        <v>408</v>
      </c>
      <c r="B1495" s="1080" t="s">
        <v>1131</v>
      </c>
      <c r="C1495" s="1279">
        <v>1963</v>
      </c>
      <c r="D1495" s="1271"/>
      <c r="E1495" s="1271" t="s">
        <v>219</v>
      </c>
      <c r="F1495" s="1279">
        <v>5</v>
      </c>
      <c r="G1495" s="1279">
        <v>4</v>
      </c>
      <c r="H1495" s="1104">
        <v>3722</v>
      </c>
      <c r="I1495" s="1104">
        <v>3428</v>
      </c>
      <c r="J1495" s="1104">
        <v>3428</v>
      </c>
      <c r="K1495" s="1064">
        <v>118</v>
      </c>
      <c r="L1495" s="985">
        <v>6341528</v>
      </c>
      <c r="M1495" s="985">
        <v>0</v>
      </c>
      <c r="N1495" s="985">
        <v>0</v>
      </c>
      <c r="O1495" s="985">
        <f>L1495</f>
        <v>6341528</v>
      </c>
      <c r="P1495" s="993">
        <v>0</v>
      </c>
      <c r="Q1495" s="986">
        <v>0</v>
      </c>
      <c r="R1495" s="985">
        <f t="shared" ref="R1495:R1506" si="465">L1495/I1495</f>
        <v>1849.9206534422403</v>
      </c>
      <c r="S1495" s="1279">
        <v>2019</v>
      </c>
      <c r="T1495" s="1279">
        <v>2020</v>
      </c>
    </row>
    <row r="1496" spans="1:20" ht="40.9" customHeight="1">
      <c r="A1496" s="1279">
        <v>409</v>
      </c>
      <c r="B1496" s="1080" t="s">
        <v>1304</v>
      </c>
      <c r="C1496" s="1279">
        <v>1969</v>
      </c>
      <c r="D1496" s="1279"/>
      <c r="E1496" s="1271" t="s">
        <v>220</v>
      </c>
      <c r="F1496" s="1279">
        <v>5</v>
      </c>
      <c r="G1496" s="1279">
        <v>4</v>
      </c>
      <c r="H1496" s="1104">
        <v>3581.3</v>
      </c>
      <c r="I1496" s="1104">
        <v>3477</v>
      </c>
      <c r="J1496" s="1104">
        <v>3432.2</v>
      </c>
      <c r="K1496" s="1064">
        <v>126</v>
      </c>
      <c r="L1496" s="985">
        <v>2822982.89</v>
      </c>
      <c r="M1496" s="985">
        <v>0</v>
      </c>
      <c r="N1496" s="985">
        <v>0</v>
      </c>
      <c r="O1496" s="985">
        <f t="shared" ref="O1496:O1506" si="466">L1496</f>
        <v>2822982.89</v>
      </c>
      <c r="P1496" s="985">
        <v>0</v>
      </c>
      <c r="Q1496" s="985">
        <v>0</v>
      </c>
      <c r="R1496" s="985">
        <f t="shared" si="465"/>
        <v>811.90189531205067</v>
      </c>
      <c r="S1496" s="1279">
        <v>2019</v>
      </c>
      <c r="T1496" s="1279">
        <v>2020</v>
      </c>
    </row>
    <row r="1497" spans="1:20" ht="39.6" customHeight="1">
      <c r="A1497" s="1271">
        <v>410</v>
      </c>
      <c r="B1497" s="1105" t="s">
        <v>1305</v>
      </c>
      <c r="C1497" s="987">
        <v>1970</v>
      </c>
      <c r="D1497" s="987"/>
      <c r="E1497" s="1271" t="s">
        <v>218</v>
      </c>
      <c r="F1497" s="1271">
        <v>5</v>
      </c>
      <c r="G1497" s="1271">
        <v>3</v>
      </c>
      <c r="H1497" s="1107">
        <v>4419.3999999999996</v>
      </c>
      <c r="I1497" s="1107">
        <v>2368.3000000000002</v>
      </c>
      <c r="J1497" s="1107">
        <f>I1497-116.5</f>
        <v>2251.8000000000002</v>
      </c>
      <c r="K1497" s="987">
        <v>287</v>
      </c>
      <c r="L1497" s="985">
        <v>4386210.95</v>
      </c>
      <c r="M1497" s="986">
        <v>0</v>
      </c>
      <c r="N1497" s="986">
        <v>0</v>
      </c>
      <c r="O1497" s="985">
        <f t="shared" si="466"/>
        <v>4386210.95</v>
      </c>
      <c r="P1497" s="993">
        <v>0</v>
      </c>
      <c r="Q1497" s="986">
        <v>0</v>
      </c>
      <c r="R1497" s="985">
        <f t="shared" si="465"/>
        <v>1852.0503947979562</v>
      </c>
      <c r="S1497" s="1279">
        <v>2019</v>
      </c>
      <c r="T1497" s="1279">
        <v>2022</v>
      </c>
    </row>
    <row r="1498" spans="1:20" ht="39.6" customHeight="1">
      <c r="A1498" s="1279">
        <v>411</v>
      </c>
      <c r="B1498" s="1105" t="s">
        <v>1306</v>
      </c>
      <c r="C1498" s="987">
        <v>1975</v>
      </c>
      <c r="D1498" s="987"/>
      <c r="E1498" s="1271" t="s">
        <v>218</v>
      </c>
      <c r="F1498" s="1271">
        <v>12</v>
      </c>
      <c r="G1498" s="1271">
        <v>1</v>
      </c>
      <c r="H1498" s="1106">
        <v>5393.6</v>
      </c>
      <c r="I1498" s="1107">
        <v>3815.1</v>
      </c>
      <c r="J1498" s="1107">
        <f>I1498-73.9</f>
        <v>3741.2</v>
      </c>
      <c r="K1498" s="987">
        <v>116</v>
      </c>
      <c r="L1498" s="985">
        <v>2062481.64</v>
      </c>
      <c r="M1498" s="986">
        <v>0</v>
      </c>
      <c r="N1498" s="986">
        <v>0</v>
      </c>
      <c r="O1498" s="985">
        <f t="shared" si="466"/>
        <v>2062481.64</v>
      </c>
      <c r="P1498" s="993">
        <v>0</v>
      </c>
      <c r="Q1498" s="986">
        <v>0</v>
      </c>
      <c r="R1498" s="985">
        <f t="shared" si="465"/>
        <v>540.61011244790438</v>
      </c>
      <c r="S1498" s="1279">
        <v>2019</v>
      </c>
      <c r="T1498" s="1279">
        <v>2022</v>
      </c>
    </row>
    <row r="1499" spans="1:20" ht="39.6" customHeight="1">
      <c r="A1499" s="1271">
        <v>412</v>
      </c>
      <c r="B1499" s="1105" t="s">
        <v>1307</v>
      </c>
      <c r="C1499" s="987">
        <v>1965</v>
      </c>
      <c r="D1499" s="987"/>
      <c r="E1499" s="1271" t="s">
        <v>219</v>
      </c>
      <c r="F1499" s="1271">
        <v>5</v>
      </c>
      <c r="G1499" s="1271">
        <v>4</v>
      </c>
      <c r="H1499" s="1107">
        <v>5561.7</v>
      </c>
      <c r="I1499" s="1107">
        <v>3463.1</v>
      </c>
      <c r="J1499" s="1107">
        <f>I1499</f>
        <v>3463.1</v>
      </c>
      <c r="K1499" s="987">
        <v>144</v>
      </c>
      <c r="L1499" s="985">
        <v>4252462.49</v>
      </c>
      <c r="M1499" s="986">
        <v>0</v>
      </c>
      <c r="N1499" s="986">
        <v>0</v>
      </c>
      <c r="O1499" s="985">
        <f t="shared" si="466"/>
        <v>4252462.49</v>
      </c>
      <c r="P1499" s="993">
        <v>0</v>
      </c>
      <c r="Q1499" s="986">
        <v>0</v>
      </c>
      <c r="R1499" s="985">
        <f t="shared" si="465"/>
        <v>1227.9352285524531</v>
      </c>
      <c r="S1499" s="1279">
        <v>2019</v>
      </c>
      <c r="T1499" s="1279">
        <v>2022</v>
      </c>
    </row>
    <row r="1500" spans="1:20" ht="42" customHeight="1">
      <c r="A1500" s="1279">
        <v>413</v>
      </c>
      <c r="B1500" s="1105" t="s">
        <v>1815</v>
      </c>
      <c r="C1500" s="987">
        <v>1966</v>
      </c>
      <c r="D1500" s="987"/>
      <c r="E1500" s="1271" t="s">
        <v>219</v>
      </c>
      <c r="F1500" s="1271">
        <v>5</v>
      </c>
      <c r="G1500" s="1271">
        <v>4</v>
      </c>
      <c r="H1500" s="1107">
        <v>5406.2</v>
      </c>
      <c r="I1500" s="1107">
        <v>3385.8</v>
      </c>
      <c r="J1500" s="1107">
        <f>I1500-41.3</f>
        <v>3344.5</v>
      </c>
      <c r="K1500" s="987">
        <v>123</v>
      </c>
      <c r="L1500" s="985">
        <v>4199159.0599999996</v>
      </c>
      <c r="M1500" s="986">
        <v>0</v>
      </c>
      <c r="N1500" s="986">
        <v>0</v>
      </c>
      <c r="O1500" s="985">
        <f t="shared" si="466"/>
        <v>4199159.0599999996</v>
      </c>
      <c r="P1500" s="993">
        <v>0</v>
      </c>
      <c r="Q1500" s="986">
        <v>0</v>
      </c>
      <c r="R1500" s="985">
        <f t="shared" si="465"/>
        <v>1240.2265520704116</v>
      </c>
      <c r="S1500" s="1279">
        <v>2019</v>
      </c>
      <c r="T1500" s="1279">
        <v>2022</v>
      </c>
    </row>
    <row r="1501" spans="1:20" ht="42" customHeight="1">
      <c r="A1501" s="1271">
        <v>414</v>
      </c>
      <c r="B1501" s="1105" t="s">
        <v>2802</v>
      </c>
      <c r="C1501" s="987">
        <v>1974</v>
      </c>
      <c r="D1501" s="987"/>
      <c r="E1501" s="1271" t="s">
        <v>219</v>
      </c>
      <c r="F1501" s="1271">
        <v>5</v>
      </c>
      <c r="G1501" s="1271">
        <v>8</v>
      </c>
      <c r="H1501" s="1107">
        <v>4260.8999999999996</v>
      </c>
      <c r="I1501" s="1107">
        <v>3791.7</v>
      </c>
      <c r="J1501" s="1107">
        <f>I1501</f>
        <v>3791.7</v>
      </c>
      <c r="K1501" s="987">
        <v>165</v>
      </c>
      <c r="L1501" s="985">
        <v>3208416</v>
      </c>
      <c r="M1501" s="986">
        <v>0</v>
      </c>
      <c r="N1501" s="986">
        <v>0</v>
      </c>
      <c r="O1501" s="985">
        <f t="shared" si="466"/>
        <v>3208416</v>
      </c>
      <c r="P1501" s="993">
        <v>0</v>
      </c>
      <c r="Q1501" s="986">
        <v>0</v>
      </c>
      <c r="R1501" s="985">
        <f t="shared" si="465"/>
        <v>846.16820951024613</v>
      </c>
      <c r="S1501" s="1279">
        <v>2019</v>
      </c>
      <c r="T1501" s="1279">
        <v>2020</v>
      </c>
    </row>
    <row r="1502" spans="1:20" ht="45" customHeight="1">
      <c r="A1502" s="1279">
        <v>415</v>
      </c>
      <c r="B1502" s="1105" t="s">
        <v>755</v>
      </c>
      <c r="C1502" s="987">
        <v>1974</v>
      </c>
      <c r="D1502" s="987"/>
      <c r="E1502" s="1271" t="s">
        <v>219</v>
      </c>
      <c r="F1502" s="1271">
        <v>5</v>
      </c>
      <c r="G1502" s="1271">
        <v>8</v>
      </c>
      <c r="H1502" s="1107">
        <v>4253.7</v>
      </c>
      <c r="I1502" s="1107">
        <v>3784.3</v>
      </c>
      <c r="J1502" s="1107">
        <f>I1502</f>
        <v>3784.3</v>
      </c>
      <c r="K1502" s="987">
        <v>165</v>
      </c>
      <c r="L1502" s="985">
        <v>3102990</v>
      </c>
      <c r="M1502" s="986">
        <v>0</v>
      </c>
      <c r="N1502" s="986">
        <v>0</v>
      </c>
      <c r="O1502" s="985">
        <f t="shared" si="466"/>
        <v>3102990</v>
      </c>
      <c r="P1502" s="993">
        <v>0</v>
      </c>
      <c r="Q1502" s="986">
        <v>0</v>
      </c>
      <c r="R1502" s="985">
        <f t="shared" si="465"/>
        <v>819.96406204582081</v>
      </c>
      <c r="S1502" s="1279">
        <v>2019</v>
      </c>
      <c r="T1502" s="1279">
        <v>2020</v>
      </c>
    </row>
    <row r="1503" spans="1:20" ht="40.15" customHeight="1">
      <c r="A1503" s="1271">
        <v>416</v>
      </c>
      <c r="B1503" s="1105" t="s">
        <v>763</v>
      </c>
      <c r="C1503" s="987">
        <v>1970</v>
      </c>
      <c r="D1503" s="987"/>
      <c r="E1503" s="1271" t="s">
        <v>219</v>
      </c>
      <c r="F1503" s="1271">
        <v>5</v>
      </c>
      <c r="G1503" s="1271">
        <v>4</v>
      </c>
      <c r="H1503" s="1106">
        <v>5402.7</v>
      </c>
      <c r="I1503" s="1107">
        <v>3457.6</v>
      </c>
      <c r="J1503" s="1107">
        <f>I1503-77.1</f>
        <v>3380.5</v>
      </c>
      <c r="K1503" s="987">
        <v>159</v>
      </c>
      <c r="L1503" s="985">
        <v>2880183</v>
      </c>
      <c r="M1503" s="986">
        <v>0</v>
      </c>
      <c r="N1503" s="986">
        <v>0</v>
      </c>
      <c r="O1503" s="985">
        <f t="shared" si="466"/>
        <v>2880183</v>
      </c>
      <c r="P1503" s="993">
        <v>0</v>
      </c>
      <c r="Q1503" s="986">
        <v>0</v>
      </c>
      <c r="R1503" s="985">
        <f t="shared" si="465"/>
        <v>833.00063627950021</v>
      </c>
      <c r="S1503" s="1279">
        <v>2019</v>
      </c>
      <c r="T1503" s="1279">
        <v>2020</v>
      </c>
    </row>
    <row r="1504" spans="1:20" ht="40.15" customHeight="1">
      <c r="A1504" s="1279">
        <v>417</v>
      </c>
      <c r="B1504" s="1105" t="s">
        <v>1308</v>
      </c>
      <c r="C1504" s="987">
        <v>1966</v>
      </c>
      <c r="D1504" s="987"/>
      <c r="E1504" s="1271" t="s">
        <v>220</v>
      </c>
      <c r="F1504" s="1271">
        <v>5</v>
      </c>
      <c r="G1504" s="1271">
        <v>4</v>
      </c>
      <c r="H1504" s="1106">
        <v>5532.6</v>
      </c>
      <c r="I1504" s="1107">
        <v>3527</v>
      </c>
      <c r="J1504" s="1107">
        <f>I1504-43</f>
        <v>3484</v>
      </c>
      <c r="K1504" s="987">
        <v>144</v>
      </c>
      <c r="L1504" s="985">
        <v>4271963.75</v>
      </c>
      <c r="M1504" s="986">
        <v>0</v>
      </c>
      <c r="N1504" s="986">
        <v>0</v>
      </c>
      <c r="O1504" s="985">
        <f t="shared" si="466"/>
        <v>4271963.75</v>
      </c>
      <c r="P1504" s="993">
        <v>0</v>
      </c>
      <c r="Q1504" s="986">
        <v>0</v>
      </c>
      <c r="R1504" s="985">
        <f t="shared" si="465"/>
        <v>1211.217394386164</v>
      </c>
      <c r="S1504" s="1279">
        <v>2019</v>
      </c>
      <c r="T1504" s="1279">
        <v>2022</v>
      </c>
    </row>
    <row r="1505" spans="1:20" ht="40.9" customHeight="1">
      <c r="A1505" s="1271">
        <v>418</v>
      </c>
      <c r="B1505" s="1105" t="s">
        <v>1154</v>
      </c>
      <c r="C1505" s="987">
        <v>1975</v>
      </c>
      <c r="D1505" s="987"/>
      <c r="E1505" s="1271" t="s">
        <v>218</v>
      </c>
      <c r="F1505" s="1271">
        <v>5</v>
      </c>
      <c r="G1505" s="1271">
        <v>4</v>
      </c>
      <c r="H1505" s="1106">
        <v>4452.8</v>
      </c>
      <c r="I1505" s="1107">
        <v>2659.4</v>
      </c>
      <c r="J1505" s="1107">
        <f>I1505</f>
        <v>2659.4</v>
      </c>
      <c r="K1505" s="987">
        <v>168</v>
      </c>
      <c r="L1505" s="985">
        <v>5657911.2199999997</v>
      </c>
      <c r="M1505" s="986">
        <v>0</v>
      </c>
      <c r="N1505" s="986">
        <v>0</v>
      </c>
      <c r="O1505" s="985">
        <f t="shared" si="466"/>
        <v>5657911.2199999997</v>
      </c>
      <c r="P1505" s="993">
        <v>0</v>
      </c>
      <c r="Q1505" s="986">
        <v>0</v>
      </c>
      <c r="R1505" s="985">
        <f t="shared" si="465"/>
        <v>2127.5141836504472</v>
      </c>
      <c r="S1505" s="1279">
        <v>2019</v>
      </c>
      <c r="T1505" s="1279">
        <v>2022</v>
      </c>
    </row>
    <row r="1506" spans="1:20" ht="42" customHeight="1">
      <c r="A1506" s="1279">
        <v>419</v>
      </c>
      <c r="B1506" s="1105" t="s">
        <v>1017</v>
      </c>
      <c r="C1506" s="987">
        <v>1977</v>
      </c>
      <c r="D1506" s="987"/>
      <c r="E1506" s="1271" t="s">
        <v>218</v>
      </c>
      <c r="F1506" s="1271">
        <v>5</v>
      </c>
      <c r="G1506" s="1271">
        <v>2</v>
      </c>
      <c r="H1506" s="1106">
        <v>5500.4</v>
      </c>
      <c r="I1506" s="1106">
        <v>5315</v>
      </c>
      <c r="J1506" s="1106">
        <v>2102.1</v>
      </c>
      <c r="K1506" s="987">
        <v>314</v>
      </c>
      <c r="L1506" s="985">
        <v>15967643.720000001</v>
      </c>
      <c r="M1506" s="985">
        <v>0</v>
      </c>
      <c r="N1506" s="985">
        <v>0</v>
      </c>
      <c r="O1506" s="985">
        <f t="shared" si="466"/>
        <v>15967643.720000001</v>
      </c>
      <c r="P1506" s="985">
        <v>0</v>
      </c>
      <c r="Q1506" s="985">
        <v>0</v>
      </c>
      <c r="R1506" s="985">
        <f t="shared" si="465"/>
        <v>3004.2603424270933</v>
      </c>
      <c r="S1506" s="1279">
        <v>2019</v>
      </c>
      <c r="T1506" s="1279">
        <v>2022</v>
      </c>
    </row>
    <row r="1507" spans="1:20" ht="43.9" customHeight="1">
      <c r="A1507" s="1271"/>
      <c r="B1507" s="1390" t="s">
        <v>1075</v>
      </c>
      <c r="C1507" s="1390"/>
      <c r="D1507" s="1390"/>
      <c r="E1507" s="1390"/>
      <c r="F1507" s="1390"/>
      <c r="G1507" s="1390"/>
      <c r="H1507" s="985">
        <f>H1508+H1509+H1510</f>
        <v>1558.3000000000002</v>
      </c>
      <c r="I1507" s="985">
        <f t="shared" ref="I1507:Q1507" si="467">I1508+I1509+I1510</f>
        <v>1558.3000000000002</v>
      </c>
      <c r="J1507" s="985">
        <f t="shared" si="467"/>
        <v>1188.3</v>
      </c>
      <c r="K1507" s="1064">
        <f t="shared" si="467"/>
        <v>87</v>
      </c>
      <c r="L1507" s="985">
        <f t="shared" si="467"/>
        <v>2880188.6399999997</v>
      </c>
      <c r="M1507" s="985">
        <f t="shared" si="467"/>
        <v>0</v>
      </c>
      <c r="N1507" s="985">
        <f t="shared" si="467"/>
        <v>0</v>
      </c>
      <c r="O1507" s="985">
        <f t="shared" si="467"/>
        <v>2880188.6399999997</v>
      </c>
      <c r="P1507" s="985">
        <f t="shared" si="467"/>
        <v>0</v>
      </c>
      <c r="Q1507" s="985">
        <f t="shared" si="467"/>
        <v>0</v>
      </c>
      <c r="R1507" s="991" t="s">
        <v>40</v>
      </c>
      <c r="S1507" s="991" t="s">
        <v>40</v>
      </c>
      <c r="T1507" s="991" t="s">
        <v>40</v>
      </c>
    </row>
    <row r="1508" spans="1:20" ht="44.45" customHeight="1">
      <c r="A1508" s="1271">
        <v>420</v>
      </c>
      <c r="B1508" s="1274" t="s">
        <v>1058</v>
      </c>
      <c r="C1508" s="1279">
        <v>1963</v>
      </c>
      <c r="D1508" s="1273"/>
      <c r="E1508" s="1271" t="s">
        <v>218</v>
      </c>
      <c r="F1508" s="1279">
        <v>2</v>
      </c>
      <c r="G1508" s="1279">
        <v>2</v>
      </c>
      <c r="H1508" s="985">
        <v>625.9</v>
      </c>
      <c r="I1508" s="985">
        <v>625.9</v>
      </c>
      <c r="J1508" s="985">
        <v>526.9</v>
      </c>
      <c r="K1508" s="1064">
        <v>32</v>
      </c>
      <c r="L1508" s="986">
        <v>1892964.64</v>
      </c>
      <c r="M1508" s="986">
        <v>0</v>
      </c>
      <c r="N1508" s="986">
        <v>0</v>
      </c>
      <c r="O1508" s="986">
        <v>1892964.64</v>
      </c>
      <c r="P1508" s="993">
        <v>0</v>
      </c>
      <c r="Q1508" s="986">
        <v>0</v>
      </c>
      <c r="R1508" s="985">
        <v>2698.5796453107528</v>
      </c>
      <c r="S1508" s="987">
        <v>2017</v>
      </c>
      <c r="T1508" s="987">
        <v>2020</v>
      </c>
    </row>
    <row r="1509" spans="1:20" ht="33" customHeight="1">
      <c r="A1509" s="1271">
        <v>421</v>
      </c>
      <c r="B1509" s="1273" t="s">
        <v>996</v>
      </c>
      <c r="C1509" s="1279">
        <v>1965</v>
      </c>
      <c r="D1509" s="1273"/>
      <c r="E1509" s="1271" t="s">
        <v>218</v>
      </c>
      <c r="F1509" s="1279">
        <v>2</v>
      </c>
      <c r="G1509" s="1279">
        <v>3</v>
      </c>
      <c r="H1509" s="985">
        <v>445.8</v>
      </c>
      <c r="I1509" s="985">
        <v>445.8</v>
      </c>
      <c r="J1509" s="985">
        <v>316.60000000000002</v>
      </c>
      <c r="K1509" s="1064">
        <v>13</v>
      </c>
      <c r="L1509" s="986">
        <v>493612</v>
      </c>
      <c r="M1509" s="986">
        <v>0</v>
      </c>
      <c r="N1509" s="986">
        <v>0</v>
      </c>
      <c r="O1509" s="986">
        <v>493612</v>
      </c>
      <c r="P1509" s="993">
        <v>0</v>
      </c>
      <c r="Q1509" s="986">
        <v>0</v>
      </c>
      <c r="R1509" s="985">
        <v>1107.2498878420815</v>
      </c>
      <c r="S1509" s="987">
        <v>2018</v>
      </c>
      <c r="T1509" s="987">
        <v>2020</v>
      </c>
    </row>
    <row r="1510" spans="1:20" ht="36.6" customHeight="1">
      <c r="A1510" s="1271">
        <v>422</v>
      </c>
      <c r="B1510" s="1273" t="s">
        <v>997</v>
      </c>
      <c r="C1510" s="1279">
        <v>1965</v>
      </c>
      <c r="D1510" s="1273"/>
      <c r="E1510" s="1271" t="s">
        <v>218</v>
      </c>
      <c r="F1510" s="1279">
        <v>2</v>
      </c>
      <c r="G1510" s="1279">
        <v>3</v>
      </c>
      <c r="H1510" s="985">
        <v>486.6</v>
      </c>
      <c r="I1510" s="985">
        <v>486.6</v>
      </c>
      <c r="J1510" s="985">
        <v>344.8</v>
      </c>
      <c r="K1510" s="1064">
        <v>42</v>
      </c>
      <c r="L1510" s="986">
        <v>493612</v>
      </c>
      <c r="M1510" s="986">
        <v>0</v>
      </c>
      <c r="N1510" s="986">
        <v>0</v>
      </c>
      <c r="O1510" s="986">
        <v>493612</v>
      </c>
      <c r="P1510" s="993">
        <v>0</v>
      </c>
      <c r="Q1510" s="986">
        <v>0</v>
      </c>
      <c r="R1510" s="985">
        <v>1014.4101931771476</v>
      </c>
      <c r="S1510" s="987">
        <v>2018</v>
      </c>
      <c r="T1510" s="987">
        <v>2020</v>
      </c>
    </row>
    <row r="1511" spans="1:20" ht="39" customHeight="1">
      <c r="A1511" s="1271"/>
      <c r="B1511" s="1273" t="s">
        <v>1070</v>
      </c>
      <c r="C1511" s="1279"/>
      <c r="D1511" s="1283"/>
      <c r="E1511" s="1271"/>
      <c r="F1511" s="1279"/>
      <c r="G1511" s="1279"/>
      <c r="H1511" s="985">
        <f>SUM(H1512:H1514)</f>
        <v>2618</v>
      </c>
      <c r="I1511" s="985">
        <f t="shared" ref="I1511:Q1511" si="468">SUM(I1512:I1514)</f>
        <v>2417.5</v>
      </c>
      <c r="J1511" s="985">
        <f t="shared" si="468"/>
        <v>2173.6999999999998</v>
      </c>
      <c r="K1511" s="1064">
        <f t="shared" si="468"/>
        <v>94</v>
      </c>
      <c r="L1511" s="985">
        <f t="shared" si="468"/>
        <v>4176411</v>
      </c>
      <c r="M1511" s="985">
        <f t="shared" si="468"/>
        <v>0</v>
      </c>
      <c r="N1511" s="985">
        <f t="shared" si="468"/>
        <v>0</v>
      </c>
      <c r="O1511" s="985">
        <f t="shared" si="468"/>
        <v>4176411</v>
      </c>
      <c r="P1511" s="985">
        <f t="shared" si="468"/>
        <v>0</v>
      </c>
      <c r="Q1511" s="985">
        <f t="shared" si="468"/>
        <v>0</v>
      </c>
      <c r="R1511" s="991" t="s">
        <v>40</v>
      </c>
      <c r="S1511" s="991" t="s">
        <v>40</v>
      </c>
      <c r="T1511" s="991" t="s">
        <v>40</v>
      </c>
    </row>
    <row r="1512" spans="1:20" ht="37.9" customHeight="1">
      <c r="A1512" s="1271">
        <v>423</v>
      </c>
      <c r="B1512" s="1274" t="s">
        <v>2944</v>
      </c>
      <c r="C1512" s="1279">
        <v>1984</v>
      </c>
      <c r="D1512" s="1279"/>
      <c r="E1512" s="1271" t="s">
        <v>218</v>
      </c>
      <c r="F1512" s="1279">
        <v>3</v>
      </c>
      <c r="G1512" s="1279">
        <v>2</v>
      </c>
      <c r="H1512" s="985">
        <v>1130.0999999999999</v>
      </c>
      <c r="I1512" s="985">
        <v>1039.4000000000001</v>
      </c>
      <c r="J1512" s="985">
        <v>923.5</v>
      </c>
      <c r="K1512" s="1064">
        <v>48</v>
      </c>
      <c r="L1512" s="986">
        <v>1256949</v>
      </c>
      <c r="M1512" s="986">
        <v>0</v>
      </c>
      <c r="N1512" s="986">
        <v>0</v>
      </c>
      <c r="O1512" s="986">
        <v>1256949</v>
      </c>
      <c r="P1512" s="993">
        <f t="shared" ref="P1512" si="469">Q1512</f>
        <v>0</v>
      </c>
      <c r="Q1512" s="986">
        <v>0</v>
      </c>
      <c r="R1512" s="985">
        <f t="shared" ref="R1512" si="470">L1512/I1512</f>
        <v>1209.3024822012699</v>
      </c>
      <c r="S1512" s="987">
        <v>2017</v>
      </c>
      <c r="T1512" s="987">
        <v>2020</v>
      </c>
    </row>
    <row r="1513" spans="1:20" ht="40.9" customHeight="1">
      <c r="A1513" s="1271">
        <v>424</v>
      </c>
      <c r="B1513" s="1274" t="s">
        <v>1629</v>
      </c>
      <c r="C1513" s="1279">
        <v>1972</v>
      </c>
      <c r="D1513" s="1279"/>
      <c r="E1513" s="1271" t="s">
        <v>218</v>
      </c>
      <c r="F1513" s="1279">
        <v>2</v>
      </c>
      <c r="G1513" s="1279">
        <v>2</v>
      </c>
      <c r="H1513" s="985">
        <v>781</v>
      </c>
      <c r="I1513" s="985">
        <v>720.8</v>
      </c>
      <c r="J1513" s="985">
        <v>637.4</v>
      </c>
      <c r="K1513" s="1064">
        <v>22</v>
      </c>
      <c r="L1513" s="986">
        <v>1150330</v>
      </c>
      <c r="M1513" s="986">
        <v>0</v>
      </c>
      <c r="N1513" s="986">
        <v>0</v>
      </c>
      <c r="O1513" s="986">
        <f>L1513</f>
        <v>1150330</v>
      </c>
      <c r="P1513" s="993">
        <v>0</v>
      </c>
      <c r="Q1513" s="986">
        <v>0</v>
      </c>
      <c r="R1513" s="985">
        <f>L1513/I1513</f>
        <v>1595.9073251942286</v>
      </c>
      <c r="S1513" s="987">
        <v>2018</v>
      </c>
      <c r="T1513" s="987">
        <v>2020</v>
      </c>
    </row>
    <row r="1514" spans="1:20" ht="37.15" customHeight="1">
      <c r="A1514" s="1271">
        <v>425</v>
      </c>
      <c r="B1514" s="1274" t="s">
        <v>1630</v>
      </c>
      <c r="C1514" s="1279">
        <v>1970</v>
      </c>
      <c r="D1514" s="1279"/>
      <c r="E1514" s="1271" t="s">
        <v>221</v>
      </c>
      <c r="F1514" s="1279">
        <v>2</v>
      </c>
      <c r="G1514" s="1279">
        <v>2</v>
      </c>
      <c r="H1514" s="985">
        <v>706.9</v>
      </c>
      <c r="I1514" s="985">
        <v>657.3</v>
      </c>
      <c r="J1514" s="985">
        <v>612.79999999999995</v>
      </c>
      <c r="K1514" s="1064">
        <v>24</v>
      </c>
      <c r="L1514" s="986">
        <v>1769132</v>
      </c>
      <c r="M1514" s="986">
        <v>0</v>
      </c>
      <c r="N1514" s="986">
        <v>0</v>
      </c>
      <c r="O1514" s="986">
        <v>1769132</v>
      </c>
      <c r="P1514" s="993">
        <v>0</v>
      </c>
      <c r="Q1514" s="986">
        <v>0</v>
      </c>
      <c r="R1514" s="985">
        <f>L1514/I1514</f>
        <v>2691.5137684466758</v>
      </c>
      <c r="S1514" s="987">
        <v>2018</v>
      </c>
      <c r="T1514" s="987">
        <v>2020</v>
      </c>
    </row>
    <row r="1515" spans="1:20" ht="42" customHeight="1">
      <c r="A1515" s="1271"/>
      <c r="B1515" s="1274" t="s">
        <v>2945</v>
      </c>
      <c r="C1515" s="1279"/>
      <c r="D1515" s="1283"/>
      <c r="E1515" s="1271"/>
      <c r="F1515" s="1279"/>
      <c r="G1515" s="1279"/>
      <c r="H1515" s="985">
        <f>SUM(H1516:H1518)</f>
        <v>3256.2</v>
      </c>
      <c r="I1515" s="985">
        <f t="shared" ref="I1515:Q1515" si="471">SUM(I1516:I1518)</f>
        <v>2705.3</v>
      </c>
      <c r="J1515" s="985">
        <f t="shared" si="471"/>
        <v>2479.3000000000002</v>
      </c>
      <c r="K1515" s="1064">
        <f t="shared" si="471"/>
        <v>118</v>
      </c>
      <c r="L1515" s="985">
        <f t="shared" si="471"/>
        <v>7085490.0800000001</v>
      </c>
      <c r="M1515" s="985">
        <f t="shared" si="471"/>
        <v>0</v>
      </c>
      <c r="N1515" s="985">
        <f t="shared" si="471"/>
        <v>0</v>
      </c>
      <c r="O1515" s="985">
        <f t="shared" si="471"/>
        <v>7085490.0800000001</v>
      </c>
      <c r="P1515" s="985">
        <f t="shared" si="471"/>
        <v>0</v>
      </c>
      <c r="Q1515" s="985">
        <f t="shared" si="471"/>
        <v>0</v>
      </c>
      <c r="R1515" s="991" t="s">
        <v>40</v>
      </c>
      <c r="S1515" s="991" t="s">
        <v>40</v>
      </c>
      <c r="T1515" s="991" t="s">
        <v>40</v>
      </c>
    </row>
    <row r="1516" spans="1:20" ht="39" customHeight="1">
      <c r="A1516" s="1031">
        <v>426</v>
      </c>
      <c r="B1516" s="1058" t="s">
        <v>1171</v>
      </c>
      <c r="C1516" s="1032">
        <v>1980</v>
      </c>
      <c r="D1516" s="1032"/>
      <c r="E1516" s="1271" t="s">
        <v>218</v>
      </c>
      <c r="F1516" s="1052">
        <v>3</v>
      </c>
      <c r="G1516" s="1052">
        <v>2</v>
      </c>
      <c r="H1516" s="1024">
        <v>1030.2</v>
      </c>
      <c r="I1516" s="1024">
        <v>932.4</v>
      </c>
      <c r="J1516" s="1024">
        <v>932.4</v>
      </c>
      <c r="K1516" s="1011">
        <v>35</v>
      </c>
      <c r="L1516" s="986">
        <v>1984061.29</v>
      </c>
      <c r="M1516" s="986">
        <v>0</v>
      </c>
      <c r="N1516" s="986">
        <v>0</v>
      </c>
      <c r="O1516" s="986">
        <v>1984061.29</v>
      </c>
      <c r="P1516" s="1033">
        <v>0</v>
      </c>
      <c r="Q1516" s="986">
        <v>0</v>
      </c>
      <c r="R1516" s="1037">
        <f t="shared" ref="R1516:R1517" si="472">L1516/I1516</f>
        <v>2127.9078614328614</v>
      </c>
      <c r="S1516" s="987">
        <v>2019</v>
      </c>
      <c r="T1516" s="987">
        <v>2020</v>
      </c>
    </row>
    <row r="1517" spans="1:20" ht="40.9" customHeight="1">
      <c r="A1517" s="1031">
        <v>427</v>
      </c>
      <c r="B1517" s="1089" t="s">
        <v>1172</v>
      </c>
      <c r="C1517" s="1032">
        <v>1967</v>
      </c>
      <c r="D1517" s="1032"/>
      <c r="E1517" s="1271" t="s">
        <v>218</v>
      </c>
      <c r="F1517" s="1052">
        <v>2</v>
      </c>
      <c r="G1517" s="1052">
        <v>2</v>
      </c>
      <c r="H1517" s="1024">
        <v>831.8</v>
      </c>
      <c r="I1517" s="1024">
        <v>782.7</v>
      </c>
      <c r="J1517" s="1024">
        <v>782.7</v>
      </c>
      <c r="K1517" s="1011">
        <v>23</v>
      </c>
      <c r="L1517" s="986">
        <f>O1517+Q1517</f>
        <v>2217747.7200000002</v>
      </c>
      <c r="M1517" s="986">
        <v>0</v>
      </c>
      <c r="N1517" s="986">
        <v>0</v>
      </c>
      <c r="O1517" s="986">
        <v>2217747.7200000002</v>
      </c>
      <c r="P1517" s="1033">
        <v>0</v>
      </c>
      <c r="Q1517" s="986">
        <v>0</v>
      </c>
      <c r="R1517" s="1037">
        <f t="shared" si="472"/>
        <v>2833.4581832119588</v>
      </c>
      <c r="S1517" s="987">
        <v>2019</v>
      </c>
      <c r="T1517" s="987">
        <v>2020</v>
      </c>
    </row>
    <row r="1518" spans="1:20" ht="40.15" customHeight="1">
      <c r="A1518" s="1031">
        <v>428</v>
      </c>
      <c r="B1518" s="1089" t="s">
        <v>477</v>
      </c>
      <c r="C1518" s="1032">
        <v>1965</v>
      </c>
      <c r="D1518" s="1032"/>
      <c r="E1518" s="1271" t="s">
        <v>218</v>
      </c>
      <c r="F1518" s="1052">
        <v>3</v>
      </c>
      <c r="G1518" s="1052">
        <v>3</v>
      </c>
      <c r="H1518" s="1024">
        <v>1394.2</v>
      </c>
      <c r="I1518" s="1024">
        <v>990.2</v>
      </c>
      <c r="J1518" s="1024">
        <v>764.2</v>
      </c>
      <c r="K1518" s="1011">
        <v>60</v>
      </c>
      <c r="L1518" s="986">
        <v>2883681.07</v>
      </c>
      <c r="M1518" s="986">
        <v>0</v>
      </c>
      <c r="N1518" s="986">
        <v>0</v>
      </c>
      <c r="O1518" s="986">
        <v>2883681.07</v>
      </c>
      <c r="P1518" s="1033">
        <v>0</v>
      </c>
      <c r="Q1518" s="986">
        <v>0</v>
      </c>
      <c r="R1518" s="1037">
        <f t="shared" ref="R1518" si="473">L1518/I1518</f>
        <v>2912.2208341749138</v>
      </c>
      <c r="S1518" s="987">
        <v>2019</v>
      </c>
      <c r="T1518" s="987">
        <v>2020</v>
      </c>
    </row>
    <row r="1519" spans="1:20" ht="45" customHeight="1">
      <c r="A1519" s="1271"/>
      <c r="B1519" s="1273" t="s">
        <v>1109</v>
      </c>
      <c r="C1519" s="1279"/>
      <c r="D1519" s="1283"/>
      <c r="E1519" s="1271"/>
      <c r="F1519" s="1279"/>
      <c r="G1519" s="1279"/>
      <c r="H1519" s="985">
        <f>SUM(H1520:H1527)</f>
        <v>6911.2</v>
      </c>
      <c r="I1519" s="985">
        <f t="shared" ref="I1519:Q1519" si="474">SUM(I1520:I1527)</f>
        <v>6404.4</v>
      </c>
      <c r="J1519" s="985">
        <f t="shared" si="474"/>
        <v>6404.4</v>
      </c>
      <c r="K1519" s="1064">
        <f t="shared" si="474"/>
        <v>318</v>
      </c>
      <c r="L1519" s="985">
        <f t="shared" si="474"/>
        <v>12123443.590000002</v>
      </c>
      <c r="M1519" s="985">
        <f t="shared" si="474"/>
        <v>0</v>
      </c>
      <c r="N1519" s="985">
        <f t="shared" si="474"/>
        <v>0</v>
      </c>
      <c r="O1519" s="985">
        <f t="shared" si="474"/>
        <v>12123443.590000002</v>
      </c>
      <c r="P1519" s="985">
        <f t="shared" si="474"/>
        <v>0</v>
      </c>
      <c r="Q1519" s="985">
        <f t="shared" si="474"/>
        <v>0</v>
      </c>
      <c r="R1519" s="991" t="s">
        <v>40</v>
      </c>
      <c r="S1519" s="991" t="s">
        <v>40</v>
      </c>
      <c r="T1519" s="991" t="s">
        <v>40</v>
      </c>
    </row>
    <row r="1520" spans="1:20" ht="40.9" customHeight="1">
      <c r="A1520" s="1271">
        <v>429</v>
      </c>
      <c r="B1520" s="1040" t="s">
        <v>2961</v>
      </c>
      <c r="C1520" s="1032">
        <v>1968</v>
      </c>
      <c r="D1520" s="1032"/>
      <c r="E1520" s="1271" t="s">
        <v>218</v>
      </c>
      <c r="F1520" s="1032">
        <v>3</v>
      </c>
      <c r="G1520" s="1032">
        <v>2</v>
      </c>
      <c r="H1520" s="1059">
        <v>1040.5999999999999</v>
      </c>
      <c r="I1520" s="1037">
        <v>967.8</v>
      </c>
      <c r="J1520" s="1037">
        <v>967.8</v>
      </c>
      <c r="K1520" s="1068">
        <v>42</v>
      </c>
      <c r="L1520" s="986">
        <v>1840183.32</v>
      </c>
      <c r="M1520" s="986">
        <v>0</v>
      </c>
      <c r="N1520" s="986">
        <v>0</v>
      </c>
      <c r="O1520" s="986">
        <f>L1520</f>
        <v>1840183.32</v>
      </c>
      <c r="P1520" s="1033">
        <v>0</v>
      </c>
      <c r="Q1520" s="986">
        <v>0</v>
      </c>
      <c r="R1520" s="1037">
        <f>L1520/I1520</f>
        <v>1901.4086794792313</v>
      </c>
      <c r="S1520" s="987">
        <v>2016</v>
      </c>
      <c r="T1520" s="987">
        <v>2020</v>
      </c>
    </row>
    <row r="1521" spans="1:20" ht="41.45" customHeight="1">
      <c r="A1521" s="1271">
        <v>430</v>
      </c>
      <c r="B1521" s="1040" t="s">
        <v>2962</v>
      </c>
      <c r="C1521" s="1032">
        <v>1962</v>
      </c>
      <c r="D1521" s="1032"/>
      <c r="E1521" s="1271" t="s">
        <v>218</v>
      </c>
      <c r="F1521" s="1032">
        <v>3</v>
      </c>
      <c r="G1521" s="1032">
        <v>2</v>
      </c>
      <c r="H1521" s="1037">
        <v>1037.5</v>
      </c>
      <c r="I1521" s="1037">
        <v>965.7</v>
      </c>
      <c r="J1521" s="1037">
        <v>965.7</v>
      </c>
      <c r="K1521" s="1068">
        <v>41</v>
      </c>
      <c r="L1521" s="986">
        <v>1840183.32</v>
      </c>
      <c r="M1521" s="986">
        <v>0</v>
      </c>
      <c r="N1521" s="986">
        <v>0</v>
      </c>
      <c r="O1521" s="986">
        <f>L1521</f>
        <v>1840183.32</v>
      </c>
      <c r="P1521" s="1033">
        <v>0</v>
      </c>
      <c r="Q1521" s="986">
        <v>0</v>
      </c>
      <c r="R1521" s="1037">
        <f t="shared" ref="R1521:R1522" si="475">L1521/I1521</f>
        <v>1905.5434607020813</v>
      </c>
      <c r="S1521" s="987">
        <v>2016</v>
      </c>
      <c r="T1521" s="987">
        <v>2020</v>
      </c>
    </row>
    <row r="1522" spans="1:20" ht="45" customHeight="1">
      <c r="A1522" s="1271">
        <v>431</v>
      </c>
      <c r="B1522" s="1040" t="s">
        <v>2963</v>
      </c>
      <c r="C1522" s="1032">
        <v>1968</v>
      </c>
      <c r="D1522" s="1032"/>
      <c r="E1522" s="1271" t="s">
        <v>218</v>
      </c>
      <c r="F1522" s="1032">
        <v>3</v>
      </c>
      <c r="G1522" s="1032">
        <v>2</v>
      </c>
      <c r="H1522" s="1037">
        <v>1044.5</v>
      </c>
      <c r="I1522" s="1037">
        <v>971.9</v>
      </c>
      <c r="J1522" s="1037">
        <v>971.9</v>
      </c>
      <c r="K1522" s="1068">
        <v>53</v>
      </c>
      <c r="L1522" s="986">
        <v>1866925.32</v>
      </c>
      <c r="M1522" s="986">
        <v>0</v>
      </c>
      <c r="N1522" s="986">
        <v>0</v>
      </c>
      <c r="O1522" s="986">
        <f t="shared" ref="O1522:O1527" si="476">L1522</f>
        <v>1866925.32</v>
      </c>
      <c r="P1522" s="1033">
        <v>0</v>
      </c>
      <c r="Q1522" s="986">
        <v>0</v>
      </c>
      <c r="R1522" s="1037">
        <f t="shared" si="475"/>
        <v>1920.9026854614674</v>
      </c>
      <c r="S1522" s="987">
        <v>2016</v>
      </c>
      <c r="T1522" s="987">
        <v>2020</v>
      </c>
    </row>
    <row r="1523" spans="1:20" ht="48" customHeight="1">
      <c r="A1523" s="1271">
        <v>432</v>
      </c>
      <c r="B1523" s="1274" t="s">
        <v>680</v>
      </c>
      <c r="C1523" s="1279">
        <v>1964</v>
      </c>
      <c r="D1523" s="1279"/>
      <c r="E1523" s="1271" t="s">
        <v>218</v>
      </c>
      <c r="F1523" s="1279">
        <v>2</v>
      </c>
      <c r="G1523" s="1279">
        <v>2</v>
      </c>
      <c r="H1523" s="993">
        <v>571.29999999999995</v>
      </c>
      <c r="I1523" s="985">
        <v>522.9</v>
      </c>
      <c r="J1523" s="985">
        <v>522.9</v>
      </c>
      <c r="K1523" s="1064">
        <v>29</v>
      </c>
      <c r="L1523" s="986">
        <v>734707</v>
      </c>
      <c r="M1523" s="986">
        <v>0</v>
      </c>
      <c r="N1523" s="986">
        <v>0</v>
      </c>
      <c r="O1523" s="986">
        <f t="shared" si="476"/>
        <v>734707</v>
      </c>
      <c r="P1523" s="993">
        <f t="shared" ref="P1523:P1524" si="477">Q1523</f>
        <v>0</v>
      </c>
      <c r="Q1523" s="986">
        <v>0</v>
      </c>
      <c r="R1523" s="985">
        <f>L1523/I1523</f>
        <v>1405.0621533754065</v>
      </c>
      <c r="S1523" s="987">
        <v>2017</v>
      </c>
      <c r="T1523" s="987">
        <v>2020</v>
      </c>
    </row>
    <row r="1524" spans="1:20" ht="45.6" customHeight="1">
      <c r="A1524" s="1271">
        <v>433</v>
      </c>
      <c r="B1524" s="1274" t="s">
        <v>681</v>
      </c>
      <c r="C1524" s="1279">
        <v>1964</v>
      </c>
      <c r="D1524" s="1279"/>
      <c r="E1524" s="1271" t="s">
        <v>218</v>
      </c>
      <c r="F1524" s="1279">
        <v>2</v>
      </c>
      <c r="G1524" s="1279">
        <v>2</v>
      </c>
      <c r="H1524" s="985">
        <v>578.79999999999995</v>
      </c>
      <c r="I1524" s="985">
        <v>530.6</v>
      </c>
      <c r="J1524" s="985">
        <v>530.6</v>
      </c>
      <c r="K1524" s="1064">
        <v>29</v>
      </c>
      <c r="L1524" s="986">
        <v>738725.94</v>
      </c>
      <c r="M1524" s="986">
        <v>0</v>
      </c>
      <c r="N1524" s="986">
        <v>0</v>
      </c>
      <c r="O1524" s="986">
        <f t="shared" si="476"/>
        <v>738725.94</v>
      </c>
      <c r="P1524" s="993">
        <f t="shared" si="477"/>
        <v>0</v>
      </c>
      <c r="Q1524" s="986">
        <v>0</v>
      </c>
      <c r="R1524" s="985">
        <f t="shared" ref="R1524" si="478">L1524/I1524</f>
        <v>1392.2464003015452</v>
      </c>
      <c r="S1524" s="987">
        <v>2017</v>
      </c>
      <c r="T1524" s="987">
        <v>2020</v>
      </c>
    </row>
    <row r="1525" spans="1:20" ht="40.15" customHeight="1">
      <c r="A1525" s="1271">
        <v>434</v>
      </c>
      <c r="B1525" s="1274" t="s">
        <v>682</v>
      </c>
      <c r="C1525" s="1279">
        <v>1972</v>
      </c>
      <c r="D1525" s="1279"/>
      <c r="E1525" s="1271" t="s">
        <v>218</v>
      </c>
      <c r="F1525" s="1279">
        <v>3</v>
      </c>
      <c r="G1525" s="1279">
        <v>2</v>
      </c>
      <c r="H1525" s="993">
        <v>1028</v>
      </c>
      <c r="I1525" s="985">
        <v>955</v>
      </c>
      <c r="J1525" s="985">
        <v>955</v>
      </c>
      <c r="K1525" s="1064">
        <v>47</v>
      </c>
      <c r="L1525" s="986">
        <v>1857131.23</v>
      </c>
      <c r="M1525" s="986">
        <v>0</v>
      </c>
      <c r="N1525" s="986">
        <v>0</v>
      </c>
      <c r="O1525" s="986">
        <f t="shared" si="476"/>
        <v>1857131.23</v>
      </c>
      <c r="P1525" s="993">
        <v>0</v>
      </c>
      <c r="Q1525" s="986">
        <v>0</v>
      </c>
      <c r="R1525" s="985">
        <f>L1525/I1525</f>
        <v>1944.6400314136126</v>
      </c>
      <c r="S1525" s="987">
        <v>2018</v>
      </c>
      <c r="T1525" s="987">
        <v>2020</v>
      </c>
    </row>
    <row r="1526" spans="1:20" ht="40.9" customHeight="1">
      <c r="A1526" s="1271">
        <v>435</v>
      </c>
      <c r="B1526" s="1058" t="s">
        <v>1334</v>
      </c>
      <c r="C1526" s="1127">
        <v>1962</v>
      </c>
      <c r="D1526" s="1127"/>
      <c r="E1526" s="1271" t="s">
        <v>218</v>
      </c>
      <c r="F1526" s="1127">
        <v>3</v>
      </c>
      <c r="G1526" s="1127">
        <v>2</v>
      </c>
      <c r="H1526" s="993">
        <v>1039.2</v>
      </c>
      <c r="I1526" s="985">
        <v>967.8</v>
      </c>
      <c r="J1526" s="985">
        <v>967.8</v>
      </c>
      <c r="K1526" s="1064">
        <v>48</v>
      </c>
      <c r="L1526" s="986">
        <v>1936330.91</v>
      </c>
      <c r="M1526" s="986">
        <v>0</v>
      </c>
      <c r="N1526" s="986">
        <v>0</v>
      </c>
      <c r="O1526" s="986">
        <f t="shared" si="476"/>
        <v>1936330.91</v>
      </c>
      <c r="P1526" s="993">
        <v>0</v>
      </c>
      <c r="Q1526" s="986">
        <v>0</v>
      </c>
      <c r="R1526" s="985">
        <f>L1526/I1526</f>
        <v>2000.7552283529656</v>
      </c>
      <c r="S1526" s="987">
        <v>2019</v>
      </c>
      <c r="T1526" s="987">
        <v>2020</v>
      </c>
    </row>
    <row r="1527" spans="1:20" ht="42" customHeight="1">
      <c r="A1527" s="1271">
        <v>436</v>
      </c>
      <c r="B1527" s="1058" t="s">
        <v>1110</v>
      </c>
      <c r="C1527" s="1127">
        <v>1969</v>
      </c>
      <c r="D1527" s="1127"/>
      <c r="E1527" s="1271" t="s">
        <v>218</v>
      </c>
      <c r="F1527" s="1127">
        <v>2</v>
      </c>
      <c r="G1527" s="1127">
        <v>2</v>
      </c>
      <c r="H1527" s="993">
        <v>571.29999999999995</v>
      </c>
      <c r="I1527" s="985">
        <v>522.70000000000005</v>
      </c>
      <c r="J1527" s="985">
        <v>522.70000000000005</v>
      </c>
      <c r="K1527" s="1064">
        <v>29</v>
      </c>
      <c r="L1527" s="986">
        <v>1309256.55</v>
      </c>
      <c r="M1527" s="986">
        <v>0</v>
      </c>
      <c r="N1527" s="986">
        <v>0</v>
      </c>
      <c r="O1527" s="986">
        <f t="shared" si="476"/>
        <v>1309256.55</v>
      </c>
      <c r="P1527" s="993">
        <v>0</v>
      </c>
      <c r="Q1527" s="986">
        <v>0</v>
      </c>
      <c r="R1527" s="985">
        <f>L1527/I1527</f>
        <v>2504.7953893246604</v>
      </c>
      <c r="S1527" s="987">
        <v>2019</v>
      </c>
      <c r="T1527" s="987">
        <v>2020</v>
      </c>
    </row>
    <row r="1528" spans="1:20" ht="42" customHeight="1">
      <c r="A1528" s="1271"/>
      <c r="B1528" s="1412" t="s">
        <v>1071</v>
      </c>
      <c r="C1528" s="1412"/>
      <c r="D1528" s="1412"/>
      <c r="E1528" s="1412"/>
      <c r="F1528" s="1412"/>
      <c r="G1528" s="1412"/>
      <c r="H1528" s="993">
        <f>H1529+H1530+H1531+H1532</f>
        <v>3436.8999999999996</v>
      </c>
      <c r="I1528" s="993">
        <f t="shared" ref="I1528:Q1528" si="479">I1529+I1530+I1531+I1532</f>
        <v>3157.1</v>
      </c>
      <c r="J1528" s="993">
        <f t="shared" si="479"/>
        <v>2336.21</v>
      </c>
      <c r="K1528" s="987">
        <f t="shared" si="479"/>
        <v>153</v>
      </c>
      <c r="L1528" s="993">
        <f t="shared" si="479"/>
        <v>7767294.4500000002</v>
      </c>
      <c r="M1528" s="993">
        <f t="shared" si="479"/>
        <v>0</v>
      </c>
      <c r="N1528" s="993">
        <f t="shared" si="479"/>
        <v>0</v>
      </c>
      <c r="O1528" s="993">
        <f t="shared" si="479"/>
        <v>7767294.4500000002</v>
      </c>
      <c r="P1528" s="993">
        <f t="shared" si="479"/>
        <v>0</v>
      </c>
      <c r="Q1528" s="993">
        <f t="shared" si="479"/>
        <v>0</v>
      </c>
      <c r="R1528" s="991" t="s">
        <v>40</v>
      </c>
      <c r="S1528" s="991" t="s">
        <v>40</v>
      </c>
      <c r="T1528" s="991" t="s">
        <v>40</v>
      </c>
    </row>
    <row r="1529" spans="1:20" ht="43.9" customHeight="1">
      <c r="A1529" s="1271">
        <v>437</v>
      </c>
      <c r="B1529" s="1274" t="s">
        <v>594</v>
      </c>
      <c r="C1529" s="1279">
        <v>1969</v>
      </c>
      <c r="D1529" s="1279"/>
      <c r="E1529" s="1271" t="s">
        <v>218</v>
      </c>
      <c r="F1529" s="1279">
        <v>3</v>
      </c>
      <c r="G1529" s="1279">
        <v>3</v>
      </c>
      <c r="H1529" s="985">
        <v>1575.1</v>
      </c>
      <c r="I1529" s="985">
        <v>1438.1</v>
      </c>
      <c r="J1529" s="985">
        <v>1438.1</v>
      </c>
      <c r="K1529" s="1064">
        <v>54</v>
      </c>
      <c r="L1529" s="986">
        <v>2641818.4500000002</v>
      </c>
      <c r="M1529" s="986">
        <v>0</v>
      </c>
      <c r="N1529" s="986">
        <v>0</v>
      </c>
      <c r="O1529" s="986">
        <v>2641818.4500000002</v>
      </c>
      <c r="P1529" s="993">
        <v>0</v>
      </c>
      <c r="Q1529" s="986">
        <v>0</v>
      </c>
      <c r="R1529" s="985">
        <v>1837.0199916556571</v>
      </c>
      <c r="S1529" s="987">
        <v>2017</v>
      </c>
      <c r="T1529" s="987">
        <v>2020</v>
      </c>
    </row>
    <row r="1530" spans="1:20" ht="43.15" customHeight="1">
      <c r="A1530" s="1271">
        <v>438</v>
      </c>
      <c r="B1530" s="1274" t="s">
        <v>1039</v>
      </c>
      <c r="C1530" s="1271">
        <v>1963</v>
      </c>
      <c r="D1530" s="1108"/>
      <c r="E1530" s="1271" t="s">
        <v>218</v>
      </c>
      <c r="F1530" s="1271">
        <v>2</v>
      </c>
      <c r="G1530" s="1271">
        <v>2</v>
      </c>
      <c r="H1530" s="985">
        <v>438</v>
      </c>
      <c r="I1530" s="985">
        <v>393.4</v>
      </c>
      <c r="J1530" s="985">
        <v>233.2</v>
      </c>
      <c r="K1530" s="1064">
        <v>22</v>
      </c>
      <c r="L1530" s="986">
        <v>1527133</v>
      </c>
      <c r="M1530" s="986">
        <v>0</v>
      </c>
      <c r="N1530" s="986">
        <v>0</v>
      </c>
      <c r="O1530" s="986">
        <v>1527133</v>
      </c>
      <c r="P1530" s="993">
        <v>0</v>
      </c>
      <c r="Q1530" s="986">
        <v>0</v>
      </c>
      <c r="R1530" s="985">
        <v>3881.8835790543976</v>
      </c>
      <c r="S1530" s="987">
        <v>2019</v>
      </c>
      <c r="T1530" s="987">
        <v>2020</v>
      </c>
    </row>
    <row r="1531" spans="1:20" ht="42" customHeight="1">
      <c r="A1531" s="1271">
        <v>439</v>
      </c>
      <c r="B1531" s="1274" t="s">
        <v>1040</v>
      </c>
      <c r="C1531" s="1279">
        <v>1930</v>
      </c>
      <c r="D1531" s="1279"/>
      <c r="E1531" s="1271" t="s">
        <v>221</v>
      </c>
      <c r="F1531" s="1279">
        <v>2</v>
      </c>
      <c r="G1531" s="1279">
        <v>2</v>
      </c>
      <c r="H1531" s="985">
        <v>553.79999999999995</v>
      </c>
      <c r="I1531" s="985">
        <v>504.6</v>
      </c>
      <c r="J1531" s="985">
        <v>52.91</v>
      </c>
      <c r="K1531" s="1064">
        <v>40</v>
      </c>
      <c r="L1531" s="986">
        <v>1714368</v>
      </c>
      <c r="M1531" s="986">
        <v>0</v>
      </c>
      <c r="N1531" s="986">
        <v>0</v>
      </c>
      <c r="O1531" s="986">
        <v>1714368</v>
      </c>
      <c r="P1531" s="993">
        <v>0</v>
      </c>
      <c r="Q1531" s="986">
        <v>0</v>
      </c>
      <c r="R1531" s="985">
        <v>3397.4791914387633</v>
      </c>
      <c r="S1531" s="987">
        <v>2019</v>
      </c>
      <c r="T1531" s="987">
        <v>2020</v>
      </c>
    </row>
    <row r="1532" spans="1:20" ht="36.6" customHeight="1">
      <c r="A1532" s="1271">
        <v>440</v>
      </c>
      <c r="B1532" s="1274" t="s">
        <v>1995</v>
      </c>
      <c r="C1532" s="1279">
        <v>1955</v>
      </c>
      <c r="D1532" s="1279"/>
      <c r="E1532" s="1271" t="s">
        <v>218</v>
      </c>
      <c r="F1532" s="1279">
        <v>2</v>
      </c>
      <c r="G1532" s="1279">
        <v>3</v>
      </c>
      <c r="H1532" s="985">
        <v>870</v>
      </c>
      <c r="I1532" s="985">
        <v>821</v>
      </c>
      <c r="J1532" s="985">
        <v>612</v>
      </c>
      <c r="K1532" s="1064">
        <v>37</v>
      </c>
      <c r="L1532" s="986">
        <v>1883975</v>
      </c>
      <c r="M1532" s="986">
        <v>0</v>
      </c>
      <c r="N1532" s="986">
        <v>0</v>
      </c>
      <c r="O1532" s="986">
        <v>1883975</v>
      </c>
      <c r="P1532" s="993">
        <v>0</v>
      </c>
      <c r="Q1532" s="986">
        <v>0</v>
      </c>
      <c r="R1532" s="985">
        <v>3397.4791914387633</v>
      </c>
      <c r="S1532" s="987">
        <v>2019</v>
      </c>
      <c r="T1532" s="987">
        <v>2020</v>
      </c>
    </row>
    <row r="1533" spans="1:20" ht="49.9" customHeight="1">
      <c r="A1533" s="1271"/>
      <c r="B1533" s="1274" t="s">
        <v>2946</v>
      </c>
      <c r="C1533" s="1279"/>
      <c r="D1533" s="1283"/>
      <c r="E1533" s="1271"/>
      <c r="F1533" s="1279"/>
      <c r="G1533" s="1279"/>
      <c r="H1533" s="993">
        <f>H1534+H1535+H1536</f>
        <v>12387.8</v>
      </c>
      <c r="I1533" s="993">
        <f t="shared" ref="I1533:Q1533" si="480">I1534+I1535+I1536</f>
        <v>11319.2</v>
      </c>
      <c r="J1533" s="993">
        <f t="shared" si="480"/>
        <v>10754.5</v>
      </c>
      <c r="K1533" s="987">
        <f t="shared" si="480"/>
        <v>457</v>
      </c>
      <c r="L1533" s="993">
        <f t="shared" si="480"/>
        <v>9105999</v>
      </c>
      <c r="M1533" s="993">
        <f t="shared" si="480"/>
        <v>0</v>
      </c>
      <c r="N1533" s="993">
        <f t="shared" si="480"/>
        <v>0</v>
      </c>
      <c r="O1533" s="993">
        <f t="shared" si="480"/>
        <v>9105999</v>
      </c>
      <c r="P1533" s="993">
        <f t="shared" si="480"/>
        <v>0</v>
      </c>
      <c r="Q1533" s="993">
        <f t="shared" si="480"/>
        <v>0</v>
      </c>
      <c r="R1533" s="991" t="s">
        <v>40</v>
      </c>
      <c r="S1533" s="991" t="s">
        <v>40</v>
      </c>
      <c r="T1533" s="991" t="s">
        <v>40</v>
      </c>
    </row>
    <row r="1534" spans="1:20" ht="42.6" customHeight="1">
      <c r="A1534" s="1271">
        <v>441</v>
      </c>
      <c r="B1534" s="1058" t="s">
        <v>721</v>
      </c>
      <c r="C1534" s="1279">
        <v>1977</v>
      </c>
      <c r="D1534" s="1127"/>
      <c r="E1534" s="1271" t="s">
        <v>219</v>
      </c>
      <c r="F1534" s="1271">
        <v>5</v>
      </c>
      <c r="G1534" s="1271">
        <v>4</v>
      </c>
      <c r="H1534" s="993">
        <v>3299.5</v>
      </c>
      <c r="I1534" s="985">
        <v>3053.5</v>
      </c>
      <c r="J1534" s="985">
        <v>2987.3</v>
      </c>
      <c r="K1534" s="1064">
        <v>133</v>
      </c>
      <c r="L1534" s="986">
        <v>2203612</v>
      </c>
      <c r="M1534" s="986">
        <v>0</v>
      </c>
      <c r="N1534" s="986">
        <v>0</v>
      </c>
      <c r="O1534" s="986">
        <f>L1534</f>
        <v>2203612</v>
      </c>
      <c r="P1534" s="993">
        <v>0</v>
      </c>
      <c r="Q1534" s="986">
        <v>0</v>
      </c>
      <c r="R1534" s="1037">
        <f>L1534/I1534</f>
        <v>721.66759456361547</v>
      </c>
      <c r="S1534" s="987">
        <v>2019</v>
      </c>
      <c r="T1534" s="987">
        <v>2020</v>
      </c>
    </row>
    <row r="1535" spans="1:20" ht="34.9" customHeight="1">
      <c r="A1535" s="1271">
        <v>442</v>
      </c>
      <c r="B1535" s="1058" t="s">
        <v>723</v>
      </c>
      <c r="C1535" s="1279">
        <v>1989</v>
      </c>
      <c r="D1535" s="1127"/>
      <c r="E1535" s="1271" t="s">
        <v>219</v>
      </c>
      <c r="F1535" s="1279">
        <v>5</v>
      </c>
      <c r="G1535" s="1279">
        <v>7</v>
      </c>
      <c r="H1535" s="993">
        <v>5924.3</v>
      </c>
      <c r="I1535" s="985">
        <v>5373.7</v>
      </c>
      <c r="J1535" s="985">
        <v>4875.2</v>
      </c>
      <c r="K1535" s="1064">
        <v>217</v>
      </c>
      <c r="L1535" s="986">
        <v>4707741</v>
      </c>
      <c r="M1535" s="986">
        <v>0</v>
      </c>
      <c r="N1535" s="986">
        <v>0</v>
      </c>
      <c r="O1535" s="986">
        <f t="shared" ref="O1535:O1536" si="481">L1535</f>
        <v>4707741</v>
      </c>
      <c r="P1535" s="993">
        <v>0</v>
      </c>
      <c r="Q1535" s="986">
        <v>0</v>
      </c>
      <c r="R1535" s="1037">
        <f t="shared" ref="R1535:R1536" si="482">L1535/I1535</f>
        <v>876.07067755922367</v>
      </c>
      <c r="S1535" s="987">
        <v>2019</v>
      </c>
      <c r="T1535" s="987">
        <v>2020</v>
      </c>
    </row>
    <row r="1536" spans="1:20" ht="42" customHeight="1">
      <c r="A1536" s="1271">
        <v>443</v>
      </c>
      <c r="B1536" s="1058" t="s">
        <v>1368</v>
      </c>
      <c r="C1536" s="1279">
        <v>1970</v>
      </c>
      <c r="D1536" s="1127"/>
      <c r="E1536" s="1271" t="s">
        <v>218</v>
      </c>
      <c r="F1536" s="1271">
        <v>5</v>
      </c>
      <c r="G1536" s="1271">
        <v>4</v>
      </c>
      <c r="H1536" s="993">
        <v>3164</v>
      </c>
      <c r="I1536" s="985">
        <v>2892</v>
      </c>
      <c r="J1536" s="985">
        <v>2892</v>
      </c>
      <c r="K1536" s="1064">
        <v>107</v>
      </c>
      <c r="L1536" s="986">
        <v>2194646</v>
      </c>
      <c r="M1536" s="986">
        <v>0</v>
      </c>
      <c r="N1536" s="986">
        <v>0</v>
      </c>
      <c r="O1536" s="986">
        <f t="shared" si="481"/>
        <v>2194646</v>
      </c>
      <c r="P1536" s="993">
        <v>0</v>
      </c>
      <c r="Q1536" s="986">
        <v>0</v>
      </c>
      <c r="R1536" s="1037">
        <f t="shared" si="482"/>
        <v>758.86791147994472</v>
      </c>
      <c r="S1536" s="987">
        <v>2019</v>
      </c>
      <c r="T1536" s="987">
        <v>2020</v>
      </c>
    </row>
    <row r="1537" spans="1:20" ht="37.15" customHeight="1">
      <c r="A1537" s="1271"/>
      <c r="B1537" s="1273" t="s">
        <v>1652</v>
      </c>
      <c r="C1537" s="1279"/>
      <c r="D1537" s="1283"/>
      <c r="E1537" s="1271"/>
      <c r="F1537" s="1279"/>
      <c r="G1537" s="1279"/>
      <c r="H1537" s="985">
        <f>H1538+H1539</f>
        <v>1781.4</v>
      </c>
      <c r="I1537" s="985">
        <f t="shared" ref="I1537:Q1537" si="483">I1538+I1539</f>
        <v>1605.1</v>
      </c>
      <c r="J1537" s="985">
        <f t="shared" si="483"/>
        <v>1605.1</v>
      </c>
      <c r="K1537" s="1064">
        <f t="shared" si="483"/>
        <v>52</v>
      </c>
      <c r="L1537" s="985">
        <f t="shared" si="483"/>
        <v>4485601.8100000005</v>
      </c>
      <c r="M1537" s="985">
        <f t="shared" si="483"/>
        <v>0</v>
      </c>
      <c r="N1537" s="985">
        <f t="shared" si="483"/>
        <v>0</v>
      </c>
      <c r="O1537" s="985">
        <f t="shared" si="483"/>
        <v>4485601.8100000005</v>
      </c>
      <c r="P1537" s="985">
        <f t="shared" si="483"/>
        <v>0</v>
      </c>
      <c r="Q1537" s="985">
        <f t="shared" si="483"/>
        <v>0</v>
      </c>
      <c r="R1537" s="991" t="s">
        <v>40</v>
      </c>
      <c r="S1537" s="991" t="s">
        <v>40</v>
      </c>
      <c r="T1537" s="991" t="s">
        <v>40</v>
      </c>
    </row>
    <row r="1538" spans="1:20" ht="44.45" customHeight="1">
      <c r="A1538" s="1271">
        <v>444</v>
      </c>
      <c r="B1538" s="1274" t="s">
        <v>2947</v>
      </c>
      <c r="C1538" s="1022" t="s">
        <v>1175</v>
      </c>
      <c r="D1538" s="1279"/>
      <c r="E1538" s="1271" t="s">
        <v>218</v>
      </c>
      <c r="F1538" s="1279">
        <v>3</v>
      </c>
      <c r="G1538" s="1279">
        <v>2</v>
      </c>
      <c r="H1538" s="985">
        <v>842.6</v>
      </c>
      <c r="I1538" s="985">
        <v>755.5</v>
      </c>
      <c r="J1538" s="985">
        <v>755.5</v>
      </c>
      <c r="K1538" s="1064">
        <v>26</v>
      </c>
      <c r="L1538" s="986">
        <v>1555703.83</v>
      </c>
      <c r="M1538" s="986">
        <v>0</v>
      </c>
      <c r="N1538" s="986">
        <v>0</v>
      </c>
      <c r="O1538" s="986">
        <v>1555703.83</v>
      </c>
      <c r="P1538" s="993">
        <f t="shared" ref="P1538:P1595" si="484">Q1538</f>
        <v>0</v>
      </c>
      <c r="Q1538" s="986">
        <v>0</v>
      </c>
      <c r="R1538" s="985">
        <f>L1538/I1538</f>
        <v>2059.1711846459298</v>
      </c>
      <c r="S1538" s="987">
        <v>2017</v>
      </c>
      <c r="T1538" s="987">
        <v>2022</v>
      </c>
    </row>
    <row r="1539" spans="1:20" ht="47.45" customHeight="1">
      <c r="A1539" s="1271">
        <v>445</v>
      </c>
      <c r="B1539" s="1274" t="s">
        <v>2948</v>
      </c>
      <c r="C1539" s="1022" t="s">
        <v>1176</v>
      </c>
      <c r="D1539" s="1279"/>
      <c r="E1539" s="1271" t="s">
        <v>218</v>
      </c>
      <c r="F1539" s="1279">
        <v>2</v>
      </c>
      <c r="G1539" s="1279">
        <v>3</v>
      </c>
      <c r="H1539" s="985">
        <v>938.8</v>
      </c>
      <c r="I1539" s="985">
        <v>849.6</v>
      </c>
      <c r="J1539" s="985">
        <v>849.6</v>
      </c>
      <c r="K1539" s="1064">
        <v>26</v>
      </c>
      <c r="L1539" s="986">
        <v>2929897.98</v>
      </c>
      <c r="M1539" s="986">
        <v>0</v>
      </c>
      <c r="N1539" s="986">
        <v>0</v>
      </c>
      <c r="O1539" s="986">
        <v>2929897.98</v>
      </c>
      <c r="P1539" s="993">
        <f t="shared" si="484"/>
        <v>0</v>
      </c>
      <c r="Q1539" s="986">
        <v>0</v>
      </c>
      <c r="R1539" s="985">
        <f>L1539/I1539</f>
        <v>3448.5616525423729</v>
      </c>
      <c r="S1539" s="987">
        <v>2017</v>
      </c>
      <c r="T1539" s="987">
        <v>2020</v>
      </c>
    </row>
    <row r="1540" spans="1:20" ht="46.9" customHeight="1">
      <c r="A1540" s="1271"/>
      <c r="B1540" s="1273" t="s">
        <v>55</v>
      </c>
      <c r="C1540" s="1279"/>
      <c r="D1540" s="1283"/>
      <c r="E1540" s="1271"/>
      <c r="F1540" s="1279"/>
      <c r="G1540" s="1279"/>
      <c r="H1540" s="985">
        <f>H1541</f>
        <v>2456.1</v>
      </c>
      <c r="I1540" s="985">
        <f t="shared" ref="I1540:R1540" si="485">I1541</f>
        <v>2179.3000000000002</v>
      </c>
      <c r="J1540" s="985">
        <f t="shared" si="485"/>
        <v>1943.2</v>
      </c>
      <c r="K1540" s="1064">
        <f t="shared" si="485"/>
        <v>102</v>
      </c>
      <c r="L1540" s="986">
        <f t="shared" si="485"/>
        <v>6598081</v>
      </c>
      <c r="M1540" s="986">
        <f t="shared" si="485"/>
        <v>0</v>
      </c>
      <c r="N1540" s="986">
        <f t="shared" si="485"/>
        <v>0</v>
      </c>
      <c r="O1540" s="986">
        <f t="shared" si="485"/>
        <v>6598081</v>
      </c>
      <c r="P1540" s="993">
        <f t="shared" si="484"/>
        <v>0</v>
      </c>
      <c r="Q1540" s="986">
        <f t="shared" si="485"/>
        <v>0</v>
      </c>
      <c r="R1540" s="991" t="str">
        <f t="shared" si="485"/>
        <v>Х</v>
      </c>
      <c r="S1540" s="991" t="s">
        <v>40</v>
      </c>
      <c r="T1540" s="991" t="s">
        <v>40</v>
      </c>
    </row>
    <row r="1541" spans="1:20" ht="36.6" customHeight="1">
      <c r="A1541" s="1271"/>
      <c r="B1541" s="1273" t="s">
        <v>1076</v>
      </c>
      <c r="C1541" s="1279"/>
      <c r="D1541" s="1283"/>
      <c r="E1541" s="1271"/>
      <c r="F1541" s="1279"/>
      <c r="G1541" s="1279"/>
      <c r="H1541" s="985">
        <f>SUM(H1542:H1546)</f>
        <v>2456.1</v>
      </c>
      <c r="I1541" s="985">
        <f t="shared" ref="I1541:Q1541" si="486">SUM(I1542:I1546)</f>
        <v>2179.3000000000002</v>
      </c>
      <c r="J1541" s="985">
        <f t="shared" si="486"/>
        <v>1943.2</v>
      </c>
      <c r="K1541" s="1064">
        <f t="shared" si="486"/>
        <v>102</v>
      </c>
      <c r="L1541" s="985">
        <f t="shared" si="486"/>
        <v>6598081</v>
      </c>
      <c r="M1541" s="985">
        <f t="shared" si="486"/>
        <v>0</v>
      </c>
      <c r="N1541" s="985">
        <f t="shared" si="486"/>
        <v>0</v>
      </c>
      <c r="O1541" s="985">
        <f t="shared" si="486"/>
        <v>6598081</v>
      </c>
      <c r="P1541" s="985">
        <f t="shared" si="486"/>
        <v>0</v>
      </c>
      <c r="Q1541" s="985">
        <f t="shared" si="486"/>
        <v>0</v>
      </c>
      <c r="R1541" s="991" t="s">
        <v>40</v>
      </c>
      <c r="S1541" s="991" t="s">
        <v>40</v>
      </c>
      <c r="T1541" s="991" t="s">
        <v>40</v>
      </c>
    </row>
    <row r="1542" spans="1:20" ht="40.9" customHeight="1">
      <c r="A1542" s="1271">
        <v>446</v>
      </c>
      <c r="B1542" s="1040" t="s">
        <v>1111</v>
      </c>
      <c r="C1542" s="1054" t="s">
        <v>1177</v>
      </c>
      <c r="D1542" s="1032">
        <v>1985</v>
      </c>
      <c r="E1542" s="1271" t="s">
        <v>221</v>
      </c>
      <c r="F1542" s="1032">
        <v>2</v>
      </c>
      <c r="G1542" s="1032">
        <v>2</v>
      </c>
      <c r="H1542" s="1037">
        <v>560</v>
      </c>
      <c r="I1542" s="1037">
        <v>485.2</v>
      </c>
      <c r="J1542" s="1037">
        <v>427.8</v>
      </c>
      <c r="K1542" s="1068">
        <v>16</v>
      </c>
      <c r="L1542" s="986">
        <v>1620385.19</v>
      </c>
      <c r="M1542" s="986">
        <v>0</v>
      </c>
      <c r="N1542" s="986">
        <v>0</v>
      </c>
      <c r="O1542" s="986">
        <v>1620385.19</v>
      </c>
      <c r="P1542" s="1033">
        <v>0</v>
      </c>
      <c r="Q1542" s="986">
        <v>0</v>
      </c>
      <c r="R1542" s="1037">
        <f t="shared" ref="R1542" si="487">L1542/I1542</f>
        <v>3339.6232275350371</v>
      </c>
      <c r="S1542" s="987">
        <v>2016</v>
      </c>
      <c r="T1542" s="987">
        <v>2020</v>
      </c>
    </row>
    <row r="1543" spans="1:20" ht="37.15" customHeight="1">
      <c r="A1543" s="1271">
        <v>447</v>
      </c>
      <c r="B1543" s="1040" t="s">
        <v>1113</v>
      </c>
      <c r="C1543" s="1054" t="s">
        <v>1177</v>
      </c>
      <c r="D1543" s="1032">
        <v>1995</v>
      </c>
      <c r="E1543" s="1271" t="s">
        <v>221</v>
      </c>
      <c r="F1543" s="1032">
        <v>2</v>
      </c>
      <c r="G1543" s="1032">
        <v>1</v>
      </c>
      <c r="H1543" s="1037">
        <v>422.6</v>
      </c>
      <c r="I1543" s="1037">
        <v>385.4</v>
      </c>
      <c r="J1543" s="1037">
        <v>385.4</v>
      </c>
      <c r="K1543" s="1068">
        <v>28</v>
      </c>
      <c r="L1543" s="986">
        <v>1892894.81</v>
      </c>
      <c r="M1543" s="986">
        <v>0</v>
      </c>
      <c r="N1543" s="986">
        <v>0</v>
      </c>
      <c r="O1543" s="986">
        <v>1892894.81</v>
      </c>
      <c r="P1543" s="1033">
        <v>0</v>
      </c>
      <c r="Q1543" s="986">
        <v>0</v>
      </c>
      <c r="R1543" s="1037">
        <f>L1543/I1543</f>
        <v>4911.5070316554238</v>
      </c>
      <c r="S1543" s="987">
        <v>2016</v>
      </c>
      <c r="T1543" s="987">
        <v>2020</v>
      </c>
    </row>
    <row r="1544" spans="1:20" ht="43.9" customHeight="1">
      <c r="A1544" s="1271">
        <v>448</v>
      </c>
      <c r="B1544" s="1274" t="s">
        <v>598</v>
      </c>
      <c r="C1544" s="1022" t="s">
        <v>600</v>
      </c>
      <c r="D1544" s="1279"/>
      <c r="E1544" s="1271" t="s">
        <v>218</v>
      </c>
      <c r="F1544" s="1279">
        <v>2</v>
      </c>
      <c r="G1544" s="1279">
        <v>2</v>
      </c>
      <c r="H1544" s="985">
        <v>542.5</v>
      </c>
      <c r="I1544" s="985">
        <v>490.5</v>
      </c>
      <c r="J1544" s="985">
        <v>460.2</v>
      </c>
      <c r="K1544" s="1064">
        <v>16</v>
      </c>
      <c r="L1544" s="986">
        <v>1550741</v>
      </c>
      <c r="M1544" s="986">
        <v>0</v>
      </c>
      <c r="N1544" s="986">
        <v>0</v>
      </c>
      <c r="O1544" s="986">
        <v>1550741</v>
      </c>
      <c r="P1544" s="993">
        <f t="shared" si="484"/>
        <v>0</v>
      </c>
      <c r="Q1544" s="986">
        <v>0</v>
      </c>
      <c r="R1544" s="985">
        <f>L1544/I1544</f>
        <v>3161.5514780835883</v>
      </c>
      <c r="S1544" s="987">
        <v>2017</v>
      </c>
      <c r="T1544" s="987">
        <v>2020</v>
      </c>
    </row>
    <row r="1545" spans="1:20" ht="43.9" customHeight="1">
      <c r="A1545" s="1271">
        <v>449</v>
      </c>
      <c r="B1545" s="1274" t="s">
        <v>599</v>
      </c>
      <c r="C1545" s="1022" t="s">
        <v>601</v>
      </c>
      <c r="D1545" s="1279"/>
      <c r="E1545" s="1271" t="s">
        <v>218</v>
      </c>
      <c r="F1545" s="1279">
        <v>2</v>
      </c>
      <c r="G1545" s="1279">
        <v>1</v>
      </c>
      <c r="H1545" s="985">
        <v>369.6</v>
      </c>
      <c r="I1545" s="985">
        <v>304.39999999999998</v>
      </c>
      <c r="J1545" s="985">
        <v>219</v>
      </c>
      <c r="K1545" s="1064">
        <v>23</v>
      </c>
      <c r="L1545" s="986">
        <v>1258689</v>
      </c>
      <c r="M1545" s="986">
        <v>0</v>
      </c>
      <c r="N1545" s="986">
        <v>0</v>
      </c>
      <c r="O1545" s="986">
        <f>L1545</f>
        <v>1258689</v>
      </c>
      <c r="P1545" s="993">
        <f t="shared" si="484"/>
        <v>0</v>
      </c>
      <c r="Q1545" s="986">
        <v>0</v>
      </c>
      <c r="R1545" s="985">
        <f>L1545/I1545</f>
        <v>4134.9835742444156</v>
      </c>
      <c r="S1545" s="987">
        <v>2017</v>
      </c>
      <c r="T1545" s="987">
        <v>2020</v>
      </c>
    </row>
    <row r="1546" spans="1:20" ht="54.75" customHeight="1">
      <c r="A1546" s="1271">
        <v>450</v>
      </c>
      <c r="B1546" s="1274" t="s">
        <v>602</v>
      </c>
      <c r="C1546" s="1022" t="s">
        <v>603</v>
      </c>
      <c r="D1546" s="1279"/>
      <c r="E1546" s="1271" t="s">
        <v>220</v>
      </c>
      <c r="F1546" s="1279">
        <v>2</v>
      </c>
      <c r="G1546" s="1279">
        <v>2</v>
      </c>
      <c r="H1546" s="985">
        <v>561.4</v>
      </c>
      <c r="I1546" s="985">
        <v>513.79999999999995</v>
      </c>
      <c r="J1546" s="985">
        <v>450.8</v>
      </c>
      <c r="K1546" s="1064">
        <v>19</v>
      </c>
      <c r="L1546" s="986">
        <v>275371</v>
      </c>
      <c r="M1546" s="986">
        <v>0</v>
      </c>
      <c r="N1546" s="986">
        <v>0</v>
      </c>
      <c r="O1546" s="986">
        <v>275371</v>
      </c>
      <c r="P1546" s="993">
        <v>0</v>
      </c>
      <c r="Q1546" s="986">
        <v>0</v>
      </c>
      <c r="R1546" s="985">
        <f>L1546/I1546</f>
        <v>535.94978590891401</v>
      </c>
      <c r="S1546" s="987">
        <v>2018</v>
      </c>
      <c r="T1546" s="987">
        <v>2020</v>
      </c>
    </row>
    <row r="1547" spans="1:20" ht="41.45" customHeight="1">
      <c r="A1547" s="1271"/>
      <c r="B1547" s="1273" t="s">
        <v>1989</v>
      </c>
      <c r="C1547" s="1279"/>
      <c r="D1547" s="1283"/>
      <c r="E1547" s="1271"/>
      <c r="F1547" s="1279"/>
      <c r="G1547" s="1279"/>
      <c r="H1547" s="985">
        <f t="shared" ref="H1547:Q1547" si="488">H1548+H1560+H1566</f>
        <v>21204</v>
      </c>
      <c r="I1547" s="985">
        <f t="shared" si="488"/>
        <v>16476.100000000002</v>
      </c>
      <c r="J1547" s="985">
        <f t="shared" si="488"/>
        <v>12163.1</v>
      </c>
      <c r="K1547" s="1064">
        <f t="shared" si="488"/>
        <v>876</v>
      </c>
      <c r="L1547" s="985">
        <f t="shared" si="488"/>
        <v>24172875.729999997</v>
      </c>
      <c r="M1547" s="985">
        <f t="shared" si="488"/>
        <v>0</v>
      </c>
      <c r="N1547" s="985">
        <f t="shared" si="488"/>
        <v>0</v>
      </c>
      <c r="O1547" s="985">
        <f t="shared" si="488"/>
        <v>24172875.729999997</v>
      </c>
      <c r="P1547" s="985">
        <f t="shared" si="488"/>
        <v>0</v>
      </c>
      <c r="Q1547" s="985">
        <f t="shared" si="488"/>
        <v>0</v>
      </c>
      <c r="R1547" s="991" t="str">
        <f t="shared" ref="R1547" si="489">R1548</f>
        <v>Х</v>
      </c>
      <c r="S1547" s="991" t="s">
        <v>40</v>
      </c>
      <c r="T1547" s="991" t="s">
        <v>40</v>
      </c>
    </row>
    <row r="1548" spans="1:20" ht="41.45" customHeight="1">
      <c r="A1548" s="1271"/>
      <c r="B1548" s="1274" t="s">
        <v>2024</v>
      </c>
      <c r="C1548" s="1279"/>
      <c r="D1548" s="1283"/>
      <c r="E1548" s="1271"/>
      <c r="F1548" s="1279"/>
      <c r="G1548" s="1279"/>
      <c r="H1548" s="985">
        <f>SUM(H1549:H1559)</f>
        <v>10612.5</v>
      </c>
      <c r="I1548" s="985">
        <f t="shared" ref="I1548:Q1548" si="490">SUM(I1549:I1559)</f>
        <v>8181.6</v>
      </c>
      <c r="J1548" s="985">
        <f t="shared" si="490"/>
        <v>5485.6</v>
      </c>
      <c r="K1548" s="1064">
        <f t="shared" si="490"/>
        <v>469</v>
      </c>
      <c r="L1548" s="985">
        <f t="shared" si="490"/>
        <v>15996782.669999998</v>
      </c>
      <c r="M1548" s="985">
        <f t="shared" si="490"/>
        <v>0</v>
      </c>
      <c r="N1548" s="985">
        <f t="shared" si="490"/>
        <v>0</v>
      </c>
      <c r="O1548" s="985">
        <f t="shared" si="490"/>
        <v>15996782.669999998</v>
      </c>
      <c r="P1548" s="985">
        <f t="shared" si="490"/>
        <v>0</v>
      </c>
      <c r="Q1548" s="985">
        <f t="shared" si="490"/>
        <v>0</v>
      </c>
      <c r="R1548" s="991" t="s">
        <v>40</v>
      </c>
      <c r="S1548" s="991" t="s">
        <v>40</v>
      </c>
      <c r="T1548" s="991" t="s">
        <v>40</v>
      </c>
    </row>
    <row r="1549" spans="1:20" ht="45.6" customHeight="1">
      <c r="A1549" s="1271">
        <v>451</v>
      </c>
      <c r="B1549" s="1274" t="s">
        <v>2949</v>
      </c>
      <c r="C1549" s="1271">
        <v>1955</v>
      </c>
      <c r="D1549" s="1271"/>
      <c r="E1549" s="1271" t="s">
        <v>218</v>
      </c>
      <c r="F1549" s="1271">
        <v>2</v>
      </c>
      <c r="G1549" s="1271">
        <v>2</v>
      </c>
      <c r="H1549" s="985">
        <v>436.8</v>
      </c>
      <c r="I1549" s="985">
        <v>391.3</v>
      </c>
      <c r="J1549" s="985">
        <v>391.3</v>
      </c>
      <c r="K1549" s="1064">
        <v>18</v>
      </c>
      <c r="L1549" s="985">
        <v>1345298.9</v>
      </c>
      <c r="M1549" s="985">
        <v>0</v>
      </c>
      <c r="N1549" s="985">
        <v>0</v>
      </c>
      <c r="O1549" s="985">
        <v>1345298.9</v>
      </c>
      <c r="P1549" s="985">
        <v>0</v>
      </c>
      <c r="Q1549" s="985">
        <v>0</v>
      </c>
      <c r="R1549" s="993">
        <f>L1549/I1549</f>
        <v>3438.0242780475337</v>
      </c>
      <c r="S1549" s="1064">
        <v>2016</v>
      </c>
      <c r="T1549" s="1064">
        <v>2022</v>
      </c>
    </row>
    <row r="1550" spans="1:20" ht="43.9" customHeight="1">
      <c r="A1550" s="1271">
        <v>452</v>
      </c>
      <c r="B1550" s="1274" t="s">
        <v>2175</v>
      </c>
      <c r="C1550" s="1271">
        <v>1963</v>
      </c>
      <c r="D1550" s="1271"/>
      <c r="E1550" s="1271" t="s">
        <v>218</v>
      </c>
      <c r="F1550" s="1271">
        <v>3</v>
      </c>
      <c r="G1550" s="1271">
        <v>3</v>
      </c>
      <c r="H1550" s="993">
        <v>2235.5</v>
      </c>
      <c r="I1550" s="993">
        <v>1556</v>
      </c>
      <c r="J1550" s="993">
        <v>1556</v>
      </c>
      <c r="K1550" s="987">
        <v>50</v>
      </c>
      <c r="L1550" s="993">
        <v>2742740.33</v>
      </c>
      <c r="M1550" s="993">
        <v>0</v>
      </c>
      <c r="N1550" s="993">
        <v>0</v>
      </c>
      <c r="O1550" s="993">
        <v>2742740.33</v>
      </c>
      <c r="P1550" s="993">
        <f t="shared" ref="P1550:P1552" si="491">Q1550</f>
        <v>0</v>
      </c>
      <c r="Q1550" s="993">
        <v>0</v>
      </c>
      <c r="R1550" s="993">
        <f>L1550/I1550</f>
        <v>1762.6865874035991</v>
      </c>
      <c r="S1550" s="987">
        <v>2017</v>
      </c>
      <c r="T1550" s="987">
        <v>2022</v>
      </c>
    </row>
    <row r="1551" spans="1:20" ht="53.45" customHeight="1">
      <c r="A1551" s="1271">
        <v>453</v>
      </c>
      <c r="B1551" s="1274" t="s">
        <v>2305</v>
      </c>
      <c r="C1551" s="1271">
        <v>1962</v>
      </c>
      <c r="D1551" s="1271"/>
      <c r="E1551" s="1271" t="s">
        <v>218</v>
      </c>
      <c r="F1551" s="1271">
        <v>2</v>
      </c>
      <c r="G1551" s="1271">
        <v>2</v>
      </c>
      <c r="H1551" s="993">
        <v>522.5</v>
      </c>
      <c r="I1551" s="993">
        <v>458.9</v>
      </c>
      <c r="J1551" s="993">
        <v>381</v>
      </c>
      <c r="K1551" s="987">
        <v>21</v>
      </c>
      <c r="L1551" s="993">
        <v>313233.65000000002</v>
      </c>
      <c r="M1551" s="993">
        <v>0</v>
      </c>
      <c r="N1551" s="993">
        <v>0</v>
      </c>
      <c r="O1551" s="993">
        <v>313233.65000000002</v>
      </c>
      <c r="P1551" s="993">
        <f t="shared" si="491"/>
        <v>0</v>
      </c>
      <c r="Q1551" s="993">
        <v>0</v>
      </c>
      <c r="R1551" s="993">
        <f>L1551/I1551</f>
        <v>682.57496186533024</v>
      </c>
      <c r="S1551" s="987">
        <v>2017</v>
      </c>
      <c r="T1551" s="987">
        <v>2022</v>
      </c>
    </row>
    <row r="1552" spans="1:20" ht="43.9" customHeight="1">
      <c r="A1552" s="1271">
        <v>454</v>
      </c>
      <c r="B1552" s="1273" t="s">
        <v>2176</v>
      </c>
      <c r="C1552" s="1271">
        <v>1956</v>
      </c>
      <c r="D1552" s="1271"/>
      <c r="E1552" s="1271" t="s">
        <v>218</v>
      </c>
      <c r="F1552" s="1271">
        <v>2</v>
      </c>
      <c r="G1552" s="1271">
        <v>1</v>
      </c>
      <c r="H1552" s="993">
        <v>424.4</v>
      </c>
      <c r="I1552" s="993">
        <v>390.4</v>
      </c>
      <c r="J1552" s="993">
        <v>270</v>
      </c>
      <c r="K1552" s="987">
        <v>25</v>
      </c>
      <c r="L1552" s="993">
        <f t="shared" ref="L1552" si="492">O1552</f>
        <v>1887048</v>
      </c>
      <c r="M1552" s="993">
        <v>0</v>
      </c>
      <c r="N1552" s="993">
        <v>0</v>
      </c>
      <c r="O1552" s="993">
        <v>1887048</v>
      </c>
      <c r="P1552" s="993">
        <f t="shared" si="491"/>
        <v>0</v>
      </c>
      <c r="Q1552" s="993">
        <v>0</v>
      </c>
      <c r="R1552" s="993">
        <f>L1552/I1552</f>
        <v>4833.627049180328</v>
      </c>
      <c r="S1552" s="987">
        <v>2017</v>
      </c>
      <c r="T1552" s="987">
        <v>2020</v>
      </c>
    </row>
    <row r="1553" spans="1:20" ht="55.15" customHeight="1">
      <c r="A1553" s="1271">
        <v>455</v>
      </c>
      <c r="B1553" s="1274" t="s">
        <v>2177</v>
      </c>
      <c r="C1553" s="1271" t="s">
        <v>714</v>
      </c>
      <c r="D1553" s="1271"/>
      <c r="E1553" s="1271" t="s">
        <v>218</v>
      </c>
      <c r="F1553" s="1271">
        <v>2</v>
      </c>
      <c r="G1553" s="1271">
        <v>1</v>
      </c>
      <c r="H1553" s="993">
        <v>496.4</v>
      </c>
      <c r="I1553" s="993">
        <v>286.2</v>
      </c>
      <c r="J1553" s="993">
        <v>286.2</v>
      </c>
      <c r="K1553" s="987">
        <v>10</v>
      </c>
      <c r="L1553" s="993">
        <v>712812.07</v>
      </c>
      <c r="M1553" s="993">
        <v>0</v>
      </c>
      <c r="N1553" s="993">
        <v>0</v>
      </c>
      <c r="O1553" s="993">
        <v>712812.07</v>
      </c>
      <c r="P1553" s="993">
        <v>0</v>
      </c>
      <c r="Q1553" s="993">
        <v>0</v>
      </c>
      <c r="R1553" s="993">
        <f t="shared" ref="R1553:R1559" si="493">L1553/I1553</f>
        <v>2490.6082110412299</v>
      </c>
      <c r="S1553" s="987">
        <v>2018</v>
      </c>
      <c r="T1553" s="987">
        <v>2022</v>
      </c>
    </row>
    <row r="1554" spans="1:20" ht="45" customHeight="1">
      <c r="A1554" s="1271">
        <v>456</v>
      </c>
      <c r="B1554" s="1274" t="s">
        <v>2299</v>
      </c>
      <c r="C1554" s="1271">
        <v>1963</v>
      </c>
      <c r="D1554" s="1271"/>
      <c r="E1554" s="1271" t="s">
        <v>218</v>
      </c>
      <c r="F1554" s="1271">
        <v>2</v>
      </c>
      <c r="G1554" s="1271">
        <v>2</v>
      </c>
      <c r="H1554" s="993">
        <v>403.2</v>
      </c>
      <c r="I1554" s="993">
        <v>356.4</v>
      </c>
      <c r="J1554" s="993">
        <v>356.4</v>
      </c>
      <c r="K1554" s="987">
        <v>26</v>
      </c>
      <c r="L1554" s="993">
        <v>898439.81</v>
      </c>
      <c r="M1554" s="993">
        <v>0</v>
      </c>
      <c r="N1554" s="993">
        <v>0</v>
      </c>
      <c r="O1554" s="993">
        <v>898439.81</v>
      </c>
      <c r="P1554" s="993">
        <v>0</v>
      </c>
      <c r="Q1554" s="993">
        <v>0</v>
      </c>
      <c r="R1554" s="993">
        <f t="shared" si="493"/>
        <v>2520.8748877665548</v>
      </c>
      <c r="S1554" s="987">
        <v>2018</v>
      </c>
      <c r="T1554" s="987">
        <v>2022</v>
      </c>
    </row>
    <row r="1555" spans="1:20" ht="40.15" customHeight="1">
      <c r="A1555" s="1271">
        <v>457</v>
      </c>
      <c r="B1555" s="1273" t="s">
        <v>2178</v>
      </c>
      <c r="C1555" s="1271">
        <v>1970</v>
      </c>
      <c r="D1555" s="1271"/>
      <c r="E1555" s="1271" t="s">
        <v>218</v>
      </c>
      <c r="F1555" s="1271">
        <v>4</v>
      </c>
      <c r="G1555" s="1271">
        <v>1</v>
      </c>
      <c r="H1555" s="993">
        <v>2534.4</v>
      </c>
      <c r="I1555" s="993">
        <v>2393.6999999999998</v>
      </c>
      <c r="J1555" s="993">
        <v>221.4</v>
      </c>
      <c r="K1555" s="987">
        <v>131</v>
      </c>
      <c r="L1555" s="993">
        <v>2201411.69</v>
      </c>
      <c r="M1555" s="993">
        <v>0</v>
      </c>
      <c r="N1555" s="993">
        <v>0</v>
      </c>
      <c r="O1555" s="993">
        <v>2201411.69</v>
      </c>
      <c r="P1555" s="993">
        <v>0</v>
      </c>
      <c r="Q1555" s="993">
        <v>0</v>
      </c>
      <c r="R1555" s="993">
        <f t="shared" si="493"/>
        <v>919.66900196348752</v>
      </c>
      <c r="S1555" s="987">
        <v>2018</v>
      </c>
      <c r="T1555" s="987">
        <v>2020</v>
      </c>
    </row>
    <row r="1556" spans="1:20" ht="47.45" customHeight="1">
      <c r="A1556" s="1271">
        <v>458</v>
      </c>
      <c r="B1556" s="1273" t="s">
        <v>1647</v>
      </c>
      <c r="C1556" s="1271">
        <v>1968</v>
      </c>
      <c r="D1556" s="1271"/>
      <c r="E1556" s="1271" t="s">
        <v>218</v>
      </c>
      <c r="F1556" s="1271">
        <v>2</v>
      </c>
      <c r="G1556" s="1271">
        <v>1</v>
      </c>
      <c r="H1556" s="993">
        <v>329.5</v>
      </c>
      <c r="I1556" s="993">
        <v>299.10000000000002</v>
      </c>
      <c r="J1556" s="993">
        <v>299.10000000000002</v>
      </c>
      <c r="K1556" s="987">
        <v>22</v>
      </c>
      <c r="L1556" s="993">
        <v>205467.04</v>
      </c>
      <c r="M1556" s="993">
        <v>0</v>
      </c>
      <c r="N1556" s="993">
        <v>0</v>
      </c>
      <c r="O1556" s="993">
        <v>205467.04</v>
      </c>
      <c r="P1556" s="993">
        <v>0</v>
      </c>
      <c r="Q1556" s="993">
        <v>0</v>
      </c>
      <c r="R1556" s="993">
        <f t="shared" si="493"/>
        <v>686.9509862922099</v>
      </c>
      <c r="S1556" s="987">
        <v>2018</v>
      </c>
      <c r="T1556" s="987">
        <v>2022</v>
      </c>
    </row>
    <row r="1557" spans="1:20" ht="47.45" customHeight="1">
      <c r="A1557" s="1271">
        <v>459</v>
      </c>
      <c r="B1557" s="1273" t="s">
        <v>1648</v>
      </c>
      <c r="C1557" s="1271">
        <v>1976</v>
      </c>
      <c r="D1557" s="1271"/>
      <c r="E1557" s="1271" t="s">
        <v>218</v>
      </c>
      <c r="F1557" s="1271">
        <v>2</v>
      </c>
      <c r="G1557" s="1271">
        <v>2</v>
      </c>
      <c r="H1557" s="993">
        <v>1011.9</v>
      </c>
      <c r="I1557" s="993">
        <v>686.6</v>
      </c>
      <c r="J1557" s="993">
        <v>603</v>
      </c>
      <c r="K1557" s="987">
        <v>62</v>
      </c>
      <c r="L1557" s="993">
        <v>2742263.53</v>
      </c>
      <c r="M1557" s="993">
        <v>0</v>
      </c>
      <c r="N1557" s="993">
        <v>0</v>
      </c>
      <c r="O1557" s="993">
        <v>2742263.53</v>
      </c>
      <c r="P1557" s="993">
        <v>0</v>
      </c>
      <c r="Q1557" s="993">
        <v>0</v>
      </c>
      <c r="R1557" s="993">
        <f t="shared" si="493"/>
        <v>3993.9754296533638</v>
      </c>
      <c r="S1557" s="987">
        <v>2019</v>
      </c>
      <c r="T1557" s="987">
        <v>2022</v>
      </c>
    </row>
    <row r="1558" spans="1:20" ht="42.6" customHeight="1">
      <c r="A1558" s="1271">
        <v>460</v>
      </c>
      <c r="B1558" s="1274" t="s">
        <v>2950</v>
      </c>
      <c r="C1558" s="1271">
        <v>1983</v>
      </c>
      <c r="D1558" s="1271"/>
      <c r="E1558" s="1271" t="s">
        <v>218</v>
      </c>
      <c r="F1558" s="1271">
        <v>2</v>
      </c>
      <c r="G1558" s="1271">
        <v>2</v>
      </c>
      <c r="H1558" s="993">
        <v>1325.6</v>
      </c>
      <c r="I1558" s="993">
        <v>781.4</v>
      </c>
      <c r="J1558" s="993">
        <v>694.1</v>
      </c>
      <c r="K1558" s="987">
        <v>54</v>
      </c>
      <c r="L1558" s="993">
        <v>1540084</v>
      </c>
      <c r="M1558" s="993">
        <v>0</v>
      </c>
      <c r="N1558" s="993">
        <v>0</v>
      </c>
      <c r="O1558" s="993">
        <v>1540084</v>
      </c>
      <c r="P1558" s="993">
        <v>0</v>
      </c>
      <c r="Q1558" s="993">
        <v>0</v>
      </c>
      <c r="R1558" s="993">
        <f t="shared" si="493"/>
        <v>1970.9291016124905</v>
      </c>
      <c r="S1558" s="987">
        <v>2019</v>
      </c>
      <c r="T1558" s="987">
        <v>2020</v>
      </c>
    </row>
    <row r="1559" spans="1:20" ht="45.6" customHeight="1">
      <c r="A1559" s="1271">
        <v>461</v>
      </c>
      <c r="B1559" s="1274" t="s">
        <v>2951</v>
      </c>
      <c r="C1559" s="1271">
        <v>1966</v>
      </c>
      <c r="D1559" s="1271"/>
      <c r="E1559" s="1271" t="s">
        <v>218</v>
      </c>
      <c r="F1559" s="1271">
        <v>3</v>
      </c>
      <c r="G1559" s="1271">
        <v>2</v>
      </c>
      <c r="H1559" s="993">
        <v>892.3</v>
      </c>
      <c r="I1559" s="993">
        <v>581.6</v>
      </c>
      <c r="J1559" s="993">
        <v>427.1</v>
      </c>
      <c r="K1559" s="987">
        <v>50</v>
      </c>
      <c r="L1559" s="993">
        <v>1407983.65</v>
      </c>
      <c r="M1559" s="993">
        <v>0</v>
      </c>
      <c r="N1559" s="993">
        <v>0</v>
      </c>
      <c r="O1559" s="993">
        <v>1407983.65</v>
      </c>
      <c r="P1559" s="993">
        <v>0</v>
      </c>
      <c r="Q1559" s="993">
        <v>0</v>
      </c>
      <c r="R1559" s="993">
        <f t="shared" si="493"/>
        <v>2420.8797283356257</v>
      </c>
      <c r="S1559" s="987">
        <v>2019</v>
      </c>
      <c r="T1559" s="987">
        <v>2020</v>
      </c>
    </row>
    <row r="1560" spans="1:20" ht="42.6" customHeight="1">
      <c r="A1560" s="1271"/>
      <c r="B1560" s="1274" t="s">
        <v>2025</v>
      </c>
      <c r="C1560" s="1279"/>
      <c r="D1560" s="1283"/>
      <c r="E1560" s="1271"/>
      <c r="F1560" s="1279"/>
      <c r="G1560" s="1279"/>
      <c r="H1560" s="985">
        <f>H1561+H1562+H1563+H1564+H1565</f>
        <v>9196.1</v>
      </c>
      <c r="I1560" s="985">
        <f t="shared" ref="I1560:Q1560" si="494">I1561+I1562+I1563+I1564+I1565</f>
        <v>6899.1</v>
      </c>
      <c r="J1560" s="985">
        <f t="shared" si="494"/>
        <v>5350</v>
      </c>
      <c r="K1560" s="1064">
        <f t="shared" si="494"/>
        <v>325</v>
      </c>
      <c r="L1560" s="985">
        <f t="shared" si="494"/>
        <v>7740931.0599999996</v>
      </c>
      <c r="M1560" s="985">
        <f t="shared" si="494"/>
        <v>0</v>
      </c>
      <c r="N1560" s="985">
        <f t="shared" si="494"/>
        <v>0</v>
      </c>
      <c r="O1560" s="985">
        <f t="shared" si="494"/>
        <v>7740931.0599999996</v>
      </c>
      <c r="P1560" s="985">
        <f t="shared" si="494"/>
        <v>0</v>
      </c>
      <c r="Q1560" s="985">
        <f t="shared" si="494"/>
        <v>0</v>
      </c>
      <c r="R1560" s="991" t="s">
        <v>40</v>
      </c>
      <c r="S1560" s="991" t="s">
        <v>40</v>
      </c>
      <c r="T1560" s="991" t="s">
        <v>40</v>
      </c>
    </row>
    <row r="1561" spans="1:20" ht="39" customHeight="1">
      <c r="A1561" s="1271">
        <v>462</v>
      </c>
      <c r="B1561" s="1274" t="s">
        <v>2952</v>
      </c>
      <c r="C1561" s="1271">
        <v>1956</v>
      </c>
      <c r="D1561" s="1274"/>
      <c r="E1561" s="1271" t="s">
        <v>218</v>
      </c>
      <c r="F1561" s="1271">
        <v>2</v>
      </c>
      <c r="G1561" s="1271">
        <v>2</v>
      </c>
      <c r="H1561" s="985">
        <v>432.6</v>
      </c>
      <c r="I1561" s="985">
        <v>387.2</v>
      </c>
      <c r="J1561" s="985">
        <v>182.5</v>
      </c>
      <c r="K1561" s="1064">
        <v>26</v>
      </c>
      <c r="L1561" s="986">
        <f>O1561</f>
        <v>1268038</v>
      </c>
      <c r="M1561" s="986">
        <v>0</v>
      </c>
      <c r="N1561" s="986">
        <v>0</v>
      </c>
      <c r="O1561" s="986">
        <v>1268038</v>
      </c>
      <c r="P1561" s="993">
        <v>0</v>
      </c>
      <c r="Q1561" s="986">
        <v>0</v>
      </c>
      <c r="R1561" s="985">
        <f>L1561/I1561</f>
        <v>3274.8915289256202</v>
      </c>
      <c r="S1561" s="987">
        <v>2018</v>
      </c>
      <c r="T1561" s="987">
        <v>2020</v>
      </c>
    </row>
    <row r="1562" spans="1:20" ht="40.15" customHeight="1">
      <c r="A1562" s="1271">
        <v>463</v>
      </c>
      <c r="B1562" s="1274" t="s">
        <v>2953</v>
      </c>
      <c r="C1562" s="1271">
        <v>1954</v>
      </c>
      <c r="D1562" s="1274"/>
      <c r="E1562" s="1271" t="s">
        <v>218</v>
      </c>
      <c r="F1562" s="1271">
        <v>2</v>
      </c>
      <c r="G1562" s="1271">
        <v>2</v>
      </c>
      <c r="H1562" s="985">
        <v>427.1</v>
      </c>
      <c r="I1562" s="985">
        <v>383.9</v>
      </c>
      <c r="J1562" s="985">
        <v>278.3</v>
      </c>
      <c r="K1562" s="1064">
        <v>17</v>
      </c>
      <c r="L1562" s="986">
        <v>1318782.8799999999</v>
      </c>
      <c r="M1562" s="986">
        <v>0</v>
      </c>
      <c r="N1562" s="986">
        <v>0</v>
      </c>
      <c r="O1562" s="986">
        <v>1318782.8799999999</v>
      </c>
      <c r="P1562" s="993">
        <v>0</v>
      </c>
      <c r="Q1562" s="986">
        <v>0</v>
      </c>
      <c r="R1562" s="985">
        <f>L1562/I1562</f>
        <v>3435.2250065121125</v>
      </c>
      <c r="S1562" s="987">
        <v>2018</v>
      </c>
      <c r="T1562" s="987">
        <v>2020</v>
      </c>
    </row>
    <row r="1563" spans="1:20" ht="42" customHeight="1">
      <c r="A1563" s="1271">
        <v>464</v>
      </c>
      <c r="B1563" s="1274" t="s">
        <v>2954</v>
      </c>
      <c r="C1563" s="1271">
        <v>1953</v>
      </c>
      <c r="D1563" s="1279"/>
      <c r="E1563" s="1271" t="s">
        <v>218</v>
      </c>
      <c r="F1563" s="1279">
        <v>2</v>
      </c>
      <c r="G1563" s="1279">
        <v>2</v>
      </c>
      <c r="H1563" s="985">
        <v>433.6</v>
      </c>
      <c r="I1563" s="985">
        <v>388.6</v>
      </c>
      <c r="J1563" s="985">
        <v>388.6</v>
      </c>
      <c r="K1563" s="1064">
        <v>14</v>
      </c>
      <c r="L1563" s="986">
        <v>1351512.96</v>
      </c>
      <c r="M1563" s="986">
        <v>0</v>
      </c>
      <c r="N1563" s="986">
        <v>0</v>
      </c>
      <c r="O1563" s="986">
        <v>1351512.96</v>
      </c>
      <c r="P1563" s="993">
        <v>0</v>
      </c>
      <c r="Q1563" s="986">
        <v>0</v>
      </c>
      <c r="R1563" s="985">
        <f>L1563/I1563</f>
        <v>3477.902624806999</v>
      </c>
      <c r="S1563" s="987">
        <v>2018</v>
      </c>
      <c r="T1563" s="987">
        <v>2020</v>
      </c>
    </row>
    <row r="1564" spans="1:20" ht="39.6" customHeight="1">
      <c r="A1564" s="1271">
        <v>465</v>
      </c>
      <c r="B1564" s="1274" t="s">
        <v>2093</v>
      </c>
      <c r="C1564" s="1271">
        <v>1984</v>
      </c>
      <c r="D1564" s="1279"/>
      <c r="E1564" s="1271" t="s">
        <v>218</v>
      </c>
      <c r="F1564" s="1279">
        <v>5</v>
      </c>
      <c r="G1564" s="1279">
        <v>1</v>
      </c>
      <c r="H1564" s="985">
        <v>3948.8</v>
      </c>
      <c r="I1564" s="985">
        <v>2687.9</v>
      </c>
      <c r="J1564" s="985">
        <v>1667.1</v>
      </c>
      <c r="K1564" s="1064">
        <v>175</v>
      </c>
      <c r="L1564" s="986">
        <v>1563119.22</v>
      </c>
      <c r="M1564" s="986">
        <v>0</v>
      </c>
      <c r="N1564" s="986">
        <v>0</v>
      </c>
      <c r="O1564" s="986">
        <v>1563119.22</v>
      </c>
      <c r="P1564" s="993">
        <v>0</v>
      </c>
      <c r="Q1564" s="986">
        <v>0</v>
      </c>
      <c r="R1564" s="985">
        <f>L1564/I1564</f>
        <v>581.53920160720259</v>
      </c>
      <c r="S1564" s="987">
        <v>2018</v>
      </c>
      <c r="T1564" s="987">
        <v>2020</v>
      </c>
    </row>
    <row r="1565" spans="1:20" ht="43.15" customHeight="1">
      <c r="A1565" s="1271">
        <v>466</v>
      </c>
      <c r="B1565" s="1274" t="s">
        <v>2179</v>
      </c>
      <c r="C1565" s="1271">
        <v>1982</v>
      </c>
      <c r="D1565" s="1279"/>
      <c r="E1565" s="1271" t="s">
        <v>219</v>
      </c>
      <c r="F1565" s="1279">
        <v>5</v>
      </c>
      <c r="G1565" s="1279">
        <v>4</v>
      </c>
      <c r="H1565" s="985">
        <v>3954</v>
      </c>
      <c r="I1565" s="985">
        <v>3051.5</v>
      </c>
      <c r="J1565" s="985">
        <v>2833.5</v>
      </c>
      <c r="K1565" s="1064">
        <v>93</v>
      </c>
      <c r="L1565" s="986">
        <v>2239478</v>
      </c>
      <c r="M1565" s="986">
        <v>0</v>
      </c>
      <c r="N1565" s="986">
        <v>0</v>
      </c>
      <c r="O1565" s="986">
        <v>2239478</v>
      </c>
      <c r="P1565" s="993">
        <v>0</v>
      </c>
      <c r="Q1565" s="986">
        <v>0</v>
      </c>
      <c r="R1565" s="985">
        <f>L1565/I1565</f>
        <v>733.89415041782729</v>
      </c>
      <c r="S1565" s="987">
        <v>2019</v>
      </c>
      <c r="T1565" s="987">
        <v>2020</v>
      </c>
    </row>
    <row r="1566" spans="1:20" ht="44.45" customHeight="1">
      <c r="A1566" s="1271"/>
      <c r="B1566" s="1393" t="s">
        <v>807</v>
      </c>
      <c r="C1566" s="1393"/>
      <c r="D1566" s="1393"/>
      <c r="E1566" s="1393"/>
      <c r="F1566" s="1393"/>
      <c r="G1566" s="1393"/>
      <c r="H1566" s="985">
        <f>H1567</f>
        <v>1395.4</v>
      </c>
      <c r="I1566" s="985">
        <f t="shared" ref="I1566:Q1566" si="495">I1567</f>
        <v>1395.4</v>
      </c>
      <c r="J1566" s="985">
        <f t="shared" si="495"/>
        <v>1327.5</v>
      </c>
      <c r="K1566" s="1064">
        <f t="shared" si="495"/>
        <v>82</v>
      </c>
      <c r="L1566" s="985">
        <f t="shared" si="495"/>
        <v>435162</v>
      </c>
      <c r="M1566" s="985">
        <f t="shared" si="495"/>
        <v>0</v>
      </c>
      <c r="N1566" s="985">
        <f t="shared" si="495"/>
        <v>0</v>
      </c>
      <c r="O1566" s="985">
        <f t="shared" si="495"/>
        <v>435162</v>
      </c>
      <c r="P1566" s="985">
        <f t="shared" si="495"/>
        <v>0</v>
      </c>
      <c r="Q1566" s="985">
        <f t="shared" si="495"/>
        <v>0</v>
      </c>
      <c r="R1566" s="991" t="s">
        <v>40</v>
      </c>
      <c r="S1566" s="991" t="s">
        <v>40</v>
      </c>
      <c r="T1566" s="991" t="s">
        <v>40</v>
      </c>
    </row>
    <row r="1567" spans="1:20" ht="35.450000000000003" customHeight="1">
      <c r="A1567" s="1271">
        <v>467</v>
      </c>
      <c r="B1567" s="1274" t="s">
        <v>445</v>
      </c>
      <c r="C1567" s="1271">
        <v>1982</v>
      </c>
      <c r="D1567" s="1279"/>
      <c r="E1567" s="1271" t="s">
        <v>219</v>
      </c>
      <c r="F1567" s="1279">
        <v>3</v>
      </c>
      <c r="G1567" s="1279">
        <v>3</v>
      </c>
      <c r="H1567" s="985">
        <v>1395.4</v>
      </c>
      <c r="I1567" s="985">
        <v>1395.4</v>
      </c>
      <c r="J1567" s="985">
        <v>1327.5</v>
      </c>
      <c r="K1567" s="1064">
        <v>82</v>
      </c>
      <c r="L1567" s="986">
        <v>435162</v>
      </c>
      <c r="M1567" s="986">
        <v>0</v>
      </c>
      <c r="N1567" s="986">
        <v>0</v>
      </c>
      <c r="O1567" s="986">
        <v>435162</v>
      </c>
      <c r="P1567" s="993">
        <v>0</v>
      </c>
      <c r="Q1567" s="986">
        <v>0</v>
      </c>
      <c r="R1567" s="985">
        <v>311.85466532893793</v>
      </c>
      <c r="S1567" s="987">
        <v>2019</v>
      </c>
      <c r="T1567" s="987">
        <v>2020</v>
      </c>
    </row>
    <row r="1568" spans="1:20" ht="37.9" customHeight="1">
      <c r="A1568" s="1271"/>
      <c r="B1568" s="1273" t="s">
        <v>2676</v>
      </c>
      <c r="C1568" s="1279"/>
      <c r="D1568" s="1283"/>
      <c r="E1568" s="1271"/>
      <c r="F1568" s="1279"/>
      <c r="G1568" s="1279"/>
      <c r="H1568" s="985">
        <f>H1569+H1570</f>
        <v>7878</v>
      </c>
      <c r="I1568" s="985">
        <f t="shared" ref="I1568:Q1568" si="496">I1569+I1570</f>
        <v>7160</v>
      </c>
      <c r="J1568" s="985">
        <f t="shared" si="496"/>
        <v>7018</v>
      </c>
      <c r="K1568" s="1064">
        <f t="shared" si="496"/>
        <v>199</v>
      </c>
      <c r="L1568" s="985">
        <f t="shared" si="496"/>
        <v>6963299</v>
      </c>
      <c r="M1568" s="985">
        <f t="shared" si="496"/>
        <v>0</v>
      </c>
      <c r="N1568" s="985">
        <f t="shared" si="496"/>
        <v>0</v>
      </c>
      <c r="O1568" s="985">
        <f t="shared" si="496"/>
        <v>6963299</v>
      </c>
      <c r="P1568" s="985">
        <f t="shared" si="496"/>
        <v>0</v>
      </c>
      <c r="Q1568" s="985">
        <f t="shared" si="496"/>
        <v>0</v>
      </c>
      <c r="R1568" s="991" t="s">
        <v>40</v>
      </c>
      <c r="S1568" s="991" t="s">
        <v>40</v>
      </c>
      <c r="T1568" s="991" t="s">
        <v>40</v>
      </c>
    </row>
    <row r="1569" spans="1:20" ht="42.6" customHeight="1">
      <c r="A1569" s="1271">
        <v>468</v>
      </c>
      <c r="B1569" s="1274" t="s">
        <v>2685</v>
      </c>
      <c r="C1569" s="1271">
        <v>1988</v>
      </c>
      <c r="D1569" s="1279"/>
      <c r="E1569" s="1271" t="s">
        <v>218</v>
      </c>
      <c r="F1569" s="1279">
        <v>3</v>
      </c>
      <c r="G1569" s="1279">
        <v>3</v>
      </c>
      <c r="H1569" s="985">
        <v>1602</v>
      </c>
      <c r="I1569" s="985">
        <v>1602</v>
      </c>
      <c r="J1569" s="985">
        <v>1602</v>
      </c>
      <c r="K1569" s="1064">
        <v>42</v>
      </c>
      <c r="L1569" s="986">
        <v>1194767</v>
      </c>
      <c r="M1569" s="986">
        <v>0</v>
      </c>
      <c r="N1569" s="986">
        <v>0</v>
      </c>
      <c r="O1569" s="986">
        <f>L1569</f>
        <v>1194767</v>
      </c>
      <c r="P1569" s="993">
        <f t="shared" si="484"/>
        <v>0</v>
      </c>
      <c r="Q1569" s="986">
        <v>0</v>
      </c>
      <c r="R1569" s="985">
        <f>L1569/I1569</f>
        <v>745.79712858926337</v>
      </c>
      <c r="S1569" s="987">
        <v>2019</v>
      </c>
      <c r="T1569" s="987">
        <v>2020</v>
      </c>
    </row>
    <row r="1570" spans="1:20" ht="34.9" customHeight="1">
      <c r="A1570" s="1271">
        <v>469</v>
      </c>
      <c r="B1570" s="1274" t="s">
        <v>2679</v>
      </c>
      <c r="C1570" s="1271">
        <v>1985</v>
      </c>
      <c r="D1570" s="1279"/>
      <c r="E1570" s="1271" t="s">
        <v>219</v>
      </c>
      <c r="F1570" s="1279">
        <v>5</v>
      </c>
      <c r="G1570" s="1279">
        <v>8</v>
      </c>
      <c r="H1570" s="985">
        <v>6276</v>
      </c>
      <c r="I1570" s="985">
        <v>5558</v>
      </c>
      <c r="J1570" s="985">
        <v>5416</v>
      </c>
      <c r="K1570" s="1064">
        <v>157</v>
      </c>
      <c r="L1570" s="986">
        <v>5768532</v>
      </c>
      <c r="M1570" s="986">
        <v>0</v>
      </c>
      <c r="N1570" s="986">
        <v>0</v>
      </c>
      <c r="O1570" s="986">
        <v>5768532</v>
      </c>
      <c r="P1570" s="993">
        <v>0</v>
      </c>
      <c r="Q1570" s="986">
        <v>0</v>
      </c>
      <c r="R1570" s="985">
        <f>L1570/I1570</f>
        <v>1037.8790931989925</v>
      </c>
      <c r="S1570" s="987">
        <v>2019</v>
      </c>
      <c r="T1570" s="987">
        <v>2020</v>
      </c>
    </row>
    <row r="1571" spans="1:20" ht="36" customHeight="1">
      <c r="A1571" s="1271"/>
      <c r="B1571" s="1273" t="s">
        <v>1168</v>
      </c>
      <c r="C1571" s="1279"/>
      <c r="D1571" s="1283"/>
      <c r="E1571" s="1271"/>
      <c r="F1571" s="1279"/>
      <c r="G1571" s="1279"/>
      <c r="H1571" s="985">
        <f>H1572+H1573+H1574+H1575+H1576+H1577</f>
        <v>6218.2</v>
      </c>
      <c r="I1571" s="985">
        <f t="shared" ref="I1571:Q1571" si="497">I1572+I1573+I1574+I1575+I1576+I1577</f>
        <v>5793.9000000000005</v>
      </c>
      <c r="J1571" s="985">
        <f t="shared" si="497"/>
        <v>5263.5999999999995</v>
      </c>
      <c r="K1571" s="1064">
        <f t="shared" si="497"/>
        <v>190</v>
      </c>
      <c r="L1571" s="985">
        <f t="shared" si="497"/>
        <v>13201803.25</v>
      </c>
      <c r="M1571" s="985">
        <f t="shared" si="497"/>
        <v>0</v>
      </c>
      <c r="N1571" s="985">
        <f t="shared" si="497"/>
        <v>0</v>
      </c>
      <c r="O1571" s="985">
        <f t="shared" si="497"/>
        <v>13201803.25</v>
      </c>
      <c r="P1571" s="985">
        <f t="shared" si="497"/>
        <v>0</v>
      </c>
      <c r="Q1571" s="985">
        <f t="shared" si="497"/>
        <v>0</v>
      </c>
      <c r="R1571" s="991" t="s">
        <v>40</v>
      </c>
      <c r="S1571" s="991" t="s">
        <v>40</v>
      </c>
      <c r="T1571" s="991" t="s">
        <v>40</v>
      </c>
    </row>
    <row r="1572" spans="1:20" ht="37.15" customHeight="1">
      <c r="A1572" s="1271">
        <v>470</v>
      </c>
      <c r="B1572" s="1274" t="s">
        <v>2180</v>
      </c>
      <c r="C1572" s="1271">
        <v>1953</v>
      </c>
      <c r="D1572" s="1274"/>
      <c r="E1572" s="1271" t="s">
        <v>823</v>
      </c>
      <c r="F1572" s="1279">
        <v>2</v>
      </c>
      <c r="G1572" s="1279">
        <v>2</v>
      </c>
      <c r="H1572" s="985">
        <v>777.7</v>
      </c>
      <c r="I1572" s="985">
        <v>744.4</v>
      </c>
      <c r="J1572" s="985">
        <v>680.5</v>
      </c>
      <c r="K1572" s="1064">
        <v>26</v>
      </c>
      <c r="L1572" s="986">
        <f>O1572</f>
        <v>2101771</v>
      </c>
      <c r="M1572" s="986">
        <v>0</v>
      </c>
      <c r="N1572" s="986">
        <v>0</v>
      </c>
      <c r="O1572" s="985">
        <v>2101771</v>
      </c>
      <c r="P1572" s="993">
        <v>0</v>
      </c>
      <c r="Q1572" s="986">
        <v>0</v>
      </c>
      <c r="R1572" s="985">
        <f t="shared" ref="R1572" si="498">L1572/I1572</f>
        <v>2823.4430413756045</v>
      </c>
      <c r="S1572" s="987">
        <v>2018</v>
      </c>
      <c r="T1572" s="987">
        <v>2020</v>
      </c>
    </row>
    <row r="1573" spans="1:20" ht="43.15" customHeight="1">
      <c r="A1573" s="1271">
        <v>471</v>
      </c>
      <c r="B1573" s="1274" t="s">
        <v>1034</v>
      </c>
      <c r="C1573" s="1271">
        <v>1979</v>
      </c>
      <c r="D1573" s="1274"/>
      <c r="E1573" s="1271" t="s">
        <v>218</v>
      </c>
      <c r="F1573" s="1279">
        <v>2</v>
      </c>
      <c r="G1573" s="1279">
        <v>1</v>
      </c>
      <c r="H1573" s="985">
        <v>398.3</v>
      </c>
      <c r="I1573" s="985">
        <v>366.3</v>
      </c>
      <c r="J1573" s="985">
        <v>322.8</v>
      </c>
      <c r="K1573" s="1064">
        <v>20</v>
      </c>
      <c r="L1573" s="986">
        <v>2538046.25</v>
      </c>
      <c r="M1573" s="986">
        <v>0</v>
      </c>
      <c r="N1573" s="986">
        <v>0</v>
      </c>
      <c r="O1573" s="985">
        <v>2538046.25</v>
      </c>
      <c r="P1573" s="993">
        <v>0</v>
      </c>
      <c r="Q1573" s="986">
        <v>0</v>
      </c>
      <c r="R1573" s="985">
        <f>L1573/I1573</f>
        <v>6928.8731913731908</v>
      </c>
      <c r="S1573" s="987">
        <v>2018</v>
      </c>
      <c r="T1573" s="987">
        <v>2022</v>
      </c>
    </row>
    <row r="1574" spans="1:20" ht="40.9" customHeight="1">
      <c r="A1574" s="1271">
        <v>472</v>
      </c>
      <c r="B1574" s="1274" t="s">
        <v>2181</v>
      </c>
      <c r="C1574" s="1271">
        <v>1956</v>
      </c>
      <c r="D1574" s="1274"/>
      <c r="E1574" s="1271" t="s">
        <v>823</v>
      </c>
      <c r="F1574" s="1279">
        <v>2</v>
      </c>
      <c r="G1574" s="1279">
        <v>3</v>
      </c>
      <c r="H1574" s="985">
        <v>1488.7</v>
      </c>
      <c r="I1574" s="985">
        <v>1371.1</v>
      </c>
      <c r="J1574" s="985">
        <v>1289.0999999999999</v>
      </c>
      <c r="K1574" s="1064">
        <v>34</v>
      </c>
      <c r="L1574" s="986">
        <v>2736554</v>
      </c>
      <c r="M1574" s="986">
        <v>0</v>
      </c>
      <c r="N1574" s="986">
        <v>0</v>
      </c>
      <c r="O1574" s="985">
        <v>2736554</v>
      </c>
      <c r="P1574" s="993">
        <v>0</v>
      </c>
      <c r="Q1574" s="986">
        <v>0</v>
      </c>
      <c r="R1574" s="985">
        <f>L1574/I1574</f>
        <v>1995.8821384289988</v>
      </c>
      <c r="S1574" s="987">
        <v>2019</v>
      </c>
      <c r="T1574" s="987">
        <v>2020</v>
      </c>
    </row>
    <row r="1575" spans="1:20" ht="40.15" customHeight="1">
      <c r="A1575" s="1271">
        <v>473</v>
      </c>
      <c r="B1575" s="1274" t="s">
        <v>2182</v>
      </c>
      <c r="C1575" s="1271">
        <v>1957</v>
      </c>
      <c r="D1575" s="1274"/>
      <c r="E1575" s="1271" t="s">
        <v>218</v>
      </c>
      <c r="F1575" s="1279">
        <v>3</v>
      </c>
      <c r="G1575" s="1279">
        <v>3</v>
      </c>
      <c r="H1575" s="985">
        <v>1960.3</v>
      </c>
      <c r="I1575" s="985">
        <v>1839.8</v>
      </c>
      <c r="J1575" s="985">
        <v>1839.8</v>
      </c>
      <c r="K1575" s="1064">
        <v>56</v>
      </c>
      <c r="L1575" s="986">
        <v>4102476</v>
      </c>
      <c r="M1575" s="986">
        <v>0</v>
      </c>
      <c r="N1575" s="986">
        <v>0</v>
      </c>
      <c r="O1575" s="985">
        <v>4102476</v>
      </c>
      <c r="P1575" s="993">
        <v>0</v>
      </c>
      <c r="Q1575" s="986">
        <v>0</v>
      </c>
      <c r="R1575" s="985">
        <f t="shared" ref="R1575:R1577" si="499">L1575/I1575</f>
        <v>2229.8488966191976</v>
      </c>
      <c r="S1575" s="987">
        <v>2019</v>
      </c>
      <c r="T1575" s="987">
        <v>2020</v>
      </c>
    </row>
    <row r="1576" spans="1:20" ht="42" customHeight="1">
      <c r="A1576" s="1271">
        <v>474</v>
      </c>
      <c r="B1576" s="1274" t="s">
        <v>2183</v>
      </c>
      <c r="C1576" s="1271">
        <v>1953</v>
      </c>
      <c r="D1576" s="1274"/>
      <c r="E1576" s="1271" t="s">
        <v>220</v>
      </c>
      <c r="F1576" s="1279">
        <v>2</v>
      </c>
      <c r="G1576" s="1279">
        <v>2</v>
      </c>
      <c r="H1576" s="985">
        <v>790.9</v>
      </c>
      <c r="I1576" s="985">
        <v>723.2</v>
      </c>
      <c r="J1576" s="985">
        <v>416.9</v>
      </c>
      <c r="K1576" s="1064">
        <v>31</v>
      </c>
      <c r="L1576" s="986">
        <v>839575</v>
      </c>
      <c r="M1576" s="986">
        <v>0</v>
      </c>
      <c r="N1576" s="986">
        <v>0</v>
      </c>
      <c r="O1576" s="985">
        <v>839575</v>
      </c>
      <c r="P1576" s="993">
        <v>0</v>
      </c>
      <c r="Q1576" s="986">
        <v>0</v>
      </c>
      <c r="R1576" s="985">
        <f t="shared" si="499"/>
        <v>1160.9167588495575</v>
      </c>
      <c r="S1576" s="987">
        <v>2019</v>
      </c>
      <c r="T1576" s="987">
        <v>2020</v>
      </c>
    </row>
    <row r="1577" spans="1:20" ht="43.15" customHeight="1">
      <c r="A1577" s="1271">
        <v>475</v>
      </c>
      <c r="B1577" s="1274" t="s">
        <v>1166</v>
      </c>
      <c r="C1577" s="1271">
        <v>1974</v>
      </c>
      <c r="D1577" s="1274"/>
      <c r="E1577" s="1271" t="s">
        <v>218</v>
      </c>
      <c r="F1577" s="1279">
        <v>2</v>
      </c>
      <c r="G1577" s="1279">
        <v>2</v>
      </c>
      <c r="H1577" s="985">
        <v>802.3</v>
      </c>
      <c r="I1577" s="985">
        <v>749.1</v>
      </c>
      <c r="J1577" s="985">
        <v>714.5</v>
      </c>
      <c r="K1577" s="1064">
        <v>23</v>
      </c>
      <c r="L1577" s="986">
        <v>883381</v>
      </c>
      <c r="M1577" s="986">
        <v>0</v>
      </c>
      <c r="N1577" s="986">
        <v>0</v>
      </c>
      <c r="O1577" s="985">
        <v>883381</v>
      </c>
      <c r="P1577" s="993">
        <v>0</v>
      </c>
      <c r="Q1577" s="986">
        <v>0</v>
      </c>
      <c r="R1577" s="985">
        <f t="shared" si="499"/>
        <v>1179.2564410626085</v>
      </c>
      <c r="S1577" s="987">
        <v>2019</v>
      </c>
      <c r="T1577" s="987">
        <v>2020</v>
      </c>
    </row>
    <row r="1578" spans="1:20" ht="38.450000000000003" customHeight="1">
      <c r="A1578" s="1271"/>
      <c r="B1578" s="1273" t="s">
        <v>1119</v>
      </c>
      <c r="C1578" s="1279"/>
      <c r="D1578" s="1283"/>
      <c r="E1578" s="1271"/>
      <c r="F1578" s="1279"/>
      <c r="G1578" s="1279"/>
      <c r="H1578" s="985">
        <f>SUM(H1579:H1582)</f>
        <v>13386.6</v>
      </c>
      <c r="I1578" s="985">
        <f t="shared" ref="I1578:Q1578" si="500">SUM(I1579:I1582)</f>
        <v>12352.099999999999</v>
      </c>
      <c r="J1578" s="985">
        <f t="shared" si="500"/>
        <v>11138.8</v>
      </c>
      <c r="K1578" s="1064">
        <f t="shared" si="500"/>
        <v>480</v>
      </c>
      <c r="L1578" s="985">
        <f t="shared" si="500"/>
        <v>30625116.93</v>
      </c>
      <c r="M1578" s="985">
        <f t="shared" si="500"/>
        <v>0</v>
      </c>
      <c r="N1578" s="985">
        <f t="shared" si="500"/>
        <v>0</v>
      </c>
      <c r="O1578" s="985">
        <f t="shared" si="500"/>
        <v>30625116.93</v>
      </c>
      <c r="P1578" s="985">
        <f t="shared" si="500"/>
        <v>0</v>
      </c>
      <c r="Q1578" s="985">
        <f t="shared" si="500"/>
        <v>0</v>
      </c>
      <c r="R1578" s="991" t="s">
        <v>40</v>
      </c>
      <c r="S1578" s="991" t="s">
        <v>40</v>
      </c>
      <c r="T1578" s="991" t="s">
        <v>40</v>
      </c>
    </row>
    <row r="1579" spans="1:20" ht="45" customHeight="1">
      <c r="A1579" s="1271">
        <v>476</v>
      </c>
      <c r="B1579" s="1274" t="s">
        <v>2955</v>
      </c>
      <c r="C1579" s="1279">
        <v>1983</v>
      </c>
      <c r="D1579" s="1279"/>
      <c r="E1579" s="1271" t="s">
        <v>218</v>
      </c>
      <c r="F1579" s="1279">
        <v>5</v>
      </c>
      <c r="G1579" s="1279">
        <v>7</v>
      </c>
      <c r="H1579" s="985">
        <v>5053.5</v>
      </c>
      <c r="I1579" s="985">
        <v>4573.3999999999996</v>
      </c>
      <c r="J1579" s="985">
        <v>4190.6000000000004</v>
      </c>
      <c r="K1579" s="1064">
        <v>182</v>
      </c>
      <c r="L1579" s="986">
        <v>11397253.15</v>
      </c>
      <c r="M1579" s="986">
        <v>0</v>
      </c>
      <c r="N1579" s="986">
        <v>0</v>
      </c>
      <c r="O1579" s="986">
        <f>L1579</f>
        <v>11397253.15</v>
      </c>
      <c r="P1579" s="993">
        <f t="shared" si="484"/>
        <v>0</v>
      </c>
      <c r="Q1579" s="986">
        <v>0</v>
      </c>
      <c r="R1579" s="985">
        <f>L1579/I1579</f>
        <v>2492.0744194691042</v>
      </c>
      <c r="S1579" s="987">
        <v>2019</v>
      </c>
      <c r="T1579" s="987">
        <v>2020</v>
      </c>
    </row>
    <row r="1580" spans="1:20" ht="43.15" customHeight="1">
      <c r="A1580" s="1271">
        <v>477</v>
      </c>
      <c r="B1580" s="1274" t="s">
        <v>2184</v>
      </c>
      <c r="C1580" s="1279">
        <v>1979</v>
      </c>
      <c r="D1580" s="1279"/>
      <c r="E1580" s="1271" t="s">
        <v>219</v>
      </c>
      <c r="F1580" s="1279">
        <v>5</v>
      </c>
      <c r="G1580" s="1279">
        <v>4</v>
      </c>
      <c r="H1580" s="985">
        <v>3427.8</v>
      </c>
      <c r="I1580" s="985">
        <v>2935.9</v>
      </c>
      <c r="J1580" s="985">
        <v>2751.4</v>
      </c>
      <c r="K1580" s="1064">
        <v>102</v>
      </c>
      <c r="L1580" s="986">
        <v>4292135.58</v>
      </c>
      <c r="M1580" s="986">
        <v>0</v>
      </c>
      <c r="N1580" s="986">
        <v>0</v>
      </c>
      <c r="O1580" s="986">
        <f>L1580</f>
        <v>4292135.58</v>
      </c>
      <c r="P1580" s="993">
        <f t="shared" si="484"/>
        <v>0</v>
      </c>
      <c r="Q1580" s="986">
        <v>0</v>
      </c>
      <c r="R1580" s="985">
        <f>L1580/I1580</f>
        <v>1461.9488334071323</v>
      </c>
      <c r="S1580" s="987">
        <v>2019</v>
      </c>
      <c r="T1580" s="987">
        <v>2020</v>
      </c>
    </row>
    <row r="1581" spans="1:20" ht="45.6" customHeight="1">
      <c r="A1581" s="1271">
        <v>478</v>
      </c>
      <c r="B1581" s="1274" t="s">
        <v>2185</v>
      </c>
      <c r="C1581" s="1279">
        <v>1974</v>
      </c>
      <c r="D1581" s="1279"/>
      <c r="E1581" s="1271" t="s">
        <v>218</v>
      </c>
      <c r="F1581" s="1279">
        <v>5</v>
      </c>
      <c r="G1581" s="1279">
        <v>6</v>
      </c>
      <c r="H1581" s="985">
        <v>4505.2</v>
      </c>
      <c r="I1581" s="985">
        <v>4476</v>
      </c>
      <c r="J1581" s="985">
        <v>3982.8</v>
      </c>
      <c r="K1581" s="1064">
        <v>183</v>
      </c>
      <c r="L1581" s="986">
        <v>12697564.32</v>
      </c>
      <c r="M1581" s="986">
        <v>0</v>
      </c>
      <c r="N1581" s="986">
        <v>0</v>
      </c>
      <c r="O1581" s="986">
        <f>L1581</f>
        <v>12697564.32</v>
      </c>
      <c r="P1581" s="993">
        <v>0</v>
      </c>
      <c r="Q1581" s="986">
        <v>0</v>
      </c>
      <c r="R1581" s="985">
        <f>L1581/I1581</f>
        <v>2836.8106166219841</v>
      </c>
      <c r="S1581" s="987">
        <v>2019</v>
      </c>
      <c r="T1581" s="987">
        <v>2020</v>
      </c>
    </row>
    <row r="1582" spans="1:20" ht="45" customHeight="1">
      <c r="A1582" s="1271">
        <v>479</v>
      </c>
      <c r="B1582" s="1274" t="s">
        <v>1384</v>
      </c>
      <c r="C1582" s="1279">
        <v>1980</v>
      </c>
      <c r="D1582" s="1279"/>
      <c r="E1582" s="1271" t="s">
        <v>218</v>
      </c>
      <c r="F1582" s="1279">
        <v>2</v>
      </c>
      <c r="G1582" s="1279">
        <v>1</v>
      </c>
      <c r="H1582" s="985">
        <v>400.1</v>
      </c>
      <c r="I1582" s="985">
        <v>366.8</v>
      </c>
      <c r="J1582" s="985">
        <v>214</v>
      </c>
      <c r="K1582" s="1064">
        <v>13</v>
      </c>
      <c r="L1582" s="986">
        <v>2238163.88</v>
      </c>
      <c r="M1582" s="986">
        <v>0</v>
      </c>
      <c r="N1582" s="986">
        <v>0</v>
      </c>
      <c r="O1582" s="986">
        <v>2238163.88</v>
      </c>
      <c r="P1582" s="993">
        <v>0</v>
      </c>
      <c r="Q1582" s="986">
        <v>0</v>
      </c>
      <c r="R1582" s="985">
        <f>L1582/I1582</f>
        <v>6101.8644492911662</v>
      </c>
      <c r="S1582" s="987">
        <v>2018</v>
      </c>
      <c r="T1582" s="987">
        <v>2020</v>
      </c>
    </row>
    <row r="1583" spans="1:20" ht="40.15" customHeight="1">
      <c r="A1583" s="1271"/>
      <c r="B1583" s="1273" t="s">
        <v>1650</v>
      </c>
      <c r="C1583" s="1279"/>
      <c r="D1583" s="1283"/>
      <c r="E1583" s="1271"/>
      <c r="F1583" s="1279"/>
      <c r="G1583" s="1279"/>
      <c r="H1583" s="985">
        <f>H1584+H1585</f>
        <v>731.9</v>
      </c>
      <c r="I1583" s="985">
        <f t="shared" ref="I1583:Q1583" si="501">I1584+I1585</f>
        <v>672</v>
      </c>
      <c r="J1583" s="985">
        <f t="shared" si="501"/>
        <v>672</v>
      </c>
      <c r="K1583" s="1064">
        <f t="shared" si="501"/>
        <v>31</v>
      </c>
      <c r="L1583" s="985">
        <f t="shared" si="501"/>
        <v>2409564</v>
      </c>
      <c r="M1583" s="985">
        <f t="shared" si="501"/>
        <v>0</v>
      </c>
      <c r="N1583" s="985">
        <f t="shared" si="501"/>
        <v>202967.46</v>
      </c>
      <c r="O1583" s="985">
        <f t="shared" si="501"/>
        <v>2206596.54</v>
      </c>
      <c r="P1583" s="985">
        <f t="shared" si="501"/>
        <v>0</v>
      </c>
      <c r="Q1583" s="985">
        <f t="shared" si="501"/>
        <v>0</v>
      </c>
      <c r="R1583" s="991" t="s">
        <v>40</v>
      </c>
      <c r="S1583" s="991" t="s">
        <v>40</v>
      </c>
      <c r="T1583" s="991" t="s">
        <v>40</v>
      </c>
    </row>
    <row r="1584" spans="1:20" ht="43.15" customHeight="1">
      <c r="A1584" s="1031">
        <v>480</v>
      </c>
      <c r="B1584" s="1041" t="s">
        <v>2956</v>
      </c>
      <c r="C1584" s="1032">
        <v>1962</v>
      </c>
      <c r="D1584" s="1032"/>
      <c r="E1584" s="1271" t="s">
        <v>218</v>
      </c>
      <c r="F1584" s="1032">
        <v>2</v>
      </c>
      <c r="G1584" s="1032">
        <v>1</v>
      </c>
      <c r="H1584" s="1037">
        <v>318.7</v>
      </c>
      <c r="I1584" s="1037">
        <v>297.60000000000002</v>
      </c>
      <c r="J1584" s="1037">
        <v>297.60000000000002</v>
      </c>
      <c r="K1584" s="1068">
        <v>14</v>
      </c>
      <c r="L1584" s="1037">
        <v>1167102</v>
      </c>
      <c r="M1584" s="1037">
        <v>0</v>
      </c>
      <c r="N1584" s="1037">
        <v>202967.46</v>
      </c>
      <c r="O1584" s="1037">
        <v>964134.54</v>
      </c>
      <c r="P1584" s="1037">
        <v>0</v>
      </c>
      <c r="Q1584" s="1037">
        <v>0</v>
      </c>
      <c r="R1584" s="985">
        <f>L1584/I1584</f>
        <v>3921.713709677419</v>
      </c>
      <c r="S1584" s="987">
        <v>2019</v>
      </c>
      <c r="T1584" s="987">
        <v>2020</v>
      </c>
    </row>
    <row r="1585" spans="1:20" ht="48" customHeight="1">
      <c r="A1585" s="1271">
        <v>481</v>
      </c>
      <c r="B1585" s="1041" t="s">
        <v>2186</v>
      </c>
      <c r="C1585" s="1032">
        <v>1964</v>
      </c>
      <c r="D1585" s="1032"/>
      <c r="E1585" s="1271" t="s">
        <v>218</v>
      </c>
      <c r="F1585" s="1032">
        <v>2</v>
      </c>
      <c r="G1585" s="1032">
        <v>2</v>
      </c>
      <c r="H1585" s="1037">
        <v>413.2</v>
      </c>
      <c r="I1585" s="1037">
        <v>374.4</v>
      </c>
      <c r="J1585" s="1037">
        <v>374.4</v>
      </c>
      <c r="K1585" s="1068">
        <v>17</v>
      </c>
      <c r="L1585" s="1037">
        <v>1242462</v>
      </c>
      <c r="M1585" s="1037">
        <v>0</v>
      </c>
      <c r="N1585" s="1037">
        <v>0</v>
      </c>
      <c r="O1585" s="1037">
        <v>1242462</v>
      </c>
      <c r="P1585" s="1037">
        <v>0</v>
      </c>
      <c r="Q1585" s="1037">
        <v>0</v>
      </c>
      <c r="R1585" s="985">
        <f t="shared" ref="R1585" si="502">L1585/I1585</f>
        <v>3318.541666666667</v>
      </c>
      <c r="S1585" s="987">
        <v>2019</v>
      </c>
      <c r="T1585" s="987">
        <v>2020</v>
      </c>
    </row>
    <row r="1586" spans="1:20" ht="36" customHeight="1">
      <c r="A1586" s="1271"/>
      <c r="B1586" s="1273" t="s">
        <v>1988</v>
      </c>
      <c r="C1586" s="1279"/>
      <c r="D1586" s="1283"/>
      <c r="E1586" s="1271"/>
      <c r="F1586" s="1279"/>
      <c r="G1586" s="1279"/>
      <c r="H1586" s="985">
        <f t="shared" ref="H1586:Q1586" si="503">H1587+H1589</f>
        <v>1188.2</v>
      </c>
      <c r="I1586" s="985">
        <f t="shared" si="503"/>
        <v>1124.5999999999999</v>
      </c>
      <c r="J1586" s="985">
        <f t="shared" si="503"/>
        <v>825.30000000000007</v>
      </c>
      <c r="K1586" s="1064">
        <f t="shared" si="503"/>
        <v>61</v>
      </c>
      <c r="L1586" s="985">
        <f t="shared" si="503"/>
        <v>3394626.73</v>
      </c>
      <c r="M1586" s="985">
        <f t="shared" si="503"/>
        <v>0</v>
      </c>
      <c r="N1586" s="985">
        <f t="shared" si="503"/>
        <v>0</v>
      </c>
      <c r="O1586" s="985">
        <f t="shared" si="503"/>
        <v>3394626.73</v>
      </c>
      <c r="P1586" s="985">
        <f t="shared" si="503"/>
        <v>0</v>
      </c>
      <c r="Q1586" s="985">
        <f t="shared" si="503"/>
        <v>0</v>
      </c>
      <c r="R1586" s="991" t="s">
        <v>40</v>
      </c>
      <c r="S1586" s="991" t="s">
        <v>40</v>
      </c>
      <c r="T1586" s="991" t="s">
        <v>40</v>
      </c>
    </row>
    <row r="1587" spans="1:20" ht="42.6" customHeight="1">
      <c r="A1587" s="1271"/>
      <c r="B1587" s="1273" t="s">
        <v>2027</v>
      </c>
      <c r="C1587" s="1279"/>
      <c r="D1587" s="1283"/>
      <c r="E1587" s="1271"/>
      <c r="F1587" s="1279"/>
      <c r="G1587" s="1279"/>
      <c r="H1587" s="985">
        <f>H1588</f>
        <v>411.7</v>
      </c>
      <c r="I1587" s="985">
        <f t="shared" ref="I1587:Q1587" si="504">I1588</f>
        <v>380</v>
      </c>
      <c r="J1587" s="985">
        <f t="shared" si="504"/>
        <v>188.1</v>
      </c>
      <c r="K1587" s="1064">
        <f t="shared" si="504"/>
        <v>33</v>
      </c>
      <c r="L1587" s="985">
        <f t="shared" si="504"/>
        <v>2689563.73</v>
      </c>
      <c r="M1587" s="985">
        <f t="shared" si="504"/>
        <v>0</v>
      </c>
      <c r="N1587" s="985">
        <f t="shared" si="504"/>
        <v>0</v>
      </c>
      <c r="O1587" s="985">
        <f t="shared" si="504"/>
        <v>2689563.73</v>
      </c>
      <c r="P1587" s="985">
        <f t="shared" si="504"/>
        <v>0</v>
      </c>
      <c r="Q1587" s="985">
        <f t="shared" si="504"/>
        <v>0</v>
      </c>
      <c r="R1587" s="991" t="s">
        <v>40</v>
      </c>
      <c r="S1587" s="991" t="s">
        <v>40</v>
      </c>
      <c r="T1587" s="991" t="s">
        <v>40</v>
      </c>
    </row>
    <row r="1588" spans="1:20" ht="43.9" customHeight="1">
      <c r="A1588" s="1271">
        <v>482</v>
      </c>
      <c r="B1588" s="1273" t="s">
        <v>2187</v>
      </c>
      <c r="C1588" s="1279">
        <v>1961</v>
      </c>
      <c r="D1588" s="1273"/>
      <c r="E1588" s="1271" t="s">
        <v>218</v>
      </c>
      <c r="F1588" s="1279">
        <v>2</v>
      </c>
      <c r="G1588" s="1279">
        <v>2</v>
      </c>
      <c r="H1588" s="985">
        <v>411.7</v>
      </c>
      <c r="I1588" s="985">
        <v>380</v>
      </c>
      <c r="J1588" s="985">
        <v>188.1</v>
      </c>
      <c r="K1588" s="1064">
        <v>33</v>
      </c>
      <c r="L1588" s="986">
        <v>2689563.73</v>
      </c>
      <c r="M1588" s="986">
        <v>0</v>
      </c>
      <c r="N1588" s="986">
        <v>0</v>
      </c>
      <c r="O1588" s="986">
        <v>2689563.73</v>
      </c>
      <c r="P1588" s="993">
        <v>0</v>
      </c>
      <c r="Q1588" s="986">
        <v>0</v>
      </c>
      <c r="R1588" s="985">
        <v>3813.8736842105263</v>
      </c>
      <c r="S1588" s="987">
        <v>2018</v>
      </c>
      <c r="T1588" s="987">
        <v>2020</v>
      </c>
    </row>
    <row r="1589" spans="1:20" ht="36.6" customHeight="1">
      <c r="A1589" s="1271"/>
      <c r="B1589" s="1273" t="s">
        <v>1141</v>
      </c>
      <c r="C1589" s="1279"/>
      <c r="D1589" s="1283"/>
      <c r="E1589" s="1271"/>
      <c r="F1589" s="1279"/>
      <c r="G1589" s="1279"/>
      <c r="H1589" s="985">
        <v>776.5</v>
      </c>
      <c r="I1589" s="985">
        <v>744.6</v>
      </c>
      <c r="J1589" s="985">
        <v>637.20000000000005</v>
      </c>
      <c r="K1589" s="1064">
        <v>28</v>
      </c>
      <c r="L1589" s="986">
        <v>705063</v>
      </c>
      <c r="M1589" s="986">
        <v>0</v>
      </c>
      <c r="N1589" s="986">
        <v>0</v>
      </c>
      <c r="O1589" s="986">
        <v>705063</v>
      </c>
      <c r="P1589" s="986">
        <v>0</v>
      </c>
      <c r="Q1589" s="986">
        <v>0</v>
      </c>
      <c r="R1589" s="991" t="s">
        <v>40</v>
      </c>
      <c r="S1589" s="991" t="s">
        <v>40</v>
      </c>
      <c r="T1589" s="991" t="s">
        <v>40</v>
      </c>
    </row>
    <row r="1590" spans="1:20" ht="43.15" customHeight="1">
      <c r="A1590" s="1271">
        <v>483</v>
      </c>
      <c r="B1590" s="1273" t="s">
        <v>2271</v>
      </c>
      <c r="C1590" s="1279">
        <v>1980</v>
      </c>
      <c r="D1590" s="1279">
        <v>2008</v>
      </c>
      <c r="E1590" s="1271" t="s">
        <v>218</v>
      </c>
      <c r="F1590" s="1279">
        <v>2</v>
      </c>
      <c r="G1590" s="1279">
        <v>2</v>
      </c>
      <c r="H1590" s="985">
        <v>776.5</v>
      </c>
      <c r="I1590" s="985">
        <v>744.6</v>
      </c>
      <c r="J1590" s="985">
        <v>637.20000000000005</v>
      </c>
      <c r="K1590" s="1064">
        <v>28</v>
      </c>
      <c r="L1590" s="986">
        <v>705063</v>
      </c>
      <c r="M1590" s="986">
        <v>0</v>
      </c>
      <c r="N1590" s="986">
        <v>0</v>
      </c>
      <c r="O1590" s="986">
        <v>705063</v>
      </c>
      <c r="P1590" s="993">
        <v>0</v>
      </c>
      <c r="Q1590" s="986">
        <v>0</v>
      </c>
      <c r="R1590" s="985">
        <v>946.90169218372273</v>
      </c>
      <c r="S1590" s="987">
        <v>2018</v>
      </c>
      <c r="T1590" s="987">
        <v>2020</v>
      </c>
    </row>
    <row r="1591" spans="1:20" ht="41.45" customHeight="1">
      <c r="A1591" s="1271"/>
      <c r="B1591" s="1273" t="s">
        <v>1651</v>
      </c>
      <c r="C1591" s="1279"/>
      <c r="D1591" s="1283"/>
      <c r="E1591" s="1271"/>
      <c r="F1591" s="1279"/>
      <c r="G1591" s="1279"/>
      <c r="H1591" s="985">
        <f>H1592+H1593</f>
        <v>3621.8</v>
      </c>
      <c r="I1591" s="985">
        <f t="shared" ref="I1591:Q1591" si="505">I1592+I1593</f>
        <v>3161.2799999999997</v>
      </c>
      <c r="J1591" s="985">
        <f t="shared" si="505"/>
        <v>3161.2799999999997</v>
      </c>
      <c r="K1591" s="1064">
        <f t="shared" si="505"/>
        <v>113</v>
      </c>
      <c r="L1591" s="985">
        <f t="shared" si="505"/>
        <v>3720453.9699999997</v>
      </c>
      <c r="M1591" s="985">
        <f t="shared" si="505"/>
        <v>0</v>
      </c>
      <c r="N1591" s="985">
        <f t="shared" si="505"/>
        <v>0</v>
      </c>
      <c r="O1591" s="985">
        <f t="shared" si="505"/>
        <v>3720453.9699999997</v>
      </c>
      <c r="P1591" s="985">
        <f t="shared" si="505"/>
        <v>0</v>
      </c>
      <c r="Q1591" s="985">
        <f t="shared" si="505"/>
        <v>0</v>
      </c>
      <c r="R1591" s="991" t="s">
        <v>40</v>
      </c>
      <c r="S1591" s="991" t="s">
        <v>40</v>
      </c>
      <c r="T1591" s="991" t="s">
        <v>40</v>
      </c>
    </row>
    <row r="1592" spans="1:20" ht="42.6" customHeight="1">
      <c r="A1592" s="1271">
        <v>484</v>
      </c>
      <c r="B1592" s="1274" t="s">
        <v>2188</v>
      </c>
      <c r="C1592" s="1279">
        <v>1969</v>
      </c>
      <c r="D1592" s="1279"/>
      <c r="E1592" s="1271" t="s">
        <v>218</v>
      </c>
      <c r="F1592" s="1279">
        <v>2</v>
      </c>
      <c r="G1592" s="1279">
        <v>2</v>
      </c>
      <c r="H1592" s="985">
        <v>403.4</v>
      </c>
      <c r="I1592" s="985">
        <v>360.2</v>
      </c>
      <c r="J1592" s="985">
        <v>360.2</v>
      </c>
      <c r="K1592" s="1064">
        <v>16</v>
      </c>
      <c r="L1592" s="986">
        <v>1489224.97</v>
      </c>
      <c r="M1592" s="986">
        <v>0</v>
      </c>
      <c r="N1592" s="986">
        <v>0</v>
      </c>
      <c r="O1592" s="986">
        <f>L1592</f>
        <v>1489224.97</v>
      </c>
      <c r="P1592" s="993">
        <v>0</v>
      </c>
      <c r="Q1592" s="986">
        <v>0</v>
      </c>
      <c r="R1592" s="985">
        <f>L1592/I1592</f>
        <v>4134.4391171571351</v>
      </c>
      <c r="S1592" s="987">
        <v>2018</v>
      </c>
      <c r="T1592" s="987">
        <v>2020</v>
      </c>
    </row>
    <row r="1593" spans="1:20" ht="46.15" customHeight="1">
      <c r="A1593" s="1271">
        <v>485</v>
      </c>
      <c r="B1593" s="1273" t="s">
        <v>2189</v>
      </c>
      <c r="C1593" s="1279">
        <v>1984</v>
      </c>
      <c r="D1593" s="1279"/>
      <c r="E1593" s="1271" t="s">
        <v>219</v>
      </c>
      <c r="F1593" s="1279">
        <v>5</v>
      </c>
      <c r="G1593" s="1279">
        <v>4</v>
      </c>
      <c r="H1593" s="985">
        <v>3218.4</v>
      </c>
      <c r="I1593" s="985">
        <v>2801.08</v>
      </c>
      <c r="J1593" s="985">
        <v>2801.08</v>
      </c>
      <c r="K1593" s="1064">
        <v>97</v>
      </c>
      <c r="L1593" s="986">
        <v>2231229</v>
      </c>
      <c r="M1593" s="986">
        <v>0</v>
      </c>
      <c r="N1593" s="986">
        <v>0</v>
      </c>
      <c r="O1593" s="986">
        <v>2231229</v>
      </c>
      <c r="P1593" s="993">
        <v>0</v>
      </c>
      <c r="Q1593" s="986">
        <v>0</v>
      </c>
      <c r="R1593" s="985">
        <v>796.56025533008699</v>
      </c>
      <c r="S1593" s="987">
        <v>2019</v>
      </c>
      <c r="T1593" s="987">
        <v>2020</v>
      </c>
    </row>
    <row r="1594" spans="1:20" ht="43.15" customHeight="1">
      <c r="A1594" s="1271"/>
      <c r="B1594" s="1273" t="s">
        <v>1653</v>
      </c>
      <c r="C1594" s="1279"/>
      <c r="D1594" s="1283"/>
      <c r="E1594" s="1271"/>
      <c r="F1594" s="1279"/>
      <c r="G1594" s="1279"/>
      <c r="H1594" s="985">
        <f>SUM(H1595:H1601)</f>
        <v>9932</v>
      </c>
      <c r="I1594" s="985">
        <f t="shared" ref="I1594:Q1594" si="506">SUM(I1595:I1601)</f>
        <v>9099.7999999999993</v>
      </c>
      <c r="J1594" s="985">
        <f t="shared" si="506"/>
        <v>9046.1</v>
      </c>
      <c r="K1594" s="1064">
        <f t="shared" si="506"/>
        <v>349</v>
      </c>
      <c r="L1594" s="985">
        <f t="shared" si="506"/>
        <v>17028599.800000001</v>
      </c>
      <c r="M1594" s="985">
        <f t="shared" si="506"/>
        <v>0</v>
      </c>
      <c r="N1594" s="985">
        <f t="shared" si="506"/>
        <v>214483.68</v>
      </c>
      <c r="O1594" s="985">
        <f t="shared" si="506"/>
        <v>16814116.120000001</v>
      </c>
      <c r="P1594" s="985">
        <f t="shared" si="506"/>
        <v>0</v>
      </c>
      <c r="Q1594" s="985">
        <f t="shared" si="506"/>
        <v>0</v>
      </c>
      <c r="R1594" s="991" t="s">
        <v>40</v>
      </c>
      <c r="S1594" s="991" t="s">
        <v>40</v>
      </c>
      <c r="T1594" s="991" t="s">
        <v>40</v>
      </c>
    </row>
    <row r="1595" spans="1:20" ht="42.6" customHeight="1">
      <c r="A1595" s="1271">
        <v>486</v>
      </c>
      <c r="B1595" s="1063" t="s">
        <v>2957</v>
      </c>
      <c r="C1595" s="987">
        <v>1992</v>
      </c>
      <c r="D1595" s="1064"/>
      <c r="E1595" s="1271" t="s">
        <v>219</v>
      </c>
      <c r="F1595" s="987">
        <v>5</v>
      </c>
      <c r="G1595" s="987">
        <v>4</v>
      </c>
      <c r="H1595" s="993">
        <v>3349.7</v>
      </c>
      <c r="I1595" s="993">
        <v>3054.1</v>
      </c>
      <c r="J1595" s="993">
        <v>3000.4</v>
      </c>
      <c r="K1595" s="987">
        <v>125</v>
      </c>
      <c r="L1595" s="986">
        <v>2790331.41</v>
      </c>
      <c r="M1595" s="986">
        <v>0</v>
      </c>
      <c r="N1595" s="986">
        <v>142143.20000000001</v>
      </c>
      <c r="O1595" s="986">
        <v>2648188.21</v>
      </c>
      <c r="P1595" s="993">
        <f t="shared" si="484"/>
        <v>0</v>
      </c>
      <c r="Q1595" s="986">
        <v>0</v>
      </c>
      <c r="R1595" s="993">
        <f t="shared" ref="R1595:R1601" si="507">L1595/I1595</f>
        <v>913.63459284240867</v>
      </c>
      <c r="S1595" s="987">
        <v>2019</v>
      </c>
      <c r="T1595" s="987">
        <v>2021</v>
      </c>
    </row>
    <row r="1596" spans="1:20" ht="43.15" customHeight="1">
      <c r="A1596" s="1271">
        <v>487</v>
      </c>
      <c r="B1596" s="1063" t="s">
        <v>2190</v>
      </c>
      <c r="C1596" s="987">
        <v>1976</v>
      </c>
      <c r="D1596" s="1064"/>
      <c r="E1596" s="1271" t="s">
        <v>218</v>
      </c>
      <c r="F1596" s="987">
        <v>2</v>
      </c>
      <c r="G1596" s="987">
        <v>2</v>
      </c>
      <c r="H1596" s="993">
        <v>990.8</v>
      </c>
      <c r="I1596" s="993">
        <v>899.8</v>
      </c>
      <c r="J1596" s="993">
        <v>899.8</v>
      </c>
      <c r="K1596" s="987">
        <v>38</v>
      </c>
      <c r="L1596" s="986">
        <v>1323473.82</v>
      </c>
      <c r="M1596" s="986">
        <v>0</v>
      </c>
      <c r="N1596" s="986">
        <v>0</v>
      </c>
      <c r="O1596" s="986">
        <v>1323473.82</v>
      </c>
      <c r="P1596" s="993">
        <f t="shared" ref="P1596:P1628" si="508">Q1596</f>
        <v>0</v>
      </c>
      <c r="Q1596" s="986">
        <v>0</v>
      </c>
      <c r="R1596" s="993">
        <f t="shared" si="507"/>
        <v>1470.853322960658</v>
      </c>
      <c r="S1596" s="987">
        <v>2019</v>
      </c>
      <c r="T1596" s="987">
        <v>2020</v>
      </c>
    </row>
    <row r="1597" spans="1:20" ht="37.15" customHeight="1">
      <c r="A1597" s="1271">
        <v>488</v>
      </c>
      <c r="B1597" s="1063" t="s">
        <v>2191</v>
      </c>
      <c r="C1597" s="1064">
        <v>1983</v>
      </c>
      <c r="D1597" s="1065"/>
      <c r="E1597" s="1271" t="s">
        <v>219</v>
      </c>
      <c r="F1597" s="987">
        <v>5</v>
      </c>
      <c r="G1597" s="987">
        <v>2</v>
      </c>
      <c r="H1597" s="993">
        <v>1649.5</v>
      </c>
      <c r="I1597" s="993">
        <v>1512.2</v>
      </c>
      <c r="J1597" s="993">
        <v>1512.2</v>
      </c>
      <c r="K1597" s="987">
        <v>65</v>
      </c>
      <c r="L1597" s="986">
        <v>1405237.49</v>
      </c>
      <c r="M1597" s="986">
        <v>0</v>
      </c>
      <c r="N1597" s="986">
        <v>72340.479999999996</v>
      </c>
      <c r="O1597" s="986">
        <v>1332897.01</v>
      </c>
      <c r="P1597" s="993">
        <f t="shared" si="508"/>
        <v>0</v>
      </c>
      <c r="Q1597" s="986">
        <v>0</v>
      </c>
      <c r="R1597" s="993">
        <f t="shared" si="507"/>
        <v>929.26695542917605</v>
      </c>
      <c r="S1597" s="987">
        <v>2019</v>
      </c>
      <c r="T1597" s="987">
        <v>2021</v>
      </c>
    </row>
    <row r="1598" spans="1:20" ht="43.15" customHeight="1">
      <c r="A1598" s="1271">
        <v>489</v>
      </c>
      <c r="B1598" s="1063" t="s">
        <v>2958</v>
      </c>
      <c r="C1598" s="987">
        <v>1977</v>
      </c>
      <c r="D1598" s="1064"/>
      <c r="E1598" s="1271" t="s">
        <v>218</v>
      </c>
      <c r="F1598" s="987">
        <v>2</v>
      </c>
      <c r="G1598" s="987">
        <v>2</v>
      </c>
      <c r="H1598" s="993">
        <v>829.3</v>
      </c>
      <c r="I1598" s="993">
        <v>753</v>
      </c>
      <c r="J1598" s="993">
        <v>753</v>
      </c>
      <c r="K1598" s="987">
        <v>27</v>
      </c>
      <c r="L1598" s="986">
        <v>4931773.08</v>
      </c>
      <c r="M1598" s="986">
        <v>0</v>
      </c>
      <c r="N1598" s="986">
        <v>0</v>
      </c>
      <c r="O1598" s="986">
        <f>L1598</f>
        <v>4931773.08</v>
      </c>
      <c r="P1598" s="993">
        <v>0</v>
      </c>
      <c r="Q1598" s="986">
        <v>0</v>
      </c>
      <c r="R1598" s="993">
        <f t="shared" si="507"/>
        <v>6549.4994422310756</v>
      </c>
      <c r="S1598" s="987">
        <v>2019</v>
      </c>
      <c r="T1598" s="987">
        <v>2021</v>
      </c>
    </row>
    <row r="1599" spans="1:20" ht="41.45" customHeight="1">
      <c r="A1599" s="1271">
        <v>490</v>
      </c>
      <c r="B1599" s="1063" t="s">
        <v>2192</v>
      </c>
      <c r="C1599" s="1064">
        <v>1966</v>
      </c>
      <c r="D1599" s="1065"/>
      <c r="E1599" s="1271" t="s">
        <v>218</v>
      </c>
      <c r="F1599" s="987">
        <v>2</v>
      </c>
      <c r="G1599" s="987">
        <v>2</v>
      </c>
      <c r="H1599" s="993">
        <v>559.1</v>
      </c>
      <c r="I1599" s="993">
        <v>513.1</v>
      </c>
      <c r="J1599" s="993">
        <v>513.1</v>
      </c>
      <c r="K1599" s="987">
        <v>12</v>
      </c>
      <c r="L1599" s="986">
        <v>2301529</v>
      </c>
      <c r="M1599" s="986">
        <v>0</v>
      </c>
      <c r="N1599" s="986">
        <v>0</v>
      </c>
      <c r="O1599" s="986">
        <f>L1599</f>
        <v>2301529</v>
      </c>
      <c r="P1599" s="993">
        <v>0</v>
      </c>
      <c r="Q1599" s="986">
        <v>0</v>
      </c>
      <c r="R1599" s="993">
        <f t="shared" si="507"/>
        <v>4485.5369323718569</v>
      </c>
      <c r="S1599" s="987">
        <v>2019</v>
      </c>
      <c r="T1599" s="987">
        <v>2020</v>
      </c>
    </row>
    <row r="1600" spans="1:20" ht="39.6" customHeight="1">
      <c r="A1600" s="1271">
        <v>491</v>
      </c>
      <c r="B1600" s="1063" t="s">
        <v>2959</v>
      </c>
      <c r="C1600" s="1064">
        <v>1969</v>
      </c>
      <c r="D1600" s="1065"/>
      <c r="E1600" s="1271" t="s">
        <v>218</v>
      </c>
      <c r="F1600" s="987">
        <v>2</v>
      </c>
      <c r="G1600" s="987">
        <v>2</v>
      </c>
      <c r="H1600" s="993">
        <v>571.1</v>
      </c>
      <c r="I1600" s="993">
        <v>516.70000000000005</v>
      </c>
      <c r="J1600" s="993">
        <v>516.70000000000005</v>
      </c>
      <c r="K1600" s="987">
        <v>28</v>
      </c>
      <c r="L1600" s="986">
        <v>1705162</v>
      </c>
      <c r="M1600" s="986">
        <v>0</v>
      </c>
      <c r="N1600" s="986">
        <v>0</v>
      </c>
      <c r="O1600" s="986">
        <v>1705162</v>
      </c>
      <c r="P1600" s="993">
        <v>0</v>
      </c>
      <c r="Q1600" s="986">
        <v>0</v>
      </c>
      <c r="R1600" s="993">
        <f t="shared" si="507"/>
        <v>3300.1006386684726</v>
      </c>
      <c r="S1600" s="987">
        <v>2019</v>
      </c>
      <c r="T1600" s="987">
        <v>2020</v>
      </c>
    </row>
    <row r="1601" spans="1:20" ht="45" customHeight="1">
      <c r="A1601" s="1271">
        <v>492</v>
      </c>
      <c r="B1601" s="1109" t="s">
        <v>2298</v>
      </c>
      <c r="C1601" s="1110">
        <v>1984</v>
      </c>
      <c r="D1601" s="1011"/>
      <c r="E1601" s="1271" t="s">
        <v>218</v>
      </c>
      <c r="F1601" s="1110">
        <v>3</v>
      </c>
      <c r="G1601" s="1110">
        <v>3</v>
      </c>
      <c r="H1601" s="1033">
        <v>1982.5</v>
      </c>
      <c r="I1601" s="1033">
        <v>1850.9</v>
      </c>
      <c r="J1601" s="1033">
        <v>1850.9</v>
      </c>
      <c r="K1601" s="1110">
        <v>54</v>
      </c>
      <c r="L1601" s="986">
        <v>2571093</v>
      </c>
      <c r="M1601" s="986">
        <v>0</v>
      </c>
      <c r="N1601" s="986">
        <v>0</v>
      </c>
      <c r="O1601" s="986">
        <v>2571093</v>
      </c>
      <c r="P1601" s="1033">
        <v>0</v>
      </c>
      <c r="Q1601" s="986">
        <v>0</v>
      </c>
      <c r="R1601" s="1033">
        <f t="shared" si="507"/>
        <v>1389.1042195688583</v>
      </c>
      <c r="S1601" s="987">
        <v>2019</v>
      </c>
      <c r="T1601" s="987">
        <v>2020</v>
      </c>
    </row>
    <row r="1602" spans="1:20" ht="39" customHeight="1">
      <c r="A1602" s="1271"/>
      <c r="B1602" s="1275" t="s">
        <v>2675</v>
      </c>
      <c r="C1602" s="1279"/>
      <c r="D1602" s="1283"/>
      <c r="E1602" s="1271"/>
      <c r="F1602" s="1279"/>
      <c r="G1602" s="1279"/>
      <c r="H1602" s="993">
        <f>H1603</f>
        <v>783.2</v>
      </c>
      <c r="I1602" s="993">
        <f t="shared" ref="I1602:Q1602" si="509">I1603</f>
        <v>734.8</v>
      </c>
      <c r="J1602" s="993">
        <f t="shared" si="509"/>
        <v>552.79999999999995</v>
      </c>
      <c r="K1602" s="987">
        <f t="shared" si="509"/>
        <v>32</v>
      </c>
      <c r="L1602" s="993">
        <f t="shared" si="509"/>
        <v>2111734.0099999998</v>
      </c>
      <c r="M1602" s="993">
        <f t="shared" si="509"/>
        <v>0</v>
      </c>
      <c r="N1602" s="993">
        <f t="shared" si="509"/>
        <v>0</v>
      </c>
      <c r="O1602" s="993">
        <f t="shared" si="509"/>
        <v>2111734.0099999998</v>
      </c>
      <c r="P1602" s="993">
        <f t="shared" si="509"/>
        <v>0</v>
      </c>
      <c r="Q1602" s="993">
        <f t="shared" si="509"/>
        <v>0</v>
      </c>
      <c r="R1602" s="991" t="s">
        <v>40</v>
      </c>
      <c r="S1602" s="991" t="s">
        <v>40</v>
      </c>
      <c r="T1602" s="991" t="s">
        <v>40</v>
      </c>
    </row>
    <row r="1603" spans="1:20" ht="45.75" customHeight="1">
      <c r="A1603" s="1271">
        <v>493</v>
      </c>
      <c r="B1603" s="1063" t="s">
        <v>2960</v>
      </c>
      <c r="C1603" s="1064">
        <v>1978</v>
      </c>
      <c r="D1603" s="1065"/>
      <c r="E1603" s="1271" t="s">
        <v>218</v>
      </c>
      <c r="F1603" s="987">
        <v>2</v>
      </c>
      <c r="G1603" s="987">
        <v>2</v>
      </c>
      <c r="H1603" s="993">
        <v>783.2</v>
      </c>
      <c r="I1603" s="993">
        <v>734.8</v>
      </c>
      <c r="J1603" s="993">
        <v>552.79999999999995</v>
      </c>
      <c r="K1603" s="987">
        <v>32</v>
      </c>
      <c r="L1603" s="986">
        <v>2111734.0099999998</v>
      </c>
      <c r="M1603" s="986">
        <v>0</v>
      </c>
      <c r="N1603" s="986">
        <v>0</v>
      </c>
      <c r="O1603" s="986">
        <v>2111734.0099999998</v>
      </c>
      <c r="P1603" s="993">
        <f t="shared" si="508"/>
        <v>0</v>
      </c>
      <c r="Q1603" s="986">
        <v>0</v>
      </c>
      <c r="R1603" s="993">
        <f t="shared" ref="R1603" si="510">L1603/I1603</f>
        <v>2873.8895073489384</v>
      </c>
      <c r="S1603" s="987">
        <v>2019</v>
      </c>
      <c r="T1603" s="987">
        <v>2022</v>
      </c>
    </row>
    <row r="1604" spans="1:20" ht="45" customHeight="1">
      <c r="A1604" s="1271"/>
      <c r="B1604" s="1275" t="s">
        <v>2704</v>
      </c>
      <c r="C1604" s="1279"/>
      <c r="D1604" s="1283"/>
      <c r="E1604" s="1271"/>
      <c r="F1604" s="1279"/>
      <c r="G1604" s="1279"/>
      <c r="H1604" s="993">
        <f>H1605</f>
        <v>1121.9000000000001</v>
      </c>
      <c r="I1604" s="993">
        <f t="shared" ref="I1604:Q1604" si="511">I1605</f>
        <v>844.59999999999991</v>
      </c>
      <c r="J1604" s="993">
        <f t="shared" si="511"/>
        <v>845.09999999999991</v>
      </c>
      <c r="K1604" s="987">
        <f t="shared" si="511"/>
        <v>72</v>
      </c>
      <c r="L1604" s="993">
        <f t="shared" si="511"/>
        <v>5909129.8099999996</v>
      </c>
      <c r="M1604" s="993">
        <f t="shared" si="511"/>
        <v>0</v>
      </c>
      <c r="N1604" s="993">
        <f t="shared" si="511"/>
        <v>0</v>
      </c>
      <c r="O1604" s="993">
        <f t="shared" si="511"/>
        <v>5909129.8099999996</v>
      </c>
      <c r="P1604" s="993">
        <f t="shared" si="508"/>
        <v>0</v>
      </c>
      <c r="Q1604" s="993">
        <f t="shared" si="511"/>
        <v>0</v>
      </c>
      <c r="R1604" s="991" t="s">
        <v>40</v>
      </c>
      <c r="S1604" s="991" t="s">
        <v>40</v>
      </c>
      <c r="T1604" s="991" t="s">
        <v>40</v>
      </c>
    </row>
    <row r="1605" spans="1:20" ht="35.450000000000003" customHeight="1">
      <c r="A1605" s="1271"/>
      <c r="B1605" s="1273" t="s">
        <v>1077</v>
      </c>
      <c r="C1605" s="1279"/>
      <c r="D1605" s="1283"/>
      <c r="E1605" s="1271"/>
      <c r="F1605" s="1279"/>
      <c r="G1605" s="1279"/>
      <c r="H1605" s="993">
        <f t="shared" ref="H1605:Q1605" si="512">SUM(H1606:H1608)</f>
        <v>1121.9000000000001</v>
      </c>
      <c r="I1605" s="993">
        <f t="shared" si="512"/>
        <v>844.59999999999991</v>
      </c>
      <c r="J1605" s="993">
        <f t="shared" si="512"/>
        <v>845.09999999999991</v>
      </c>
      <c r="K1605" s="987">
        <f t="shared" si="512"/>
        <v>72</v>
      </c>
      <c r="L1605" s="993">
        <f t="shared" si="512"/>
        <v>5909129.8099999996</v>
      </c>
      <c r="M1605" s="993">
        <f t="shared" si="512"/>
        <v>0</v>
      </c>
      <c r="N1605" s="993">
        <f t="shared" si="512"/>
        <v>0</v>
      </c>
      <c r="O1605" s="993">
        <f t="shared" si="512"/>
        <v>5909129.8099999996</v>
      </c>
      <c r="P1605" s="993">
        <f t="shared" si="512"/>
        <v>0</v>
      </c>
      <c r="Q1605" s="993">
        <f t="shared" si="512"/>
        <v>0</v>
      </c>
      <c r="R1605" s="991" t="s">
        <v>40</v>
      </c>
      <c r="S1605" s="991" t="s">
        <v>40</v>
      </c>
      <c r="T1605" s="991" t="s">
        <v>40</v>
      </c>
    </row>
    <row r="1606" spans="1:20" ht="44.45" customHeight="1">
      <c r="A1606" s="1271">
        <v>494</v>
      </c>
      <c r="B1606" s="1273" t="s">
        <v>1170</v>
      </c>
      <c r="C1606" s="1279">
        <v>1917</v>
      </c>
      <c r="D1606" s="1279"/>
      <c r="E1606" s="1271" t="s">
        <v>218</v>
      </c>
      <c r="F1606" s="1279">
        <v>1</v>
      </c>
      <c r="G1606" s="1279">
        <v>3</v>
      </c>
      <c r="H1606" s="985">
        <v>657.7</v>
      </c>
      <c r="I1606" s="985">
        <v>438.5</v>
      </c>
      <c r="J1606" s="985">
        <v>439</v>
      </c>
      <c r="K1606" s="1064">
        <v>38</v>
      </c>
      <c r="L1606" s="986">
        <v>3257328.82</v>
      </c>
      <c r="M1606" s="986">
        <v>0</v>
      </c>
      <c r="N1606" s="986">
        <v>0</v>
      </c>
      <c r="O1606" s="986">
        <f>L1606</f>
        <v>3257328.82</v>
      </c>
      <c r="P1606" s="993">
        <f t="shared" si="508"/>
        <v>0</v>
      </c>
      <c r="Q1606" s="986">
        <v>0</v>
      </c>
      <c r="R1606" s="985">
        <f>L1606/I1606</f>
        <v>7428.3439452679586</v>
      </c>
      <c r="S1606" s="987">
        <v>2019</v>
      </c>
      <c r="T1606" s="987">
        <v>2022</v>
      </c>
    </row>
    <row r="1607" spans="1:20" ht="40.9" customHeight="1">
      <c r="A1607" s="1271">
        <v>495</v>
      </c>
      <c r="B1607" s="1273" t="s">
        <v>1153</v>
      </c>
      <c r="C1607" s="1279" t="s">
        <v>190</v>
      </c>
      <c r="D1607" s="1279"/>
      <c r="E1607" s="1271" t="s">
        <v>218</v>
      </c>
      <c r="F1607" s="1279">
        <v>2</v>
      </c>
      <c r="G1607" s="1279">
        <v>1</v>
      </c>
      <c r="H1607" s="985">
        <v>241</v>
      </c>
      <c r="I1607" s="985">
        <v>214.8</v>
      </c>
      <c r="J1607" s="985">
        <v>214.8</v>
      </c>
      <c r="K1607" s="1064">
        <v>15</v>
      </c>
      <c r="L1607" s="986">
        <v>1206575.99</v>
      </c>
      <c r="M1607" s="986">
        <v>0</v>
      </c>
      <c r="N1607" s="986">
        <v>0</v>
      </c>
      <c r="O1607" s="986">
        <f>L1607</f>
        <v>1206575.99</v>
      </c>
      <c r="P1607" s="993">
        <v>0</v>
      </c>
      <c r="Q1607" s="986">
        <v>0</v>
      </c>
      <c r="R1607" s="985">
        <f>L1607/I1607</f>
        <v>5617.2066573556795</v>
      </c>
      <c r="S1607" s="987">
        <v>2019</v>
      </c>
      <c r="T1607" s="987">
        <v>2022</v>
      </c>
    </row>
    <row r="1608" spans="1:20" ht="37.15" customHeight="1">
      <c r="A1608" s="1271">
        <v>496</v>
      </c>
      <c r="B1608" s="1273" t="s">
        <v>1152</v>
      </c>
      <c r="C1608" s="1279" t="s">
        <v>190</v>
      </c>
      <c r="D1608" s="1279"/>
      <c r="E1608" s="1271" t="s">
        <v>222</v>
      </c>
      <c r="F1608" s="1279">
        <v>1</v>
      </c>
      <c r="G1608" s="1279">
        <v>3</v>
      </c>
      <c r="H1608" s="985">
        <v>223.2</v>
      </c>
      <c r="I1608" s="985">
        <v>191.3</v>
      </c>
      <c r="J1608" s="985">
        <v>191.3</v>
      </c>
      <c r="K1608" s="1064">
        <v>19</v>
      </c>
      <c r="L1608" s="986">
        <v>1445225</v>
      </c>
      <c r="M1608" s="986">
        <v>0</v>
      </c>
      <c r="N1608" s="986">
        <v>0</v>
      </c>
      <c r="O1608" s="986">
        <f>L1608</f>
        <v>1445225</v>
      </c>
      <c r="P1608" s="993">
        <v>0</v>
      </c>
      <c r="Q1608" s="986">
        <v>0</v>
      </c>
      <c r="R1608" s="985">
        <f>L1608/I1608</f>
        <v>7554.7569262937786</v>
      </c>
      <c r="S1608" s="987">
        <v>2019</v>
      </c>
      <c r="T1608" s="987">
        <v>2022</v>
      </c>
    </row>
    <row r="1609" spans="1:20" ht="34.9" customHeight="1">
      <c r="A1609" s="1271"/>
      <c r="B1609" s="1391" t="s">
        <v>211</v>
      </c>
      <c r="C1609" s="1391"/>
      <c r="D1609" s="1391"/>
      <c r="E1609" s="1391"/>
      <c r="F1609" s="1391"/>
      <c r="G1609" s="1391"/>
      <c r="H1609" s="985">
        <f>H1610+H1612+H1614</f>
        <v>1483.4</v>
      </c>
      <c r="I1609" s="985">
        <f t="shared" ref="I1609:Q1609" si="513">I1610+I1612+I1614</f>
        <v>1394.1</v>
      </c>
      <c r="J1609" s="985">
        <f t="shared" si="513"/>
        <v>903</v>
      </c>
      <c r="K1609" s="1064">
        <f t="shared" si="513"/>
        <v>44</v>
      </c>
      <c r="L1609" s="985">
        <f t="shared" si="513"/>
        <v>4149700.9699999997</v>
      </c>
      <c r="M1609" s="985">
        <f t="shared" si="513"/>
        <v>0</v>
      </c>
      <c r="N1609" s="985">
        <f t="shared" si="513"/>
        <v>0</v>
      </c>
      <c r="O1609" s="985">
        <f t="shared" si="513"/>
        <v>4149700.9699999997</v>
      </c>
      <c r="P1609" s="985">
        <f t="shared" si="513"/>
        <v>0</v>
      </c>
      <c r="Q1609" s="985">
        <f t="shared" si="513"/>
        <v>0</v>
      </c>
      <c r="R1609" s="991" t="s">
        <v>40</v>
      </c>
      <c r="S1609" s="991" t="s">
        <v>40</v>
      </c>
      <c r="T1609" s="991" t="s">
        <v>40</v>
      </c>
    </row>
    <row r="1610" spans="1:20" ht="36" customHeight="1">
      <c r="A1610" s="1271"/>
      <c r="B1610" s="1391" t="s">
        <v>1159</v>
      </c>
      <c r="C1610" s="1391"/>
      <c r="D1610" s="1391"/>
      <c r="E1610" s="1391"/>
      <c r="F1610" s="1391"/>
      <c r="G1610" s="1391"/>
      <c r="H1610" s="985">
        <v>388.1</v>
      </c>
      <c r="I1610" s="985">
        <v>350.9</v>
      </c>
      <c r="J1610" s="985">
        <v>350.9</v>
      </c>
      <c r="K1610" s="1064">
        <v>17</v>
      </c>
      <c r="L1610" s="985">
        <v>1116919</v>
      </c>
      <c r="M1610" s="985">
        <v>0</v>
      </c>
      <c r="N1610" s="985">
        <v>0</v>
      </c>
      <c r="O1610" s="985">
        <v>1116919</v>
      </c>
      <c r="P1610" s="985">
        <v>0</v>
      </c>
      <c r="Q1610" s="985">
        <v>0</v>
      </c>
      <c r="R1610" s="991" t="s">
        <v>40</v>
      </c>
      <c r="S1610" s="991" t="s">
        <v>40</v>
      </c>
      <c r="T1610" s="991" t="s">
        <v>40</v>
      </c>
    </row>
    <row r="1611" spans="1:20" ht="40.9" customHeight="1">
      <c r="A1611" s="1271">
        <v>497</v>
      </c>
      <c r="B1611" s="1273" t="s">
        <v>1390</v>
      </c>
      <c r="C1611" s="1279">
        <v>1975</v>
      </c>
      <c r="D1611" s="1279"/>
      <c r="E1611" s="1271" t="s">
        <v>218</v>
      </c>
      <c r="F1611" s="1279">
        <v>2</v>
      </c>
      <c r="G1611" s="1279">
        <v>1</v>
      </c>
      <c r="H1611" s="985">
        <v>388.1</v>
      </c>
      <c r="I1611" s="985">
        <v>350.9</v>
      </c>
      <c r="J1611" s="985">
        <v>350.9</v>
      </c>
      <c r="K1611" s="1064">
        <v>17</v>
      </c>
      <c r="L1611" s="986">
        <v>1116919</v>
      </c>
      <c r="M1611" s="986">
        <v>0</v>
      </c>
      <c r="N1611" s="986">
        <v>0</v>
      </c>
      <c r="O1611" s="986">
        <v>1116919</v>
      </c>
      <c r="P1611" s="993">
        <v>0</v>
      </c>
      <c r="Q1611" s="986">
        <v>0</v>
      </c>
      <c r="R1611" s="985">
        <v>3183.0122542034769</v>
      </c>
      <c r="S1611" s="987">
        <v>2019</v>
      </c>
      <c r="T1611" s="987">
        <v>2020</v>
      </c>
    </row>
    <row r="1612" spans="1:20" ht="39.6" customHeight="1">
      <c r="A1612" s="1271"/>
      <c r="B1612" s="1273" t="s">
        <v>1078</v>
      </c>
      <c r="C1612" s="1279"/>
      <c r="D1612" s="1283"/>
      <c r="E1612" s="1271"/>
      <c r="F1612" s="1279"/>
      <c r="G1612" s="1279"/>
      <c r="H1612" s="985">
        <f>H1613</f>
        <v>494.8</v>
      </c>
      <c r="I1612" s="985">
        <f t="shared" ref="I1612:Q1612" si="514">I1613</f>
        <v>494.8</v>
      </c>
      <c r="J1612" s="985">
        <f t="shared" si="514"/>
        <v>379.6</v>
      </c>
      <c r="K1612" s="1064">
        <f t="shared" si="514"/>
        <v>12</v>
      </c>
      <c r="L1612" s="985">
        <f t="shared" si="514"/>
        <v>1537679</v>
      </c>
      <c r="M1612" s="985">
        <f t="shared" si="514"/>
        <v>0</v>
      </c>
      <c r="N1612" s="985">
        <f t="shared" si="514"/>
        <v>0</v>
      </c>
      <c r="O1612" s="985">
        <f t="shared" si="514"/>
        <v>1537679</v>
      </c>
      <c r="P1612" s="985">
        <f t="shared" si="514"/>
        <v>0</v>
      </c>
      <c r="Q1612" s="985">
        <f t="shared" si="514"/>
        <v>0</v>
      </c>
      <c r="R1612" s="991" t="s">
        <v>40</v>
      </c>
      <c r="S1612" s="991" t="s">
        <v>40</v>
      </c>
      <c r="T1612" s="991" t="s">
        <v>40</v>
      </c>
    </row>
    <row r="1613" spans="1:20" ht="45.6" customHeight="1">
      <c r="A1613" s="1271">
        <v>498</v>
      </c>
      <c r="B1613" s="1273" t="s">
        <v>630</v>
      </c>
      <c r="C1613" s="1279">
        <v>1917</v>
      </c>
      <c r="D1613" s="1279"/>
      <c r="E1613" s="1271" t="s">
        <v>218</v>
      </c>
      <c r="F1613" s="1279">
        <v>2</v>
      </c>
      <c r="G1613" s="1279">
        <v>1</v>
      </c>
      <c r="H1613" s="985">
        <v>494.8</v>
      </c>
      <c r="I1613" s="985">
        <v>494.8</v>
      </c>
      <c r="J1613" s="985">
        <v>379.6</v>
      </c>
      <c r="K1613" s="1064">
        <v>12</v>
      </c>
      <c r="L1613" s="986">
        <v>1537679</v>
      </c>
      <c r="M1613" s="986">
        <v>0</v>
      </c>
      <c r="N1613" s="986">
        <v>0</v>
      </c>
      <c r="O1613" s="986">
        <v>1537679</v>
      </c>
      <c r="P1613" s="993">
        <v>0</v>
      </c>
      <c r="Q1613" s="986">
        <v>0</v>
      </c>
      <c r="R1613" s="985">
        <v>3107.6778496362167</v>
      </c>
      <c r="S1613" s="987">
        <v>2017</v>
      </c>
      <c r="T1613" s="987">
        <v>2020</v>
      </c>
    </row>
    <row r="1614" spans="1:20" ht="42" customHeight="1">
      <c r="A1614" s="1271"/>
      <c r="B1614" s="1273" t="s">
        <v>1079</v>
      </c>
      <c r="C1614" s="1279"/>
      <c r="D1614" s="1283"/>
      <c r="E1614" s="1271"/>
      <c r="F1614" s="1279"/>
      <c r="G1614" s="1279"/>
      <c r="H1614" s="985">
        <f>H1615</f>
        <v>600.5</v>
      </c>
      <c r="I1614" s="985">
        <f t="shared" ref="I1614:Q1614" si="515">I1615</f>
        <v>548.4</v>
      </c>
      <c r="J1614" s="985">
        <f t="shared" si="515"/>
        <v>172.5</v>
      </c>
      <c r="K1614" s="1064">
        <f t="shared" si="515"/>
        <v>15</v>
      </c>
      <c r="L1614" s="985">
        <f t="shared" si="515"/>
        <v>1495102.97</v>
      </c>
      <c r="M1614" s="985">
        <f t="shared" si="515"/>
        <v>0</v>
      </c>
      <c r="N1614" s="985">
        <f t="shared" si="515"/>
        <v>0</v>
      </c>
      <c r="O1614" s="985">
        <f t="shared" si="515"/>
        <v>1495102.97</v>
      </c>
      <c r="P1614" s="985">
        <f t="shared" si="515"/>
        <v>0</v>
      </c>
      <c r="Q1614" s="985">
        <f t="shared" si="515"/>
        <v>0</v>
      </c>
      <c r="R1614" s="991" t="s">
        <v>40</v>
      </c>
      <c r="S1614" s="991" t="s">
        <v>40</v>
      </c>
      <c r="T1614" s="991" t="s">
        <v>40</v>
      </c>
    </row>
    <row r="1615" spans="1:20" ht="42.6" customHeight="1">
      <c r="A1615" s="1271">
        <v>499</v>
      </c>
      <c r="B1615" s="1273" t="s">
        <v>632</v>
      </c>
      <c r="C1615" s="1279">
        <v>1982</v>
      </c>
      <c r="D1615" s="1279"/>
      <c r="E1615" s="1271" t="s">
        <v>218</v>
      </c>
      <c r="F1615" s="1279">
        <v>2</v>
      </c>
      <c r="G1615" s="1279">
        <v>2</v>
      </c>
      <c r="H1615" s="985">
        <v>600.5</v>
      </c>
      <c r="I1615" s="985">
        <v>548.4</v>
      </c>
      <c r="J1615" s="985">
        <v>172.5</v>
      </c>
      <c r="K1615" s="1064">
        <v>15</v>
      </c>
      <c r="L1615" s="986">
        <v>1495102.97</v>
      </c>
      <c r="M1615" s="986">
        <v>0</v>
      </c>
      <c r="N1615" s="986">
        <v>0</v>
      </c>
      <c r="O1615" s="986">
        <v>1495102.97</v>
      </c>
      <c r="P1615" s="993">
        <v>0</v>
      </c>
      <c r="Q1615" s="986">
        <v>0</v>
      </c>
      <c r="R1615" s="985">
        <v>2646.2983223924143</v>
      </c>
      <c r="S1615" s="987">
        <v>2017</v>
      </c>
      <c r="T1615" s="987">
        <v>2020</v>
      </c>
    </row>
    <row r="1616" spans="1:20" ht="34.15" customHeight="1">
      <c r="A1616" s="1271"/>
      <c r="B1616" s="1391" t="s">
        <v>66</v>
      </c>
      <c r="C1616" s="1391"/>
      <c r="D1616" s="1391"/>
      <c r="E1616" s="1391"/>
      <c r="F1616" s="1391"/>
      <c r="G1616" s="1391"/>
      <c r="H1616" s="985">
        <f t="shared" ref="H1616:Q1616" si="516">H1619+H1617</f>
        <v>1095.4000000000001</v>
      </c>
      <c r="I1616" s="985">
        <f t="shared" si="516"/>
        <v>1013.5999999999999</v>
      </c>
      <c r="J1616" s="985">
        <f t="shared" si="516"/>
        <v>890.2</v>
      </c>
      <c r="K1616" s="1064">
        <f t="shared" si="516"/>
        <v>32</v>
      </c>
      <c r="L1616" s="985">
        <f t="shared" si="516"/>
        <v>1851411.42</v>
      </c>
      <c r="M1616" s="985">
        <f t="shared" si="516"/>
        <v>0</v>
      </c>
      <c r="N1616" s="985">
        <f t="shared" si="516"/>
        <v>0</v>
      </c>
      <c r="O1616" s="985">
        <f t="shared" si="516"/>
        <v>1851411.42</v>
      </c>
      <c r="P1616" s="985">
        <f t="shared" si="516"/>
        <v>0</v>
      </c>
      <c r="Q1616" s="985">
        <f t="shared" si="516"/>
        <v>0</v>
      </c>
      <c r="R1616" s="991" t="str">
        <f t="shared" ref="R1616:T1616" si="517">R1619</f>
        <v>Х</v>
      </c>
      <c r="S1616" s="991" t="str">
        <f t="shared" si="517"/>
        <v>Х</v>
      </c>
      <c r="T1616" s="991" t="str">
        <f t="shared" si="517"/>
        <v>Х</v>
      </c>
    </row>
    <row r="1617" spans="1:20" ht="36.6" customHeight="1">
      <c r="A1617" s="1271"/>
      <c r="B1617" s="1391" t="s">
        <v>1081</v>
      </c>
      <c r="C1617" s="1391"/>
      <c r="D1617" s="1391"/>
      <c r="E1617" s="1391"/>
      <c r="F1617" s="1391"/>
      <c r="G1617" s="1391"/>
      <c r="H1617" s="985">
        <f>H1618</f>
        <v>419.5</v>
      </c>
      <c r="I1617" s="985">
        <f t="shared" ref="I1617:Q1617" si="518">I1618</f>
        <v>387.2</v>
      </c>
      <c r="J1617" s="985">
        <f t="shared" si="518"/>
        <v>346</v>
      </c>
      <c r="K1617" s="1064">
        <f t="shared" si="518"/>
        <v>9</v>
      </c>
      <c r="L1617" s="985">
        <f t="shared" si="518"/>
        <v>1439531</v>
      </c>
      <c r="M1617" s="985">
        <f t="shared" si="518"/>
        <v>0</v>
      </c>
      <c r="N1617" s="985">
        <f t="shared" si="518"/>
        <v>0</v>
      </c>
      <c r="O1617" s="985">
        <f t="shared" si="518"/>
        <v>1439531</v>
      </c>
      <c r="P1617" s="985">
        <f t="shared" si="518"/>
        <v>0</v>
      </c>
      <c r="Q1617" s="985">
        <f t="shared" si="518"/>
        <v>0</v>
      </c>
      <c r="R1617" s="991" t="s">
        <v>40</v>
      </c>
      <c r="S1617" s="991" t="s">
        <v>40</v>
      </c>
      <c r="T1617" s="991" t="s">
        <v>40</v>
      </c>
    </row>
    <row r="1618" spans="1:20" ht="43.15" customHeight="1">
      <c r="A1618" s="1271">
        <v>500</v>
      </c>
      <c r="B1618" s="1273" t="s">
        <v>502</v>
      </c>
      <c r="C1618" s="1279">
        <v>1953</v>
      </c>
      <c r="D1618" s="1279"/>
      <c r="E1618" s="1271" t="s">
        <v>218</v>
      </c>
      <c r="F1618" s="1279">
        <v>2</v>
      </c>
      <c r="G1618" s="1279">
        <v>1</v>
      </c>
      <c r="H1618" s="985">
        <v>419.5</v>
      </c>
      <c r="I1618" s="985">
        <v>387.2</v>
      </c>
      <c r="J1618" s="985">
        <v>346</v>
      </c>
      <c r="K1618" s="1064">
        <v>9</v>
      </c>
      <c r="L1618" s="986">
        <v>1439531</v>
      </c>
      <c r="M1618" s="986">
        <v>0</v>
      </c>
      <c r="N1618" s="986">
        <v>0</v>
      </c>
      <c r="O1618" s="986">
        <v>1439531</v>
      </c>
      <c r="P1618" s="993">
        <v>0</v>
      </c>
      <c r="Q1618" s="986">
        <v>0</v>
      </c>
      <c r="R1618" s="993">
        <f>L1618/I1618</f>
        <v>3717.7970041322315</v>
      </c>
      <c r="S1618" s="987">
        <v>2019</v>
      </c>
      <c r="T1618" s="987">
        <v>2020</v>
      </c>
    </row>
    <row r="1619" spans="1:20" ht="37.15" customHeight="1">
      <c r="A1619" s="1271"/>
      <c r="B1619" s="1273" t="s">
        <v>1080</v>
      </c>
      <c r="C1619" s="1273"/>
      <c r="D1619" s="1273"/>
      <c r="E1619" s="1279"/>
      <c r="F1619" s="1273"/>
      <c r="G1619" s="1273"/>
      <c r="H1619" s="985">
        <f>H1620</f>
        <v>675.9</v>
      </c>
      <c r="I1619" s="985">
        <f t="shared" ref="I1619:Q1619" si="519">I1620</f>
        <v>626.4</v>
      </c>
      <c r="J1619" s="985">
        <f t="shared" si="519"/>
        <v>544.20000000000005</v>
      </c>
      <c r="K1619" s="1064">
        <f t="shared" si="519"/>
        <v>23</v>
      </c>
      <c r="L1619" s="985">
        <f t="shared" si="519"/>
        <v>411880.42</v>
      </c>
      <c r="M1619" s="985">
        <f t="shared" si="519"/>
        <v>0</v>
      </c>
      <c r="N1619" s="985">
        <f t="shared" si="519"/>
        <v>0</v>
      </c>
      <c r="O1619" s="985">
        <f t="shared" si="519"/>
        <v>411880.42</v>
      </c>
      <c r="P1619" s="985">
        <f t="shared" si="519"/>
        <v>0</v>
      </c>
      <c r="Q1619" s="985">
        <f t="shared" si="519"/>
        <v>0</v>
      </c>
      <c r="R1619" s="991" t="s">
        <v>40</v>
      </c>
      <c r="S1619" s="991" t="s">
        <v>40</v>
      </c>
      <c r="T1619" s="991" t="s">
        <v>40</v>
      </c>
    </row>
    <row r="1620" spans="1:20" ht="41.45" customHeight="1">
      <c r="A1620" s="1271">
        <v>501</v>
      </c>
      <c r="B1620" s="1273" t="s">
        <v>642</v>
      </c>
      <c r="C1620" s="1279">
        <v>1972</v>
      </c>
      <c r="D1620" s="1279"/>
      <c r="E1620" s="1271" t="s">
        <v>218</v>
      </c>
      <c r="F1620" s="1279">
        <v>2</v>
      </c>
      <c r="G1620" s="1279">
        <v>2</v>
      </c>
      <c r="H1620" s="985">
        <v>675.9</v>
      </c>
      <c r="I1620" s="985">
        <v>626.4</v>
      </c>
      <c r="J1620" s="985">
        <v>544.20000000000005</v>
      </c>
      <c r="K1620" s="1064">
        <v>23</v>
      </c>
      <c r="L1620" s="986">
        <v>411880.42</v>
      </c>
      <c r="M1620" s="986">
        <v>0</v>
      </c>
      <c r="N1620" s="986">
        <v>0</v>
      </c>
      <c r="O1620" s="986">
        <v>411880.42</v>
      </c>
      <c r="P1620" s="993">
        <v>0</v>
      </c>
      <c r="Q1620" s="986">
        <v>0</v>
      </c>
      <c r="R1620" s="985">
        <v>553.86015325670496</v>
      </c>
      <c r="S1620" s="987">
        <v>2017</v>
      </c>
      <c r="T1620" s="987">
        <v>2021</v>
      </c>
    </row>
    <row r="1621" spans="1:20" ht="33.6" customHeight="1">
      <c r="A1621" s="1271"/>
      <c r="B1621" s="1273" t="s">
        <v>1122</v>
      </c>
      <c r="C1621" s="1279"/>
      <c r="D1621" s="1283"/>
      <c r="E1621" s="1271"/>
      <c r="F1621" s="1279"/>
      <c r="G1621" s="1279"/>
      <c r="H1621" s="985">
        <f>SUM(H1622:H1622)</f>
        <v>5114.17</v>
      </c>
      <c r="I1621" s="985">
        <f t="shared" ref="I1621:Q1621" si="520">SUM(I1622:I1622)</f>
        <v>4404.8</v>
      </c>
      <c r="J1621" s="985">
        <f t="shared" si="520"/>
        <v>4404.8</v>
      </c>
      <c r="K1621" s="1064">
        <f t="shared" si="520"/>
        <v>180</v>
      </c>
      <c r="L1621" s="985">
        <f t="shared" si="520"/>
        <v>12132544</v>
      </c>
      <c r="M1621" s="985">
        <f t="shared" si="520"/>
        <v>0</v>
      </c>
      <c r="N1621" s="985">
        <f t="shared" si="520"/>
        <v>0</v>
      </c>
      <c r="O1621" s="985">
        <f t="shared" si="520"/>
        <v>12132544</v>
      </c>
      <c r="P1621" s="985">
        <f t="shared" si="520"/>
        <v>0</v>
      </c>
      <c r="Q1621" s="985">
        <f t="shared" si="520"/>
        <v>0</v>
      </c>
      <c r="R1621" s="991" t="s">
        <v>40</v>
      </c>
      <c r="S1621" s="991" t="s">
        <v>40</v>
      </c>
      <c r="T1621" s="991" t="s">
        <v>40</v>
      </c>
    </row>
    <row r="1622" spans="1:20" ht="42" customHeight="1">
      <c r="A1622" s="1032">
        <v>502</v>
      </c>
      <c r="B1622" s="1041" t="s">
        <v>2199</v>
      </c>
      <c r="C1622" s="1279">
        <v>1982</v>
      </c>
      <c r="D1622" s="1091"/>
      <c r="E1622" s="1271" t="s">
        <v>219</v>
      </c>
      <c r="F1622" s="1111">
        <v>9</v>
      </c>
      <c r="G1622" s="1111">
        <v>2</v>
      </c>
      <c r="H1622" s="1037">
        <v>5114.17</v>
      </c>
      <c r="I1622" s="1037">
        <v>4404.8</v>
      </c>
      <c r="J1622" s="1037">
        <v>4404.8</v>
      </c>
      <c r="K1622" s="1068">
        <v>180</v>
      </c>
      <c r="L1622" s="1037">
        <v>12132544</v>
      </c>
      <c r="M1622" s="1059">
        <v>0</v>
      </c>
      <c r="N1622" s="1037">
        <v>0</v>
      </c>
      <c r="O1622" s="1037">
        <v>12132544</v>
      </c>
      <c r="P1622" s="1059">
        <v>0</v>
      </c>
      <c r="Q1622" s="1059">
        <v>0</v>
      </c>
      <c r="R1622" s="993">
        <f>L1622/I1622</f>
        <v>2754.3915728296402</v>
      </c>
      <c r="S1622" s="987">
        <v>2019</v>
      </c>
      <c r="T1622" s="987">
        <v>2020</v>
      </c>
    </row>
    <row r="1623" spans="1:20" ht="43.9" customHeight="1">
      <c r="A1623" s="1271"/>
      <c r="B1623" s="1273" t="s">
        <v>67</v>
      </c>
      <c r="C1623" s="1279"/>
      <c r="D1623" s="1283"/>
      <c r="E1623" s="1271"/>
      <c r="F1623" s="1279"/>
      <c r="G1623" s="1279"/>
      <c r="H1623" s="985">
        <f>H1626+H1629+H1624</f>
        <v>5621.8</v>
      </c>
      <c r="I1623" s="985">
        <f t="shared" ref="I1623:Q1623" si="521">I1626+I1629+I1624</f>
        <v>5584.5999999999995</v>
      </c>
      <c r="J1623" s="985">
        <f t="shared" si="521"/>
        <v>4081.7999999999997</v>
      </c>
      <c r="K1623" s="1064">
        <f t="shared" si="521"/>
        <v>207</v>
      </c>
      <c r="L1623" s="985">
        <f t="shared" si="521"/>
        <v>7537035</v>
      </c>
      <c r="M1623" s="985">
        <f t="shared" si="521"/>
        <v>0</v>
      </c>
      <c r="N1623" s="985">
        <f t="shared" si="521"/>
        <v>172616.56</v>
      </c>
      <c r="O1623" s="985">
        <f t="shared" si="521"/>
        <v>7364418.4399999995</v>
      </c>
      <c r="P1623" s="985">
        <f t="shared" si="521"/>
        <v>0</v>
      </c>
      <c r="Q1623" s="985">
        <f t="shared" si="521"/>
        <v>0</v>
      </c>
      <c r="R1623" s="991" t="s">
        <v>40</v>
      </c>
      <c r="S1623" s="991" t="s">
        <v>40</v>
      </c>
      <c r="T1623" s="991" t="s">
        <v>40</v>
      </c>
    </row>
    <row r="1624" spans="1:20" ht="39.6" customHeight="1">
      <c r="A1624" s="1271"/>
      <c r="B1624" s="1276" t="s">
        <v>1383</v>
      </c>
      <c r="C1624" s="1279"/>
      <c r="D1624" s="1283"/>
      <c r="E1624" s="1271"/>
      <c r="F1624" s="1279"/>
      <c r="G1624" s="1279"/>
      <c r="H1624" s="985">
        <f>H1625</f>
        <v>403.1</v>
      </c>
      <c r="I1624" s="985">
        <f t="shared" ref="I1624:Q1624" si="522">I1625</f>
        <v>365.9</v>
      </c>
      <c r="J1624" s="985">
        <f t="shared" si="522"/>
        <v>250.2</v>
      </c>
      <c r="K1624" s="1064">
        <f t="shared" si="522"/>
        <v>22</v>
      </c>
      <c r="L1624" s="985">
        <f t="shared" si="522"/>
        <v>1191810</v>
      </c>
      <c r="M1624" s="985">
        <f t="shared" si="522"/>
        <v>0</v>
      </c>
      <c r="N1624" s="985">
        <f t="shared" si="522"/>
        <v>172616.56</v>
      </c>
      <c r="O1624" s="985">
        <f t="shared" si="522"/>
        <v>1019193.44</v>
      </c>
      <c r="P1624" s="985">
        <f t="shared" si="522"/>
        <v>0</v>
      </c>
      <c r="Q1624" s="985">
        <f t="shared" si="522"/>
        <v>0</v>
      </c>
      <c r="R1624" s="991" t="s">
        <v>40</v>
      </c>
      <c r="S1624" s="991" t="s">
        <v>40</v>
      </c>
      <c r="T1624" s="991" t="s">
        <v>40</v>
      </c>
    </row>
    <row r="1625" spans="1:20" ht="40.9" customHeight="1">
      <c r="A1625" s="1271">
        <v>503</v>
      </c>
      <c r="B1625" s="1274" t="s">
        <v>1631</v>
      </c>
      <c r="C1625" s="1271">
        <v>1950</v>
      </c>
      <c r="D1625" s="1271">
        <v>1981</v>
      </c>
      <c r="E1625" s="1271" t="s">
        <v>218</v>
      </c>
      <c r="F1625" s="1271">
        <v>2</v>
      </c>
      <c r="G1625" s="1271">
        <v>1</v>
      </c>
      <c r="H1625" s="985">
        <v>403.1</v>
      </c>
      <c r="I1625" s="985">
        <v>365.9</v>
      </c>
      <c r="J1625" s="985">
        <v>250.2</v>
      </c>
      <c r="K1625" s="1064">
        <v>22</v>
      </c>
      <c r="L1625" s="985">
        <v>1191810</v>
      </c>
      <c r="M1625" s="985">
        <v>0</v>
      </c>
      <c r="N1625" s="985">
        <v>172616.56</v>
      </c>
      <c r="O1625" s="985">
        <v>1019193.44</v>
      </c>
      <c r="P1625" s="985">
        <v>0</v>
      </c>
      <c r="Q1625" s="985">
        <v>0</v>
      </c>
      <c r="R1625" s="993">
        <f>L1625/I1625</f>
        <v>3257.201421153321</v>
      </c>
      <c r="S1625" s="987">
        <v>2018</v>
      </c>
      <c r="T1625" s="987">
        <v>2020</v>
      </c>
    </row>
    <row r="1626" spans="1:20" ht="42.6" customHeight="1">
      <c r="A1626" s="1271"/>
      <c r="B1626" s="1276" t="s">
        <v>1233</v>
      </c>
      <c r="C1626" s="1279"/>
      <c r="D1626" s="1283"/>
      <c r="E1626" s="1271"/>
      <c r="F1626" s="1279"/>
      <c r="G1626" s="1279"/>
      <c r="H1626" s="985">
        <f>H1627+H1628</f>
        <v>4063.2</v>
      </c>
      <c r="I1626" s="985">
        <f t="shared" ref="I1626:Q1626" si="523">I1627+I1628</f>
        <v>4063.2</v>
      </c>
      <c r="J1626" s="985">
        <f t="shared" si="523"/>
        <v>3329.9</v>
      </c>
      <c r="K1626" s="1064">
        <f t="shared" si="523"/>
        <v>128</v>
      </c>
      <c r="L1626" s="985">
        <f t="shared" si="523"/>
        <v>4719145</v>
      </c>
      <c r="M1626" s="985">
        <f t="shared" si="523"/>
        <v>0</v>
      </c>
      <c r="N1626" s="985">
        <f t="shared" si="523"/>
        <v>0</v>
      </c>
      <c r="O1626" s="985">
        <f t="shared" si="523"/>
        <v>4719145</v>
      </c>
      <c r="P1626" s="985">
        <f t="shared" si="523"/>
        <v>0</v>
      </c>
      <c r="Q1626" s="985">
        <f t="shared" si="523"/>
        <v>0</v>
      </c>
      <c r="R1626" s="991" t="s">
        <v>40</v>
      </c>
      <c r="S1626" s="991" t="s">
        <v>40</v>
      </c>
      <c r="T1626" s="991" t="s">
        <v>40</v>
      </c>
    </row>
    <row r="1627" spans="1:20" ht="69.75" customHeight="1">
      <c r="A1627" s="1271">
        <v>504</v>
      </c>
      <c r="B1627" s="1274" t="s">
        <v>2999</v>
      </c>
      <c r="C1627" s="1271">
        <v>1970</v>
      </c>
      <c r="D1627" s="1271"/>
      <c r="E1627" s="1271" t="s">
        <v>218</v>
      </c>
      <c r="F1627" s="1271">
        <v>5</v>
      </c>
      <c r="G1627" s="1271">
        <v>4</v>
      </c>
      <c r="H1627" s="985">
        <v>3387.4</v>
      </c>
      <c r="I1627" s="985">
        <v>3387.4</v>
      </c>
      <c r="J1627" s="985">
        <v>2715.3</v>
      </c>
      <c r="K1627" s="1064">
        <v>105</v>
      </c>
      <c r="L1627" s="986">
        <v>2858799</v>
      </c>
      <c r="M1627" s="986">
        <v>0</v>
      </c>
      <c r="N1627" s="986">
        <v>0</v>
      </c>
      <c r="O1627" s="986">
        <v>2858799</v>
      </c>
      <c r="P1627" s="993">
        <v>0</v>
      </c>
      <c r="Q1627" s="986">
        <v>0</v>
      </c>
      <c r="R1627" s="993">
        <f>L1627/I1627</f>
        <v>843.95081773631694</v>
      </c>
      <c r="S1627" s="987">
        <v>2019</v>
      </c>
      <c r="T1627" s="987">
        <v>2020</v>
      </c>
    </row>
    <row r="1628" spans="1:20" ht="54" customHeight="1">
      <c r="A1628" s="1271">
        <v>505</v>
      </c>
      <c r="B1628" s="1274" t="s">
        <v>2998</v>
      </c>
      <c r="C1628" s="1271">
        <v>1962</v>
      </c>
      <c r="D1628" s="1271"/>
      <c r="E1628" s="1271" t="s">
        <v>218</v>
      </c>
      <c r="F1628" s="1271">
        <v>2</v>
      </c>
      <c r="G1628" s="1271">
        <v>3</v>
      </c>
      <c r="H1628" s="993">
        <v>675.8</v>
      </c>
      <c r="I1628" s="993">
        <v>675.8</v>
      </c>
      <c r="J1628" s="993">
        <v>614.6</v>
      </c>
      <c r="K1628" s="987">
        <v>23</v>
      </c>
      <c r="L1628" s="986">
        <v>1860346</v>
      </c>
      <c r="M1628" s="986">
        <v>0</v>
      </c>
      <c r="N1628" s="986">
        <v>0</v>
      </c>
      <c r="O1628" s="986">
        <f>L1628</f>
        <v>1860346</v>
      </c>
      <c r="P1628" s="993">
        <f t="shared" si="508"/>
        <v>0</v>
      </c>
      <c r="Q1628" s="986">
        <v>0</v>
      </c>
      <c r="R1628" s="993">
        <f>L1628/I1628</f>
        <v>2752.8055637762654</v>
      </c>
      <c r="S1628" s="987">
        <v>2019</v>
      </c>
      <c r="T1628" s="987">
        <v>2020</v>
      </c>
    </row>
    <row r="1629" spans="1:20" ht="33" customHeight="1">
      <c r="A1629" s="1271"/>
      <c r="B1629" s="1390" t="s">
        <v>1167</v>
      </c>
      <c r="C1629" s="1390"/>
      <c r="D1629" s="1390"/>
      <c r="E1629" s="1390"/>
      <c r="F1629" s="1390"/>
      <c r="G1629" s="1390"/>
      <c r="H1629" s="993">
        <f>H1630</f>
        <v>1155.5</v>
      </c>
      <c r="I1629" s="993">
        <f t="shared" ref="I1629:Q1629" si="524">I1630</f>
        <v>1155.5</v>
      </c>
      <c r="J1629" s="993">
        <f t="shared" si="524"/>
        <v>501.7</v>
      </c>
      <c r="K1629" s="987">
        <f t="shared" si="524"/>
        <v>57</v>
      </c>
      <c r="L1629" s="993">
        <f t="shared" si="524"/>
        <v>1626080</v>
      </c>
      <c r="M1629" s="993">
        <f t="shared" si="524"/>
        <v>0</v>
      </c>
      <c r="N1629" s="993">
        <f t="shared" si="524"/>
        <v>0</v>
      </c>
      <c r="O1629" s="993">
        <f t="shared" si="524"/>
        <v>1626080</v>
      </c>
      <c r="P1629" s="993">
        <f t="shared" si="524"/>
        <v>0</v>
      </c>
      <c r="Q1629" s="993">
        <f t="shared" si="524"/>
        <v>0</v>
      </c>
      <c r="R1629" s="991" t="s">
        <v>40</v>
      </c>
      <c r="S1629" s="991" t="s">
        <v>40</v>
      </c>
      <c r="T1629" s="991" t="s">
        <v>40</v>
      </c>
    </row>
    <row r="1630" spans="1:20" ht="41.45" customHeight="1">
      <c r="A1630" s="1271">
        <v>506</v>
      </c>
      <c r="B1630" s="1274" t="s">
        <v>1266</v>
      </c>
      <c r="C1630" s="1271">
        <v>1981</v>
      </c>
      <c r="D1630" s="1271"/>
      <c r="E1630" s="1271" t="s">
        <v>218</v>
      </c>
      <c r="F1630" s="1271">
        <v>3</v>
      </c>
      <c r="G1630" s="1271">
        <v>2</v>
      </c>
      <c r="H1630" s="993">
        <v>1155.5</v>
      </c>
      <c r="I1630" s="993">
        <v>1155.5</v>
      </c>
      <c r="J1630" s="993">
        <v>501.7</v>
      </c>
      <c r="K1630" s="987">
        <v>57</v>
      </c>
      <c r="L1630" s="986">
        <v>1626080</v>
      </c>
      <c r="M1630" s="986">
        <v>0</v>
      </c>
      <c r="N1630" s="986">
        <v>0</v>
      </c>
      <c r="O1630" s="986">
        <v>1626080</v>
      </c>
      <c r="P1630" s="993">
        <v>0</v>
      </c>
      <c r="Q1630" s="986">
        <v>0</v>
      </c>
      <c r="R1630" s="993">
        <f>L1630/I1630</f>
        <v>1407.2522717438339</v>
      </c>
      <c r="S1630" s="987">
        <v>2019</v>
      </c>
      <c r="T1630" s="987">
        <v>2020</v>
      </c>
    </row>
    <row r="1631" spans="1:20" ht="32.25" customHeight="1">
      <c r="A1631" s="1399" t="s">
        <v>35</v>
      </c>
      <c r="B1631" s="1399"/>
      <c r="C1631" s="1399"/>
      <c r="D1631" s="1399"/>
      <c r="E1631" s="1399"/>
      <c r="F1631" s="1399"/>
      <c r="G1631" s="1399"/>
      <c r="H1631" s="1399"/>
      <c r="I1631" s="1399"/>
      <c r="J1631" s="1399"/>
      <c r="K1631" s="1399"/>
      <c r="L1631" s="1399"/>
      <c r="M1631" s="1399"/>
      <c r="N1631" s="1399"/>
      <c r="O1631" s="1399"/>
      <c r="P1631" s="1399"/>
      <c r="Q1631" s="1399"/>
      <c r="R1631" s="1399"/>
      <c r="S1631" s="1399"/>
      <c r="T1631" s="1399"/>
    </row>
    <row r="1632" spans="1:20" ht="39.6" customHeight="1">
      <c r="A1632" s="1271"/>
      <c r="B1632" s="1392" t="s">
        <v>42</v>
      </c>
      <c r="C1632" s="1392"/>
      <c r="D1632" s="1392"/>
      <c r="E1632" s="1392"/>
      <c r="F1632" s="1392"/>
      <c r="G1632" s="1392"/>
      <c r="H1632" s="985">
        <v>0</v>
      </c>
      <c r="I1632" s="985">
        <v>0</v>
      </c>
      <c r="J1632" s="985">
        <v>0</v>
      </c>
      <c r="K1632" s="1064">
        <v>0</v>
      </c>
      <c r="L1632" s="986">
        <v>0</v>
      </c>
      <c r="M1632" s="986">
        <v>0</v>
      </c>
      <c r="N1632" s="986">
        <v>0</v>
      </c>
      <c r="O1632" s="986">
        <v>0</v>
      </c>
      <c r="P1632" s="986">
        <v>0</v>
      </c>
      <c r="Q1632" s="986">
        <v>0</v>
      </c>
      <c r="R1632" s="991" t="s">
        <v>40</v>
      </c>
      <c r="S1632" s="991" t="s">
        <v>40</v>
      </c>
      <c r="T1632" s="991" t="s">
        <v>40</v>
      </c>
    </row>
    <row r="1633" spans="1:20" ht="46.5" customHeight="1">
      <c r="A1633" s="1399" t="s">
        <v>1120</v>
      </c>
      <c r="B1633" s="1399"/>
      <c r="C1633" s="1399"/>
      <c r="D1633" s="1399"/>
      <c r="E1633" s="1399"/>
      <c r="F1633" s="1399"/>
      <c r="G1633" s="1399"/>
      <c r="H1633" s="1399"/>
      <c r="I1633" s="1399"/>
      <c r="J1633" s="1399"/>
      <c r="K1633" s="1399"/>
      <c r="L1633" s="1399"/>
      <c r="M1633" s="1399"/>
      <c r="N1633" s="1399"/>
      <c r="O1633" s="1399"/>
      <c r="P1633" s="1399"/>
      <c r="Q1633" s="1399"/>
      <c r="R1633" s="1399"/>
      <c r="S1633" s="1399"/>
      <c r="T1633" s="1399"/>
    </row>
    <row r="1634" spans="1:20" ht="40.9" customHeight="1">
      <c r="A1634" s="1271"/>
      <c r="B1634" s="1392" t="s">
        <v>42</v>
      </c>
      <c r="C1634" s="1392"/>
      <c r="D1634" s="1392"/>
      <c r="E1634" s="1392"/>
      <c r="F1634" s="1392"/>
      <c r="G1634" s="1392"/>
      <c r="H1634" s="985">
        <v>0</v>
      </c>
      <c r="I1634" s="985">
        <v>0</v>
      </c>
      <c r="J1634" s="985">
        <v>0</v>
      </c>
      <c r="K1634" s="1064">
        <v>0</v>
      </c>
      <c r="L1634" s="985">
        <v>0</v>
      </c>
      <c r="M1634" s="985">
        <v>0</v>
      </c>
      <c r="N1634" s="985">
        <v>0</v>
      </c>
      <c r="O1634" s="985">
        <v>0</v>
      </c>
      <c r="P1634" s="985">
        <v>0</v>
      </c>
      <c r="Q1634" s="985">
        <v>0</v>
      </c>
      <c r="R1634" s="991" t="s">
        <v>40</v>
      </c>
      <c r="S1634" s="991" t="s">
        <v>40</v>
      </c>
      <c r="T1634" s="991" t="s">
        <v>40</v>
      </c>
    </row>
    <row r="1635" spans="1:20" ht="43.15" customHeight="1">
      <c r="B1635" s="1411" t="s">
        <v>2272</v>
      </c>
      <c r="C1635" s="1411"/>
      <c r="D1635" s="1411"/>
      <c r="E1635" s="1411"/>
      <c r="F1635" s="1411"/>
      <c r="G1635" s="1411"/>
      <c r="H1635" s="1411"/>
      <c r="I1635" s="1411"/>
      <c r="J1635" s="1411"/>
      <c r="K1635" s="1411"/>
      <c r="L1635" s="1411"/>
      <c r="M1635" s="1411"/>
      <c r="N1635" s="1411"/>
      <c r="O1635" s="1411"/>
      <c r="P1635" s="1411"/>
      <c r="Q1635" s="1411"/>
      <c r="R1635" s="1411"/>
      <c r="S1635" s="1411"/>
      <c r="T1635" s="1411"/>
    </row>
  </sheetData>
  <autoFilter ref="A12:T1635"/>
  <sortState ref="B107:S119">
    <sortCondition ref="B107:B119"/>
  </sortState>
  <customSheetViews>
    <customSheetView guid="{971AA6D5-B469-4A54-816C-1252CCB6D265}" scale="72" showPageBreaks="1" fitToPage="1" printArea="1" showAutoFilter="1" view="pageBreakPreview" topLeftCell="A1466">
      <selection activeCell="I1485" sqref="I1485"/>
      <pageMargins left="0.39370078740157483" right="0.39370078740157483" top="0.78740157480314965" bottom="0.43307086614173229" header="0.31496062992125984" footer="0.31496062992125984"/>
      <printOptions horizontalCentered="1"/>
      <pageSetup paperSize="9" scale="50" firstPageNumber="2" fitToHeight="0" orientation="landscape" useFirstPageNumber="1" r:id="rId1"/>
      <headerFooter>
        <oddHeader>&amp;C&amp;"Times New Roman,обычный"&amp;18&amp;P</oddHeader>
      </headerFooter>
      <autoFilter ref="A12:T1475"/>
    </customSheetView>
    <customSheetView guid="{DFE5B545-478C-4B86-847C-1FEE882C6F69}" scale="90" showPageBreaks="1" printArea="1" showAutoFilter="1" view="pageBreakPreview" topLeftCell="A4">
      <pane ySplit="7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2"/>
      <headerFooter>
        <oddHeader>&amp;C&amp;"Times New Roman,обычный"&amp;18&amp;P</oddHeader>
      </headerFooter>
      <autoFilter ref="A12:T1620"/>
    </customSheetView>
    <customSheetView guid="{4C44C113-DA02-468D-99C5-83FA6693F42F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3"/>
      <headerFooter>
        <oddHeader>&amp;C&amp;"Times New Roman,обычный"&amp;18&amp;P</oddHeader>
      </headerFooter>
      <autoFilter ref="A12:T1620"/>
    </customSheetView>
    <customSheetView guid="{570403C4-1D93-4175-B4D8-BD47D46CE99C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4"/>
      <headerFooter>
        <oddHeader>&amp;C&amp;"Times New Roman,обычный"&amp;18&amp;P</oddHeader>
      </headerFooter>
      <autoFilter ref="A12:T1620"/>
    </customSheetView>
    <customSheetView guid="{B1841E62-04AF-4786-8B2B-B1F42C88E6D1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5"/>
      <headerFooter>
        <oddHeader>&amp;C&amp;"Times New Roman,обычный"&amp;18&amp;P</oddHeader>
      </headerFooter>
      <autoFilter ref="A12:T1620"/>
    </customSheetView>
    <customSheetView guid="{A28C0ADC-4E0C-4A0A-ACB1-DA409183476D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6"/>
      <headerFooter>
        <oddHeader>&amp;C&amp;"Times New Roman,обычный"&amp;18&amp;P</oddHeader>
      </headerFooter>
      <autoFilter ref="A12:T1620"/>
    </customSheetView>
    <customSheetView guid="{144E5A37-1CF2-41F0-BEF8-CB5D4D392E2A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7"/>
      <headerFooter>
        <oddHeader>&amp;C&amp;"Times New Roman,обычный"&amp;18&amp;P</oddHeader>
      </headerFooter>
      <autoFilter ref="A12:T1620"/>
    </customSheetView>
    <customSheetView guid="{7A75CCE7-0E84-47E6-A162-5AC0354F2967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8"/>
      <headerFooter>
        <oddHeader>&amp;C&amp;"Times New Roman,обычный"&amp;18&amp;P</oddHeader>
      </headerFooter>
      <autoFilter ref="A12:T1620"/>
    </customSheetView>
    <customSheetView guid="{A6187BD3-0BA4-497C-8924-4FA3D77530F0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9"/>
      <headerFooter>
        <oddHeader>&amp;C&amp;"Times New Roman,обычный"&amp;18&amp;P</oddHeader>
      </headerFooter>
      <autoFilter ref="A12:T1620"/>
    </customSheetView>
    <customSheetView guid="{DC88C499-913F-4D15-846E-E5B9D5E047D7}" scale="90" showPageBreaks="1" printArea="1" showAutoFilter="1" view="pageBreakPreview" topLeftCell="A4">
      <pane ySplit="9" topLeftCell="A31" activePane="bottomLeft" state="frozen"/>
      <selection pane="bottomLeft" activeCell="L39" sqref="L39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10"/>
      <headerFooter>
        <oddHeader>&amp;C&amp;"Times New Roman,обычный"&amp;18&amp;P</oddHeader>
      </headerFooter>
      <autoFilter ref="A12:T1620"/>
    </customSheetView>
  </customSheetViews>
  <mergeCells count="246">
    <mergeCell ref="B1008:G1008"/>
    <mergeCell ref="B1629:G1629"/>
    <mergeCell ref="B646:G646"/>
    <mergeCell ref="B932:G932"/>
    <mergeCell ref="A450:T450"/>
    <mergeCell ref="B451:G451"/>
    <mergeCell ref="B633:G633"/>
    <mergeCell ref="B582:G582"/>
    <mergeCell ref="B715:G715"/>
    <mergeCell ref="A727:T727"/>
    <mergeCell ref="B859:G859"/>
    <mergeCell ref="A763:T763"/>
    <mergeCell ref="A764:T764"/>
    <mergeCell ref="B728:G728"/>
    <mergeCell ref="A723:T723"/>
    <mergeCell ref="B724:G724"/>
    <mergeCell ref="B765:G765"/>
    <mergeCell ref="B846:G846"/>
    <mergeCell ref="B845:G845"/>
    <mergeCell ref="B797:G797"/>
    <mergeCell ref="B605:G605"/>
    <mergeCell ref="B607:G607"/>
    <mergeCell ref="B885:G885"/>
    <mergeCell ref="B666:G666"/>
    <mergeCell ref="B886:G886"/>
    <mergeCell ref="B857:G857"/>
    <mergeCell ref="B883:G883"/>
    <mergeCell ref="B725:G725"/>
    <mergeCell ref="B816:G816"/>
    <mergeCell ref="B412:G412"/>
    <mergeCell ref="B581:G581"/>
    <mergeCell ref="B641:G641"/>
    <mergeCell ref="B568:G568"/>
    <mergeCell ref="B729:G729"/>
    <mergeCell ref="B592:G592"/>
    <mergeCell ref="B589:G589"/>
    <mergeCell ref="B632:G632"/>
    <mergeCell ref="B840:G840"/>
    <mergeCell ref="B742:G742"/>
    <mergeCell ref="B595:G595"/>
    <mergeCell ref="B603:G603"/>
    <mergeCell ref="B656:G656"/>
    <mergeCell ref="B670:G670"/>
    <mergeCell ref="B713:G713"/>
    <mergeCell ref="B878:G878"/>
    <mergeCell ref="B880:G880"/>
    <mergeCell ref="B874:G874"/>
    <mergeCell ref="B877:G877"/>
    <mergeCell ref="B862:G862"/>
    <mergeCell ref="B863:G863"/>
    <mergeCell ref="B701:G701"/>
    <mergeCell ref="B822:G822"/>
    <mergeCell ref="B836:G836"/>
    <mergeCell ref="B720:G720"/>
    <mergeCell ref="B690:G690"/>
    <mergeCell ref="B992:G992"/>
    <mergeCell ref="B1000:G1000"/>
    <mergeCell ref="B996:G996"/>
    <mergeCell ref="B960:G960"/>
    <mergeCell ref="B957:G957"/>
    <mergeCell ref="B906:G906"/>
    <mergeCell ref="B910:G910"/>
    <mergeCell ref="B934:G934"/>
    <mergeCell ref="B940:G940"/>
    <mergeCell ref="B944:G944"/>
    <mergeCell ref="B921:G921"/>
    <mergeCell ref="B964:G964"/>
    <mergeCell ref="B946:G946"/>
    <mergeCell ref="B952:G952"/>
    <mergeCell ref="B947:G947"/>
    <mergeCell ref="B951:G951"/>
    <mergeCell ref="B954:G954"/>
    <mergeCell ref="B987:G987"/>
    <mergeCell ref="B982:G982"/>
    <mergeCell ref="B984:G984"/>
    <mergeCell ref="B985:G985"/>
    <mergeCell ref="B938:G938"/>
    <mergeCell ref="B905:G905"/>
    <mergeCell ref="B888:G888"/>
    <mergeCell ref="B962:G962"/>
    <mergeCell ref="B922:G922"/>
    <mergeCell ref="B967:G967"/>
    <mergeCell ref="B942:G942"/>
    <mergeCell ref="B897:G897"/>
    <mergeCell ref="B899:G899"/>
    <mergeCell ref="B891:G891"/>
    <mergeCell ref="B936:G936"/>
    <mergeCell ref="B895:G895"/>
    <mergeCell ref="B902:G902"/>
    <mergeCell ref="B1634:G1634"/>
    <mergeCell ref="A1031:T1031"/>
    <mergeCell ref="B1032:G1032"/>
    <mergeCell ref="A1033:T1033"/>
    <mergeCell ref="B1034:G1034"/>
    <mergeCell ref="B1016:G1016"/>
    <mergeCell ref="B1027:G1027"/>
    <mergeCell ref="B1028:G1028"/>
    <mergeCell ref="A1631:T1631"/>
    <mergeCell ref="B1632:G1632"/>
    <mergeCell ref="B1451:G1451"/>
    <mergeCell ref="B1478:G1478"/>
    <mergeCell ref="B1487:G1487"/>
    <mergeCell ref="B1489:G1489"/>
    <mergeCell ref="B1566:G1566"/>
    <mergeCell ref="A1049:T1049"/>
    <mergeCell ref="A1051:T1051"/>
    <mergeCell ref="B1035:G1035"/>
    <mergeCell ref="B1507:G1507"/>
    <mergeCell ref="B1483:G1483"/>
    <mergeCell ref="B1635:T1635"/>
    <mergeCell ref="B1001:G1001"/>
    <mergeCell ref="B1609:G1609"/>
    <mergeCell ref="B1012:G1012"/>
    <mergeCell ref="B1013:G1013"/>
    <mergeCell ref="B989:G989"/>
    <mergeCell ref="B649:G649"/>
    <mergeCell ref="B1610:G1610"/>
    <mergeCell ref="B1616:G1616"/>
    <mergeCell ref="B1617:G1617"/>
    <mergeCell ref="B1491:G1491"/>
    <mergeCell ref="B1528:G1528"/>
    <mergeCell ref="B668:G668"/>
    <mergeCell ref="B696:G696"/>
    <mergeCell ref="B691:G691"/>
    <mergeCell ref="B675:G675"/>
    <mergeCell ref="B663:G663"/>
    <mergeCell ref="B679:G679"/>
    <mergeCell ref="B688:G688"/>
    <mergeCell ref="B712:G712"/>
    <mergeCell ref="B710:G710"/>
    <mergeCell ref="B842:G842"/>
    <mergeCell ref="B707:G707"/>
    <mergeCell ref="A1633:T1633"/>
    <mergeCell ref="B419:G419"/>
    <mergeCell ref="B396:G396"/>
    <mergeCell ref="B379:G379"/>
    <mergeCell ref="B386:G386"/>
    <mergeCell ref="B365:G365"/>
    <mergeCell ref="B380:G380"/>
    <mergeCell ref="B395:G395"/>
    <mergeCell ref="B662:G662"/>
    <mergeCell ref="B614:G614"/>
    <mergeCell ref="B620:G620"/>
    <mergeCell ref="B615:G615"/>
    <mergeCell ref="B452:G452"/>
    <mergeCell ref="B651:G651"/>
    <mergeCell ref="B600:G600"/>
    <mergeCell ref="B593:G593"/>
    <mergeCell ref="B597:G597"/>
    <mergeCell ref="B643:G643"/>
    <mergeCell ref="B518:G518"/>
    <mergeCell ref="B539:G539"/>
    <mergeCell ref="B547:G547"/>
    <mergeCell ref="B189:G189"/>
    <mergeCell ref="S8:T9"/>
    <mergeCell ref="I8:J8"/>
    <mergeCell ref="B17:G17"/>
    <mergeCell ref="B341:G341"/>
    <mergeCell ref="B131:G131"/>
    <mergeCell ref="B174:G174"/>
    <mergeCell ref="B96:G96"/>
    <mergeCell ref="B146:G146"/>
    <mergeCell ref="B188:G188"/>
    <mergeCell ref="G8:G11"/>
    <mergeCell ref="B175:G175"/>
    <mergeCell ref="B16:G16"/>
    <mergeCell ref="B185:G185"/>
    <mergeCell ref="B287:G287"/>
    <mergeCell ref="B302:G302"/>
    <mergeCell ref="B325:G325"/>
    <mergeCell ref="B215:G215"/>
    <mergeCell ref="B204:G204"/>
    <mergeCell ref="B191:G191"/>
    <mergeCell ref="B195:G195"/>
    <mergeCell ref="B284:G284"/>
    <mergeCell ref="B334:G334"/>
    <mergeCell ref="B319:G319"/>
    <mergeCell ref="B183:G183"/>
    <mergeCell ref="A4:T4"/>
    <mergeCell ref="A5:T5"/>
    <mergeCell ref="A6:T6"/>
    <mergeCell ref="C9:C11"/>
    <mergeCell ref="R8:R10"/>
    <mergeCell ref="S10:S11"/>
    <mergeCell ref="T10:T11"/>
    <mergeCell ref="A7:T7"/>
    <mergeCell ref="A8:A11"/>
    <mergeCell ref="B8:B11"/>
    <mergeCell ref="C8:D8"/>
    <mergeCell ref="E8:E11"/>
    <mergeCell ref="F8:F11"/>
    <mergeCell ref="I9:I10"/>
    <mergeCell ref="K8:K10"/>
    <mergeCell ref="L8:Q8"/>
    <mergeCell ref="H8:H10"/>
    <mergeCell ref="B14:G14"/>
    <mergeCell ref="A15:T15"/>
    <mergeCell ref="A13:T13"/>
    <mergeCell ref="B700:G700"/>
    <mergeCell ref="B444:G444"/>
    <mergeCell ref="B739:G739"/>
    <mergeCell ref="B1009:G1009"/>
    <mergeCell ref="B1006:G1006"/>
    <mergeCell ref="B436:G436"/>
    <mergeCell ref="B306:G306"/>
    <mergeCell ref="B337:G337"/>
    <mergeCell ref="B336:G336"/>
    <mergeCell ref="B321:G321"/>
    <mergeCell ref="B311:G311"/>
    <mergeCell ref="B392:G392"/>
    <mergeCell ref="B370:G370"/>
    <mergeCell ref="B416:G416"/>
    <mergeCell ref="B391:G391"/>
    <mergeCell ref="B399:G399"/>
    <mergeCell ref="B376:G376"/>
    <mergeCell ref="A415:T415"/>
    <mergeCell ref="A449:T449"/>
    <mergeCell ref="B406:G406"/>
    <mergeCell ref="B318:G318"/>
    <mergeCell ref="B309:G309"/>
    <mergeCell ref="A417:T417"/>
    <mergeCell ref="B418:G418"/>
    <mergeCell ref="O1:Q2"/>
    <mergeCell ref="B217:G217"/>
    <mergeCell ref="B255:G255"/>
    <mergeCell ref="B198:G198"/>
    <mergeCell ref="B612:G612"/>
    <mergeCell ref="B201:G201"/>
    <mergeCell ref="B271:G271"/>
    <mergeCell ref="B206:G206"/>
    <mergeCell ref="B262:G262"/>
    <mergeCell ref="B220:G220"/>
    <mergeCell ref="B288:G288"/>
    <mergeCell ref="B221:G221"/>
    <mergeCell ref="B230:G230"/>
    <mergeCell ref="B265:G265"/>
    <mergeCell ref="B252:G252"/>
    <mergeCell ref="B254:G254"/>
    <mergeCell ref="B213:G213"/>
    <mergeCell ref="B277:G277"/>
    <mergeCell ref="J9:J10"/>
    <mergeCell ref="L9:L10"/>
    <mergeCell ref="D9:D11"/>
    <mergeCell ref="M9:Q9"/>
    <mergeCell ref="B267:G267"/>
    <mergeCell ref="B269:G269"/>
  </mergeCells>
  <printOptions horizontalCentered="1"/>
  <pageMargins left="0.39370078740157483" right="0.39370078740157483" top="1.1811023622047245" bottom="0.39370078740157483" header="0.70866141732283472" footer="0.31496062992125984"/>
  <pageSetup paperSize="9" scale="42" firstPageNumber="2" fitToHeight="0" orientation="landscape" useFirstPageNumber="1" r:id="rId11"/>
  <headerFooter>
    <oddHeader>&amp;C&amp;"Times New Roman,обычный"&amp;18&amp;P</oddHeader>
  </headerFooter>
  <rowBreaks count="1" manualBreakCount="1">
    <brk id="360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BL1611"/>
  <sheetViews>
    <sheetView view="pageBreakPreview" topLeftCell="A940" zoomScale="25" zoomScaleNormal="75" zoomScaleSheetLayoutView="25" zoomScalePageLayoutView="50" workbookViewId="0">
      <selection activeCell="X957" sqref="X957"/>
    </sheetView>
  </sheetViews>
  <sheetFormatPr defaultColWidth="8.85546875" defaultRowHeight="38.25"/>
  <cols>
    <col min="1" max="1" width="18.85546875" style="1131" customWidth="1"/>
    <col min="2" max="2" width="69.5703125" style="1233" customWidth="1"/>
    <col min="3" max="3" width="46.7109375" style="1186" customWidth="1"/>
    <col min="4" max="4" width="40.28515625" style="1186" customWidth="1"/>
    <col min="5" max="5" width="36.7109375" style="1186" customWidth="1"/>
    <col min="6" max="6" width="39.5703125" style="1186" customWidth="1"/>
    <col min="7" max="7" width="36.85546875" style="1186" customWidth="1"/>
    <col min="8" max="8" width="38.28515625" style="1186" customWidth="1"/>
    <col min="9" max="9" width="39.140625" style="1186" customWidth="1"/>
    <col min="10" max="10" width="40.42578125" style="1186" customWidth="1"/>
    <col min="11" max="11" width="18.85546875" style="1187" customWidth="1"/>
    <col min="12" max="12" width="36.140625" style="1131" customWidth="1"/>
    <col min="13" max="13" width="16.140625" style="1187" customWidth="1"/>
    <col min="14" max="14" width="42.7109375" style="1186" customWidth="1"/>
    <col min="15" max="15" width="30" style="1188" customWidth="1"/>
    <col min="16" max="16" width="39.85546875" style="1189" customWidth="1"/>
    <col min="17" max="17" width="27.85546875" style="1188" customWidth="1"/>
    <col min="18" max="18" width="40" style="1189" customWidth="1"/>
    <col min="19" max="19" width="29.7109375" style="1188" customWidth="1"/>
    <col min="20" max="20" width="40" style="1186" customWidth="1"/>
    <col min="21" max="21" width="16.140625" style="1188" customWidth="1"/>
    <col min="22" max="22" width="35.7109375" style="1186" customWidth="1"/>
    <col min="23" max="23" width="20.85546875" style="1186" customWidth="1"/>
    <col min="24" max="24" width="38.5703125" style="1186" customWidth="1"/>
    <col min="25" max="25" width="38.140625" style="1186" customWidth="1"/>
    <col min="26" max="26" width="37.42578125" style="1233" customWidth="1"/>
    <col min="27" max="16384" width="8.85546875" style="1233"/>
  </cols>
  <sheetData>
    <row r="1" spans="1:25" ht="64.150000000000006" customHeight="1">
      <c r="A1" s="1417" t="s">
        <v>39</v>
      </c>
      <c r="B1" s="1417"/>
      <c r="C1" s="1417"/>
      <c r="D1" s="1417"/>
      <c r="E1" s="1417"/>
      <c r="F1" s="1417"/>
      <c r="G1" s="1417"/>
      <c r="H1" s="1417"/>
      <c r="I1" s="1417"/>
      <c r="J1" s="1417"/>
      <c r="K1" s="1417"/>
      <c r="L1" s="1417"/>
      <c r="M1" s="1417"/>
      <c r="N1" s="1417"/>
      <c r="O1" s="1417"/>
      <c r="P1" s="1417"/>
      <c r="Q1" s="1417"/>
      <c r="R1" s="1417"/>
      <c r="S1" s="1417"/>
      <c r="T1" s="1417"/>
      <c r="U1" s="1417"/>
      <c r="V1" s="1417"/>
      <c r="W1" s="1234"/>
      <c r="X1" s="1130"/>
      <c r="Y1" s="1130"/>
    </row>
    <row r="2" spans="1:25" ht="59.45" customHeight="1">
      <c r="A2" s="1415" t="s">
        <v>1096</v>
      </c>
      <c r="B2" s="1414" t="s">
        <v>22</v>
      </c>
      <c r="C2" s="1415" t="s">
        <v>459</v>
      </c>
      <c r="D2" s="1414" t="s">
        <v>1121</v>
      </c>
      <c r="E2" s="1414"/>
      <c r="F2" s="1414"/>
      <c r="G2" s="1414"/>
      <c r="H2" s="1414"/>
      <c r="I2" s="1414"/>
      <c r="J2" s="1414"/>
      <c r="K2" s="1414"/>
      <c r="L2" s="1414"/>
      <c r="M2" s="1414"/>
      <c r="N2" s="1414"/>
      <c r="O2" s="1414"/>
      <c r="P2" s="1414"/>
      <c r="Q2" s="1414"/>
      <c r="R2" s="1414"/>
      <c r="S2" s="1414"/>
      <c r="T2" s="1414"/>
      <c r="U2" s="1414"/>
      <c r="V2" s="1414"/>
      <c r="W2" s="1414"/>
      <c r="X2" s="1414"/>
      <c r="Y2" s="1414"/>
    </row>
    <row r="3" spans="1:25" ht="59.45" customHeight="1">
      <c r="A3" s="1414"/>
      <c r="B3" s="1414"/>
      <c r="C3" s="1415"/>
      <c r="D3" s="1414" t="s">
        <v>559</v>
      </c>
      <c r="E3" s="1414"/>
      <c r="F3" s="1414"/>
      <c r="G3" s="1414"/>
      <c r="H3" s="1414"/>
      <c r="I3" s="1414"/>
      <c r="J3" s="1414"/>
      <c r="K3" s="1415" t="s">
        <v>1661</v>
      </c>
      <c r="L3" s="1415"/>
      <c r="M3" s="1415" t="s">
        <v>1660</v>
      </c>
      <c r="N3" s="1415"/>
      <c r="O3" s="1415" t="s">
        <v>2273</v>
      </c>
      <c r="P3" s="1415"/>
      <c r="Q3" s="1415" t="s">
        <v>217</v>
      </c>
      <c r="R3" s="1415"/>
      <c r="S3" s="1415" t="s">
        <v>1150</v>
      </c>
      <c r="T3" s="1415"/>
      <c r="U3" s="1415" t="s">
        <v>557</v>
      </c>
      <c r="V3" s="1415"/>
      <c r="W3" s="1415" t="s">
        <v>2803</v>
      </c>
      <c r="X3" s="1415" t="s">
        <v>3062</v>
      </c>
      <c r="Y3" s="1415" t="s">
        <v>2615</v>
      </c>
    </row>
    <row r="4" spans="1:25" ht="56.45" customHeight="1">
      <c r="A4" s="1414"/>
      <c r="B4" s="1414"/>
      <c r="C4" s="1415"/>
      <c r="D4" s="1414" t="s">
        <v>556</v>
      </c>
      <c r="E4" s="1416" t="s">
        <v>549</v>
      </c>
      <c r="F4" s="1416" t="s">
        <v>1662</v>
      </c>
      <c r="G4" s="1416" t="s">
        <v>551</v>
      </c>
      <c r="H4" s="1416" t="s">
        <v>552</v>
      </c>
      <c r="I4" s="1416" t="s">
        <v>553</v>
      </c>
      <c r="J4" s="1416" t="s">
        <v>554</v>
      </c>
      <c r="K4" s="1415"/>
      <c r="L4" s="1415"/>
      <c r="M4" s="1415"/>
      <c r="N4" s="1415"/>
      <c r="O4" s="1415"/>
      <c r="P4" s="1415"/>
      <c r="Q4" s="1415"/>
      <c r="R4" s="1415"/>
      <c r="S4" s="1415"/>
      <c r="T4" s="1415"/>
      <c r="U4" s="1415"/>
      <c r="V4" s="1415"/>
      <c r="W4" s="1415"/>
      <c r="X4" s="1415"/>
      <c r="Y4" s="1415"/>
    </row>
    <row r="5" spans="1:25" ht="321" customHeight="1">
      <c r="A5" s="1414"/>
      <c r="B5" s="1414"/>
      <c r="C5" s="1415"/>
      <c r="D5" s="1414"/>
      <c r="E5" s="1416"/>
      <c r="F5" s="1416"/>
      <c r="G5" s="1416"/>
      <c r="H5" s="1416"/>
      <c r="I5" s="1416"/>
      <c r="J5" s="1416"/>
      <c r="K5" s="1415"/>
      <c r="L5" s="1415"/>
      <c r="M5" s="1415"/>
      <c r="N5" s="1415"/>
      <c r="O5" s="1415"/>
      <c r="P5" s="1415"/>
      <c r="Q5" s="1415"/>
      <c r="R5" s="1415"/>
      <c r="S5" s="1415"/>
      <c r="T5" s="1415"/>
      <c r="U5" s="1415"/>
      <c r="V5" s="1415"/>
      <c r="W5" s="1415"/>
      <c r="X5" s="1415"/>
      <c r="Y5" s="1415"/>
    </row>
    <row r="6" spans="1:25" ht="35.450000000000003" customHeight="1">
      <c r="A6" s="1414"/>
      <c r="B6" s="1414"/>
      <c r="C6" s="1281" t="s">
        <v>17</v>
      </c>
      <c r="D6" s="1281" t="s">
        <v>17</v>
      </c>
      <c r="E6" s="1281" t="s">
        <v>17</v>
      </c>
      <c r="F6" s="1281" t="s">
        <v>17</v>
      </c>
      <c r="G6" s="1281" t="s">
        <v>17</v>
      </c>
      <c r="H6" s="1281" t="s">
        <v>17</v>
      </c>
      <c r="I6" s="1281" t="s">
        <v>17</v>
      </c>
      <c r="J6" s="1281" t="s">
        <v>17</v>
      </c>
      <c r="K6" s="1132" t="s">
        <v>23</v>
      </c>
      <c r="L6" s="1281" t="s">
        <v>17</v>
      </c>
      <c r="M6" s="1132" t="s">
        <v>23</v>
      </c>
      <c r="N6" s="1281" t="s">
        <v>17</v>
      </c>
      <c r="O6" s="1133" t="s">
        <v>21</v>
      </c>
      <c r="P6" s="1134" t="s">
        <v>17</v>
      </c>
      <c r="Q6" s="1133" t="s">
        <v>21</v>
      </c>
      <c r="R6" s="1134" t="s">
        <v>17</v>
      </c>
      <c r="S6" s="1133" t="s">
        <v>21</v>
      </c>
      <c r="T6" s="1281" t="s">
        <v>17</v>
      </c>
      <c r="U6" s="1133" t="s">
        <v>24</v>
      </c>
      <c r="V6" s="1281" t="s">
        <v>17</v>
      </c>
      <c r="W6" s="1281"/>
      <c r="X6" s="1281" t="s">
        <v>17</v>
      </c>
      <c r="Y6" s="1281" t="s">
        <v>17</v>
      </c>
    </row>
    <row r="7" spans="1:25">
      <c r="A7" s="1281">
        <v>1</v>
      </c>
      <c r="B7" s="1281">
        <v>2</v>
      </c>
      <c r="C7" s="1281">
        <v>3</v>
      </c>
      <c r="D7" s="1281">
        <v>4</v>
      </c>
      <c r="E7" s="1281">
        <v>5</v>
      </c>
      <c r="F7" s="1281">
        <v>6</v>
      </c>
      <c r="G7" s="1281">
        <v>7</v>
      </c>
      <c r="H7" s="1281">
        <v>8</v>
      </c>
      <c r="I7" s="1281">
        <v>9</v>
      </c>
      <c r="J7" s="1281">
        <v>10</v>
      </c>
      <c r="K7" s="1132">
        <v>11</v>
      </c>
      <c r="L7" s="1281">
        <v>12</v>
      </c>
      <c r="M7" s="1132">
        <v>13</v>
      </c>
      <c r="N7" s="1281">
        <v>14</v>
      </c>
      <c r="O7" s="1281">
        <v>15</v>
      </c>
      <c r="P7" s="1281">
        <v>16</v>
      </c>
      <c r="Q7" s="1281">
        <v>17</v>
      </c>
      <c r="R7" s="1281">
        <v>18</v>
      </c>
      <c r="S7" s="1281">
        <v>19</v>
      </c>
      <c r="T7" s="1281">
        <v>20</v>
      </c>
      <c r="U7" s="1281">
        <v>21</v>
      </c>
      <c r="V7" s="1281">
        <v>22</v>
      </c>
      <c r="W7" s="1281">
        <v>23</v>
      </c>
      <c r="X7" s="1281">
        <v>24</v>
      </c>
      <c r="Y7" s="1281">
        <v>25</v>
      </c>
    </row>
    <row r="8" spans="1:25" ht="69.599999999999994" customHeight="1">
      <c r="A8" s="1414" t="s">
        <v>2797</v>
      </c>
      <c r="B8" s="1414"/>
      <c r="C8" s="1414"/>
      <c r="D8" s="1414"/>
      <c r="E8" s="1414"/>
      <c r="F8" s="1414"/>
      <c r="G8" s="1414"/>
      <c r="H8" s="1414"/>
      <c r="I8" s="1414"/>
      <c r="J8" s="1414"/>
      <c r="K8" s="1414"/>
      <c r="L8" s="1414"/>
      <c r="M8" s="1414"/>
      <c r="N8" s="1414"/>
      <c r="O8" s="1414"/>
      <c r="P8" s="1414"/>
      <c r="Q8" s="1414"/>
      <c r="R8" s="1414"/>
      <c r="S8" s="1414"/>
      <c r="T8" s="1414"/>
      <c r="U8" s="1414"/>
      <c r="V8" s="1414"/>
      <c r="W8" s="1414"/>
      <c r="X8" s="1414"/>
      <c r="Y8" s="1414"/>
    </row>
    <row r="9" spans="1:25" s="1137" customFormat="1" ht="84" customHeight="1">
      <c r="A9" s="1135"/>
      <c r="B9" s="1135" t="s">
        <v>2855</v>
      </c>
      <c r="C9" s="1129">
        <f>C10+C96+C131+C142+C146+C149+C169+C174+C185+C188+C191+C195+C220+C230+C239+C254+C281+C285+C288+C291+C315+C322+C325+C329+C346+C355+C357+C361+C389+C391+C394+C406+C408+C412+C416+C420+C427</f>
        <v>1074302820.3199999</v>
      </c>
      <c r="D9" s="1129">
        <f t="shared" ref="D9:Y9" si="0">D10+D96+D131+D142+D146+D149+D169+D174+D185+D188+D191+D195+D220+D230+D239+D254+D281+D285+D288+D291+D315+D322+D325+D329+D346+D355+D357+D361+D389+D391+D394+D406+D408+D412+D416+D420+D427</f>
        <v>156218893.5</v>
      </c>
      <c r="E9" s="1129">
        <f t="shared" si="0"/>
        <v>30053223.77</v>
      </c>
      <c r="F9" s="1129">
        <f t="shared" si="0"/>
        <v>36856641.009999998</v>
      </c>
      <c r="G9" s="1129">
        <f t="shared" si="0"/>
        <v>2694403.16</v>
      </c>
      <c r="H9" s="1129">
        <f t="shared" si="0"/>
        <v>32468340.330000002</v>
      </c>
      <c r="I9" s="1129">
        <f t="shared" si="0"/>
        <v>20549872.859999999</v>
      </c>
      <c r="J9" s="1129">
        <f t="shared" si="0"/>
        <v>33596412.370000005</v>
      </c>
      <c r="K9" s="1129">
        <f t="shared" si="0"/>
        <v>5</v>
      </c>
      <c r="L9" s="1129">
        <f t="shared" si="0"/>
        <v>1487480.02</v>
      </c>
      <c r="M9" s="1129">
        <f t="shared" si="0"/>
        <v>27</v>
      </c>
      <c r="N9" s="1129">
        <f t="shared" si="0"/>
        <v>65313141.189999998</v>
      </c>
      <c r="O9" s="1129">
        <f t="shared" si="0"/>
        <v>151061.53499999997</v>
      </c>
      <c r="P9" s="1129">
        <f t="shared" si="0"/>
        <v>506930301.04000008</v>
      </c>
      <c r="Q9" s="1129">
        <f t="shared" si="0"/>
        <v>893.4</v>
      </c>
      <c r="R9" s="1129">
        <f t="shared" si="0"/>
        <v>1207262</v>
      </c>
      <c r="S9" s="1129">
        <f t="shared" si="0"/>
        <v>82018.070000000007</v>
      </c>
      <c r="T9" s="1129">
        <f t="shared" si="0"/>
        <v>267600835.26999998</v>
      </c>
      <c r="U9" s="1129">
        <f t="shared" si="0"/>
        <v>56.92</v>
      </c>
      <c r="V9" s="1129">
        <f t="shared" si="0"/>
        <v>696981</v>
      </c>
      <c r="W9" s="1129">
        <f t="shared" si="0"/>
        <v>0</v>
      </c>
      <c r="X9" s="1129">
        <f t="shared" si="0"/>
        <v>74869467.655184299</v>
      </c>
      <c r="Y9" s="1129">
        <f t="shared" si="0"/>
        <v>0</v>
      </c>
    </row>
    <row r="10" spans="1:25" s="1137" customFormat="1" ht="87" customHeight="1">
      <c r="A10" s="1280"/>
      <c r="B10" s="1128" t="s">
        <v>2561</v>
      </c>
      <c r="C10" s="1129">
        <f>SUM(C11:C95)</f>
        <v>365931476.26999998</v>
      </c>
      <c r="D10" s="1129">
        <f t="shared" ref="D10:Y10" si="1">SUM(D11:D95)</f>
        <v>85166924.019999996</v>
      </c>
      <c r="E10" s="1129">
        <f t="shared" si="1"/>
        <v>20422065</v>
      </c>
      <c r="F10" s="1129">
        <f t="shared" si="1"/>
        <v>10184216</v>
      </c>
      <c r="G10" s="1129">
        <f t="shared" si="1"/>
        <v>1180528</v>
      </c>
      <c r="H10" s="1129">
        <f t="shared" si="1"/>
        <v>25476054.16</v>
      </c>
      <c r="I10" s="1129">
        <f t="shared" si="1"/>
        <v>10546742.859999999</v>
      </c>
      <c r="J10" s="1129">
        <f t="shared" si="1"/>
        <v>17357318</v>
      </c>
      <c r="K10" s="1136">
        <f t="shared" si="1"/>
        <v>0</v>
      </c>
      <c r="L10" s="1129">
        <f t="shared" si="1"/>
        <v>0</v>
      </c>
      <c r="M10" s="1136">
        <f t="shared" si="1"/>
        <v>15</v>
      </c>
      <c r="N10" s="1129">
        <f t="shared" si="1"/>
        <v>40710174</v>
      </c>
      <c r="O10" s="1129">
        <f t="shared" si="1"/>
        <v>30762.13</v>
      </c>
      <c r="P10" s="1129">
        <f t="shared" si="1"/>
        <v>101224921.18000001</v>
      </c>
      <c r="Q10" s="1129">
        <f t="shared" si="1"/>
        <v>0</v>
      </c>
      <c r="R10" s="1129">
        <f t="shared" si="1"/>
        <v>0</v>
      </c>
      <c r="S10" s="1129">
        <f t="shared" si="1"/>
        <v>38512.580000000009</v>
      </c>
      <c r="T10" s="1129">
        <f t="shared" si="1"/>
        <v>113245586.67</v>
      </c>
      <c r="U10" s="1129">
        <f t="shared" si="1"/>
        <v>0</v>
      </c>
      <c r="V10" s="1129">
        <f t="shared" si="1"/>
        <v>0</v>
      </c>
      <c r="W10" s="1129">
        <f t="shared" si="1"/>
        <v>0</v>
      </c>
      <c r="X10" s="1129">
        <f t="shared" si="1"/>
        <v>25583870.399999999</v>
      </c>
      <c r="Y10" s="1129">
        <f t="shared" si="1"/>
        <v>0</v>
      </c>
    </row>
    <row r="11" spans="1:25" s="1137" customFormat="1" ht="69" customHeight="1">
      <c r="A11" s="1138">
        <v>1</v>
      </c>
      <c r="B11" s="1139" t="s">
        <v>1436</v>
      </c>
      <c r="C11" s="1129">
        <f t="shared" ref="C11" si="2">D11+N11+P11+R11+T11+V11+X11</f>
        <v>16299923</v>
      </c>
      <c r="D11" s="1129">
        <f t="shared" ref="D11" si="3">SUM(E11:J11)</f>
        <v>0</v>
      </c>
      <c r="E11" s="1129">
        <v>0</v>
      </c>
      <c r="F11" s="1129">
        <v>0</v>
      </c>
      <c r="G11" s="1129">
        <v>0</v>
      </c>
      <c r="H11" s="1129">
        <v>0</v>
      </c>
      <c r="I11" s="1129">
        <v>0</v>
      </c>
      <c r="J11" s="1129">
        <v>0</v>
      </c>
      <c r="K11" s="1136">
        <v>0</v>
      </c>
      <c r="L11" s="1129">
        <v>0</v>
      </c>
      <c r="M11" s="1136">
        <v>5</v>
      </c>
      <c r="N11" s="1140">
        <v>11274555</v>
      </c>
      <c r="O11" s="1129">
        <v>1524.5</v>
      </c>
      <c r="P11" s="1140">
        <v>3841426</v>
      </c>
      <c r="Q11" s="1129">
        <v>0</v>
      </c>
      <c r="R11" s="1129">
        <v>0</v>
      </c>
      <c r="S11" s="1129">
        <v>0</v>
      </c>
      <c r="T11" s="1129">
        <v>0</v>
      </c>
      <c r="U11" s="1129">
        <v>0</v>
      </c>
      <c r="V11" s="1129">
        <v>0</v>
      </c>
      <c r="W11" s="1129">
        <v>0</v>
      </c>
      <c r="X11" s="1129">
        <v>1183942</v>
      </c>
      <c r="Y11" s="1129">
        <v>0</v>
      </c>
    </row>
    <row r="12" spans="1:25" s="1141" customFormat="1" ht="66.599999999999994" customHeight="1">
      <c r="A12" s="1138">
        <v>2</v>
      </c>
      <c r="B12" s="1139" t="s">
        <v>1437</v>
      </c>
      <c r="C12" s="1129">
        <f t="shared" ref="C12:C73" si="4">D12+N12+P12+R12+T12+V12+X12</f>
        <v>6984731</v>
      </c>
      <c r="D12" s="1129">
        <f t="shared" ref="D12:D73" si="5">SUM(E12:J12)</f>
        <v>0</v>
      </c>
      <c r="E12" s="1129">
        <v>0</v>
      </c>
      <c r="F12" s="1129">
        <v>0</v>
      </c>
      <c r="G12" s="1129">
        <v>0</v>
      </c>
      <c r="H12" s="1129">
        <v>0</v>
      </c>
      <c r="I12" s="1129">
        <v>0</v>
      </c>
      <c r="J12" s="1129">
        <v>0</v>
      </c>
      <c r="K12" s="1136">
        <v>0</v>
      </c>
      <c r="L12" s="1129">
        <v>0</v>
      </c>
      <c r="M12" s="1136">
        <v>2</v>
      </c>
      <c r="N12" s="1140">
        <v>6477396</v>
      </c>
      <c r="O12" s="1129">
        <v>0</v>
      </c>
      <c r="P12" s="1129">
        <v>0</v>
      </c>
      <c r="Q12" s="1129">
        <v>0</v>
      </c>
      <c r="R12" s="1129">
        <v>0</v>
      </c>
      <c r="S12" s="1129">
        <v>0</v>
      </c>
      <c r="T12" s="1129">
        <v>0</v>
      </c>
      <c r="U12" s="1129">
        <v>0</v>
      </c>
      <c r="V12" s="1129">
        <v>0</v>
      </c>
      <c r="W12" s="1129">
        <v>0</v>
      </c>
      <c r="X12" s="1129">
        <v>507335</v>
      </c>
      <c r="Y12" s="1129">
        <v>0</v>
      </c>
    </row>
    <row r="13" spans="1:25" s="1141" customFormat="1" ht="65.45" customHeight="1">
      <c r="A13" s="1138">
        <v>3</v>
      </c>
      <c r="B13" s="1139" t="s">
        <v>1438</v>
      </c>
      <c r="C13" s="1129">
        <f t="shared" si="4"/>
        <v>10555158</v>
      </c>
      <c r="D13" s="1129">
        <f t="shared" si="5"/>
        <v>0</v>
      </c>
      <c r="E13" s="1129">
        <v>0</v>
      </c>
      <c r="F13" s="1129">
        <v>0</v>
      </c>
      <c r="G13" s="1129">
        <v>0</v>
      </c>
      <c r="H13" s="1129">
        <v>0</v>
      </c>
      <c r="I13" s="1129">
        <v>0</v>
      </c>
      <c r="J13" s="1129">
        <v>0</v>
      </c>
      <c r="K13" s="1136">
        <v>0</v>
      </c>
      <c r="L13" s="1129">
        <v>0</v>
      </c>
      <c r="M13" s="1136">
        <v>3</v>
      </c>
      <c r="N13" s="1140">
        <v>6764733</v>
      </c>
      <c r="O13" s="1129">
        <v>1200</v>
      </c>
      <c r="P13" s="1140">
        <v>3023753</v>
      </c>
      <c r="Q13" s="1129">
        <v>0</v>
      </c>
      <c r="R13" s="1129">
        <v>0</v>
      </c>
      <c r="S13" s="1129">
        <v>0</v>
      </c>
      <c r="T13" s="1129">
        <v>0</v>
      </c>
      <c r="U13" s="1129">
        <v>0</v>
      </c>
      <c r="V13" s="1129">
        <v>0</v>
      </c>
      <c r="W13" s="1129">
        <v>0</v>
      </c>
      <c r="X13" s="1129">
        <v>766672</v>
      </c>
      <c r="Y13" s="1129">
        <v>0</v>
      </c>
    </row>
    <row r="14" spans="1:25" s="1141" customFormat="1" ht="66.599999999999994" customHeight="1">
      <c r="A14" s="1138">
        <v>4</v>
      </c>
      <c r="B14" s="1139" t="s">
        <v>1439</v>
      </c>
      <c r="C14" s="1129">
        <f t="shared" si="4"/>
        <v>17461827</v>
      </c>
      <c r="D14" s="1129">
        <f t="shared" si="5"/>
        <v>0</v>
      </c>
      <c r="E14" s="1129">
        <v>0</v>
      </c>
      <c r="F14" s="1129">
        <v>0</v>
      </c>
      <c r="G14" s="1129">
        <v>0</v>
      </c>
      <c r="H14" s="1129">
        <v>0</v>
      </c>
      <c r="I14" s="1129">
        <v>0</v>
      </c>
      <c r="J14" s="1129">
        <v>0</v>
      </c>
      <c r="K14" s="1136">
        <v>0</v>
      </c>
      <c r="L14" s="1129">
        <v>0</v>
      </c>
      <c r="M14" s="1136">
        <v>5</v>
      </c>
      <c r="N14" s="1140">
        <v>16193490</v>
      </c>
      <c r="O14" s="1129">
        <v>0</v>
      </c>
      <c r="P14" s="1140">
        <v>0</v>
      </c>
      <c r="Q14" s="1129">
        <v>0</v>
      </c>
      <c r="R14" s="1129">
        <v>0</v>
      </c>
      <c r="S14" s="1129">
        <v>0</v>
      </c>
      <c r="T14" s="1129">
        <v>0</v>
      </c>
      <c r="U14" s="1129">
        <v>0</v>
      </c>
      <c r="V14" s="1129">
        <v>0</v>
      </c>
      <c r="W14" s="1129">
        <v>0</v>
      </c>
      <c r="X14" s="1129">
        <v>1268337</v>
      </c>
      <c r="Y14" s="1129">
        <v>0</v>
      </c>
    </row>
    <row r="15" spans="1:25" s="1141" customFormat="1" ht="66.599999999999994" customHeight="1">
      <c r="A15" s="1138">
        <v>5</v>
      </c>
      <c r="B15" s="1139" t="s">
        <v>1440</v>
      </c>
      <c r="C15" s="1129">
        <f t="shared" si="4"/>
        <v>143558</v>
      </c>
      <c r="D15" s="1129">
        <f t="shared" si="5"/>
        <v>0</v>
      </c>
      <c r="E15" s="1129">
        <v>0</v>
      </c>
      <c r="F15" s="1129">
        <v>0</v>
      </c>
      <c r="G15" s="1129">
        <v>0</v>
      </c>
      <c r="H15" s="1129">
        <v>0</v>
      </c>
      <c r="I15" s="1129">
        <v>0</v>
      </c>
      <c r="J15" s="1129">
        <v>0</v>
      </c>
      <c r="K15" s="1136">
        <v>0</v>
      </c>
      <c r="L15" s="1129">
        <v>0</v>
      </c>
      <c r="M15" s="1136">
        <v>0</v>
      </c>
      <c r="N15" s="1129">
        <v>0</v>
      </c>
      <c r="O15" s="1129">
        <v>0</v>
      </c>
      <c r="P15" s="1140">
        <v>0</v>
      </c>
      <c r="Q15" s="1129">
        <v>0</v>
      </c>
      <c r="R15" s="1129">
        <v>0</v>
      </c>
      <c r="S15" s="1129">
        <v>0</v>
      </c>
      <c r="T15" s="1129">
        <v>0</v>
      </c>
      <c r="U15" s="1129">
        <v>0</v>
      </c>
      <c r="V15" s="1129">
        <v>0</v>
      </c>
      <c r="W15" s="1129">
        <v>0</v>
      </c>
      <c r="X15" s="1129">
        <v>143558</v>
      </c>
      <c r="Y15" s="1129">
        <v>0</v>
      </c>
    </row>
    <row r="16" spans="1:25" s="1141" customFormat="1" ht="60.6" customHeight="1">
      <c r="A16" s="1138">
        <v>6</v>
      </c>
      <c r="B16" s="1128" t="s">
        <v>1477</v>
      </c>
      <c r="C16" s="1129">
        <f t="shared" si="4"/>
        <v>1223262</v>
      </c>
      <c r="D16" s="1129">
        <f t="shared" si="5"/>
        <v>0</v>
      </c>
      <c r="E16" s="1129">
        <v>0</v>
      </c>
      <c r="F16" s="1129">
        <v>0</v>
      </c>
      <c r="G16" s="1129">
        <v>0</v>
      </c>
      <c r="H16" s="1129">
        <v>0</v>
      </c>
      <c r="I16" s="1129">
        <v>0</v>
      </c>
      <c r="J16" s="1129">
        <v>0</v>
      </c>
      <c r="K16" s="1136">
        <v>0</v>
      </c>
      <c r="L16" s="1129">
        <v>0</v>
      </c>
      <c r="M16" s="1136">
        <v>0</v>
      </c>
      <c r="N16" s="1129">
        <v>0</v>
      </c>
      <c r="O16" s="1129">
        <v>450.2</v>
      </c>
      <c r="P16" s="1140">
        <v>1134411</v>
      </c>
      <c r="Q16" s="1129">
        <v>0</v>
      </c>
      <c r="R16" s="1129">
        <v>0</v>
      </c>
      <c r="S16" s="1129">
        <v>0</v>
      </c>
      <c r="T16" s="1129">
        <v>0</v>
      </c>
      <c r="U16" s="1129">
        <v>0</v>
      </c>
      <c r="V16" s="1129">
        <v>0</v>
      </c>
      <c r="W16" s="1129">
        <v>0</v>
      </c>
      <c r="X16" s="1129">
        <v>88851</v>
      </c>
      <c r="Y16" s="1129">
        <v>0</v>
      </c>
    </row>
    <row r="17" spans="1:25" s="1141" customFormat="1" ht="69" customHeight="1">
      <c r="A17" s="1138">
        <v>7</v>
      </c>
      <c r="B17" s="1139" t="s">
        <v>1441</v>
      </c>
      <c r="C17" s="1129">
        <f t="shared" si="4"/>
        <v>2502533</v>
      </c>
      <c r="D17" s="1129">
        <f t="shared" si="5"/>
        <v>2320763</v>
      </c>
      <c r="E17" s="1129">
        <v>0</v>
      </c>
      <c r="F17" s="1140">
        <v>887082</v>
      </c>
      <c r="G17" s="1129">
        <v>0</v>
      </c>
      <c r="H17" s="1140">
        <v>544642</v>
      </c>
      <c r="I17" s="1140">
        <v>544642</v>
      </c>
      <c r="J17" s="1140">
        <v>344397</v>
      </c>
      <c r="K17" s="1136">
        <v>0</v>
      </c>
      <c r="L17" s="1129">
        <v>0</v>
      </c>
      <c r="M17" s="1136">
        <v>0</v>
      </c>
      <c r="N17" s="1129">
        <v>0</v>
      </c>
      <c r="O17" s="1129">
        <v>0</v>
      </c>
      <c r="P17" s="1129">
        <v>0</v>
      </c>
      <c r="Q17" s="1129">
        <v>0</v>
      </c>
      <c r="R17" s="1129">
        <v>0</v>
      </c>
      <c r="S17" s="1129">
        <v>0</v>
      </c>
      <c r="T17" s="1129">
        <v>0</v>
      </c>
      <c r="U17" s="1129">
        <v>0</v>
      </c>
      <c r="V17" s="1129">
        <v>0</v>
      </c>
      <c r="W17" s="1129">
        <v>0</v>
      </c>
      <c r="X17" s="1129">
        <v>181770</v>
      </c>
      <c r="Y17" s="1129">
        <v>0</v>
      </c>
    </row>
    <row r="18" spans="1:25" s="1141" customFormat="1" ht="91.15" customHeight="1">
      <c r="A18" s="1138">
        <v>8</v>
      </c>
      <c r="B18" s="1139" t="s">
        <v>3063</v>
      </c>
      <c r="C18" s="1129">
        <f t="shared" si="4"/>
        <v>3252433</v>
      </c>
      <c r="D18" s="1129">
        <f t="shared" si="5"/>
        <v>0</v>
      </c>
      <c r="E18" s="1129">
        <v>0</v>
      </c>
      <c r="F18" s="1129">
        <v>0</v>
      </c>
      <c r="G18" s="1129">
        <v>0</v>
      </c>
      <c r="H18" s="1129">
        <v>0</v>
      </c>
      <c r="I18" s="1129">
        <v>0</v>
      </c>
      <c r="J18" s="1129">
        <v>0</v>
      </c>
      <c r="K18" s="1136">
        <v>0</v>
      </c>
      <c r="L18" s="1129">
        <v>0</v>
      </c>
      <c r="M18" s="1136">
        <v>0</v>
      </c>
      <c r="N18" s="1129">
        <v>0</v>
      </c>
      <c r="O18" s="1129">
        <v>1197</v>
      </c>
      <c r="P18" s="1140">
        <v>3016193</v>
      </c>
      <c r="Q18" s="1129">
        <v>0</v>
      </c>
      <c r="R18" s="1129">
        <v>0</v>
      </c>
      <c r="S18" s="1129">
        <v>0</v>
      </c>
      <c r="T18" s="1129">
        <v>0</v>
      </c>
      <c r="U18" s="1129">
        <v>0</v>
      </c>
      <c r="V18" s="1129">
        <v>0</v>
      </c>
      <c r="W18" s="1129">
        <v>0</v>
      </c>
      <c r="X18" s="1129">
        <v>236240</v>
      </c>
      <c r="Y18" s="1129">
        <v>0</v>
      </c>
    </row>
    <row r="19" spans="1:25" s="1141" customFormat="1" ht="66.599999999999994" customHeight="1">
      <c r="A19" s="1138">
        <v>9</v>
      </c>
      <c r="B19" s="1139" t="s">
        <v>1760</v>
      </c>
      <c r="C19" s="1129">
        <f t="shared" si="4"/>
        <v>2472610</v>
      </c>
      <c r="D19" s="1129">
        <f t="shared" si="5"/>
        <v>0</v>
      </c>
      <c r="E19" s="1129">
        <v>0</v>
      </c>
      <c r="F19" s="1129">
        <v>0</v>
      </c>
      <c r="G19" s="1129">
        <v>0</v>
      </c>
      <c r="H19" s="1129">
        <v>0</v>
      </c>
      <c r="I19" s="1129">
        <v>0</v>
      </c>
      <c r="J19" s="1129">
        <v>0</v>
      </c>
      <c r="K19" s="1136">
        <v>0</v>
      </c>
      <c r="L19" s="1129">
        <v>0</v>
      </c>
      <c r="M19" s="1136">
        <v>0</v>
      </c>
      <c r="N19" s="1129">
        <v>0</v>
      </c>
      <c r="O19" s="1129">
        <v>910</v>
      </c>
      <c r="P19" s="1140">
        <v>2293012</v>
      </c>
      <c r="Q19" s="1129">
        <v>0</v>
      </c>
      <c r="R19" s="1129">
        <v>0</v>
      </c>
      <c r="S19" s="1129">
        <v>0</v>
      </c>
      <c r="T19" s="1129">
        <v>0</v>
      </c>
      <c r="U19" s="1129">
        <v>0</v>
      </c>
      <c r="V19" s="1129">
        <v>0</v>
      </c>
      <c r="W19" s="1129">
        <v>0</v>
      </c>
      <c r="X19" s="1129">
        <v>179598</v>
      </c>
      <c r="Y19" s="1129">
        <v>0</v>
      </c>
    </row>
    <row r="20" spans="1:25" s="1141" customFormat="1" ht="98.45" customHeight="1">
      <c r="A20" s="1138">
        <v>10</v>
      </c>
      <c r="B20" s="1139" t="s">
        <v>2315</v>
      </c>
      <c r="C20" s="1129">
        <f t="shared" si="4"/>
        <v>2486195</v>
      </c>
      <c r="D20" s="1129">
        <f t="shared" si="5"/>
        <v>0</v>
      </c>
      <c r="E20" s="1129">
        <v>0</v>
      </c>
      <c r="F20" s="1129">
        <v>0</v>
      </c>
      <c r="G20" s="1129">
        <v>0</v>
      </c>
      <c r="H20" s="1129">
        <v>0</v>
      </c>
      <c r="I20" s="1129">
        <v>0</v>
      </c>
      <c r="J20" s="1129">
        <v>0</v>
      </c>
      <c r="K20" s="1136">
        <v>0</v>
      </c>
      <c r="L20" s="1129">
        <v>0</v>
      </c>
      <c r="M20" s="1136">
        <v>0</v>
      </c>
      <c r="N20" s="1129">
        <v>0</v>
      </c>
      <c r="O20" s="1129">
        <v>915</v>
      </c>
      <c r="P20" s="1140">
        <v>2305611</v>
      </c>
      <c r="Q20" s="1129">
        <v>0</v>
      </c>
      <c r="R20" s="1129">
        <v>0</v>
      </c>
      <c r="S20" s="1129">
        <v>0</v>
      </c>
      <c r="T20" s="1129">
        <v>0</v>
      </c>
      <c r="U20" s="1129">
        <v>0</v>
      </c>
      <c r="V20" s="1129">
        <v>0</v>
      </c>
      <c r="W20" s="1129">
        <v>0</v>
      </c>
      <c r="X20" s="1129">
        <v>180584</v>
      </c>
      <c r="Y20" s="1129">
        <v>0</v>
      </c>
    </row>
    <row r="21" spans="1:25" s="1141" customFormat="1" ht="90" customHeight="1">
      <c r="A21" s="1138">
        <v>11</v>
      </c>
      <c r="B21" s="1139" t="s">
        <v>1946</v>
      </c>
      <c r="C21" s="1129">
        <f t="shared" si="4"/>
        <v>2978001</v>
      </c>
      <c r="D21" s="1129">
        <f t="shared" si="5"/>
        <v>0</v>
      </c>
      <c r="E21" s="1129">
        <v>0</v>
      </c>
      <c r="F21" s="1129">
        <v>0</v>
      </c>
      <c r="G21" s="1129">
        <v>0</v>
      </c>
      <c r="H21" s="1129">
        <v>0</v>
      </c>
      <c r="I21" s="1129">
        <v>0</v>
      </c>
      <c r="J21" s="1129">
        <v>0</v>
      </c>
      <c r="K21" s="1136">
        <v>0</v>
      </c>
      <c r="L21" s="1129">
        <v>0</v>
      </c>
      <c r="M21" s="1136">
        <v>0</v>
      </c>
      <c r="N21" s="1129">
        <v>0</v>
      </c>
      <c r="O21" s="1129">
        <v>1096</v>
      </c>
      <c r="P21" s="1140">
        <v>2761694</v>
      </c>
      <c r="Q21" s="1129">
        <v>0</v>
      </c>
      <c r="R21" s="1129">
        <v>0</v>
      </c>
      <c r="S21" s="1129">
        <v>0</v>
      </c>
      <c r="T21" s="1129">
        <v>0</v>
      </c>
      <c r="U21" s="1129">
        <v>0</v>
      </c>
      <c r="V21" s="1129">
        <v>0</v>
      </c>
      <c r="W21" s="1129">
        <v>0</v>
      </c>
      <c r="X21" s="1129">
        <v>216307</v>
      </c>
      <c r="Y21" s="1129">
        <v>0</v>
      </c>
    </row>
    <row r="22" spans="1:25" s="1141" customFormat="1" ht="69" customHeight="1">
      <c r="A22" s="1138">
        <v>12</v>
      </c>
      <c r="B22" s="1139" t="s">
        <v>1444</v>
      </c>
      <c r="C22" s="1129">
        <f t="shared" si="4"/>
        <v>1304334</v>
      </c>
      <c r="D22" s="1129">
        <f t="shared" si="5"/>
        <v>1209594</v>
      </c>
      <c r="E22" s="1129">
        <v>0</v>
      </c>
      <c r="F22" s="1129">
        <v>0</v>
      </c>
      <c r="G22" s="1129">
        <v>0</v>
      </c>
      <c r="H22" s="1129">
        <v>0</v>
      </c>
      <c r="I22" s="1129">
        <v>0</v>
      </c>
      <c r="J22" s="1140">
        <v>1209594</v>
      </c>
      <c r="K22" s="1136">
        <v>0</v>
      </c>
      <c r="L22" s="1129">
        <v>0</v>
      </c>
      <c r="M22" s="1136">
        <v>0</v>
      </c>
      <c r="N22" s="1129">
        <v>0</v>
      </c>
      <c r="O22" s="1129">
        <v>0</v>
      </c>
      <c r="P22" s="1129">
        <v>0</v>
      </c>
      <c r="Q22" s="1129">
        <v>0</v>
      </c>
      <c r="R22" s="1129">
        <v>0</v>
      </c>
      <c r="S22" s="1129">
        <v>0</v>
      </c>
      <c r="T22" s="1129">
        <v>0</v>
      </c>
      <c r="U22" s="1129">
        <v>0</v>
      </c>
      <c r="V22" s="1129">
        <v>0</v>
      </c>
      <c r="W22" s="1129">
        <v>0</v>
      </c>
      <c r="X22" s="1129">
        <v>94740</v>
      </c>
      <c r="Y22" s="1129">
        <v>0</v>
      </c>
    </row>
    <row r="23" spans="1:25" s="1141" customFormat="1" ht="85.15" customHeight="1">
      <c r="A23" s="1138">
        <v>13</v>
      </c>
      <c r="B23" s="1139" t="s">
        <v>1445</v>
      </c>
      <c r="C23" s="1129">
        <f t="shared" si="4"/>
        <v>7429397</v>
      </c>
      <c r="D23" s="1129">
        <f t="shared" si="5"/>
        <v>0</v>
      </c>
      <c r="E23" s="1129">
        <v>0</v>
      </c>
      <c r="F23" s="1129">
        <v>0</v>
      </c>
      <c r="G23" s="1129">
        <v>0</v>
      </c>
      <c r="H23" s="1129">
        <v>0</v>
      </c>
      <c r="I23" s="1129">
        <v>0</v>
      </c>
      <c r="J23" s="1129">
        <v>0</v>
      </c>
      <c r="K23" s="1136">
        <v>0</v>
      </c>
      <c r="L23" s="1129">
        <v>0</v>
      </c>
      <c r="M23" s="1136">
        <v>0</v>
      </c>
      <c r="N23" s="1129">
        <v>0</v>
      </c>
      <c r="O23" s="1129">
        <v>700</v>
      </c>
      <c r="P23" s="1140">
        <v>3170936</v>
      </c>
      <c r="Q23" s="1129">
        <v>0</v>
      </c>
      <c r="R23" s="1129">
        <v>0</v>
      </c>
      <c r="S23" s="1129">
        <v>1507</v>
      </c>
      <c r="T23" s="1140">
        <v>3718828</v>
      </c>
      <c r="U23" s="1129">
        <v>0</v>
      </c>
      <c r="V23" s="1129">
        <v>0</v>
      </c>
      <c r="W23" s="1129">
        <v>0</v>
      </c>
      <c r="X23" s="1129">
        <v>539633</v>
      </c>
      <c r="Y23" s="1129">
        <v>0</v>
      </c>
    </row>
    <row r="24" spans="1:25" s="1141" customFormat="1" ht="90" customHeight="1">
      <c r="A24" s="1138">
        <v>14</v>
      </c>
      <c r="B24" s="1139" t="s">
        <v>1947</v>
      </c>
      <c r="C24" s="1129">
        <f t="shared" si="4"/>
        <v>220003</v>
      </c>
      <c r="D24" s="1129">
        <f t="shared" si="5"/>
        <v>204023</v>
      </c>
      <c r="E24" s="1140">
        <v>204023</v>
      </c>
      <c r="F24" s="1129">
        <v>0</v>
      </c>
      <c r="G24" s="1129">
        <v>0</v>
      </c>
      <c r="H24" s="1129">
        <v>0</v>
      </c>
      <c r="I24" s="1129">
        <v>0</v>
      </c>
      <c r="J24" s="1129">
        <v>0</v>
      </c>
      <c r="K24" s="1136">
        <v>0</v>
      </c>
      <c r="L24" s="1129">
        <v>0</v>
      </c>
      <c r="M24" s="1136">
        <v>0</v>
      </c>
      <c r="N24" s="1129">
        <v>0</v>
      </c>
      <c r="O24" s="1129">
        <v>0</v>
      </c>
      <c r="P24" s="1129">
        <v>0</v>
      </c>
      <c r="Q24" s="1129">
        <v>0</v>
      </c>
      <c r="R24" s="1129">
        <v>0</v>
      </c>
      <c r="S24" s="1129">
        <v>0</v>
      </c>
      <c r="T24" s="1129">
        <v>0</v>
      </c>
      <c r="U24" s="1129">
        <v>0</v>
      </c>
      <c r="V24" s="1129">
        <v>0</v>
      </c>
      <c r="W24" s="1129">
        <v>0</v>
      </c>
      <c r="X24" s="1129">
        <v>15980</v>
      </c>
      <c r="Y24" s="1129">
        <v>0</v>
      </c>
    </row>
    <row r="25" spans="1:25" s="1141" customFormat="1" ht="64.150000000000006" customHeight="1">
      <c r="A25" s="1138">
        <v>15</v>
      </c>
      <c r="B25" s="1139" t="s">
        <v>1478</v>
      </c>
      <c r="C25" s="1129">
        <f t="shared" si="4"/>
        <v>1272992</v>
      </c>
      <c r="D25" s="1129">
        <f t="shared" si="5"/>
        <v>1180528</v>
      </c>
      <c r="E25" s="1129">
        <v>0</v>
      </c>
      <c r="F25" s="1129">
        <v>0</v>
      </c>
      <c r="G25" s="1140">
        <v>1180528</v>
      </c>
      <c r="H25" s="1129">
        <v>0</v>
      </c>
      <c r="I25" s="1129">
        <v>0</v>
      </c>
      <c r="J25" s="1129">
        <v>0</v>
      </c>
      <c r="K25" s="1136">
        <v>0</v>
      </c>
      <c r="L25" s="1129">
        <v>0</v>
      </c>
      <c r="M25" s="1136">
        <v>0</v>
      </c>
      <c r="N25" s="1129">
        <v>0</v>
      </c>
      <c r="O25" s="1129">
        <v>0</v>
      </c>
      <c r="P25" s="1129">
        <v>0</v>
      </c>
      <c r="Q25" s="1129">
        <v>0</v>
      </c>
      <c r="R25" s="1129">
        <v>0</v>
      </c>
      <c r="S25" s="1129">
        <v>0</v>
      </c>
      <c r="T25" s="1129">
        <v>0</v>
      </c>
      <c r="U25" s="1129">
        <v>0</v>
      </c>
      <c r="V25" s="1129">
        <v>0</v>
      </c>
      <c r="W25" s="1129">
        <v>0</v>
      </c>
      <c r="X25" s="1129">
        <v>92464</v>
      </c>
      <c r="Y25" s="1129">
        <v>0</v>
      </c>
    </row>
    <row r="26" spans="1:25" s="1141" customFormat="1" ht="93.6" customHeight="1">
      <c r="A26" s="1138">
        <v>16</v>
      </c>
      <c r="B26" s="1139" t="s">
        <v>1819</v>
      </c>
      <c r="C26" s="1129">
        <f t="shared" si="4"/>
        <v>7835016.79</v>
      </c>
      <c r="D26" s="1129">
        <f t="shared" si="5"/>
        <v>0</v>
      </c>
      <c r="E26" s="1129">
        <v>0</v>
      </c>
      <c r="F26" s="1129">
        <v>0</v>
      </c>
      <c r="G26" s="1129">
        <v>0</v>
      </c>
      <c r="H26" s="1129">
        <v>0</v>
      </c>
      <c r="I26" s="1129">
        <v>0</v>
      </c>
      <c r="J26" s="1129">
        <v>0</v>
      </c>
      <c r="K26" s="1136">
        <v>0</v>
      </c>
      <c r="L26" s="1129">
        <v>0</v>
      </c>
      <c r="M26" s="1136">
        <v>0</v>
      </c>
      <c r="N26" s="1129">
        <v>0</v>
      </c>
      <c r="O26" s="1129">
        <v>921</v>
      </c>
      <c r="P26" s="1140">
        <v>2697726.79</v>
      </c>
      <c r="Q26" s="1129">
        <v>0</v>
      </c>
      <c r="R26" s="1129">
        <v>0</v>
      </c>
      <c r="S26" s="1129">
        <v>1862.29</v>
      </c>
      <c r="T26" s="1140">
        <v>4595578</v>
      </c>
      <c r="U26" s="1129">
        <v>0</v>
      </c>
      <c r="V26" s="1129">
        <v>0</v>
      </c>
      <c r="W26" s="1129">
        <v>0</v>
      </c>
      <c r="X26" s="1129">
        <v>541712</v>
      </c>
      <c r="Y26" s="1129">
        <v>0</v>
      </c>
    </row>
    <row r="27" spans="1:25" s="1142" customFormat="1" ht="94.9" customHeight="1">
      <c r="A27" s="1138">
        <v>17</v>
      </c>
      <c r="B27" s="1128" t="s">
        <v>337</v>
      </c>
      <c r="C27" s="1129">
        <f t="shared" si="4"/>
        <v>379105</v>
      </c>
      <c r="D27" s="1129">
        <f t="shared" si="5"/>
        <v>351569</v>
      </c>
      <c r="E27" s="1129">
        <v>0</v>
      </c>
      <c r="F27" s="1129">
        <v>0</v>
      </c>
      <c r="G27" s="1129">
        <v>0</v>
      </c>
      <c r="H27" s="1129">
        <v>0</v>
      </c>
      <c r="I27" s="1129">
        <v>0</v>
      </c>
      <c r="J27" s="1140">
        <v>351569</v>
      </c>
      <c r="K27" s="1136">
        <v>0</v>
      </c>
      <c r="L27" s="1129">
        <v>0</v>
      </c>
      <c r="M27" s="1136">
        <v>0</v>
      </c>
      <c r="N27" s="1129">
        <v>0</v>
      </c>
      <c r="O27" s="1129">
        <v>0</v>
      </c>
      <c r="P27" s="1129">
        <v>0</v>
      </c>
      <c r="Q27" s="1129">
        <v>0</v>
      </c>
      <c r="R27" s="1129">
        <v>0</v>
      </c>
      <c r="S27" s="1129">
        <v>0</v>
      </c>
      <c r="T27" s="1129">
        <v>0</v>
      </c>
      <c r="U27" s="1129">
        <v>0</v>
      </c>
      <c r="V27" s="1129">
        <v>0</v>
      </c>
      <c r="W27" s="1129">
        <v>0</v>
      </c>
      <c r="X27" s="1129">
        <v>27536</v>
      </c>
      <c r="Y27" s="1129">
        <v>0</v>
      </c>
    </row>
    <row r="28" spans="1:25" s="1141" customFormat="1" ht="73.900000000000006" customHeight="1">
      <c r="A28" s="1138">
        <v>18</v>
      </c>
      <c r="B28" s="1139" t="s">
        <v>1479</v>
      </c>
      <c r="C28" s="1129">
        <f t="shared" si="4"/>
        <v>720344</v>
      </c>
      <c r="D28" s="1129">
        <f t="shared" si="5"/>
        <v>668022</v>
      </c>
      <c r="E28" s="1140">
        <v>668022</v>
      </c>
      <c r="F28" s="1129">
        <v>0</v>
      </c>
      <c r="G28" s="1129">
        <v>0</v>
      </c>
      <c r="H28" s="1129">
        <v>0</v>
      </c>
      <c r="I28" s="1129">
        <v>0</v>
      </c>
      <c r="J28" s="1129">
        <v>0</v>
      </c>
      <c r="K28" s="1136">
        <v>0</v>
      </c>
      <c r="L28" s="1129">
        <v>0</v>
      </c>
      <c r="M28" s="1136">
        <v>0</v>
      </c>
      <c r="N28" s="1129">
        <v>0</v>
      </c>
      <c r="O28" s="1129">
        <v>0</v>
      </c>
      <c r="P28" s="1129">
        <v>0</v>
      </c>
      <c r="Q28" s="1129">
        <v>0</v>
      </c>
      <c r="R28" s="1129">
        <v>0</v>
      </c>
      <c r="S28" s="1129">
        <v>0</v>
      </c>
      <c r="T28" s="1129">
        <v>0</v>
      </c>
      <c r="U28" s="1129">
        <v>0</v>
      </c>
      <c r="V28" s="1129">
        <v>0</v>
      </c>
      <c r="W28" s="1129">
        <v>0</v>
      </c>
      <c r="X28" s="1129">
        <v>52322</v>
      </c>
      <c r="Y28" s="1129">
        <v>0</v>
      </c>
    </row>
    <row r="29" spans="1:25" s="1141" customFormat="1" ht="92.45" customHeight="1">
      <c r="A29" s="1138">
        <v>19</v>
      </c>
      <c r="B29" s="1139" t="s">
        <v>2562</v>
      </c>
      <c r="C29" s="1129">
        <f t="shared" si="4"/>
        <v>4274120</v>
      </c>
      <c r="D29" s="1129">
        <f t="shared" si="5"/>
        <v>0</v>
      </c>
      <c r="E29" s="1129">
        <v>0</v>
      </c>
      <c r="F29" s="1129">
        <v>0</v>
      </c>
      <c r="G29" s="1129">
        <v>0</v>
      </c>
      <c r="H29" s="1129">
        <v>0</v>
      </c>
      <c r="I29" s="1129">
        <v>0</v>
      </c>
      <c r="J29" s="1129">
        <v>0</v>
      </c>
      <c r="K29" s="1136">
        <v>0</v>
      </c>
      <c r="L29" s="1129">
        <v>0</v>
      </c>
      <c r="M29" s="1136">
        <v>0</v>
      </c>
      <c r="N29" s="1129">
        <v>0</v>
      </c>
      <c r="O29" s="1129">
        <v>875</v>
      </c>
      <c r="P29" s="1140">
        <v>3963670</v>
      </c>
      <c r="Q29" s="1129">
        <v>0</v>
      </c>
      <c r="R29" s="1129">
        <v>0</v>
      </c>
      <c r="S29" s="1129">
        <v>0</v>
      </c>
      <c r="T29" s="1129">
        <v>0</v>
      </c>
      <c r="U29" s="1129">
        <v>0</v>
      </c>
      <c r="V29" s="1129">
        <v>0</v>
      </c>
      <c r="W29" s="1129">
        <v>0</v>
      </c>
      <c r="X29" s="1129">
        <v>310450</v>
      </c>
      <c r="Y29" s="1129">
        <v>0</v>
      </c>
    </row>
    <row r="30" spans="1:25" s="1141" customFormat="1" ht="86.45" customHeight="1">
      <c r="A30" s="1138">
        <v>20</v>
      </c>
      <c r="B30" s="1139" t="s">
        <v>1820</v>
      </c>
      <c r="C30" s="1129">
        <f t="shared" si="4"/>
        <v>1840546</v>
      </c>
      <c r="D30" s="1129">
        <f t="shared" si="5"/>
        <v>0</v>
      </c>
      <c r="E30" s="1129">
        <v>0</v>
      </c>
      <c r="F30" s="1129">
        <v>0</v>
      </c>
      <c r="G30" s="1129">
        <v>0</v>
      </c>
      <c r="H30" s="1129">
        <v>0</v>
      </c>
      <c r="I30" s="1129">
        <v>0</v>
      </c>
      <c r="J30" s="1129">
        <v>0</v>
      </c>
      <c r="K30" s="1136">
        <v>0</v>
      </c>
      <c r="L30" s="1129">
        <v>0</v>
      </c>
      <c r="M30" s="1136">
        <v>0</v>
      </c>
      <c r="N30" s="1129">
        <v>0</v>
      </c>
      <c r="O30" s="1129">
        <v>543.79999999999995</v>
      </c>
      <c r="P30" s="1140">
        <v>1706858</v>
      </c>
      <c r="Q30" s="1129">
        <v>0</v>
      </c>
      <c r="R30" s="1129">
        <v>0</v>
      </c>
      <c r="S30" s="1129">
        <v>0</v>
      </c>
      <c r="T30" s="1129">
        <v>0</v>
      </c>
      <c r="U30" s="1129">
        <v>0</v>
      </c>
      <c r="V30" s="1129">
        <v>0</v>
      </c>
      <c r="W30" s="1129">
        <v>0</v>
      </c>
      <c r="X30" s="1129">
        <v>133688</v>
      </c>
      <c r="Y30" s="1129">
        <v>0</v>
      </c>
    </row>
    <row r="31" spans="1:25" s="1141" customFormat="1" ht="90" customHeight="1">
      <c r="A31" s="1138">
        <v>21</v>
      </c>
      <c r="B31" s="1139" t="s">
        <v>2563</v>
      </c>
      <c r="C31" s="1129">
        <f t="shared" si="4"/>
        <v>1985158</v>
      </c>
      <c r="D31" s="1129">
        <f t="shared" si="5"/>
        <v>1840966</v>
      </c>
      <c r="E31" s="1140">
        <v>1840966</v>
      </c>
      <c r="F31" s="1129">
        <v>0</v>
      </c>
      <c r="G31" s="1129">
        <v>0</v>
      </c>
      <c r="H31" s="1129">
        <v>0</v>
      </c>
      <c r="I31" s="1129">
        <v>0</v>
      </c>
      <c r="J31" s="1129">
        <v>0</v>
      </c>
      <c r="K31" s="1136">
        <v>0</v>
      </c>
      <c r="L31" s="1129">
        <v>0</v>
      </c>
      <c r="M31" s="1136">
        <v>0</v>
      </c>
      <c r="N31" s="1129">
        <v>0</v>
      </c>
      <c r="O31" s="1129">
        <v>0</v>
      </c>
      <c r="P31" s="1129">
        <v>0</v>
      </c>
      <c r="Q31" s="1129">
        <v>0</v>
      </c>
      <c r="R31" s="1129">
        <v>0</v>
      </c>
      <c r="S31" s="1129">
        <v>0</v>
      </c>
      <c r="T31" s="1129">
        <v>0</v>
      </c>
      <c r="U31" s="1129">
        <v>0</v>
      </c>
      <c r="V31" s="1129">
        <v>0</v>
      </c>
      <c r="W31" s="1129">
        <v>0</v>
      </c>
      <c r="X31" s="1129">
        <v>144192</v>
      </c>
      <c r="Y31" s="1129">
        <v>0</v>
      </c>
    </row>
    <row r="32" spans="1:25" s="1141" customFormat="1" ht="71.45" customHeight="1">
      <c r="A32" s="1138">
        <v>22</v>
      </c>
      <c r="B32" s="1139" t="s">
        <v>1451</v>
      </c>
      <c r="C32" s="1129">
        <f t="shared" si="4"/>
        <v>2465544</v>
      </c>
      <c r="D32" s="1129">
        <f t="shared" si="5"/>
        <v>660894</v>
      </c>
      <c r="E32" s="1140">
        <v>380836</v>
      </c>
      <c r="F32" s="1129">
        <v>0</v>
      </c>
      <c r="G32" s="1129">
        <v>0</v>
      </c>
      <c r="H32" s="1129">
        <v>0</v>
      </c>
      <c r="I32" s="1129">
        <v>0</v>
      </c>
      <c r="J32" s="1140">
        <v>280058</v>
      </c>
      <c r="K32" s="1136">
        <v>0</v>
      </c>
      <c r="L32" s="1129">
        <v>0</v>
      </c>
      <c r="M32" s="1136">
        <v>0</v>
      </c>
      <c r="N32" s="1129">
        <v>0</v>
      </c>
      <c r="O32" s="1129">
        <v>517.9</v>
      </c>
      <c r="P32" s="1140">
        <v>1625565</v>
      </c>
      <c r="Q32" s="1129">
        <v>0</v>
      </c>
      <c r="R32" s="1129">
        <v>0</v>
      </c>
      <c r="S32" s="1129">
        <v>0</v>
      </c>
      <c r="T32" s="1129">
        <v>0</v>
      </c>
      <c r="U32" s="1129">
        <v>0</v>
      </c>
      <c r="V32" s="1129">
        <v>0</v>
      </c>
      <c r="W32" s="1129">
        <v>0</v>
      </c>
      <c r="X32" s="1129">
        <v>179085</v>
      </c>
      <c r="Y32" s="1129">
        <v>0</v>
      </c>
    </row>
    <row r="33" spans="1:25" s="1141" customFormat="1" ht="66.599999999999994" customHeight="1">
      <c r="A33" s="1138">
        <v>23</v>
      </c>
      <c r="B33" s="1139" t="s">
        <v>263</v>
      </c>
      <c r="C33" s="1129">
        <f t="shared" si="4"/>
        <v>409752</v>
      </c>
      <c r="D33" s="1129">
        <f t="shared" si="5"/>
        <v>379990</v>
      </c>
      <c r="E33" s="1129">
        <v>0</v>
      </c>
      <c r="F33" s="1129">
        <v>0</v>
      </c>
      <c r="G33" s="1129">
        <v>0</v>
      </c>
      <c r="H33" s="1129">
        <v>0</v>
      </c>
      <c r="I33" s="1129">
        <v>0</v>
      </c>
      <c r="J33" s="1140">
        <v>379990</v>
      </c>
      <c r="K33" s="1136">
        <v>0</v>
      </c>
      <c r="L33" s="1129">
        <v>0</v>
      </c>
      <c r="M33" s="1136">
        <v>0</v>
      </c>
      <c r="N33" s="1129">
        <v>0</v>
      </c>
      <c r="O33" s="1129">
        <v>0</v>
      </c>
      <c r="P33" s="1129">
        <v>0</v>
      </c>
      <c r="Q33" s="1129">
        <v>0</v>
      </c>
      <c r="R33" s="1129">
        <v>0</v>
      </c>
      <c r="S33" s="1129">
        <v>0</v>
      </c>
      <c r="T33" s="1129">
        <v>0</v>
      </c>
      <c r="U33" s="1129">
        <v>0</v>
      </c>
      <c r="V33" s="1129">
        <v>0</v>
      </c>
      <c r="W33" s="1129">
        <v>0</v>
      </c>
      <c r="X33" s="1129">
        <v>29762</v>
      </c>
      <c r="Y33" s="1129">
        <v>0</v>
      </c>
    </row>
    <row r="34" spans="1:25" s="1141" customFormat="1" ht="87.6" customHeight="1">
      <c r="A34" s="1138">
        <v>24</v>
      </c>
      <c r="B34" s="1139" t="s">
        <v>284</v>
      </c>
      <c r="C34" s="1129">
        <f t="shared" si="4"/>
        <v>425860</v>
      </c>
      <c r="D34" s="1129">
        <f t="shared" si="5"/>
        <v>394928</v>
      </c>
      <c r="E34" s="1129">
        <v>0</v>
      </c>
      <c r="F34" s="1129">
        <v>0</v>
      </c>
      <c r="G34" s="1129">
        <v>0</v>
      </c>
      <c r="H34" s="1129">
        <v>0</v>
      </c>
      <c r="I34" s="1129">
        <v>0</v>
      </c>
      <c r="J34" s="1140">
        <v>394928</v>
      </c>
      <c r="K34" s="1136">
        <v>0</v>
      </c>
      <c r="L34" s="1129">
        <v>0</v>
      </c>
      <c r="M34" s="1136">
        <v>0</v>
      </c>
      <c r="N34" s="1129">
        <v>0</v>
      </c>
      <c r="O34" s="1129">
        <v>0</v>
      </c>
      <c r="P34" s="1129">
        <v>0</v>
      </c>
      <c r="Q34" s="1129">
        <v>0</v>
      </c>
      <c r="R34" s="1129">
        <v>0</v>
      </c>
      <c r="S34" s="1129">
        <v>0</v>
      </c>
      <c r="T34" s="1129">
        <v>0</v>
      </c>
      <c r="U34" s="1129">
        <v>0</v>
      </c>
      <c r="V34" s="1129">
        <v>0</v>
      </c>
      <c r="W34" s="1129">
        <v>0</v>
      </c>
      <c r="X34" s="1129">
        <v>30932</v>
      </c>
      <c r="Y34" s="1129">
        <v>0</v>
      </c>
    </row>
    <row r="35" spans="1:25" s="1141" customFormat="1" ht="69" customHeight="1">
      <c r="A35" s="1138">
        <v>25</v>
      </c>
      <c r="B35" s="1139" t="s">
        <v>1452</v>
      </c>
      <c r="C35" s="1129">
        <f t="shared" si="4"/>
        <v>945487</v>
      </c>
      <c r="D35" s="1129">
        <f t="shared" si="5"/>
        <v>876812</v>
      </c>
      <c r="E35" s="1140">
        <v>876812</v>
      </c>
      <c r="F35" s="1129">
        <v>0</v>
      </c>
      <c r="G35" s="1129">
        <v>0</v>
      </c>
      <c r="H35" s="1129">
        <v>0</v>
      </c>
      <c r="I35" s="1129">
        <v>0</v>
      </c>
      <c r="J35" s="1129">
        <v>0</v>
      </c>
      <c r="K35" s="1136">
        <v>0</v>
      </c>
      <c r="L35" s="1129">
        <v>0</v>
      </c>
      <c r="M35" s="1136">
        <v>0</v>
      </c>
      <c r="N35" s="1129">
        <v>0</v>
      </c>
      <c r="O35" s="1129">
        <v>0</v>
      </c>
      <c r="P35" s="1129">
        <v>0</v>
      </c>
      <c r="Q35" s="1129">
        <v>0</v>
      </c>
      <c r="R35" s="1129">
        <v>0</v>
      </c>
      <c r="S35" s="1129">
        <v>0</v>
      </c>
      <c r="T35" s="1129">
        <v>0</v>
      </c>
      <c r="U35" s="1129">
        <v>0</v>
      </c>
      <c r="V35" s="1129">
        <v>0</v>
      </c>
      <c r="W35" s="1129">
        <v>0</v>
      </c>
      <c r="X35" s="1129">
        <v>68675</v>
      </c>
      <c r="Y35" s="1129">
        <v>0</v>
      </c>
    </row>
    <row r="36" spans="1:25" s="1141" customFormat="1" ht="78.599999999999994" customHeight="1">
      <c r="A36" s="1138">
        <v>26</v>
      </c>
      <c r="B36" s="1139" t="s">
        <v>1453</v>
      </c>
      <c r="C36" s="1129">
        <f t="shared" si="4"/>
        <v>3932416</v>
      </c>
      <c r="D36" s="1129">
        <f t="shared" si="5"/>
        <v>476614</v>
      </c>
      <c r="E36" s="1140">
        <v>476614</v>
      </c>
      <c r="F36" s="1129">
        <v>0</v>
      </c>
      <c r="G36" s="1129">
        <v>0</v>
      </c>
      <c r="H36" s="1129">
        <v>0</v>
      </c>
      <c r="I36" s="1129">
        <v>0</v>
      </c>
      <c r="J36" s="1129">
        <v>0</v>
      </c>
      <c r="K36" s="1136">
        <v>0</v>
      </c>
      <c r="L36" s="1129">
        <v>0</v>
      </c>
      <c r="M36" s="1136">
        <v>0</v>
      </c>
      <c r="N36" s="1129">
        <v>0</v>
      </c>
      <c r="O36" s="1129">
        <v>621.01</v>
      </c>
      <c r="P36" s="1140">
        <v>1949203</v>
      </c>
      <c r="Q36" s="1129">
        <v>0</v>
      </c>
      <c r="R36" s="1129">
        <v>0</v>
      </c>
      <c r="S36" s="1129">
        <v>494.78</v>
      </c>
      <c r="T36" s="1140">
        <v>1220969</v>
      </c>
      <c r="U36" s="1129">
        <v>0</v>
      </c>
      <c r="V36" s="1129">
        <v>0</v>
      </c>
      <c r="W36" s="1129">
        <v>0</v>
      </c>
      <c r="X36" s="1129">
        <v>285630</v>
      </c>
      <c r="Y36" s="1129">
        <v>0</v>
      </c>
    </row>
    <row r="37" spans="1:25" s="1141" customFormat="1" ht="63" customHeight="1">
      <c r="A37" s="1138">
        <v>27</v>
      </c>
      <c r="B37" s="1139" t="s">
        <v>1454</v>
      </c>
      <c r="C37" s="1129">
        <f t="shared" si="4"/>
        <v>3786311</v>
      </c>
      <c r="D37" s="1129">
        <f t="shared" si="5"/>
        <v>0</v>
      </c>
      <c r="E37" s="1129">
        <v>0</v>
      </c>
      <c r="F37" s="1129">
        <v>0</v>
      </c>
      <c r="G37" s="1129">
        <v>0</v>
      </c>
      <c r="H37" s="1129">
        <v>0</v>
      </c>
      <c r="I37" s="1129">
        <v>0</v>
      </c>
      <c r="J37" s="1129">
        <v>0</v>
      </c>
      <c r="K37" s="1136">
        <v>0</v>
      </c>
      <c r="L37" s="1129">
        <v>0</v>
      </c>
      <c r="M37" s="1136">
        <v>0</v>
      </c>
      <c r="N37" s="1129">
        <v>0</v>
      </c>
      <c r="O37" s="1129">
        <v>0</v>
      </c>
      <c r="P37" s="1129">
        <v>0</v>
      </c>
      <c r="Q37" s="1129">
        <v>0</v>
      </c>
      <c r="R37" s="1129">
        <v>0</v>
      </c>
      <c r="S37" s="1129">
        <v>1422.9</v>
      </c>
      <c r="T37" s="1140">
        <v>3511293</v>
      </c>
      <c r="U37" s="1129">
        <v>0</v>
      </c>
      <c r="V37" s="1129">
        <v>0</v>
      </c>
      <c r="W37" s="1129">
        <v>0</v>
      </c>
      <c r="X37" s="1129">
        <v>275018</v>
      </c>
      <c r="Y37" s="1129">
        <v>0</v>
      </c>
    </row>
    <row r="38" spans="1:25" s="1141" customFormat="1" ht="82.9" customHeight="1">
      <c r="A38" s="1138">
        <v>28</v>
      </c>
      <c r="B38" s="1139" t="s">
        <v>2564</v>
      </c>
      <c r="C38" s="1129">
        <f t="shared" si="4"/>
        <v>958615</v>
      </c>
      <c r="D38" s="1129">
        <f t="shared" si="5"/>
        <v>888986</v>
      </c>
      <c r="E38" s="1140">
        <v>888986</v>
      </c>
      <c r="F38" s="1129">
        <v>0</v>
      </c>
      <c r="G38" s="1129">
        <v>0</v>
      </c>
      <c r="H38" s="1129">
        <v>0</v>
      </c>
      <c r="I38" s="1129">
        <v>0</v>
      </c>
      <c r="J38" s="1129">
        <v>0</v>
      </c>
      <c r="K38" s="1136">
        <v>0</v>
      </c>
      <c r="L38" s="1129">
        <v>0</v>
      </c>
      <c r="M38" s="1136">
        <v>0</v>
      </c>
      <c r="N38" s="1129">
        <v>0</v>
      </c>
      <c r="O38" s="1129">
        <v>0</v>
      </c>
      <c r="P38" s="1129">
        <v>0</v>
      </c>
      <c r="Q38" s="1129">
        <v>0</v>
      </c>
      <c r="R38" s="1129">
        <v>0</v>
      </c>
      <c r="S38" s="1129">
        <v>0</v>
      </c>
      <c r="T38" s="1129">
        <v>0</v>
      </c>
      <c r="U38" s="1129">
        <v>0</v>
      </c>
      <c r="V38" s="1129">
        <v>0</v>
      </c>
      <c r="W38" s="1129">
        <v>0</v>
      </c>
      <c r="X38" s="1129">
        <v>69629</v>
      </c>
      <c r="Y38" s="1129">
        <v>0</v>
      </c>
    </row>
    <row r="39" spans="1:25" s="1141" customFormat="1" ht="64.150000000000006" customHeight="1">
      <c r="A39" s="1138">
        <v>29</v>
      </c>
      <c r="B39" s="1139" t="s">
        <v>1455</v>
      </c>
      <c r="C39" s="1129">
        <f t="shared" si="4"/>
        <v>1907186</v>
      </c>
      <c r="D39" s="1129">
        <f t="shared" si="5"/>
        <v>488576</v>
      </c>
      <c r="E39" s="1140">
        <v>281539</v>
      </c>
      <c r="F39" s="1129">
        <v>0</v>
      </c>
      <c r="G39" s="1129">
        <v>0</v>
      </c>
      <c r="H39" s="1129">
        <v>0</v>
      </c>
      <c r="I39" s="1129">
        <v>0</v>
      </c>
      <c r="J39" s="1140">
        <v>207037</v>
      </c>
      <c r="K39" s="1136">
        <v>0</v>
      </c>
      <c r="L39" s="1129">
        <v>0</v>
      </c>
      <c r="M39" s="1136">
        <v>0</v>
      </c>
      <c r="N39" s="1129">
        <v>0</v>
      </c>
      <c r="O39" s="1129">
        <v>407.83</v>
      </c>
      <c r="P39" s="1140">
        <v>1280082</v>
      </c>
      <c r="Q39" s="1129">
        <v>0</v>
      </c>
      <c r="R39" s="1129">
        <v>0</v>
      </c>
      <c r="S39" s="1129">
        <v>0</v>
      </c>
      <c r="T39" s="1129">
        <v>0</v>
      </c>
      <c r="U39" s="1129">
        <v>0</v>
      </c>
      <c r="V39" s="1129">
        <v>0</v>
      </c>
      <c r="W39" s="1129">
        <v>0</v>
      </c>
      <c r="X39" s="1129">
        <v>138528</v>
      </c>
      <c r="Y39" s="1129">
        <v>0</v>
      </c>
    </row>
    <row r="40" spans="1:25" s="1141" customFormat="1" ht="66.599999999999994" customHeight="1">
      <c r="A40" s="1138">
        <v>30</v>
      </c>
      <c r="B40" s="1128" t="s">
        <v>496</v>
      </c>
      <c r="C40" s="1129">
        <f t="shared" si="4"/>
        <v>5534843</v>
      </c>
      <c r="D40" s="1129">
        <f t="shared" si="5"/>
        <v>0</v>
      </c>
      <c r="E40" s="1129">
        <v>0</v>
      </c>
      <c r="F40" s="1129">
        <v>0</v>
      </c>
      <c r="G40" s="1129">
        <v>0</v>
      </c>
      <c r="H40" s="1129">
        <v>0</v>
      </c>
      <c r="I40" s="1129">
        <v>0</v>
      </c>
      <c r="J40" s="1129">
        <v>0</v>
      </c>
      <c r="K40" s="1136">
        <v>0</v>
      </c>
      <c r="L40" s="1129">
        <v>0</v>
      </c>
      <c r="M40" s="1136">
        <v>0</v>
      </c>
      <c r="N40" s="1129">
        <v>0</v>
      </c>
      <c r="O40" s="1129">
        <v>0</v>
      </c>
      <c r="P40" s="1129">
        <v>0</v>
      </c>
      <c r="Q40" s="1129">
        <v>0</v>
      </c>
      <c r="R40" s="1129">
        <v>0</v>
      </c>
      <c r="S40" s="1129">
        <v>2080</v>
      </c>
      <c r="T40" s="1140">
        <v>5132821</v>
      </c>
      <c r="U40" s="1129">
        <v>0</v>
      </c>
      <c r="V40" s="1129">
        <v>0</v>
      </c>
      <c r="W40" s="1129">
        <v>0</v>
      </c>
      <c r="X40" s="1129">
        <v>402022</v>
      </c>
      <c r="Y40" s="1129">
        <v>0</v>
      </c>
    </row>
    <row r="41" spans="1:25" s="1141" customFormat="1" ht="67.900000000000006" customHeight="1">
      <c r="A41" s="1138">
        <v>31</v>
      </c>
      <c r="B41" s="1139" t="s">
        <v>1456</v>
      </c>
      <c r="C41" s="1129">
        <f t="shared" si="4"/>
        <v>2175056</v>
      </c>
      <c r="D41" s="1129">
        <f t="shared" si="5"/>
        <v>394331</v>
      </c>
      <c r="E41" s="1140">
        <v>394331</v>
      </c>
      <c r="F41" s="1129">
        <v>0</v>
      </c>
      <c r="G41" s="1129">
        <v>0</v>
      </c>
      <c r="H41" s="1129">
        <v>0</v>
      </c>
      <c r="I41" s="1129">
        <v>0</v>
      </c>
      <c r="J41" s="1129">
        <v>0</v>
      </c>
      <c r="K41" s="1136">
        <v>0</v>
      </c>
      <c r="L41" s="1129">
        <v>0</v>
      </c>
      <c r="M41" s="1136">
        <v>0</v>
      </c>
      <c r="N41" s="1129">
        <v>0</v>
      </c>
      <c r="O41" s="1129">
        <v>517</v>
      </c>
      <c r="P41" s="1140">
        <v>1622740</v>
      </c>
      <c r="Q41" s="1129">
        <v>0</v>
      </c>
      <c r="R41" s="1129">
        <v>0</v>
      </c>
      <c r="S41" s="1129">
        <v>0</v>
      </c>
      <c r="T41" s="1129">
        <v>0</v>
      </c>
      <c r="U41" s="1129">
        <v>0</v>
      </c>
      <c r="V41" s="1129">
        <v>0</v>
      </c>
      <c r="W41" s="1129">
        <v>0</v>
      </c>
      <c r="X41" s="1129">
        <v>157985</v>
      </c>
      <c r="Y41" s="1129">
        <v>0</v>
      </c>
    </row>
    <row r="42" spans="1:25" s="1141" customFormat="1" ht="66.599999999999994" customHeight="1">
      <c r="A42" s="1138">
        <v>32</v>
      </c>
      <c r="B42" s="1139" t="s">
        <v>1457</v>
      </c>
      <c r="C42" s="1129">
        <f t="shared" si="4"/>
        <v>9902493.3900000006</v>
      </c>
      <c r="D42" s="1129">
        <f t="shared" si="5"/>
        <v>0</v>
      </c>
      <c r="E42" s="1129">
        <v>0</v>
      </c>
      <c r="F42" s="1129">
        <v>0</v>
      </c>
      <c r="G42" s="1129">
        <v>0</v>
      </c>
      <c r="H42" s="1129">
        <v>0</v>
      </c>
      <c r="I42" s="1129">
        <v>0</v>
      </c>
      <c r="J42" s="1129">
        <v>0</v>
      </c>
      <c r="K42" s="1136">
        <v>0</v>
      </c>
      <c r="L42" s="1129">
        <v>0</v>
      </c>
      <c r="M42" s="1136">
        <v>0</v>
      </c>
      <c r="N42" s="1129">
        <v>0</v>
      </c>
      <c r="O42" s="1129">
        <v>2800</v>
      </c>
      <c r="P42" s="1140">
        <v>9349885.3900000006</v>
      </c>
      <c r="Q42" s="1129">
        <v>0</v>
      </c>
      <c r="R42" s="1129">
        <v>0</v>
      </c>
      <c r="S42" s="1129">
        <v>0</v>
      </c>
      <c r="T42" s="1129">
        <v>0</v>
      </c>
      <c r="U42" s="1129">
        <v>0</v>
      </c>
      <c r="V42" s="1129">
        <v>0</v>
      </c>
      <c r="W42" s="1129">
        <v>0</v>
      </c>
      <c r="X42" s="1129">
        <v>552608</v>
      </c>
      <c r="Y42" s="1129">
        <v>0</v>
      </c>
    </row>
    <row r="43" spans="1:25" s="1141" customFormat="1" ht="102" customHeight="1">
      <c r="A43" s="1138">
        <v>33</v>
      </c>
      <c r="B43" s="1139" t="s">
        <v>2565</v>
      </c>
      <c r="C43" s="1129">
        <f t="shared" si="4"/>
        <v>2033556</v>
      </c>
      <c r="D43" s="1129">
        <f t="shared" si="5"/>
        <v>1885849</v>
      </c>
      <c r="E43" s="1140">
        <v>1885849</v>
      </c>
      <c r="F43" s="1129">
        <v>0</v>
      </c>
      <c r="G43" s="1129">
        <v>0</v>
      </c>
      <c r="H43" s="1129">
        <v>0</v>
      </c>
      <c r="I43" s="1129">
        <v>0</v>
      </c>
      <c r="J43" s="1129">
        <v>0</v>
      </c>
      <c r="K43" s="1136">
        <v>0</v>
      </c>
      <c r="L43" s="1129">
        <v>0</v>
      </c>
      <c r="M43" s="1136">
        <v>0</v>
      </c>
      <c r="N43" s="1129">
        <v>0</v>
      </c>
      <c r="O43" s="1129">
        <v>0</v>
      </c>
      <c r="P43" s="1129">
        <v>0</v>
      </c>
      <c r="Q43" s="1129">
        <v>0</v>
      </c>
      <c r="R43" s="1129">
        <v>0</v>
      </c>
      <c r="S43" s="1129">
        <v>0</v>
      </c>
      <c r="T43" s="1129">
        <v>0</v>
      </c>
      <c r="U43" s="1129">
        <v>0</v>
      </c>
      <c r="V43" s="1129">
        <v>0</v>
      </c>
      <c r="W43" s="1129">
        <v>0</v>
      </c>
      <c r="X43" s="1129">
        <v>147707</v>
      </c>
      <c r="Y43" s="1129">
        <v>0</v>
      </c>
    </row>
    <row r="44" spans="1:25" s="1141" customFormat="1" ht="87.6" customHeight="1">
      <c r="A44" s="1138">
        <v>34</v>
      </c>
      <c r="B44" s="1139" t="s">
        <v>1459</v>
      </c>
      <c r="C44" s="1129">
        <f t="shared" si="4"/>
        <v>3653569</v>
      </c>
      <c r="D44" s="1129">
        <f t="shared" si="5"/>
        <v>3388193</v>
      </c>
      <c r="E44" s="1129">
        <v>0</v>
      </c>
      <c r="F44" s="1129">
        <v>0</v>
      </c>
      <c r="G44" s="1129">
        <v>0</v>
      </c>
      <c r="H44" s="1140">
        <v>3388193</v>
      </c>
      <c r="I44" s="1129">
        <v>0</v>
      </c>
      <c r="J44" s="1129">
        <v>0</v>
      </c>
      <c r="K44" s="1136">
        <v>0</v>
      </c>
      <c r="L44" s="1129">
        <v>0</v>
      </c>
      <c r="M44" s="1136">
        <v>0</v>
      </c>
      <c r="N44" s="1129">
        <v>0</v>
      </c>
      <c r="O44" s="1129">
        <v>0</v>
      </c>
      <c r="P44" s="1129">
        <v>0</v>
      </c>
      <c r="Q44" s="1129">
        <v>0</v>
      </c>
      <c r="R44" s="1129">
        <v>0</v>
      </c>
      <c r="S44" s="1129">
        <v>0</v>
      </c>
      <c r="T44" s="1129">
        <v>0</v>
      </c>
      <c r="U44" s="1129">
        <v>0</v>
      </c>
      <c r="V44" s="1129">
        <v>0</v>
      </c>
      <c r="W44" s="1129">
        <v>0</v>
      </c>
      <c r="X44" s="1129">
        <v>265376</v>
      </c>
      <c r="Y44" s="1129">
        <v>0</v>
      </c>
    </row>
    <row r="45" spans="1:25" s="1141" customFormat="1" ht="61.9" customHeight="1">
      <c r="A45" s="1138">
        <v>35</v>
      </c>
      <c r="B45" s="1139" t="s">
        <v>1460</v>
      </c>
      <c r="C45" s="1129">
        <f t="shared" si="4"/>
        <v>771870</v>
      </c>
      <c r="D45" s="1129">
        <f t="shared" si="5"/>
        <v>715805</v>
      </c>
      <c r="E45" s="1129">
        <v>0</v>
      </c>
      <c r="F45" s="1140">
        <v>715805</v>
      </c>
      <c r="G45" s="1129">
        <v>0</v>
      </c>
      <c r="H45" s="1129">
        <v>0</v>
      </c>
      <c r="I45" s="1129">
        <v>0</v>
      </c>
      <c r="J45" s="1129">
        <v>0</v>
      </c>
      <c r="K45" s="1136">
        <v>0</v>
      </c>
      <c r="L45" s="1129">
        <v>0</v>
      </c>
      <c r="M45" s="1136">
        <v>0</v>
      </c>
      <c r="N45" s="1129">
        <v>0</v>
      </c>
      <c r="O45" s="1129">
        <v>0</v>
      </c>
      <c r="P45" s="1129">
        <v>0</v>
      </c>
      <c r="Q45" s="1129">
        <v>0</v>
      </c>
      <c r="R45" s="1129">
        <v>0</v>
      </c>
      <c r="S45" s="1129">
        <v>0</v>
      </c>
      <c r="T45" s="1129">
        <v>0</v>
      </c>
      <c r="U45" s="1129">
        <v>0</v>
      </c>
      <c r="V45" s="1129">
        <v>0</v>
      </c>
      <c r="W45" s="1129">
        <v>0</v>
      </c>
      <c r="X45" s="1129">
        <v>56065</v>
      </c>
      <c r="Y45" s="1129">
        <v>0</v>
      </c>
    </row>
    <row r="46" spans="1:25" s="1141" customFormat="1" ht="65.45" customHeight="1">
      <c r="A46" s="1138">
        <v>36</v>
      </c>
      <c r="B46" s="1139" t="s">
        <v>1461</v>
      </c>
      <c r="C46" s="1129">
        <f t="shared" si="4"/>
        <v>3642204</v>
      </c>
      <c r="D46" s="1129">
        <f t="shared" si="5"/>
        <v>0</v>
      </c>
      <c r="E46" s="1129">
        <v>0</v>
      </c>
      <c r="F46" s="1129">
        <v>0</v>
      </c>
      <c r="G46" s="1129">
        <v>0</v>
      </c>
      <c r="H46" s="1129">
        <v>0</v>
      </c>
      <c r="I46" s="1129">
        <v>0</v>
      </c>
      <c r="J46" s="1129">
        <v>0</v>
      </c>
      <c r="K46" s="1136">
        <v>0</v>
      </c>
      <c r="L46" s="1129">
        <v>0</v>
      </c>
      <c r="M46" s="1136">
        <v>0</v>
      </c>
      <c r="N46" s="1129">
        <v>0</v>
      </c>
      <c r="O46" s="1129">
        <v>913</v>
      </c>
      <c r="P46" s="1140">
        <v>3377653</v>
      </c>
      <c r="Q46" s="1129">
        <v>0</v>
      </c>
      <c r="R46" s="1129">
        <v>0</v>
      </c>
      <c r="S46" s="1129">
        <v>0</v>
      </c>
      <c r="T46" s="1129">
        <v>0</v>
      </c>
      <c r="U46" s="1129">
        <v>0</v>
      </c>
      <c r="V46" s="1129">
        <v>0</v>
      </c>
      <c r="W46" s="1129">
        <v>0</v>
      </c>
      <c r="X46" s="1129">
        <v>264551</v>
      </c>
      <c r="Y46" s="1129">
        <v>0</v>
      </c>
    </row>
    <row r="47" spans="1:25" s="1141" customFormat="1" ht="63" customHeight="1">
      <c r="A47" s="1138">
        <v>37</v>
      </c>
      <c r="B47" s="1139" t="s">
        <v>1462</v>
      </c>
      <c r="C47" s="1129">
        <f t="shared" si="4"/>
        <v>4169204</v>
      </c>
      <c r="D47" s="1129">
        <f t="shared" si="5"/>
        <v>3866375</v>
      </c>
      <c r="E47" s="1140">
        <v>3866375</v>
      </c>
      <c r="F47" s="1129">
        <v>0</v>
      </c>
      <c r="G47" s="1129">
        <v>0</v>
      </c>
      <c r="H47" s="1129">
        <v>0</v>
      </c>
      <c r="I47" s="1129">
        <v>0</v>
      </c>
      <c r="J47" s="1129">
        <v>0</v>
      </c>
      <c r="K47" s="1136">
        <v>0</v>
      </c>
      <c r="L47" s="1129">
        <v>0</v>
      </c>
      <c r="M47" s="1136">
        <v>0</v>
      </c>
      <c r="N47" s="1129">
        <v>0</v>
      </c>
      <c r="O47" s="1129">
        <v>0</v>
      </c>
      <c r="P47" s="1129">
        <v>0</v>
      </c>
      <c r="Q47" s="1129">
        <v>0</v>
      </c>
      <c r="R47" s="1129">
        <v>0</v>
      </c>
      <c r="S47" s="1129">
        <v>0</v>
      </c>
      <c r="T47" s="1129">
        <v>0</v>
      </c>
      <c r="U47" s="1129">
        <v>0</v>
      </c>
      <c r="V47" s="1129">
        <v>0</v>
      </c>
      <c r="W47" s="1129">
        <v>0</v>
      </c>
      <c r="X47" s="1129">
        <v>302829</v>
      </c>
      <c r="Y47" s="1129">
        <v>0</v>
      </c>
    </row>
    <row r="48" spans="1:25" s="1141" customFormat="1" ht="61.9" customHeight="1">
      <c r="A48" s="1138">
        <v>38</v>
      </c>
      <c r="B48" s="1139" t="s">
        <v>1463</v>
      </c>
      <c r="C48" s="1129">
        <f t="shared" si="4"/>
        <v>2841648</v>
      </c>
      <c r="D48" s="1129">
        <f t="shared" si="5"/>
        <v>2635245</v>
      </c>
      <c r="E48" s="1140">
        <v>2635245</v>
      </c>
      <c r="F48" s="1129">
        <v>0</v>
      </c>
      <c r="G48" s="1129">
        <v>0</v>
      </c>
      <c r="H48" s="1129">
        <v>0</v>
      </c>
      <c r="I48" s="1129">
        <v>0</v>
      </c>
      <c r="J48" s="1129">
        <v>0</v>
      </c>
      <c r="K48" s="1136">
        <v>0</v>
      </c>
      <c r="L48" s="1129">
        <v>0</v>
      </c>
      <c r="M48" s="1136">
        <v>0</v>
      </c>
      <c r="N48" s="1129">
        <v>0</v>
      </c>
      <c r="O48" s="1129">
        <v>0</v>
      </c>
      <c r="P48" s="1129">
        <v>0</v>
      </c>
      <c r="Q48" s="1129">
        <v>0</v>
      </c>
      <c r="R48" s="1129">
        <v>0</v>
      </c>
      <c r="S48" s="1129">
        <v>0</v>
      </c>
      <c r="T48" s="1129">
        <v>0</v>
      </c>
      <c r="U48" s="1129">
        <v>0</v>
      </c>
      <c r="V48" s="1129">
        <v>0</v>
      </c>
      <c r="W48" s="1129">
        <v>0</v>
      </c>
      <c r="X48" s="1129">
        <v>206403</v>
      </c>
      <c r="Y48" s="1129">
        <v>0</v>
      </c>
    </row>
    <row r="49" spans="1:25" s="1141" customFormat="1" ht="59.45" customHeight="1">
      <c r="A49" s="1138">
        <v>39</v>
      </c>
      <c r="B49" s="1139" t="s">
        <v>1464</v>
      </c>
      <c r="C49" s="1129">
        <f t="shared" si="4"/>
        <v>1499848</v>
      </c>
      <c r="D49" s="1129">
        <f t="shared" si="5"/>
        <v>1390907</v>
      </c>
      <c r="E49" s="1129">
        <v>0</v>
      </c>
      <c r="F49" s="1129">
        <v>0</v>
      </c>
      <c r="G49" s="1129">
        <v>0</v>
      </c>
      <c r="H49" s="1129">
        <v>0</v>
      </c>
      <c r="I49" s="1129">
        <v>0</v>
      </c>
      <c r="J49" s="1140">
        <v>1390907</v>
      </c>
      <c r="K49" s="1136">
        <v>0</v>
      </c>
      <c r="L49" s="1129">
        <v>0</v>
      </c>
      <c r="M49" s="1136">
        <v>0</v>
      </c>
      <c r="N49" s="1129">
        <v>0</v>
      </c>
      <c r="O49" s="1129">
        <v>0</v>
      </c>
      <c r="P49" s="1129">
        <v>0</v>
      </c>
      <c r="Q49" s="1129">
        <v>0</v>
      </c>
      <c r="R49" s="1129">
        <v>0</v>
      </c>
      <c r="S49" s="1129">
        <v>0</v>
      </c>
      <c r="T49" s="1129">
        <v>0</v>
      </c>
      <c r="U49" s="1129">
        <v>0</v>
      </c>
      <c r="V49" s="1129">
        <v>0</v>
      </c>
      <c r="W49" s="1129">
        <v>0</v>
      </c>
      <c r="X49" s="1129">
        <v>108941</v>
      </c>
      <c r="Y49" s="1129">
        <v>0</v>
      </c>
    </row>
    <row r="50" spans="1:25" s="1137" customFormat="1" ht="65.45" customHeight="1">
      <c r="A50" s="1138">
        <v>40</v>
      </c>
      <c r="B50" s="1139" t="s">
        <v>224</v>
      </c>
      <c r="C50" s="1129">
        <f t="shared" si="4"/>
        <v>4803022</v>
      </c>
      <c r="D50" s="1129">
        <f t="shared" si="5"/>
        <v>0</v>
      </c>
      <c r="E50" s="1129">
        <v>0</v>
      </c>
      <c r="F50" s="1129">
        <v>0</v>
      </c>
      <c r="G50" s="1129">
        <v>0</v>
      </c>
      <c r="H50" s="1129">
        <v>0</v>
      </c>
      <c r="I50" s="1129">
        <v>0</v>
      </c>
      <c r="J50" s="1129">
        <v>0</v>
      </c>
      <c r="K50" s="1136">
        <v>0</v>
      </c>
      <c r="L50" s="1129">
        <v>0</v>
      </c>
      <c r="M50" s="1136">
        <v>0</v>
      </c>
      <c r="N50" s="1129">
        <v>0</v>
      </c>
      <c r="O50" s="1129">
        <v>1419.08</v>
      </c>
      <c r="P50" s="1140">
        <v>4454155</v>
      </c>
      <c r="Q50" s="1129">
        <v>0</v>
      </c>
      <c r="R50" s="1129">
        <v>0</v>
      </c>
      <c r="S50" s="1129">
        <v>0</v>
      </c>
      <c r="T50" s="1129">
        <v>0</v>
      </c>
      <c r="U50" s="1129">
        <v>0</v>
      </c>
      <c r="V50" s="1129">
        <v>0</v>
      </c>
      <c r="W50" s="1129">
        <v>0</v>
      </c>
      <c r="X50" s="1129">
        <v>348867</v>
      </c>
      <c r="Y50" s="1129">
        <v>0</v>
      </c>
    </row>
    <row r="51" spans="1:25" s="1137" customFormat="1" ht="90" customHeight="1">
      <c r="A51" s="1138">
        <v>41</v>
      </c>
      <c r="B51" s="1128" t="s">
        <v>1821</v>
      </c>
      <c r="C51" s="1129">
        <f t="shared" si="4"/>
        <v>2546736</v>
      </c>
      <c r="D51" s="1129">
        <f t="shared" si="5"/>
        <v>468107</v>
      </c>
      <c r="E51" s="1140">
        <v>468107</v>
      </c>
      <c r="F51" s="1129">
        <v>0</v>
      </c>
      <c r="G51" s="1129">
        <v>0</v>
      </c>
      <c r="H51" s="1129">
        <v>0</v>
      </c>
      <c r="I51" s="1129">
        <v>0</v>
      </c>
      <c r="J51" s="1129">
        <v>0</v>
      </c>
      <c r="K51" s="1136">
        <v>0</v>
      </c>
      <c r="L51" s="1129">
        <v>0</v>
      </c>
      <c r="M51" s="1136">
        <v>0</v>
      </c>
      <c r="N51" s="1129">
        <v>0</v>
      </c>
      <c r="O51" s="1129">
        <v>603.30999999999995</v>
      </c>
      <c r="P51" s="1140">
        <v>1893647</v>
      </c>
      <c r="Q51" s="1129">
        <v>0</v>
      </c>
      <c r="R51" s="1129">
        <v>0</v>
      </c>
      <c r="S51" s="1129">
        <v>0</v>
      </c>
      <c r="T51" s="1129">
        <v>0</v>
      </c>
      <c r="U51" s="1129">
        <v>0</v>
      </c>
      <c r="V51" s="1129">
        <v>0</v>
      </c>
      <c r="W51" s="1129">
        <v>0</v>
      </c>
      <c r="X51" s="1129">
        <v>184982</v>
      </c>
      <c r="Y51" s="1129">
        <v>0</v>
      </c>
    </row>
    <row r="52" spans="1:25" s="1137" customFormat="1" ht="76.150000000000006" customHeight="1">
      <c r="A52" s="1138">
        <v>42</v>
      </c>
      <c r="B52" s="1139" t="s">
        <v>1466</v>
      </c>
      <c r="C52" s="1129">
        <f t="shared" si="4"/>
        <v>22225426</v>
      </c>
      <c r="D52" s="1129">
        <f t="shared" si="5"/>
        <v>0</v>
      </c>
      <c r="E52" s="1129">
        <v>0</v>
      </c>
      <c r="F52" s="1129">
        <v>0</v>
      </c>
      <c r="G52" s="1129">
        <v>0</v>
      </c>
      <c r="H52" s="1129">
        <v>0</v>
      </c>
      <c r="I52" s="1129">
        <v>0</v>
      </c>
      <c r="J52" s="1129">
        <v>0</v>
      </c>
      <c r="K52" s="1136">
        <v>0</v>
      </c>
      <c r="L52" s="1129">
        <v>0</v>
      </c>
      <c r="M52" s="1136">
        <v>0</v>
      </c>
      <c r="N52" s="1129">
        <v>0</v>
      </c>
      <c r="O52" s="1129">
        <v>4550</v>
      </c>
      <c r="P52" s="1140">
        <v>20611086</v>
      </c>
      <c r="Q52" s="1129">
        <v>0</v>
      </c>
      <c r="R52" s="1129">
        <v>0</v>
      </c>
      <c r="S52" s="1129">
        <v>0</v>
      </c>
      <c r="T52" s="1129">
        <v>0</v>
      </c>
      <c r="U52" s="1129">
        <v>0</v>
      </c>
      <c r="V52" s="1129">
        <v>0</v>
      </c>
      <c r="W52" s="1129">
        <v>0</v>
      </c>
      <c r="X52" s="1129">
        <v>1614340</v>
      </c>
      <c r="Y52" s="1129">
        <v>0</v>
      </c>
    </row>
    <row r="53" spans="1:25" s="1137" customFormat="1" ht="84" customHeight="1">
      <c r="A53" s="1138">
        <v>43</v>
      </c>
      <c r="B53" s="1139" t="s">
        <v>1822</v>
      </c>
      <c r="C53" s="1129">
        <f t="shared" si="4"/>
        <v>1661291</v>
      </c>
      <c r="D53" s="1129">
        <f t="shared" si="5"/>
        <v>0</v>
      </c>
      <c r="E53" s="1129">
        <v>0</v>
      </c>
      <c r="F53" s="1129">
        <v>0</v>
      </c>
      <c r="G53" s="1129">
        <v>0</v>
      </c>
      <c r="H53" s="1129">
        <v>0</v>
      </c>
      <c r="I53" s="1129">
        <v>0</v>
      </c>
      <c r="J53" s="1129">
        <v>0</v>
      </c>
      <c r="K53" s="1136">
        <v>0</v>
      </c>
      <c r="L53" s="1129">
        <v>0</v>
      </c>
      <c r="M53" s="1136">
        <v>0</v>
      </c>
      <c r="N53" s="1129">
        <v>0</v>
      </c>
      <c r="O53" s="1129">
        <v>340.1</v>
      </c>
      <c r="P53" s="1140">
        <v>1540623</v>
      </c>
      <c r="Q53" s="1129">
        <v>0</v>
      </c>
      <c r="R53" s="1129">
        <v>0</v>
      </c>
      <c r="S53" s="1129">
        <v>0</v>
      </c>
      <c r="T53" s="1129">
        <v>0</v>
      </c>
      <c r="U53" s="1129">
        <v>0</v>
      </c>
      <c r="V53" s="1129">
        <v>0</v>
      </c>
      <c r="W53" s="1129">
        <v>0</v>
      </c>
      <c r="X53" s="1129">
        <v>120668</v>
      </c>
      <c r="Y53" s="1129">
        <v>0</v>
      </c>
    </row>
    <row r="54" spans="1:25" s="1137" customFormat="1" ht="84" customHeight="1">
      <c r="A54" s="1138">
        <v>44</v>
      </c>
      <c r="B54" s="1139" t="s">
        <v>3000</v>
      </c>
      <c r="C54" s="1129">
        <f t="shared" si="4"/>
        <v>1168532</v>
      </c>
      <c r="D54" s="1129">
        <f t="shared" si="5"/>
        <v>1083656</v>
      </c>
      <c r="E54" s="1129">
        <v>0</v>
      </c>
      <c r="F54" s="1129">
        <v>0</v>
      </c>
      <c r="G54" s="1129">
        <v>0</v>
      </c>
      <c r="H54" s="1140">
        <v>541828</v>
      </c>
      <c r="I54" s="1140">
        <v>541828</v>
      </c>
      <c r="J54" s="1129">
        <v>0</v>
      </c>
      <c r="K54" s="1136">
        <v>0</v>
      </c>
      <c r="L54" s="1129">
        <v>0</v>
      </c>
      <c r="M54" s="1136">
        <v>0</v>
      </c>
      <c r="N54" s="1129">
        <v>0</v>
      </c>
      <c r="O54" s="1129">
        <v>0</v>
      </c>
      <c r="P54" s="1129">
        <v>0</v>
      </c>
      <c r="Q54" s="1129">
        <v>0</v>
      </c>
      <c r="R54" s="1129">
        <v>0</v>
      </c>
      <c r="S54" s="1129">
        <v>0</v>
      </c>
      <c r="T54" s="1129">
        <v>0</v>
      </c>
      <c r="U54" s="1129">
        <v>0</v>
      </c>
      <c r="V54" s="1129">
        <v>0</v>
      </c>
      <c r="W54" s="1129">
        <v>0</v>
      </c>
      <c r="X54" s="1129">
        <v>84876</v>
      </c>
      <c r="Y54" s="1129">
        <v>0</v>
      </c>
    </row>
    <row r="55" spans="1:25" s="1137" customFormat="1" ht="86.45" customHeight="1">
      <c r="A55" s="1138">
        <v>45</v>
      </c>
      <c r="B55" s="1139" t="s">
        <v>1823</v>
      </c>
      <c r="C55" s="1129">
        <f t="shared" si="4"/>
        <v>15853359</v>
      </c>
      <c r="D55" s="1129">
        <f t="shared" si="5"/>
        <v>14701853</v>
      </c>
      <c r="E55" s="1129">
        <v>0</v>
      </c>
      <c r="F55" s="1129">
        <v>0</v>
      </c>
      <c r="G55" s="1129">
        <v>0</v>
      </c>
      <c r="H55" s="1140">
        <v>9006638</v>
      </c>
      <c r="I55" s="1129">
        <v>0</v>
      </c>
      <c r="J55" s="1140">
        <v>5695215</v>
      </c>
      <c r="K55" s="1136">
        <v>0</v>
      </c>
      <c r="L55" s="1129">
        <v>0</v>
      </c>
      <c r="M55" s="1136">
        <v>0</v>
      </c>
      <c r="N55" s="1129">
        <v>0</v>
      </c>
      <c r="O55" s="1129">
        <v>0</v>
      </c>
      <c r="P55" s="1129">
        <v>0</v>
      </c>
      <c r="Q55" s="1129">
        <v>0</v>
      </c>
      <c r="R55" s="1129">
        <v>0</v>
      </c>
      <c r="S55" s="1129">
        <v>0</v>
      </c>
      <c r="T55" s="1129">
        <v>0</v>
      </c>
      <c r="U55" s="1129">
        <v>0</v>
      </c>
      <c r="V55" s="1129">
        <v>0</v>
      </c>
      <c r="W55" s="1129">
        <v>0</v>
      </c>
      <c r="X55" s="1129">
        <v>1151506</v>
      </c>
      <c r="Y55" s="1129">
        <v>0</v>
      </c>
    </row>
    <row r="56" spans="1:25" s="1143" customFormat="1" ht="66.599999999999994" customHeight="1">
      <c r="A56" s="1138">
        <v>46</v>
      </c>
      <c r="B56" s="1139" t="s">
        <v>1470</v>
      </c>
      <c r="C56" s="1129">
        <f t="shared" si="4"/>
        <v>2165572</v>
      </c>
      <c r="D56" s="1129">
        <f t="shared" si="5"/>
        <v>0</v>
      </c>
      <c r="E56" s="1129">
        <v>0</v>
      </c>
      <c r="F56" s="1129">
        <v>0</v>
      </c>
      <c r="G56" s="1129">
        <v>0</v>
      </c>
      <c r="H56" s="1129">
        <v>0</v>
      </c>
      <c r="I56" s="1129">
        <v>0</v>
      </c>
      <c r="J56" s="1129">
        <v>0</v>
      </c>
      <c r="K56" s="1136">
        <v>0</v>
      </c>
      <c r="L56" s="1129">
        <v>0</v>
      </c>
      <c r="M56" s="1136">
        <v>0</v>
      </c>
      <c r="N56" s="1129">
        <v>0</v>
      </c>
      <c r="O56" s="1129">
        <v>797</v>
      </c>
      <c r="P56" s="1140">
        <v>2008276</v>
      </c>
      <c r="Q56" s="1129">
        <v>0</v>
      </c>
      <c r="R56" s="1129">
        <v>0</v>
      </c>
      <c r="S56" s="1129">
        <v>0</v>
      </c>
      <c r="T56" s="1129">
        <v>0</v>
      </c>
      <c r="U56" s="1129">
        <v>0</v>
      </c>
      <c r="V56" s="1129">
        <v>0</v>
      </c>
      <c r="W56" s="1129">
        <v>0</v>
      </c>
      <c r="X56" s="1129">
        <v>157296</v>
      </c>
      <c r="Y56" s="1129">
        <v>0</v>
      </c>
    </row>
    <row r="57" spans="1:25" s="1143" customFormat="1" ht="71.45" customHeight="1">
      <c r="A57" s="1138">
        <v>47</v>
      </c>
      <c r="B57" s="1139" t="s">
        <v>1471</v>
      </c>
      <c r="C57" s="1129">
        <f t="shared" si="4"/>
        <v>718972</v>
      </c>
      <c r="D57" s="1129">
        <f t="shared" si="5"/>
        <v>666749</v>
      </c>
      <c r="E57" s="1140">
        <v>384210</v>
      </c>
      <c r="F57" s="1129">
        <v>0</v>
      </c>
      <c r="G57" s="1129">
        <v>0</v>
      </c>
      <c r="H57" s="1129">
        <v>0</v>
      </c>
      <c r="I57" s="1129">
        <v>0</v>
      </c>
      <c r="J57" s="1140">
        <v>282539</v>
      </c>
      <c r="K57" s="1136">
        <v>0</v>
      </c>
      <c r="L57" s="1129">
        <v>0</v>
      </c>
      <c r="M57" s="1136">
        <v>0</v>
      </c>
      <c r="N57" s="1129">
        <v>0</v>
      </c>
      <c r="O57" s="1129">
        <v>0</v>
      </c>
      <c r="P57" s="1129">
        <v>0</v>
      </c>
      <c r="Q57" s="1129">
        <v>0</v>
      </c>
      <c r="R57" s="1129">
        <v>0</v>
      </c>
      <c r="S57" s="1129">
        <v>0</v>
      </c>
      <c r="T57" s="1129">
        <v>0</v>
      </c>
      <c r="U57" s="1129">
        <v>0</v>
      </c>
      <c r="V57" s="1129">
        <v>0</v>
      </c>
      <c r="W57" s="1129">
        <v>0</v>
      </c>
      <c r="X57" s="1129">
        <v>52223</v>
      </c>
      <c r="Y57" s="1129">
        <v>0</v>
      </c>
    </row>
    <row r="58" spans="1:25" s="1143" customFormat="1" ht="88.9" customHeight="1">
      <c r="A58" s="1138">
        <v>48</v>
      </c>
      <c r="B58" s="1139" t="s">
        <v>2316</v>
      </c>
      <c r="C58" s="1129">
        <f t="shared" si="4"/>
        <v>2538452</v>
      </c>
      <c r="D58" s="1129">
        <f t="shared" si="5"/>
        <v>0</v>
      </c>
      <c r="E58" s="1129">
        <v>0</v>
      </c>
      <c r="F58" s="1129">
        <v>0</v>
      </c>
      <c r="G58" s="1129">
        <v>0</v>
      </c>
      <c r="H58" s="1129">
        <v>0</v>
      </c>
      <c r="I58" s="1129">
        <v>0</v>
      </c>
      <c r="J58" s="1129">
        <v>0</v>
      </c>
      <c r="K58" s="1136">
        <v>0</v>
      </c>
      <c r="L58" s="1129">
        <v>0</v>
      </c>
      <c r="M58" s="1136">
        <v>0</v>
      </c>
      <c r="N58" s="1129">
        <v>0</v>
      </c>
      <c r="O58" s="1129">
        <v>750</v>
      </c>
      <c r="P58" s="1140">
        <v>2354072</v>
      </c>
      <c r="Q58" s="1129">
        <v>0</v>
      </c>
      <c r="R58" s="1129">
        <v>0</v>
      </c>
      <c r="S58" s="1129">
        <v>0</v>
      </c>
      <c r="T58" s="1129">
        <v>0</v>
      </c>
      <c r="U58" s="1129">
        <v>0</v>
      </c>
      <c r="V58" s="1129">
        <v>0</v>
      </c>
      <c r="W58" s="1129">
        <v>0</v>
      </c>
      <c r="X58" s="1129">
        <v>184380</v>
      </c>
      <c r="Y58" s="1129">
        <v>0</v>
      </c>
    </row>
    <row r="59" spans="1:25" s="1143" customFormat="1" ht="70.150000000000006" customHeight="1">
      <c r="A59" s="1138">
        <v>49</v>
      </c>
      <c r="B59" s="1139" t="s">
        <v>235</v>
      </c>
      <c r="C59" s="1129">
        <f t="shared" si="4"/>
        <v>814934</v>
      </c>
      <c r="D59" s="1129">
        <f t="shared" si="5"/>
        <v>755741</v>
      </c>
      <c r="E59" s="1129">
        <v>0</v>
      </c>
      <c r="F59" s="1140">
        <v>544390</v>
      </c>
      <c r="G59" s="1129">
        <v>0</v>
      </c>
      <c r="H59" s="1129">
        <v>0</v>
      </c>
      <c r="I59" s="1129">
        <v>0</v>
      </c>
      <c r="J59" s="1140">
        <v>211351</v>
      </c>
      <c r="K59" s="1136">
        <v>0</v>
      </c>
      <c r="L59" s="1129">
        <v>0</v>
      </c>
      <c r="M59" s="1136">
        <v>0</v>
      </c>
      <c r="N59" s="1129">
        <v>0</v>
      </c>
      <c r="O59" s="1129">
        <v>0</v>
      </c>
      <c r="P59" s="1129">
        <v>0</v>
      </c>
      <c r="Q59" s="1129">
        <v>0</v>
      </c>
      <c r="R59" s="1129">
        <v>0</v>
      </c>
      <c r="S59" s="1129">
        <v>0</v>
      </c>
      <c r="T59" s="1129">
        <v>0</v>
      </c>
      <c r="U59" s="1129">
        <v>0</v>
      </c>
      <c r="V59" s="1129">
        <v>0</v>
      </c>
      <c r="W59" s="1129">
        <v>0</v>
      </c>
      <c r="X59" s="1129">
        <v>59193</v>
      </c>
      <c r="Y59" s="1129">
        <v>0</v>
      </c>
    </row>
    <row r="60" spans="1:25" s="1143" customFormat="1" ht="92.25" customHeight="1">
      <c r="A60" s="1138">
        <v>50</v>
      </c>
      <c r="B60" s="1139" t="s">
        <v>2566</v>
      </c>
      <c r="C60" s="1129">
        <f t="shared" si="4"/>
        <v>495540</v>
      </c>
      <c r="D60" s="1129">
        <f t="shared" si="5"/>
        <v>191554</v>
      </c>
      <c r="E60" s="1129">
        <v>0</v>
      </c>
      <c r="F60" s="1129">
        <v>0</v>
      </c>
      <c r="G60" s="1129">
        <v>0</v>
      </c>
      <c r="H60" s="1140">
        <v>191554</v>
      </c>
      <c r="I60" s="1129">
        <v>0</v>
      </c>
      <c r="J60" s="1129">
        <v>0</v>
      </c>
      <c r="K60" s="1136">
        <v>0</v>
      </c>
      <c r="L60" s="1129">
        <v>0</v>
      </c>
      <c r="M60" s="1136">
        <v>0</v>
      </c>
      <c r="N60" s="1129">
        <v>0</v>
      </c>
      <c r="O60" s="1129">
        <v>0</v>
      </c>
      <c r="P60" s="1129">
        <v>0</v>
      </c>
      <c r="Q60" s="1129">
        <v>0</v>
      </c>
      <c r="R60" s="1129">
        <v>0</v>
      </c>
      <c r="S60" s="1129">
        <v>108.6</v>
      </c>
      <c r="T60" s="1140">
        <v>267993</v>
      </c>
      <c r="U60" s="1129">
        <v>0</v>
      </c>
      <c r="V60" s="1129">
        <v>0</v>
      </c>
      <c r="W60" s="1129">
        <v>0</v>
      </c>
      <c r="X60" s="1129">
        <v>35993</v>
      </c>
      <c r="Y60" s="1129">
        <v>0</v>
      </c>
    </row>
    <row r="61" spans="1:25" s="1143" customFormat="1" ht="85.9" customHeight="1">
      <c r="A61" s="1138">
        <v>51</v>
      </c>
      <c r="B61" s="1139" t="s">
        <v>1474</v>
      </c>
      <c r="C61" s="1129">
        <f t="shared" si="4"/>
        <v>2581108</v>
      </c>
      <c r="D61" s="1129">
        <f t="shared" si="5"/>
        <v>2393630</v>
      </c>
      <c r="E61" s="1140">
        <v>2393630</v>
      </c>
      <c r="F61" s="1129">
        <v>0</v>
      </c>
      <c r="G61" s="1129">
        <v>0</v>
      </c>
      <c r="H61" s="1129">
        <v>0</v>
      </c>
      <c r="I61" s="1129">
        <v>0</v>
      </c>
      <c r="J61" s="1129">
        <v>0</v>
      </c>
      <c r="K61" s="1136">
        <v>0</v>
      </c>
      <c r="L61" s="1129">
        <v>0</v>
      </c>
      <c r="M61" s="1136">
        <v>0</v>
      </c>
      <c r="N61" s="1129">
        <v>0</v>
      </c>
      <c r="O61" s="1129">
        <v>0</v>
      </c>
      <c r="P61" s="1129">
        <v>0</v>
      </c>
      <c r="Q61" s="1129">
        <v>0</v>
      </c>
      <c r="R61" s="1129">
        <v>0</v>
      </c>
      <c r="S61" s="1129">
        <v>0</v>
      </c>
      <c r="T61" s="1129">
        <v>0</v>
      </c>
      <c r="U61" s="1129">
        <v>0</v>
      </c>
      <c r="V61" s="1129">
        <v>0</v>
      </c>
      <c r="W61" s="1129">
        <v>0</v>
      </c>
      <c r="X61" s="1129">
        <v>187478</v>
      </c>
      <c r="Y61" s="1129">
        <v>0</v>
      </c>
    </row>
    <row r="62" spans="1:25" s="1143" customFormat="1" ht="77.45" customHeight="1">
      <c r="A62" s="1138">
        <v>52</v>
      </c>
      <c r="B62" s="1139" t="s">
        <v>1476</v>
      </c>
      <c r="C62" s="1129">
        <f t="shared" si="4"/>
        <v>16830648.670000002</v>
      </c>
      <c r="D62" s="1129">
        <f t="shared" si="5"/>
        <v>0</v>
      </c>
      <c r="E62" s="1129">
        <v>0</v>
      </c>
      <c r="F62" s="1129">
        <v>0</v>
      </c>
      <c r="G62" s="1129">
        <v>0</v>
      </c>
      <c r="H62" s="1129">
        <v>0</v>
      </c>
      <c r="I62" s="1129">
        <v>0</v>
      </c>
      <c r="J62" s="1129">
        <v>0</v>
      </c>
      <c r="K62" s="1136">
        <v>0</v>
      </c>
      <c r="L62" s="1129">
        <v>0</v>
      </c>
      <c r="M62" s="1136">
        <v>0</v>
      </c>
      <c r="N62" s="1129">
        <v>0</v>
      </c>
      <c r="O62" s="1129">
        <v>0</v>
      </c>
      <c r="P62" s="1129">
        <v>0</v>
      </c>
      <c r="Q62" s="1129">
        <v>0</v>
      </c>
      <c r="R62" s="1129">
        <v>0</v>
      </c>
      <c r="S62" s="1129">
        <v>1140</v>
      </c>
      <c r="T62" s="1140">
        <v>16402646.67</v>
      </c>
      <c r="U62" s="1129">
        <v>0</v>
      </c>
      <c r="V62" s="1129">
        <v>0</v>
      </c>
      <c r="W62" s="1129">
        <v>0</v>
      </c>
      <c r="X62" s="1129">
        <v>428002</v>
      </c>
      <c r="Y62" s="1129">
        <v>0</v>
      </c>
    </row>
    <row r="63" spans="1:25" s="1143" customFormat="1" ht="91.15" customHeight="1">
      <c r="A63" s="1138">
        <v>53</v>
      </c>
      <c r="B63" s="1139" t="s">
        <v>1824</v>
      </c>
      <c r="C63" s="1129">
        <f t="shared" si="4"/>
        <v>2869710</v>
      </c>
      <c r="D63" s="1129">
        <f t="shared" si="5"/>
        <v>0</v>
      </c>
      <c r="E63" s="1129">
        <v>0</v>
      </c>
      <c r="F63" s="1129">
        <v>0</v>
      </c>
      <c r="G63" s="1129">
        <v>0</v>
      </c>
      <c r="H63" s="1129">
        <v>0</v>
      </c>
      <c r="I63" s="1129">
        <v>0</v>
      </c>
      <c r="J63" s="1129">
        <v>0</v>
      </c>
      <c r="K63" s="1136">
        <v>0</v>
      </c>
      <c r="L63" s="1129">
        <v>0</v>
      </c>
      <c r="M63" s="1136">
        <v>0</v>
      </c>
      <c r="N63" s="1129">
        <v>0</v>
      </c>
      <c r="O63" s="1129">
        <v>0</v>
      </c>
      <c r="P63" s="1129">
        <v>0</v>
      </c>
      <c r="Q63" s="1129">
        <v>0</v>
      </c>
      <c r="R63" s="1129">
        <v>0</v>
      </c>
      <c r="S63" s="1129">
        <v>1078.44</v>
      </c>
      <c r="T63" s="1140">
        <v>2661269</v>
      </c>
      <c r="U63" s="1129">
        <v>0</v>
      </c>
      <c r="V63" s="1129">
        <v>0</v>
      </c>
      <c r="W63" s="1129">
        <v>0</v>
      </c>
      <c r="X63" s="1129">
        <v>208441</v>
      </c>
      <c r="Y63" s="1129">
        <v>0</v>
      </c>
    </row>
    <row r="64" spans="1:25" s="1143" customFormat="1" ht="77.45" customHeight="1">
      <c r="A64" s="1138">
        <v>54</v>
      </c>
      <c r="B64" s="1139" t="s">
        <v>305</v>
      </c>
      <c r="C64" s="1129">
        <f t="shared" si="4"/>
        <v>13361240</v>
      </c>
      <c r="D64" s="1129">
        <f t="shared" si="5"/>
        <v>0</v>
      </c>
      <c r="E64" s="1129">
        <v>0</v>
      </c>
      <c r="F64" s="1129">
        <v>0</v>
      </c>
      <c r="G64" s="1129">
        <v>0</v>
      </c>
      <c r="H64" s="1129">
        <v>0</v>
      </c>
      <c r="I64" s="1129">
        <v>0</v>
      </c>
      <c r="J64" s="1129">
        <v>0</v>
      </c>
      <c r="K64" s="1136">
        <v>0</v>
      </c>
      <c r="L64" s="1129">
        <v>0</v>
      </c>
      <c r="M64" s="1136">
        <v>0</v>
      </c>
      <c r="N64" s="1129">
        <v>0</v>
      </c>
      <c r="O64" s="1129">
        <v>0</v>
      </c>
      <c r="P64" s="1129">
        <v>0</v>
      </c>
      <c r="Q64" s="1129">
        <v>0</v>
      </c>
      <c r="R64" s="1129">
        <v>0</v>
      </c>
      <c r="S64" s="1129">
        <v>2440</v>
      </c>
      <c r="T64" s="1140">
        <v>12207429</v>
      </c>
      <c r="U64" s="1129">
        <v>0</v>
      </c>
      <c r="V64" s="1129">
        <v>0</v>
      </c>
      <c r="W64" s="1129">
        <v>0</v>
      </c>
      <c r="X64" s="1129">
        <v>1153811</v>
      </c>
      <c r="Y64" s="1129">
        <v>0</v>
      </c>
    </row>
    <row r="65" spans="1:25" s="1143" customFormat="1" ht="93.6" customHeight="1">
      <c r="A65" s="1138">
        <v>55</v>
      </c>
      <c r="B65" s="1139" t="s">
        <v>3001</v>
      </c>
      <c r="C65" s="1129">
        <f t="shared" si="4"/>
        <v>5133035</v>
      </c>
      <c r="D65" s="1129">
        <f t="shared" si="5"/>
        <v>0</v>
      </c>
      <c r="E65" s="1129">
        <v>0</v>
      </c>
      <c r="F65" s="1129">
        <v>0</v>
      </c>
      <c r="G65" s="1129">
        <v>0</v>
      </c>
      <c r="H65" s="1129">
        <v>0</v>
      </c>
      <c r="I65" s="1129">
        <v>0</v>
      </c>
      <c r="J65" s="1129">
        <v>0</v>
      </c>
      <c r="K65" s="1136">
        <v>0</v>
      </c>
      <c r="L65" s="1129">
        <v>0</v>
      </c>
      <c r="M65" s="1136">
        <v>0</v>
      </c>
      <c r="N65" s="1129">
        <v>0</v>
      </c>
      <c r="O65" s="1129">
        <v>0</v>
      </c>
      <c r="P65" s="1129">
        <v>0</v>
      </c>
      <c r="Q65" s="1129">
        <v>0</v>
      </c>
      <c r="R65" s="1129">
        <v>0</v>
      </c>
      <c r="S65" s="1129">
        <v>1929</v>
      </c>
      <c r="T65" s="1140">
        <v>4760198</v>
      </c>
      <c r="U65" s="1129">
        <v>0</v>
      </c>
      <c r="V65" s="1129">
        <v>0</v>
      </c>
      <c r="W65" s="1129">
        <v>0</v>
      </c>
      <c r="X65" s="1129">
        <v>372837</v>
      </c>
      <c r="Y65" s="1129">
        <v>0</v>
      </c>
    </row>
    <row r="66" spans="1:25" s="1143" customFormat="1" ht="87.6" customHeight="1">
      <c r="A66" s="1138">
        <v>56</v>
      </c>
      <c r="B66" s="1139" t="s">
        <v>1825</v>
      </c>
      <c r="C66" s="1129">
        <f t="shared" si="4"/>
        <v>3697990</v>
      </c>
      <c r="D66" s="1129">
        <f t="shared" si="5"/>
        <v>3429388</v>
      </c>
      <c r="E66" s="1129">
        <v>0</v>
      </c>
      <c r="F66" s="1129">
        <v>0</v>
      </c>
      <c r="G66" s="1129">
        <v>0</v>
      </c>
      <c r="H66" s="1140">
        <v>1714694</v>
      </c>
      <c r="I66" s="1140">
        <v>1714694</v>
      </c>
      <c r="J66" s="1129">
        <v>0</v>
      </c>
      <c r="K66" s="1136">
        <v>0</v>
      </c>
      <c r="L66" s="1129">
        <v>0</v>
      </c>
      <c r="M66" s="1136">
        <v>0</v>
      </c>
      <c r="N66" s="1129">
        <v>0</v>
      </c>
      <c r="O66" s="1129">
        <v>0</v>
      </c>
      <c r="P66" s="1129">
        <v>0</v>
      </c>
      <c r="Q66" s="1129">
        <v>0</v>
      </c>
      <c r="R66" s="1129">
        <v>0</v>
      </c>
      <c r="S66" s="1129">
        <v>0</v>
      </c>
      <c r="T66" s="1129">
        <v>0</v>
      </c>
      <c r="U66" s="1129">
        <v>0</v>
      </c>
      <c r="V66" s="1129">
        <v>0</v>
      </c>
      <c r="W66" s="1129">
        <v>0</v>
      </c>
      <c r="X66" s="1129">
        <v>268602</v>
      </c>
      <c r="Y66" s="1129">
        <v>0</v>
      </c>
    </row>
    <row r="67" spans="1:25" s="1143" customFormat="1" ht="71.25" customHeight="1">
      <c r="A67" s="1138">
        <v>57</v>
      </c>
      <c r="B67" s="1139" t="s">
        <v>2204</v>
      </c>
      <c r="C67" s="1129">
        <f t="shared" si="4"/>
        <v>3744342</v>
      </c>
      <c r="D67" s="1129">
        <f t="shared" si="5"/>
        <v>3472372</v>
      </c>
      <c r="E67" s="1129">
        <v>0</v>
      </c>
      <c r="F67" s="1129">
        <v>0</v>
      </c>
      <c r="G67" s="1129">
        <v>0</v>
      </c>
      <c r="H67" s="1140">
        <v>1736186</v>
      </c>
      <c r="I67" s="1140">
        <v>1736186</v>
      </c>
      <c r="J67" s="1129">
        <v>0</v>
      </c>
      <c r="K67" s="1136">
        <v>0</v>
      </c>
      <c r="L67" s="1129">
        <v>0</v>
      </c>
      <c r="M67" s="1136">
        <v>0</v>
      </c>
      <c r="N67" s="1129">
        <v>0</v>
      </c>
      <c r="O67" s="1129">
        <v>0</v>
      </c>
      <c r="P67" s="1129">
        <v>0</v>
      </c>
      <c r="Q67" s="1129">
        <v>0</v>
      </c>
      <c r="R67" s="1129">
        <v>0</v>
      </c>
      <c r="S67" s="1129">
        <v>0</v>
      </c>
      <c r="T67" s="1129">
        <v>0</v>
      </c>
      <c r="U67" s="1129">
        <v>0</v>
      </c>
      <c r="V67" s="1129">
        <v>0</v>
      </c>
      <c r="W67" s="1129">
        <v>0</v>
      </c>
      <c r="X67" s="1129">
        <v>271970</v>
      </c>
      <c r="Y67" s="1129">
        <v>0</v>
      </c>
    </row>
    <row r="68" spans="1:25" s="1143" customFormat="1" ht="64.150000000000006" customHeight="1">
      <c r="A68" s="1138">
        <v>58</v>
      </c>
      <c r="B68" s="1139" t="s">
        <v>272</v>
      </c>
      <c r="C68" s="1129">
        <f t="shared" si="4"/>
        <v>1180385</v>
      </c>
      <c r="D68" s="1129">
        <f t="shared" si="5"/>
        <v>0</v>
      </c>
      <c r="E68" s="1129">
        <v>0</v>
      </c>
      <c r="F68" s="1129">
        <v>0</v>
      </c>
      <c r="G68" s="1129">
        <v>0</v>
      </c>
      <c r="H68" s="1129">
        <v>0</v>
      </c>
      <c r="I68" s="1129">
        <v>0</v>
      </c>
      <c r="J68" s="1129">
        <v>0</v>
      </c>
      <c r="K68" s="1136">
        <v>0</v>
      </c>
      <c r="L68" s="1129">
        <v>0</v>
      </c>
      <c r="M68" s="1136">
        <v>0</v>
      </c>
      <c r="N68" s="1129">
        <v>0</v>
      </c>
      <c r="O68" s="1129">
        <v>0</v>
      </c>
      <c r="P68" s="1129">
        <v>0</v>
      </c>
      <c r="Q68" s="1129">
        <v>0</v>
      </c>
      <c r="R68" s="1129">
        <v>0</v>
      </c>
      <c r="S68" s="1129">
        <v>443.59</v>
      </c>
      <c r="T68" s="1140">
        <v>1094648</v>
      </c>
      <c r="U68" s="1129">
        <v>0</v>
      </c>
      <c r="V68" s="1129">
        <v>0</v>
      </c>
      <c r="W68" s="1129">
        <v>0</v>
      </c>
      <c r="X68" s="1129">
        <v>85737</v>
      </c>
      <c r="Y68" s="1129">
        <v>0</v>
      </c>
    </row>
    <row r="69" spans="1:25" s="1143" customFormat="1" ht="71.45" customHeight="1">
      <c r="A69" s="1138">
        <v>59</v>
      </c>
      <c r="B69" s="1139" t="s">
        <v>1482</v>
      </c>
      <c r="C69" s="1129">
        <f t="shared" si="4"/>
        <v>3465934</v>
      </c>
      <c r="D69" s="1129">
        <f t="shared" si="5"/>
        <v>3214186</v>
      </c>
      <c r="E69" s="1140">
        <v>1486017</v>
      </c>
      <c r="F69" s="1129">
        <v>0</v>
      </c>
      <c r="G69" s="1129">
        <v>0</v>
      </c>
      <c r="H69" s="1140">
        <v>1728169</v>
      </c>
      <c r="I69" s="1129">
        <v>0</v>
      </c>
      <c r="J69" s="1129">
        <v>0</v>
      </c>
      <c r="K69" s="1136">
        <v>0</v>
      </c>
      <c r="L69" s="1129">
        <v>0</v>
      </c>
      <c r="M69" s="1136">
        <v>0</v>
      </c>
      <c r="N69" s="1129">
        <v>0</v>
      </c>
      <c r="O69" s="1129">
        <v>0</v>
      </c>
      <c r="P69" s="1129">
        <v>0</v>
      </c>
      <c r="Q69" s="1129">
        <v>0</v>
      </c>
      <c r="R69" s="1129">
        <v>0</v>
      </c>
      <c r="S69" s="1129">
        <v>0</v>
      </c>
      <c r="T69" s="1129">
        <v>0</v>
      </c>
      <c r="U69" s="1129">
        <v>0</v>
      </c>
      <c r="V69" s="1129">
        <v>0</v>
      </c>
      <c r="W69" s="1129">
        <v>0</v>
      </c>
      <c r="X69" s="1129">
        <v>251748</v>
      </c>
      <c r="Y69" s="1129">
        <v>0</v>
      </c>
    </row>
    <row r="70" spans="1:25" s="1143" customFormat="1" ht="92.45" customHeight="1">
      <c r="A70" s="1138">
        <v>60</v>
      </c>
      <c r="B70" s="1139" t="s">
        <v>2988</v>
      </c>
      <c r="C70" s="1129">
        <f t="shared" si="4"/>
        <v>1532993</v>
      </c>
      <c r="D70" s="1129">
        <f t="shared" si="5"/>
        <v>0</v>
      </c>
      <c r="E70" s="1129">
        <v>0</v>
      </c>
      <c r="F70" s="1129">
        <v>0</v>
      </c>
      <c r="G70" s="1129">
        <v>0</v>
      </c>
      <c r="H70" s="1129">
        <v>0</v>
      </c>
      <c r="I70" s="1129">
        <v>0</v>
      </c>
      <c r="J70" s="1129">
        <v>0</v>
      </c>
      <c r="K70" s="1136">
        <v>0</v>
      </c>
      <c r="L70" s="1129">
        <v>0</v>
      </c>
      <c r="M70" s="1136">
        <v>0</v>
      </c>
      <c r="N70" s="1129">
        <v>0</v>
      </c>
      <c r="O70" s="1129">
        <v>0</v>
      </c>
      <c r="P70" s="1129">
        <v>0</v>
      </c>
      <c r="Q70" s="1129">
        <v>0</v>
      </c>
      <c r="R70" s="1129">
        <v>0</v>
      </c>
      <c r="S70" s="1129">
        <v>576.1</v>
      </c>
      <c r="T70" s="1140">
        <v>1421644</v>
      </c>
      <c r="U70" s="1129">
        <v>0</v>
      </c>
      <c r="V70" s="1129">
        <v>0</v>
      </c>
      <c r="W70" s="1129">
        <v>0</v>
      </c>
      <c r="X70" s="1129">
        <v>111349</v>
      </c>
      <c r="Y70" s="1129">
        <v>0</v>
      </c>
    </row>
    <row r="71" spans="1:25" s="1143" customFormat="1" ht="70.900000000000006" customHeight="1">
      <c r="A71" s="1138">
        <v>61</v>
      </c>
      <c r="B71" s="1139" t="s">
        <v>1484</v>
      </c>
      <c r="C71" s="1129">
        <f t="shared" si="4"/>
        <v>5074174</v>
      </c>
      <c r="D71" s="1129">
        <f t="shared" si="5"/>
        <v>0</v>
      </c>
      <c r="E71" s="1129">
        <v>0</v>
      </c>
      <c r="F71" s="1129">
        <v>0</v>
      </c>
      <c r="G71" s="1129">
        <v>0</v>
      </c>
      <c r="H71" s="1129">
        <v>0</v>
      </c>
      <c r="I71" s="1129">
        <v>0</v>
      </c>
      <c r="J71" s="1129">
        <v>0</v>
      </c>
      <c r="K71" s="1136">
        <v>0</v>
      </c>
      <c r="L71" s="1129">
        <v>0</v>
      </c>
      <c r="M71" s="1136">
        <v>0</v>
      </c>
      <c r="N71" s="1129">
        <v>0</v>
      </c>
      <c r="O71" s="1129">
        <v>0</v>
      </c>
      <c r="P71" s="1129">
        <v>0</v>
      </c>
      <c r="Q71" s="1129">
        <v>0</v>
      </c>
      <c r="R71" s="1129">
        <v>0</v>
      </c>
      <c r="S71" s="1129">
        <v>1906.88</v>
      </c>
      <c r="T71" s="1140">
        <v>4705612</v>
      </c>
      <c r="U71" s="1129">
        <v>0</v>
      </c>
      <c r="V71" s="1129">
        <v>0</v>
      </c>
      <c r="W71" s="1129">
        <v>0</v>
      </c>
      <c r="X71" s="1129">
        <v>368562</v>
      </c>
      <c r="Y71" s="1129">
        <v>0</v>
      </c>
    </row>
    <row r="72" spans="1:25" s="1143" customFormat="1" ht="67.900000000000006" customHeight="1">
      <c r="A72" s="1138">
        <v>62</v>
      </c>
      <c r="B72" s="1139" t="s">
        <v>1485</v>
      </c>
      <c r="C72" s="1129">
        <f t="shared" si="4"/>
        <v>4291978</v>
      </c>
      <c r="D72" s="1129">
        <f t="shared" si="5"/>
        <v>0</v>
      </c>
      <c r="E72" s="1129">
        <v>0</v>
      </c>
      <c r="F72" s="1129">
        <v>0</v>
      </c>
      <c r="G72" s="1129">
        <v>0</v>
      </c>
      <c r="H72" s="1129">
        <v>0</v>
      </c>
      <c r="I72" s="1129">
        <v>0</v>
      </c>
      <c r="J72" s="1129">
        <v>0</v>
      </c>
      <c r="K72" s="1136">
        <v>0</v>
      </c>
      <c r="L72" s="1129">
        <v>0</v>
      </c>
      <c r="M72" s="1136">
        <v>0</v>
      </c>
      <c r="N72" s="1129">
        <v>0</v>
      </c>
      <c r="O72" s="1129">
        <v>0</v>
      </c>
      <c r="P72" s="1129">
        <v>0</v>
      </c>
      <c r="Q72" s="1129">
        <v>0</v>
      </c>
      <c r="R72" s="1129">
        <v>0</v>
      </c>
      <c r="S72" s="1129">
        <v>1612.93</v>
      </c>
      <c r="T72" s="1140">
        <v>3980231</v>
      </c>
      <c r="U72" s="1129">
        <v>0</v>
      </c>
      <c r="V72" s="1129">
        <v>0</v>
      </c>
      <c r="W72" s="1129">
        <v>0</v>
      </c>
      <c r="X72" s="1129">
        <v>311747</v>
      </c>
      <c r="Y72" s="1129">
        <v>0</v>
      </c>
    </row>
    <row r="73" spans="1:25" s="1143" customFormat="1" ht="67.900000000000006" customHeight="1">
      <c r="A73" s="1138">
        <v>63</v>
      </c>
      <c r="B73" s="1128" t="s">
        <v>247</v>
      </c>
      <c r="C73" s="1129">
        <f t="shared" si="4"/>
        <v>6399781.0300000003</v>
      </c>
      <c r="D73" s="1129">
        <f t="shared" si="5"/>
        <v>1851675.63</v>
      </c>
      <c r="E73" s="1129">
        <v>0</v>
      </c>
      <c r="F73" s="1129">
        <v>0</v>
      </c>
      <c r="G73" s="1129">
        <v>0</v>
      </c>
      <c r="H73" s="1140">
        <v>1851675.63</v>
      </c>
      <c r="I73" s="1129">
        <v>0</v>
      </c>
      <c r="J73" s="1129">
        <v>0</v>
      </c>
      <c r="K73" s="1136">
        <v>0</v>
      </c>
      <c r="L73" s="1129">
        <v>0</v>
      </c>
      <c r="M73" s="1136">
        <v>0</v>
      </c>
      <c r="N73" s="1129">
        <v>0</v>
      </c>
      <c r="O73" s="1129">
        <v>0</v>
      </c>
      <c r="P73" s="1129">
        <v>0</v>
      </c>
      <c r="Q73" s="1129">
        <v>0</v>
      </c>
      <c r="R73" s="1129">
        <v>0</v>
      </c>
      <c r="S73" s="1129">
        <v>1654.68</v>
      </c>
      <c r="T73" s="1140">
        <v>4083258</v>
      </c>
      <c r="U73" s="1129">
        <v>0</v>
      </c>
      <c r="V73" s="1129">
        <v>0</v>
      </c>
      <c r="W73" s="1129">
        <v>0</v>
      </c>
      <c r="X73" s="1129">
        <v>464847.4</v>
      </c>
      <c r="Y73" s="1129">
        <v>0</v>
      </c>
    </row>
    <row r="74" spans="1:25" s="1143" customFormat="1" ht="69" customHeight="1">
      <c r="A74" s="1138">
        <v>64</v>
      </c>
      <c r="B74" s="1139" t="s">
        <v>1486</v>
      </c>
      <c r="C74" s="1129">
        <f t="shared" ref="C74:C88" si="6">D74+N74+P74+R74+T74+V74+X74</f>
        <v>4845784</v>
      </c>
      <c r="D74" s="1129">
        <f t="shared" ref="D74:D88" si="7">SUM(E74:J74)</f>
        <v>4493811</v>
      </c>
      <c r="E74" s="1129">
        <v>0</v>
      </c>
      <c r="F74" s="1140">
        <v>2784320</v>
      </c>
      <c r="G74" s="1129">
        <v>0</v>
      </c>
      <c r="H74" s="1129">
        <v>0</v>
      </c>
      <c r="I74" s="1140">
        <v>1709491</v>
      </c>
      <c r="J74" s="1129">
        <v>0</v>
      </c>
      <c r="K74" s="1136">
        <v>0</v>
      </c>
      <c r="L74" s="1129">
        <v>0</v>
      </c>
      <c r="M74" s="1136">
        <v>0</v>
      </c>
      <c r="N74" s="1129">
        <v>0</v>
      </c>
      <c r="O74" s="1129">
        <v>0</v>
      </c>
      <c r="P74" s="1129">
        <v>0</v>
      </c>
      <c r="Q74" s="1129">
        <v>0</v>
      </c>
      <c r="R74" s="1129">
        <v>0</v>
      </c>
      <c r="S74" s="1129">
        <v>0</v>
      </c>
      <c r="T74" s="1129">
        <v>0</v>
      </c>
      <c r="U74" s="1129">
        <v>0</v>
      </c>
      <c r="V74" s="1129">
        <v>0</v>
      </c>
      <c r="W74" s="1129">
        <v>0</v>
      </c>
      <c r="X74" s="1129">
        <v>351973</v>
      </c>
      <c r="Y74" s="1129">
        <v>0</v>
      </c>
    </row>
    <row r="75" spans="1:25" s="1143" customFormat="1" ht="71.45" customHeight="1">
      <c r="A75" s="1138">
        <v>65</v>
      </c>
      <c r="B75" s="1139" t="s">
        <v>1487</v>
      </c>
      <c r="C75" s="1129">
        <f t="shared" si="6"/>
        <v>8154102</v>
      </c>
      <c r="D75" s="1129">
        <f t="shared" si="7"/>
        <v>0</v>
      </c>
      <c r="E75" s="1129">
        <v>0</v>
      </c>
      <c r="F75" s="1129">
        <v>0</v>
      </c>
      <c r="G75" s="1129">
        <v>0</v>
      </c>
      <c r="H75" s="1129">
        <v>0</v>
      </c>
      <c r="I75" s="1129">
        <v>0</v>
      </c>
      <c r="J75" s="1129">
        <v>0</v>
      </c>
      <c r="K75" s="1136">
        <v>0</v>
      </c>
      <c r="L75" s="1129">
        <v>0</v>
      </c>
      <c r="M75" s="1136">
        <v>0</v>
      </c>
      <c r="N75" s="1129">
        <v>0</v>
      </c>
      <c r="O75" s="1129">
        <v>0</v>
      </c>
      <c r="P75" s="1129">
        <v>0</v>
      </c>
      <c r="Q75" s="1129">
        <v>0</v>
      </c>
      <c r="R75" s="1129">
        <v>0</v>
      </c>
      <c r="S75" s="1129">
        <v>3064.32</v>
      </c>
      <c r="T75" s="1140">
        <v>7561830</v>
      </c>
      <c r="U75" s="1129">
        <v>0</v>
      </c>
      <c r="V75" s="1129">
        <v>0</v>
      </c>
      <c r="W75" s="1129">
        <v>0</v>
      </c>
      <c r="X75" s="1129">
        <v>592272</v>
      </c>
      <c r="Y75" s="1129">
        <v>0</v>
      </c>
    </row>
    <row r="76" spans="1:25" s="1141" customFormat="1" ht="67.900000000000006" customHeight="1">
      <c r="A76" s="1138">
        <v>66</v>
      </c>
      <c r="B76" s="1139" t="s">
        <v>1488</v>
      </c>
      <c r="C76" s="1129">
        <f t="shared" si="6"/>
        <v>2022347</v>
      </c>
      <c r="D76" s="1129">
        <f t="shared" si="7"/>
        <v>0</v>
      </c>
      <c r="E76" s="1129">
        <v>0</v>
      </c>
      <c r="F76" s="1129">
        <v>0</v>
      </c>
      <c r="G76" s="1129">
        <v>0</v>
      </c>
      <c r="H76" s="1129">
        <v>0</v>
      </c>
      <c r="I76" s="1129">
        <v>0</v>
      </c>
      <c r="J76" s="1129">
        <v>0</v>
      </c>
      <c r="K76" s="1136">
        <v>0</v>
      </c>
      <c r="L76" s="1129">
        <v>0</v>
      </c>
      <c r="M76" s="1136">
        <v>0</v>
      </c>
      <c r="N76" s="1129">
        <v>0</v>
      </c>
      <c r="O76" s="1129">
        <v>0</v>
      </c>
      <c r="P76" s="1129">
        <v>0</v>
      </c>
      <c r="Q76" s="1129">
        <v>0</v>
      </c>
      <c r="R76" s="1129">
        <v>0</v>
      </c>
      <c r="S76" s="1129">
        <v>760</v>
      </c>
      <c r="T76" s="1140">
        <v>1875454</v>
      </c>
      <c r="U76" s="1129">
        <v>0</v>
      </c>
      <c r="V76" s="1129">
        <v>0</v>
      </c>
      <c r="W76" s="1129">
        <v>0</v>
      </c>
      <c r="X76" s="1129">
        <v>146893</v>
      </c>
      <c r="Y76" s="1129">
        <v>0</v>
      </c>
    </row>
    <row r="77" spans="1:25" s="1141" customFormat="1" ht="91.15" customHeight="1">
      <c r="A77" s="1138">
        <v>67</v>
      </c>
      <c r="B77" s="1139" t="s">
        <v>3045</v>
      </c>
      <c r="C77" s="1129">
        <f t="shared" si="6"/>
        <v>2589668</v>
      </c>
      <c r="D77" s="1129">
        <f t="shared" si="7"/>
        <v>0</v>
      </c>
      <c r="E77" s="1129">
        <v>0</v>
      </c>
      <c r="F77" s="1129">
        <v>0</v>
      </c>
      <c r="G77" s="1129">
        <v>0</v>
      </c>
      <c r="H77" s="1129">
        <v>0</v>
      </c>
      <c r="I77" s="1129">
        <v>0</v>
      </c>
      <c r="J77" s="1129">
        <v>0</v>
      </c>
      <c r="K77" s="1136">
        <v>0</v>
      </c>
      <c r="L77" s="1129">
        <v>0</v>
      </c>
      <c r="M77" s="1136">
        <v>0</v>
      </c>
      <c r="N77" s="1129">
        <v>0</v>
      </c>
      <c r="O77" s="1129">
        <v>0</v>
      </c>
      <c r="P77" s="1129">
        <v>0</v>
      </c>
      <c r="Q77" s="1129">
        <v>0</v>
      </c>
      <c r="R77" s="1129">
        <v>0</v>
      </c>
      <c r="S77" s="1129">
        <v>973.2</v>
      </c>
      <c r="T77" s="1140">
        <v>2401568</v>
      </c>
      <c r="U77" s="1129">
        <v>0</v>
      </c>
      <c r="V77" s="1129">
        <v>0</v>
      </c>
      <c r="W77" s="1129">
        <v>0</v>
      </c>
      <c r="X77" s="1129">
        <v>188100</v>
      </c>
      <c r="Y77" s="1129">
        <v>0</v>
      </c>
    </row>
    <row r="78" spans="1:25" s="1141" customFormat="1" ht="63" customHeight="1">
      <c r="A78" s="1138">
        <v>68</v>
      </c>
      <c r="B78" s="1139" t="s">
        <v>1489</v>
      </c>
      <c r="C78" s="1129">
        <f t="shared" si="6"/>
        <v>1047584</v>
      </c>
      <c r="D78" s="1129">
        <f t="shared" si="7"/>
        <v>971493</v>
      </c>
      <c r="E78" s="1129">
        <v>0</v>
      </c>
      <c r="F78" s="1129">
        <v>0</v>
      </c>
      <c r="G78" s="1129">
        <v>0</v>
      </c>
      <c r="H78" s="1129">
        <v>0</v>
      </c>
      <c r="I78" s="1129">
        <v>0</v>
      </c>
      <c r="J78" s="1140">
        <v>971493</v>
      </c>
      <c r="K78" s="1136">
        <v>0</v>
      </c>
      <c r="L78" s="1129">
        <v>0</v>
      </c>
      <c r="M78" s="1136">
        <v>0</v>
      </c>
      <c r="N78" s="1129">
        <v>0</v>
      </c>
      <c r="O78" s="1129">
        <v>0</v>
      </c>
      <c r="P78" s="1129">
        <v>0</v>
      </c>
      <c r="Q78" s="1129">
        <v>0</v>
      </c>
      <c r="R78" s="1129">
        <v>0</v>
      </c>
      <c r="S78" s="1129">
        <v>0</v>
      </c>
      <c r="T78" s="1129">
        <v>0</v>
      </c>
      <c r="U78" s="1129">
        <v>0</v>
      </c>
      <c r="V78" s="1129">
        <v>0</v>
      </c>
      <c r="W78" s="1129">
        <v>0</v>
      </c>
      <c r="X78" s="1129">
        <v>76091</v>
      </c>
      <c r="Y78" s="1129">
        <v>0</v>
      </c>
    </row>
    <row r="79" spans="1:25" s="1141" customFormat="1" ht="75" customHeight="1">
      <c r="A79" s="1138">
        <v>69</v>
      </c>
      <c r="B79" s="1139" t="s">
        <v>1490</v>
      </c>
      <c r="C79" s="1129">
        <f t="shared" si="6"/>
        <v>3117167</v>
      </c>
      <c r="D79" s="1129">
        <f t="shared" si="7"/>
        <v>2890752</v>
      </c>
      <c r="E79" s="1129">
        <v>0</v>
      </c>
      <c r="F79" s="1129">
        <v>0</v>
      </c>
      <c r="G79" s="1129">
        <v>0</v>
      </c>
      <c r="H79" s="1129">
        <v>0</v>
      </c>
      <c r="I79" s="1129">
        <v>0</v>
      </c>
      <c r="J79" s="1140">
        <v>2890752</v>
      </c>
      <c r="K79" s="1136">
        <v>0</v>
      </c>
      <c r="L79" s="1129">
        <v>0</v>
      </c>
      <c r="M79" s="1136">
        <v>0</v>
      </c>
      <c r="N79" s="1129">
        <v>0</v>
      </c>
      <c r="O79" s="1129">
        <v>0</v>
      </c>
      <c r="P79" s="1129">
        <v>0</v>
      </c>
      <c r="Q79" s="1129">
        <v>0</v>
      </c>
      <c r="R79" s="1129">
        <v>0</v>
      </c>
      <c r="S79" s="1129">
        <v>0</v>
      </c>
      <c r="T79" s="1129">
        <v>0</v>
      </c>
      <c r="U79" s="1129">
        <v>0</v>
      </c>
      <c r="V79" s="1129">
        <v>0</v>
      </c>
      <c r="W79" s="1129">
        <v>0</v>
      </c>
      <c r="X79" s="1129">
        <v>226415</v>
      </c>
      <c r="Y79" s="1129">
        <v>0</v>
      </c>
    </row>
    <row r="80" spans="1:25" s="1144" customFormat="1" ht="99.6" customHeight="1">
      <c r="A80" s="1138">
        <v>70</v>
      </c>
      <c r="B80" s="1139" t="s">
        <v>1826</v>
      </c>
      <c r="C80" s="1129">
        <f t="shared" si="6"/>
        <v>7217604</v>
      </c>
      <c r="D80" s="1129">
        <f t="shared" si="7"/>
        <v>6693354</v>
      </c>
      <c r="E80" s="1129">
        <v>0</v>
      </c>
      <c r="F80" s="1129">
        <v>0</v>
      </c>
      <c r="G80" s="1129">
        <v>0</v>
      </c>
      <c r="H80" s="1140">
        <v>2542744</v>
      </c>
      <c r="I80" s="1140">
        <v>2542744</v>
      </c>
      <c r="J80" s="1140">
        <v>1607866</v>
      </c>
      <c r="K80" s="1136">
        <v>0</v>
      </c>
      <c r="L80" s="1129">
        <v>0</v>
      </c>
      <c r="M80" s="1136">
        <v>0</v>
      </c>
      <c r="N80" s="1129">
        <v>0</v>
      </c>
      <c r="O80" s="1129">
        <v>0</v>
      </c>
      <c r="P80" s="1129">
        <v>0</v>
      </c>
      <c r="Q80" s="1129">
        <v>0</v>
      </c>
      <c r="R80" s="1129">
        <v>0</v>
      </c>
      <c r="S80" s="1129">
        <v>0</v>
      </c>
      <c r="T80" s="1129">
        <v>0</v>
      </c>
      <c r="U80" s="1129">
        <v>0</v>
      </c>
      <c r="V80" s="1129">
        <v>0</v>
      </c>
      <c r="W80" s="1129">
        <v>0</v>
      </c>
      <c r="X80" s="1129">
        <v>524250</v>
      </c>
      <c r="Y80" s="1129">
        <v>0</v>
      </c>
    </row>
    <row r="81" spans="1:25" s="1141" customFormat="1" ht="70.150000000000006" customHeight="1">
      <c r="A81" s="1138">
        <v>71</v>
      </c>
      <c r="B81" s="1139" t="s">
        <v>1492</v>
      </c>
      <c r="C81" s="1129">
        <f t="shared" si="6"/>
        <v>2672049</v>
      </c>
      <c r="D81" s="1129">
        <f t="shared" si="7"/>
        <v>0</v>
      </c>
      <c r="E81" s="1129">
        <v>0</v>
      </c>
      <c r="F81" s="1129">
        <v>0</v>
      </c>
      <c r="G81" s="1129">
        <v>0</v>
      </c>
      <c r="H81" s="1129">
        <v>0</v>
      </c>
      <c r="I81" s="1129">
        <v>0</v>
      </c>
      <c r="J81" s="1129">
        <v>0</v>
      </c>
      <c r="K81" s="1136">
        <v>0</v>
      </c>
      <c r="L81" s="1129">
        <v>0</v>
      </c>
      <c r="M81" s="1136">
        <v>0</v>
      </c>
      <c r="N81" s="1129">
        <v>0</v>
      </c>
      <c r="O81" s="1129">
        <v>983.4</v>
      </c>
      <c r="P81" s="1140">
        <v>2477965</v>
      </c>
      <c r="Q81" s="1129">
        <v>0</v>
      </c>
      <c r="R81" s="1129">
        <v>0</v>
      </c>
      <c r="S81" s="1129">
        <v>0</v>
      </c>
      <c r="T81" s="1129">
        <v>0</v>
      </c>
      <c r="U81" s="1129">
        <v>0</v>
      </c>
      <c r="V81" s="1129">
        <v>0</v>
      </c>
      <c r="W81" s="1129">
        <v>0</v>
      </c>
      <c r="X81" s="1129">
        <v>194084</v>
      </c>
      <c r="Y81" s="1129">
        <v>0</v>
      </c>
    </row>
    <row r="82" spans="1:25" s="1141" customFormat="1" ht="97.15" customHeight="1">
      <c r="A82" s="1138">
        <v>72</v>
      </c>
      <c r="B82" s="1139" t="s">
        <v>3002</v>
      </c>
      <c r="C82" s="1129">
        <f t="shared" si="6"/>
        <v>5055867</v>
      </c>
      <c r="D82" s="1129">
        <f t="shared" si="7"/>
        <v>0</v>
      </c>
      <c r="E82" s="1129">
        <v>0</v>
      </c>
      <c r="F82" s="1129">
        <v>0</v>
      </c>
      <c r="G82" s="1129">
        <v>0</v>
      </c>
      <c r="H82" s="1129">
        <v>0</v>
      </c>
      <c r="I82" s="1129">
        <v>0</v>
      </c>
      <c r="J82" s="1129">
        <v>0</v>
      </c>
      <c r="K82" s="1136">
        <v>0</v>
      </c>
      <c r="L82" s="1129">
        <v>0</v>
      </c>
      <c r="M82" s="1136">
        <v>0</v>
      </c>
      <c r="N82" s="1129">
        <v>0</v>
      </c>
      <c r="O82" s="1129">
        <v>0</v>
      </c>
      <c r="P82" s="1129">
        <v>0</v>
      </c>
      <c r="Q82" s="1129">
        <v>0</v>
      </c>
      <c r="R82" s="1129">
        <v>0</v>
      </c>
      <c r="S82" s="1129">
        <v>1900</v>
      </c>
      <c r="T82" s="1129">
        <v>4688635</v>
      </c>
      <c r="U82" s="1129">
        <v>0</v>
      </c>
      <c r="V82" s="1129">
        <v>0</v>
      </c>
      <c r="W82" s="1129">
        <v>0</v>
      </c>
      <c r="X82" s="1129">
        <v>367232</v>
      </c>
      <c r="Y82" s="1129">
        <v>0</v>
      </c>
    </row>
    <row r="83" spans="1:25" s="1141" customFormat="1" ht="69" customHeight="1">
      <c r="A83" s="1138">
        <v>73</v>
      </c>
      <c r="B83" s="1139" t="s">
        <v>1494</v>
      </c>
      <c r="C83" s="1129">
        <f t="shared" si="6"/>
        <v>4027441</v>
      </c>
      <c r="D83" s="1129">
        <f t="shared" si="7"/>
        <v>3734909</v>
      </c>
      <c r="E83" s="1140">
        <v>1290503</v>
      </c>
      <c r="F83" s="1140">
        <v>2444406</v>
      </c>
      <c r="G83" s="1129">
        <v>0</v>
      </c>
      <c r="H83" s="1129">
        <v>0</v>
      </c>
      <c r="I83" s="1129">
        <v>0</v>
      </c>
      <c r="J83" s="1129">
        <v>0</v>
      </c>
      <c r="K83" s="1136">
        <v>0</v>
      </c>
      <c r="L83" s="1129">
        <v>0</v>
      </c>
      <c r="M83" s="1136">
        <v>0</v>
      </c>
      <c r="N83" s="1129">
        <v>0</v>
      </c>
      <c r="O83" s="1129">
        <v>0</v>
      </c>
      <c r="P83" s="1129">
        <v>0</v>
      </c>
      <c r="Q83" s="1129">
        <v>0</v>
      </c>
      <c r="R83" s="1129">
        <v>0</v>
      </c>
      <c r="S83" s="1129">
        <v>0</v>
      </c>
      <c r="T83" s="1129">
        <v>0</v>
      </c>
      <c r="U83" s="1129">
        <v>0</v>
      </c>
      <c r="V83" s="1129">
        <v>0</v>
      </c>
      <c r="W83" s="1129">
        <v>0</v>
      </c>
      <c r="X83" s="1129">
        <v>292532</v>
      </c>
      <c r="Y83" s="1129">
        <v>0</v>
      </c>
    </row>
    <row r="84" spans="1:25" s="1141" customFormat="1" ht="67.900000000000006" customHeight="1">
      <c r="A84" s="1138">
        <v>74</v>
      </c>
      <c r="B84" s="1139" t="s">
        <v>310</v>
      </c>
      <c r="C84" s="1129">
        <f t="shared" si="6"/>
        <v>26812058</v>
      </c>
      <c r="D84" s="1129">
        <f t="shared" si="7"/>
        <v>0</v>
      </c>
      <c r="E84" s="1129">
        <v>0</v>
      </c>
      <c r="F84" s="1129">
        <v>0</v>
      </c>
      <c r="G84" s="1129">
        <v>0</v>
      </c>
      <c r="H84" s="1129">
        <v>0</v>
      </c>
      <c r="I84" s="1129">
        <v>0</v>
      </c>
      <c r="J84" s="1129">
        <v>0</v>
      </c>
      <c r="K84" s="1136">
        <v>0</v>
      </c>
      <c r="L84" s="1129">
        <v>0</v>
      </c>
      <c r="M84" s="1136">
        <v>0</v>
      </c>
      <c r="N84" s="1129">
        <v>0</v>
      </c>
      <c r="O84" s="1129">
        <v>0</v>
      </c>
      <c r="P84" s="1129">
        <v>0</v>
      </c>
      <c r="Q84" s="1129">
        <v>0</v>
      </c>
      <c r="R84" s="1129">
        <v>0</v>
      </c>
      <c r="S84" s="1129">
        <v>10076</v>
      </c>
      <c r="T84" s="1129">
        <v>24864569</v>
      </c>
      <c r="U84" s="1129">
        <v>0</v>
      </c>
      <c r="V84" s="1129">
        <v>0</v>
      </c>
      <c r="W84" s="1129">
        <v>0</v>
      </c>
      <c r="X84" s="1129">
        <v>1947489</v>
      </c>
      <c r="Y84" s="1129">
        <v>0</v>
      </c>
    </row>
    <row r="85" spans="1:25" s="1141" customFormat="1" ht="67.900000000000006" customHeight="1">
      <c r="A85" s="1138">
        <v>75</v>
      </c>
      <c r="B85" s="1139" t="s">
        <v>1495</v>
      </c>
      <c r="C85" s="1129">
        <f t="shared" si="6"/>
        <v>15206099</v>
      </c>
      <c r="D85" s="1129">
        <f t="shared" si="7"/>
        <v>0</v>
      </c>
      <c r="E85" s="1129">
        <v>0</v>
      </c>
      <c r="F85" s="1129">
        <v>0</v>
      </c>
      <c r="G85" s="1129">
        <v>0</v>
      </c>
      <c r="H85" s="1129">
        <v>0</v>
      </c>
      <c r="I85" s="1129">
        <v>0</v>
      </c>
      <c r="J85" s="1129">
        <v>0</v>
      </c>
      <c r="K85" s="1136">
        <v>0</v>
      </c>
      <c r="L85" s="1129">
        <v>0</v>
      </c>
      <c r="M85" s="1136">
        <v>0</v>
      </c>
      <c r="N85" s="1129">
        <v>0</v>
      </c>
      <c r="O85" s="1129">
        <v>3113</v>
      </c>
      <c r="P85" s="1140">
        <v>14101607</v>
      </c>
      <c r="Q85" s="1129">
        <v>0</v>
      </c>
      <c r="R85" s="1129">
        <v>0</v>
      </c>
      <c r="S85" s="1129">
        <v>0</v>
      </c>
      <c r="T85" s="1129">
        <v>0</v>
      </c>
      <c r="U85" s="1129">
        <v>0</v>
      </c>
      <c r="V85" s="1129">
        <v>0</v>
      </c>
      <c r="W85" s="1129">
        <v>0</v>
      </c>
      <c r="X85" s="1129">
        <v>1104492</v>
      </c>
      <c r="Y85" s="1129">
        <v>0</v>
      </c>
    </row>
    <row r="86" spans="1:25" s="1141" customFormat="1" ht="70.900000000000006" customHeight="1">
      <c r="A86" s="1138">
        <v>76</v>
      </c>
      <c r="B86" s="1139" t="s">
        <v>1496</v>
      </c>
      <c r="C86" s="1129">
        <f t="shared" si="6"/>
        <v>2133762</v>
      </c>
      <c r="D86" s="1129">
        <f t="shared" si="7"/>
        <v>0</v>
      </c>
      <c r="E86" s="1129">
        <v>0</v>
      </c>
      <c r="F86" s="1129">
        <v>0</v>
      </c>
      <c r="G86" s="1129">
        <v>0</v>
      </c>
      <c r="H86" s="1129">
        <v>0</v>
      </c>
      <c r="I86" s="1129">
        <v>0</v>
      </c>
      <c r="J86" s="1129">
        <v>0</v>
      </c>
      <c r="K86" s="1136">
        <v>0</v>
      </c>
      <c r="L86" s="1129">
        <v>0</v>
      </c>
      <c r="M86" s="1136">
        <v>0</v>
      </c>
      <c r="N86" s="1129">
        <v>0</v>
      </c>
      <c r="O86" s="1129">
        <v>0</v>
      </c>
      <c r="P86" s="1129">
        <v>0</v>
      </c>
      <c r="Q86" s="1129">
        <v>0</v>
      </c>
      <c r="R86" s="1129">
        <v>0</v>
      </c>
      <c r="S86" s="1129">
        <v>801.87</v>
      </c>
      <c r="T86" s="1129">
        <v>1978777</v>
      </c>
      <c r="U86" s="1129">
        <v>0</v>
      </c>
      <c r="V86" s="1129">
        <v>0</v>
      </c>
      <c r="W86" s="1129">
        <v>0</v>
      </c>
      <c r="X86" s="1129">
        <v>154985</v>
      </c>
      <c r="Y86" s="1129">
        <v>0</v>
      </c>
    </row>
    <row r="87" spans="1:25" s="1141" customFormat="1" ht="71.45" customHeight="1">
      <c r="A87" s="1138">
        <v>77</v>
      </c>
      <c r="B87" s="1139" t="s">
        <v>1497</v>
      </c>
      <c r="C87" s="1129">
        <f t="shared" si="6"/>
        <v>5414970</v>
      </c>
      <c r="D87" s="1129">
        <f t="shared" si="7"/>
        <v>5021655</v>
      </c>
      <c r="E87" s="1129">
        <v>0</v>
      </c>
      <c r="F87" s="1140">
        <v>1919464</v>
      </c>
      <c r="G87" s="1129">
        <v>0</v>
      </c>
      <c r="H87" s="1140">
        <v>1178494</v>
      </c>
      <c r="I87" s="1140">
        <v>1178494</v>
      </c>
      <c r="J87" s="1140">
        <v>745203</v>
      </c>
      <c r="K87" s="1136">
        <v>0</v>
      </c>
      <c r="L87" s="1129">
        <v>0</v>
      </c>
      <c r="M87" s="1136">
        <v>0</v>
      </c>
      <c r="N87" s="1129">
        <v>0</v>
      </c>
      <c r="O87" s="1129">
        <v>0</v>
      </c>
      <c r="P87" s="1129">
        <v>0</v>
      </c>
      <c r="Q87" s="1129">
        <v>0</v>
      </c>
      <c r="R87" s="1129">
        <v>0</v>
      </c>
      <c r="S87" s="1129">
        <v>0</v>
      </c>
      <c r="T87" s="1129">
        <v>0</v>
      </c>
      <c r="U87" s="1129">
        <v>0</v>
      </c>
      <c r="V87" s="1129">
        <v>0</v>
      </c>
      <c r="W87" s="1129">
        <v>0</v>
      </c>
      <c r="X87" s="1129">
        <v>393315</v>
      </c>
      <c r="Y87" s="1129">
        <v>0</v>
      </c>
    </row>
    <row r="88" spans="1:25" s="1141" customFormat="1" ht="69" customHeight="1">
      <c r="A88" s="1138">
        <v>78</v>
      </c>
      <c r="B88" s="1139" t="s">
        <v>1498</v>
      </c>
      <c r="C88" s="1129">
        <f t="shared" si="6"/>
        <v>1330427</v>
      </c>
      <c r="D88" s="1129">
        <f t="shared" si="7"/>
        <v>1233792</v>
      </c>
      <c r="E88" s="1129">
        <v>0</v>
      </c>
      <c r="F88" s="1140">
        <v>888749</v>
      </c>
      <c r="G88" s="1129">
        <v>0</v>
      </c>
      <c r="H88" s="1140">
        <v>0</v>
      </c>
      <c r="I88" s="1140">
        <v>0</v>
      </c>
      <c r="J88" s="1140">
        <v>345043</v>
      </c>
      <c r="K88" s="1136">
        <v>0</v>
      </c>
      <c r="L88" s="1129">
        <v>0</v>
      </c>
      <c r="M88" s="1136">
        <v>0</v>
      </c>
      <c r="N88" s="1129">
        <v>0</v>
      </c>
      <c r="O88" s="1129">
        <v>0</v>
      </c>
      <c r="P88" s="1129">
        <v>0</v>
      </c>
      <c r="Q88" s="1129">
        <v>0</v>
      </c>
      <c r="R88" s="1129">
        <v>0</v>
      </c>
      <c r="S88" s="1129">
        <v>0</v>
      </c>
      <c r="T88" s="1129">
        <v>0</v>
      </c>
      <c r="U88" s="1129">
        <v>0</v>
      </c>
      <c r="V88" s="1129">
        <v>0</v>
      </c>
      <c r="W88" s="1129">
        <v>0</v>
      </c>
      <c r="X88" s="1129">
        <v>96635</v>
      </c>
      <c r="Y88" s="1129">
        <v>0</v>
      </c>
    </row>
    <row r="89" spans="1:25" s="1141" customFormat="1" ht="88.9" customHeight="1">
      <c r="A89" s="1138">
        <v>79</v>
      </c>
      <c r="B89" s="1128" t="s">
        <v>2317</v>
      </c>
      <c r="C89" s="1129">
        <f t="shared" ref="C89:C94" si="8">D89+N89+P89+R89+T89+V89+X89</f>
        <v>896482</v>
      </c>
      <c r="D89" s="1129">
        <f t="shared" ref="D89:D94" si="9">SUM(E89:J89)</f>
        <v>0</v>
      </c>
      <c r="E89" s="1129">
        <v>0</v>
      </c>
      <c r="F89" s="1140">
        <v>0</v>
      </c>
      <c r="G89" s="1129">
        <v>0</v>
      </c>
      <c r="H89" s="1200">
        <v>0</v>
      </c>
      <c r="I89" s="1200">
        <v>0</v>
      </c>
      <c r="J89" s="1200">
        <v>0</v>
      </c>
      <c r="K89" s="1136">
        <v>0</v>
      </c>
      <c r="L89" s="1129">
        <v>0</v>
      </c>
      <c r="M89" s="1136">
        <v>0</v>
      </c>
      <c r="N89" s="1129">
        <v>0</v>
      </c>
      <c r="O89" s="1200">
        <v>536</v>
      </c>
      <c r="P89" s="1200">
        <v>896482</v>
      </c>
      <c r="Q89" s="1129">
        <v>0</v>
      </c>
      <c r="R89" s="1129">
        <v>0</v>
      </c>
      <c r="S89" s="1200">
        <v>0</v>
      </c>
      <c r="T89" s="1200">
        <v>0</v>
      </c>
      <c r="U89" s="1129">
        <v>0</v>
      </c>
      <c r="V89" s="1129">
        <v>0</v>
      </c>
      <c r="W89" s="1129">
        <v>0</v>
      </c>
      <c r="X89" s="1129">
        <v>0</v>
      </c>
      <c r="Y89" s="1129">
        <v>0</v>
      </c>
    </row>
    <row r="90" spans="1:25" s="1141" customFormat="1" ht="93.6" customHeight="1">
      <c r="A90" s="1138">
        <v>80</v>
      </c>
      <c r="B90" s="1128" t="s">
        <v>2318</v>
      </c>
      <c r="C90" s="1129">
        <f t="shared" si="8"/>
        <v>444035.39</v>
      </c>
      <c r="D90" s="1129">
        <f t="shared" si="9"/>
        <v>444035.39</v>
      </c>
      <c r="E90" s="1129">
        <v>0</v>
      </c>
      <c r="F90" s="1140">
        <v>0</v>
      </c>
      <c r="G90" s="1129">
        <v>0</v>
      </c>
      <c r="H90" s="1200">
        <v>176807.53</v>
      </c>
      <c r="I90" s="1200">
        <v>267227.86</v>
      </c>
      <c r="J90" s="1200">
        <v>0</v>
      </c>
      <c r="K90" s="1136">
        <v>0</v>
      </c>
      <c r="L90" s="1129">
        <v>0</v>
      </c>
      <c r="M90" s="1136">
        <v>0</v>
      </c>
      <c r="N90" s="1129">
        <v>0</v>
      </c>
      <c r="O90" s="1200">
        <v>0</v>
      </c>
      <c r="P90" s="1200">
        <v>0</v>
      </c>
      <c r="Q90" s="1129">
        <v>0</v>
      </c>
      <c r="R90" s="1129">
        <v>0</v>
      </c>
      <c r="S90" s="1200">
        <v>0</v>
      </c>
      <c r="T90" s="1200">
        <v>0</v>
      </c>
      <c r="U90" s="1129">
        <v>0</v>
      </c>
      <c r="V90" s="1129">
        <v>0</v>
      </c>
      <c r="W90" s="1129">
        <v>0</v>
      </c>
      <c r="X90" s="1129">
        <v>0</v>
      </c>
      <c r="Y90" s="1129">
        <v>0</v>
      </c>
    </row>
    <row r="91" spans="1:25" s="1141" customFormat="1" ht="71.45" customHeight="1">
      <c r="A91" s="1138">
        <v>81</v>
      </c>
      <c r="B91" s="1128" t="s">
        <v>1982</v>
      </c>
      <c r="C91" s="1129">
        <f t="shared" si="8"/>
        <v>169435</v>
      </c>
      <c r="D91" s="1129">
        <f t="shared" si="9"/>
        <v>169435</v>
      </c>
      <c r="E91" s="1129">
        <v>0</v>
      </c>
      <c r="F91" s="1140">
        <v>0</v>
      </c>
      <c r="G91" s="1129">
        <v>0</v>
      </c>
      <c r="H91" s="1200">
        <v>0</v>
      </c>
      <c r="I91" s="1200">
        <v>169435</v>
      </c>
      <c r="J91" s="1200">
        <v>0</v>
      </c>
      <c r="K91" s="1136">
        <v>0</v>
      </c>
      <c r="L91" s="1129">
        <v>0</v>
      </c>
      <c r="M91" s="1136">
        <v>0</v>
      </c>
      <c r="N91" s="1129">
        <v>0</v>
      </c>
      <c r="O91" s="1200">
        <v>0</v>
      </c>
      <c r="P91" s="1200">
        <v>0</v>
      </c>
      <c r="Q91" s="1129">
        <v>0</v>
      </c>
      <c r="R91" s="1129">
        <v>0</v>
      </c>
      <c r="S91" s="1200">
        <v>0</v>
      </c>
      <c r="T91" s="1200">
        <v>0</v>
      </c>
      <c r="U91" s="1129">
        <v>0</v>
      </c>
      <c r="V91" s="1129">
        <v>0</v>
      </c>
      <c r="W91" s="1129">
        <v>0</v>
      </c>
      <c r="X91" s="1129">
        <v>0</v>
      </c>
      <c r="Y91" s="1129">
        <v>0</v>
      </c>
    </row>
    <row r="92" spans="1:25" s="1141" customFormat="1" ht="88.9" customHeight="1">
      <c r="A92" s="1138">
        <v>82</v>
      </c>
      <c r="B92" s="1128" t="s">
        <v>2319</v>
      </c>
      <c r="C92" s="1129">
        <f t="shared" si="8"/>
        <v>922493</v>
      </c>
      <c r="D92" s="1129">
        <f t="shared" si="9"/>
        <v>922493</v>
      </c>
      <c r="E92" s="1129">
        <v>0</v>
      </c>
      <c r="F92" s="1140">
        <v>0</v>
      </c>
      <c r="G92" s="1129">
        <v>0</v>
      </c>
      <c r="H92" s="1200">
        <v>780492</v>
      </c>
      <c r="I92" s="1200">
        <v>142001</v>
      </c>
      <c r="J92" s="1200">
        <v>0</v>
      </c>
      <c r="K92" s="1136">
        <v>0</v>
      </c>
      <c r="L92" s="1129">
        <v>0</v>
      </c>
      <c r="M92" s="1136">
        <v>0</v>
      </c>
      <c r="N92" s="1129">
        <v>0</v>
      </c>
      <c r="O92" s="1200">
        <v>0</v>
      </c>
      <c r="P92" s="1200">
        <v>0</v>
      </c>
      <c r="Q92" s="1129">
        <v>0</v>
      </c>
      <c r="R92" s="1129">
        <v>0</v>
      </c>
      <c r="S92" s="1200">
        <v>0</v>
      </c>
      <c r="T92" s="1200">
        <v>0</v>
      </c>
      <c r="U92" s="1129">
        <v>0</v>
      </c>
      <c r="V92" s="1129">
        <v>0</v>
      </c>
      <c r="W92" s="1129">
        <v>0</v>
      </c>
      <c r="X92" s="1129">
        <v>0</v>
      </c>
      <c r="Y92" s="1129">
        <v>0</v>
      </c>
    </row>
    <row r="93" spans="1:25" s="1141" customFormat="1" ht="119.25" customHeight="1">
      <c r="A93" s="1138">
        <v>83</v>
      </c>
      <c r="B93" s="1128" t="s">
        <v>3003</v>
      </c>
      <c r="C93" s="1129">
        <f t="shared" si="8"/>
        <v>143313</v>
      </c>
      <c r="D93" s="1129">
        <f t="shared" si="9"/>
        <v>143313</v>
      </c>
      <c r="E93" s="1129">
        <v>0</v>
      </c>
      <c r="F93" s="1140">
        <v>0</v>
      </c>
      <c r="G93" s="1129">
        <v>0</v>
      </c>
      <c r="H93" s="1200">
        <v>93937</v>
      </c>
      <c r="I93" s="1200">
        <v>0</v>
      </c>
      <c r="J93" s="1201">
        <v>49376</v>
      </c>
      <c r="K93" s="1136">
        <v>0</v>
      </c>
      <c r="L93" s="1129">
        <v>0</v>
      </c>
      <c r="M93" s="1136">
        <v>0</v>
      </c>
      <c r="N93" s="1129">
        <v>0</v>
      </c>
      <c r="O93" s="1200">
        <v>0</v>
      </c>
      <c r="P93" s="1200">
        <v>0</v>
      </c>
      <c r="Q93" s="1129">
        <v>0</v>
      </c>
      <c r="R93" s="1129">
        <v>0</v>
      </c>
      <c r="S93" s="1200">
        <v>0</v>
      </c>
      <c r="T93" s="1200">
        <v>0</v>
      </c>
      <c r="U93" s="1129">
        <v>0</v>
      </c>
      <c r="V93" s="1129">
        <v>0</v>
      </c>
      <c r="W93" s="1129">
        <v>0</v>
      </c>
      <c r="X93" s="1129">
        <v>0</v>
      </c>
      <c r="Y93" s="1129">
        <v>0</v>
      </c>
    </row>
    <row r="94" spans="1:25" s="1141" customFormat="1" ht="96" customHeight="1">
      <c r="A94" s="1138">
        <v>84</v>
      </c>
      <c r="B94" s="1128" t="s">
        <v>2320</v>
      </c>
      <c r="C94" s="1129">
        <f t="shared" si="8"/>
        <v>792914</v>
      </c>
      <c r="D94" s="1129">
        <f t="shared" si="9"/>
        <v>0</v>
      </c>
      <c r="E94" s="1129">
        <v>0</v>
      </c>
      <c r="F94" s="1140">
        <v>0</v>
      </c>
      <c r="G94" s="1129">
        <v>0</v>
      </c>
      <c r="H94" s="1200">
        <v>0</v>
      </c>
      <c r="I94" s="1200">
        <v>0</v>
      </c>
      <c r="J94" s="1200">
        <v>0</v>
      </c>
      <c r="K94" s="1136">
        <v>0</v>
      </c>
      <c r="L94" s="1129">
        <v>0</v>
      </c>
      <c r="M94" s="1136">
        <v>0</v>
      </c>
      <c r="N94" s="1129">
        <v>0</v>
      </c>
      <c r="O94" s="1200">
        <v>497</v>
      </c>
      <c r="P94" s="1200">
        <v>682578</v>
      </c>
      <c r="Q94" s="1129">
        <v>0</v>
      </c>
      <c r="R94" s="1129">
        <v>0</v>
      </c>
      <c r="S94" s="1200">
        <v>680</v>
      </c>
      <c r="T94" s="1200">
        <v>110336</v>
      </c>
      <c r="U94" s="1129">
        <v>0</v>
      </c>
      <c r="V94" s="1129">
        <v>0</v>
      </c>
      <c r="W94" s="1129">
        <v>0</v>
      </c>
      <c r="X94" s="1129">
        <v>0</v>
      </c>
      <c r="Y94" s="1129">
        <v>0</v>
      </c>
    </row>
    <row r="95" spans="1:25" s="1141" customFormat="1" ht="66.599999999999994" customHeight="1">
      <c r="A95" s="1138">
        <v>85</v>
      </c>
      <c r="B95" s="1128" t="s">
        <v>2001</v>
      </c>
      <c r="C95" s="1129">
        <f t="shared" ref="C95" si="10">D95+N95+P95+R95+T95+V95+X95</f>
        <v>1084011</v>
      </c>
      <c r="D95" s="1129">
        <f t="shared" ref="D95" si="11">SUM(E95:J95)</f>
        <v>0</v>
      </c>
      <c r="E95" s="1129">
        <v>0</v>
      </c>
      <c r="F95" s="1140">
        <v>0</v>
      </c>
      <c r="G95" s="1129">
        <v>0</v>
      </c>
      <c r="H95" s="1200">
        <v>0</v>
      </c>
      <c r="I95" s="1200">
        <v>0</v>
      </c>
      <c r="J95" s="1200">
        <v>0</v>
      </c>
      <c r="K95" s="1136">
        <v>0</v>
      </c>
      <c r="L95" s="1129">
        <v>0</v>
      </c>
      <c r="M95" s="1136">
        <v>0</v>
      </c>
      <c r="N95" s="1129">
        <v>0</v>
      </c>
      <c r="O95" s="1202">
        <v>1064</v>
      </c>
      <c r="P95" s="1202">
        <v>1084011</v>
      </c>
      <c r="Q95" s="1129">
        <v>0</v>
      </c>
      <c r="R95" s="1129">
        <v>0</v>
      </c>
      <c r="S95" s="1200">
        <v>0</v>
      </c>
      <c r="T95" s="1200">
        <v>0</v>
      </c>
      <c r="U95" s="1129">
        <v>0</v>
      </c>
      <c r="V95" s="1129">
        <v>0</v>
      </c>
      <c r="W95" s="1129">
        <v>0</v>
      </c>
      <c r="X95" s="1129">
        <v>0</v>
      </c>
      <c r="Y95" s="1129">
        <v>0</v>
      </c>
    </row>
    <row r="96" spans="1:25" s="1141" customFormat="1" ht="93.6" customHeight="1">
      <c r="A96" s="1280"/>
      <c r="B96" s="1128" t="s">
        <v>1059</v>
      </c>
      <c r="C96" s="1129">
        <f>SUM(C97:C130)</f>
        <v>77767080.439999983</v>
      </c>
      <c r="D96" s="1129">
        <f t="shared" ref="D96:Y96" si="12">SUM(D97:D130)</f>
        <v>979374.29</v>
      </c>
      <c r="E96" s="1129">
        <f t="shared" si="12"/>
        <v>784303.03</v>
      </c>
      <c r="F96" s="1129">
        <f t="shared" si="12"/>
        <v>0</v>
      </c>
      <c r="G96" s="1129">
        <f t="shared" si="12"/>
        <v>0</v>
      </c>
      <c r="H96" s="1129">
        <f t="shared" si="12"/>
        <v>0</v>
      </c>
      <c r="I96" s="1129">
        <f t="shared" si="12"/>
        <v>0</v>
      </c>
      <c r="J96" s="1129">
        <f t="shared" si="12"/>
        <v>195071.26</v>
      </c>
      <c r="K96" s="1136">
        <f t="shared" si="12"/>
        <v>0</v>
      </c>
      <c r="L96" s="1129">
        <f t="shared" si="12"/>
        <v>0</v>
      </c>
      <c r="M96" s="1136">
        <f t="shared" si="12"/>
        <v>0</v>
      </c>
      <c r="N96" s="1129">
        <f t="shared" si="12"/>
        <v>0</v>
      </c>
      <c r="O96" s="1129">
        <f t="shared" si="12"/>
        <v>15129.080000000004</v>
      </c>
      <c r="P96" s="1129">
        <f t="shared" si="12"/>
        <v>62766193.909999989</v>
      </c>
      <c r="Q96" s="1129">
        <f t="shared" si="12"/>
        <v>0</v>
      </c>
      <c r="R96" s="1129">
        <f t="shared" si="12"/>
        <v>0</v>
      </c>
      <c r="S96" s="1129">
        <f t="shared" si="12"/>
        <v>2912.8</v>
      </c>
      <c r="T96" s="1129">
        <f t="shared" si="12"/>
        <v>8267414.2400000002</v>
      </c>
      <c r="U96" s="1129">
        <f t="shared" si="12"/>
        <v>0</v>
      </c>
      <c r="V96" s="1129">
        <f t="shared" si="12"/>
        <v>0</v>
      </c>
      <c r="W96" s="1129">
        <f t="shared" si="12"/>
        <v>0</v>
      </c>
      <c r="X96" s="1129">
        <f t="shared" si="12"/>
        <v>5754098</v>
      </c>
      <c r="Y96" s="1129">
        <f t="shared" si="12"/>
        <v>0</v>
      </c>
    </row>
    <row r="97" spans="1:25" s="1141" customFormat="1" ht="166.15" customHeight="1">
      <c r="A97" s="1280">
        <v>86</v>
      </c>
      <c r="B97" s="1139" t="s">
        <v>3004</v>
      </c>
      <c r="C97" s="1129">
        <f t="shared" ref="C97:C123" si="13">D97+N97+P97+R97+T97+V97+X97</f>
        <v>1479441.23</v>
      </c>
      <c r="D97" s="1129">
        <f t="shared" ref="D97:D123" si="14">SUM(E97:J97)</f>
        <v>0</v>
      </c>
      <c r="E97" s="1145">
        <v>0</v>
      </c>
      <c r="F97" s="1145">
        <v>0</v>
      </c>
      <c r="G97" s="1145">
        <v>0</v>
      </c>
      <c r="H97" s="1145">
        <v>0</v>
      </c>
      <c r="I97" s="1145">
        <v>0</v>
      </c>
      <c r="J97" s="1145">
        <v>0</v>
      </c>
      <c r="K97" s="1136">
        <v>0</v>
      </c>
      <c r="L97" s="1145">
        <v>0</v>
      </c>
      <c r="M97" s="1136">
        <v>0</v>
      </c>
      <c r="N97" s="1145">
        <v>0</v>
      </c>
      <c r="O97" s="1145">
        <v>347</v>
      </c>
      <c r="P97" s="1146">
        <v>1371982.27</v>
      </c>
      <c r="Q97" s="1147">
        <v>0</v>
      </c>
      <c r="R97" s="1146">
        <v>0</v>
      </c>
      <c r="S97" s="1146">
        <v>0</v>
      </c>
      <c r="T97" s="1146">
        <v>0</v>
      </c>
      <c r="U97" s="1146">
        <v>0</v>
      </c>
      <c r="V97" s="1146">
        <v>0</v>
      </c>
      <c r="W97" s="1129">
        <v>0</v>
      </c>
      <c r="X97" s="1146">
        <v>107458.96</v>
      </c>
      <c r="Y97" s="1146">
        <v>0</v>
      </c>
    </row>
    <row r="98" spans="1:25" s="1141" customFormat="1" ht="131.44999999999999" customHeight="1">
      <c r="A98" s="1280">
        <v>87</v>
      </c>
      <c r="B98" s="1139" t="s">
        <v>2321</v>
      </c>
      <c r="C98" s="1129">
        <f t="shared" si="13"/>
        <v>1517751.23</v>
      </c>
      <c r="D98" s="1129">
        <f t="shared" si="14"/>
        <v>0</v>
      </c>
      <c r="E98" s="1145">
        <v>0</v>
      </c>
      <c r="F98" s="1145">
        <v>0</v>
      </c>
      <c r="G98" s="1145">
        <v>0</v>
      </c>
      <c r="H98" s="1145">
        <v>0</v>
      </c>
      <c r="I98" s="1145">
        <v>0</v>
      </c>
      <c r="J98" s="1145">
        <v>0</v>
      </c>
      <c r="K98" s="1136">
        <v>0</v>
      </c>
      <c r="L98" s="1145">
        <v>0</v>
      </c>
      <c r="M98" s="1136">
        <v>0</v>
      </c>
      <c r="N98" s="1145">
        <v>0</v>
      </c>
      <c r="O98" s="1145">
        <v>420</v>
      </c>
      <c r="P98" s="1146">
        <v>1407509.63</v>
      </c>
      <c r="Q98" s="1147">
        <v>0</v>
      </c>
      <c r="R98" s="1146">
        <v>0</v>
      </c>
      <c r="S98" s="1146">
        <v>0</v>
      </c>
      <c r="T98" s="1146">
        <v>0</v>
      </c>
      <c r="U98" s="1146">
        <v>0</v>
      </c>
      <c r="V98" s="1146">
        <v>0</v>
      </c>
      <c r="W98" s="1129">
        <v>0</v>
      </c>
      <c r="X98" s="1146">
        <v>110241.60000000001</v>
      </c>
      <c r="Y98" s="1146">
        <v>0</v>
      </c>
    </row>
    <row r="99" spans="1:25" s="1141" customFormat="1" ht="135" customHeight="1">
      <c r="A99" s="1280">
        <v>88</v>
      </c>
      <c r="B99" s="1139" t="s">
        <v>2322</v>
      </c>
      <c r="C99" s="1129">
        <f t="shared" si="13"/>
        <v>1534866.98</v>
      </c>
      <c r="D99" s="1129">
        <f t="shared" si="14"/>
        <v>0</v>
      </c>
      <c r="E99" s="1145">
        <v>0</v>
      </c>
      <c r="F99" s="1145">
        <v>0</v>
      </c>
      <c r="G99" s="1145">
        <v>0</v>
      </c>
      <c r="H99" s="1145">
        <v>0</v>
      </c>
      <c r="I99" s="1145">
        <v>0</v>
      </c>
      <c r="J99" s="1145">
        <v>0</v>
      </c>
      <c r="K99" s="1136">
        <v>0</v>
      </c>
      <c r="L99" s="1145">
        <v>0</v>
      </c>
      <c r="M99" s="1136">
        <v>0</v>
      </c>
      <c r="N99" s="1145">
        <v>0</v>
      </c>
      <c r="O99" s="1145">
        <v>360</v>
      </c>
      <c r="P99" s="1146">
        <v>1423382.18</v>
      </c>
      <c r="Q99" s="1147">
        <v>0</v>
      </c>
      <c r="R99" s="1146">
        <v>0</v>
      </c>
      <c r="S99" s="1146">
        <v>0</v>
      </c>
      <c r="T99" s="1146">
        <v>0</v>
      </c>
      <c r="U99" s="1146">
        <v>0</v>
      </c>
      <c r="V99" s="1146">
        <v>0</v>
      </c>
      <c r="W99" s="1129">
        <v>0</v>
      </c>
      <c r="X99" s="1146">
        <v>111484.8</v>
      </c>
      <c r="Y99" s="1146">
        <v>0</v>
      </c>
    </row>
    <row r="100" spans="1:25" s="1141" customFormat="1" ht="126.6" customHeight="1">
      <c r="A100" s="1280">
        <v>89</v>
      </c>
      <c r="B100" s="1139" t="s">
        <v>2817</v>
      </c>
      <c r="C100" s="1129">
        <f t="shared" si="13"/>
        <v>4303305.09</v>
      </c>
      <c r="D100" s="1129">
        <f t="shared" si="14"/>
        <v>0</v>
      </c>
      <c r="E100" s="1145">
        <v>0</v>
      </c>
      <c r="F100" s="1145">
        <v>0</v>
      </c>
      <c r="G100" s="1145">
        <v>0</v>
      </c>
      <c r="H100" s="1145">
        <v>0</v>
      </c>
      <c r="I100" s="1145">
        <v>0</v>
      </c>
      <c r="J100" s="1145">
        <v>0</v>
      </c>
      <c r="K100" s="1136">
        <v>0</v>
      </c>
      <c r="L100" s="1145">
        <v>0</v>
      </c>
      <c r="M100" s="1136">
        <v>0</v>
      </c>
      <c r="N100" s="1145">
        <v>0</v>
      </c>
      <c r="O100" s="1145">
        <v>1050</v>
      </c>
      <c r="P100" s="1146">
        <v>4045173.09</v>
      </c>
      <c r="Q100" s="1147">
        <v>0</v>
      </c>
      <c r="R100" s="1146">
        <v>0</v>
      </c>
      <c r="S100" s="1146">
        <v>0</v>
      </c>
      <c r="T100" s="1146">
        <v>0</v>
      </c>
      <c r="U100" s="1146">
        <v>0</v>
      </c>
      <c r="V100" s="1146">
        <v>0</v>
      </c>
      <c r="W100" s="1129">
        <v>0</v>
      </c>
      <c r="X100" s="1146">
        <v>258132</v>
      </c>
      <c r="Y100" s="1146">
        <v>0</v>
      </c>
    </row>
    <row r="101" spans="1:25" s="1141" customFormat="1" ht="94.9" customHeight="1">
      <c r="A101" s="1280">
        <v>90</v>
      </c>
      <c r="B101" s="1139" t="s">
        <v>2032</v>
      </c>
      <c r="C101" s="1129">
        <f t="shared" si="13"/>
        <v>1591955.51</v>
      </c>
      <c r="D101" s="1129">
        <f t="shared" si="14"/>
        <v>0</v>
      </c>
      <c r="E101" s="1145">
        <v>0</v>
      </c>
      <c r="F101" s="1145">
        <v>0</v>
      </c>
      <c r="G101" s="1145">
        <v>0</v>
      </c>
      <c r="H101" s="1145">
        <v>0</v>
      </c>
      <c r="I101" s="1145">
        <v>0</v>
      </c>
      <c r="J101" s="1145">
        <v>0</v>
      </c>
      <c r="K101" s="1136">
        <v>0</v>
      </c>
      <c r="L101" s="1145">
        <v>0</v>
      </c>
      <c r="M101" s="1136">
        <v>0</v>
      </c>
      <c r="N101" s="1145">
        <v>0</v>
      </c>
      <c r="O101" s="1145">
        <v>373.39</v>
      </c>
      <c r="P101" s="1146">
        <v>1476324.09</v>
      </c>
      <c r="Q101" s="1147">
        <v>0</v>
      </c>
      <c r="R101" s="1146">
        <v>0</v>
      </c>
      <c r="S101" s="1146">
        <v>0</v>
      </c>
      <c r="T101" s="1146">
        <v>0</v>
      </c>
      <c r="U101" s="1146">
        <v>0</v>
      </c>
      <c r="V101" s="1146">
        <v>0</v>
      </c>
      <c r="W101" s="1129">
        <v>0</v>
      </c>
      <c r="X101" s="1146">
        <v>115631.42</v>
      </c>
      <c r="Y101" s="1146">
        <v>0</v>
      </c>
    </row>
    <row r="102" spans="1:25" s="1141" customFormat="1" ht="96" customHeight="1">
      <c r="A102" s="1280">
        <v>91</v>
      </c>
      <c r="B102" s="1139" t="s">
        <v>2323</v>
      </c>
      <c r="C102" s="1129">
        <f t="shared" si="13"/>
        <v>1908022.8399999999</v>
      </c>
      <c r="D102" s="1129">
        <f t="shared" si="14"/>
        <v>0</v>
      </c>
      <c r="E102" s="1145">
        <v>0</v>
      </c>
      <c r="F102" s="1145">
        <v>0</v>
      </c>
      <c r="G102" s="1145">
        <v>0</v>
      </c>
      <c r="H102" s="1145">
        <v>0</v>
      </c>
      <c r="I102" s="1145">
        <v>0</v>
      </c>
      <c r="J102" s="1145">
        <v>0</v>
      </c>
      <c r="K102" s="1136">
        <v>0</v>
      </c>
      <c r="L102" s="1145">
        <v>0</v>
      </c>
      <c r="M102" s="1136">
        <v>0</v>
      </c>
      <c r="N102" s="1145">
        <v>0</v>
      </c>
      <c r="O102" s="1145">
        <v>0</v>
      </c>
      <c r="P102" s="1146">
        <v>0</v>
      </c>
      <c r="Q102" s="1147">
        <v>0</v>
      </c>
      <c r="R102" s="1146">
        <v>0</v>
      </c>
      <c r="S102" s="1146">
        <v>603.4</v>
      </c>
      <c r="T102" s="1146">
        <v>1769433.93</v>
      </c>
      <c r="U102" s="1146">
        <v>0</v>
      </c>
      <c r="V102" s="1146">
        <v>0</v>
      </c>
      <c r="W102" s="1129">
        <v>0</v>
      </c>
      <c r="X102" s="1146">
        <v>138588.91</v>
      </c>
      <c r="Y102" s="1146">
        <v>0</v>
      </c>
    </row>
    <row r="103" spans="1:25" s="1148" customFormat="1" ht="75" customHeight="1">
      <c r="A103" s="1280">
        <v>92</v>
      </c>
      <c r="B103" s="1139" t="s">
        <v>1499</v>
      </c>
      <c r="C103" s="1129">
        <f t="shared" si="13"/>
        <v>1153472</v>
      </c>
      <c r="D103" s="1129">
        <f t="shared" si="14"/>
        <v>0</v>
      </c>
      <c r="E103" s="1145">
        <v>0</v>
      </c>
      <c r="F103" s="1145">
        <v>0</v>
      </c>
      <c r="G103" s="1145">
        <v>0</v>
      </c>
      <c r="H103" s="1145">
        <v>0</v>
      </c>
      <c r="I103" s="1145">
        <v>0</v>
      </c>
      <c r="J103" s="1145">
        <v>0</v>
      </c>
      <c r="K103" s="1136">
        <v>0</v>
      </c>
      <c r="L103" s="1145">
        <v>0</v>
      </c>
      <c r="M103" s="1136">
        <v>0</v>
      </c>
      <c r="N103" s="1145">
        <v>0</v>
      </c>
      <c r="O103" s="1145">
        <v>340.8</v>
      </c>
      <c r="P103" s="1146">
        <v>1069690</v>
      </c>
      <c r="Q103" s="1147">
        <v>0</v>
      </c>
      <c r="R103" s="1146">
        <v>0</v>
      </c>
      <c r="S103" s="1146">
        <v>0</v>
      </c>
      <c r="T103" s="1146">
        <v>0</v>
      </c>
      <c r="U103" s="1146">
        <v>0</v>
      </c>
      <c r="V103" s="1146">
        <v>0</v>
      </c>
      <c r="W103" s="1129">
        <v>0</v>
      </c>
      <c r="X103" s="1146">
        <v>83782</v>
      </c>
      <c r="Y103" s="1146">
        <v>0</v>
      </c>
    </row>
    <row r="104" spans="1:25" s="1148" customFormat="1" ht="94.9" customHeight="1">
      <c r="A104" s="1280">
        <v>93</v>
      </c>
      <c r="B104" s="1139" t="s">
        <v>2324</v>
      </c>
      <c r="C104" s="1129">
        <f t="shared" si="13"/>
        <v>2132299</v>
      </c>
      <c r="D104" s="1129">
        <f t="shared" si="14"/>
        <v>0</v>
      </c>
      <c r="E104" s="1145">
        <v>0</v>
      </c>
      <c r="F104" s="1145">
        <v>0</v>
      </c>
      <c r="G104" s="1145">
        <v>0</v>
      </c>
      <c r="H104" s="1145">
        <v>0</v>
      </c>
      <c r="I104" s="1145">
        <v>0</v>
      </c>
      <c r="J104" s="1145">
        <v>0</v>
      </c>
      <c r="K104" s="1136">
        <v>0</v>
      </c>
      <c r="L104" s="1145">
        <v>0</v>
      </c>
      <c r="M104" s="1136">
        <v>0</v>
      </c>
      <c r="N104" s="1145">
        <v>0</v>
      </c>
      <c r="O104" s="1145">
        <v>630</v>
      </c>
      <c r="P104" s="1146">
        <v>1977420</v>
      </c>
      <c r="Q104" s="1147">
        <v>0</v>
      </c>
      <c r="R104" s="1146">
        <v>0</v>
      </c>
      <c r="S104" s="1146">
        <v>0</v>
      </c>
      <c r="T104" s="1146">
        <v>0</v>
      </c>
      <c r="U104" s="1146">
        <v>0</v>
      </c>
      <c r="V104" s="1146">
        <v>0</v>
      </c>
      <c r="W104" s="1129">
        <v>0</v>
      </c>
      <c r="X104" s="1146">
        <v>154879</v>
      </c>
      <c r="Y104" s="1146">
        <v>0</v>
      </c>
    </row>
    <row r="105" spans="1:25" s="1148" customFormat="1" ht="103.15" customHeight="1">
      <c r="A105" s="1280">
        <v>94</v>
      </c>
      <c r="B105" s="1139" t="s">
        <v>2325</v>
      </c>
      <c r="C105" s="1129">
        <f t="shared" si="13"/>
        <v>6875521.4700000007</v>
      </c>
      <c r="D105" s="1129">
        <f t="shared" si="14"/>
        <v>0</v>
      </c>
      <c r="E105" s="1145">
        <v>0</v>
      </c>
      <c r="F105" s="1145">
        <v>0</v>
      </c>
      <c r="G105" s="1145">
        <v>0</v>
      </c>
      <c r="H105" s="1145">
        <v>0</v>
      </c>
      <c r="I105" s="1145">
        <v>0</v>
      </c>
      <c r="J105" s="1145">
        <v>0</v>
      </c>
      <c r="K105" s="1136">
        <v>0</v>
      </c>
      <c r="L105" s="1145">
        <v>0</v>
      </c>
      <c r="M105" s="1136">
        <v>0</v>
      </c>
      <c r="N105" s="1145">
        <v>0</v>
      </c>
      <c r="O105" s="1145">
        <v>1106.78</v>
      </c>
      <c r="P105" s="1146">
        <v>6374004.5700000003</v>
      </c>
      <c r="Q105" s="1147">
        <v>0</v>
      </c>
      <c r="R105" s="1146">
        <v>0</v>
      </c>
      <c r="S105" s="1146">
        <v>0</v>
      </c>
      <c r="T105" s="1146">
        <v>0</v>
      </c>
      <c r="U105" s="1146">
        <v>0</v>
      </c>
      <c r="V105" s="1146">
        <v>0</v>
      </c>
      <c r="W105" s="1129">
        <v>0</v>
      </c>
      <c r="X105" s="1146">
        <v>501516.9</v>
      </c>
      <c r="Y105" s="1146">
        <v>0</v>
      </c>
    </row>
    <row r="106" spans="1:25" s="1148" customFormat="1" ht="86.45" customHeight="1">
      <c r="A106" s="1280">
        <v>95</v>
      </c>
      <c r="B106" s="1139" t="s">
        <v>2326</v>
      </c>
      <c r="C106" s="1129">
        <f t="shared" si="13"/>
        <v>740536.54999999993</v>
      </c>
      <c r="D106" s="1129">
        <f t="shared" si="14"/>
        <v>0</v>
      </c>
      <c r="E106" s="1145">
        <v>0</v>
      </c>
      <c r="F106" s="1145">
        <v>0</v>
      </c>
      <c r="G106" s="1145">
        <v>0</v>
      </c>
      <c r="H106" s="1145">
        <v>0</v>
      </c>
      <c r="I106" s="1145">
        <v>0</v>
      </c>
      <c r="J106" s="1145">
        <v>0</v>
      </c>
      <c r="K106" s="1136">
        <v>0</v>
      </c>
      <c r="L106" s="1145">
        <v>0</v>
      </c>
      <c r="M106" s="1136">
        <v>0</v>
      </c>
      <c r="N106" s="1145">
        <v>0</v>
      </c>
      <c r="O106" s="1145">
        <v>202.76</v>
      </c>
      <c r="P106" s="1146">
        <v>686669.69</v>
      </c>
      <c r="Q106" s="1147">
        <v>0</v>
      </c>
      <c r="R106" s="1146">
        <v>0</v>
      </c>
      <c r="S106" s="1146">
        <v>0</v>
      </c>
      <c r="T106" s="1146">
        <v>0</v>
      </c>
      <c r="U106" s="1146">
        <v>0</v>
      </c>
      <c r="V106" s="1146">
        <v>0</v>
      </c>
      <c r="W106" s="1129">
        <v>0</v>
      </c>
      <c r="X106" s="1146">
        <v>53866.86</v>
      </c>
      <c r="Y106" s="1146">
        <v>0</v>
      </c>
    </row>
    <row r="107" spans="1:25" s="1148" customFormat="1" ht="129" customHeight="1">
      <c r="A107" s="1280">
        <v>96</v>
      </c>
      <c r="B107" s="1139" t="s">
        <v>3005</v>
      </c>
      <c r="C107" s="1129">
        <f t="shared" si="13"/>
        <v>117262</v>
      </c>
      <c r="D107" s="1129">
        <f t="shared" si="14"/>
        <v>0</v>
      </c>
      <c r="E107" s="1145">
        <v>0</v>
      </c>
      <c r="F107" s="1145">
        <v>0</v>
      </c>
      <c r="G107" s="1145">
        <v>0</v>
      </c>
      <c r="H107" s="1145">
        <v>0</v>
      </c>
      <c r="I107" s="1145">
        <v>0</v>
      </c>
      <c r="J107" s="1145">
        <v>0</v>
      </c>
      <c r="K107" s="1136">
        <v>0</v>
      </c>
      <c r="L107" s="1145">
        <v>0</v>
      </c>
      <c r="M107" s="1136">
        <v>0</v>
      </c>
      <c r="N107" s="1145">
        <v>0</v>
      </c>
      <c r="O107" s="1145">
        <v>0</v>
      </c>
      <c r="P107" s="1146">
        <v>0</v>
      </c>
      <c r="Q107" s="1147">
        <v>0</v>
      </c>
      <c r="R107" s="1146">
        <v>0</v>
      </c>
      <c r="S107" s="1146">
        <v>0</v>
      </c>
      <c r="T107" s="1146">
        <v>0</v>
      </c>
      <c r="U107" s="1146">
        <v>0</v>
      </c>
      <c r="V107" s="1146">
        <v>0</v>
      </c>
      <c r="W107" s="1129">
        <v>0</v>
      </c>
      <c r="X107" s="1146">
        <v>117262</v>
      </c>
      <c r="Y107" s="1146">
        <v>0</v>
      </c>
    </row>
    <row r="108" spans="1:25" s="1148" customFormat="1" ht="93.6" customHeight="1">
      <c r="A108" s="1280">
        <v>97</v>
      </c>
      <c r="B108" s="1139" t="s">
        <v>2327</v>
      </c>
      <c r="C108" s="1129">
        <f t="shared" si="13"/>
        <v>2568914</v>
      </c>
      <c r="D108" s="1129">
        <f t="shared" si="14"/>
        <v>0</v>
      </c>
      <c r="E108" s="1145">
        <v>0</v>
      </c>
      <c r="F108" s="1145">
        <v>0</v>
      </c>
      <c r="G108" s="1145">
        <v>0</v>
      </c>
      <c r="H108" s="1145">
        <v>0</v>
      </c>
      <c r="I108" s="1145">
        <v>0</v>
      </c>
      <c r="J108" s="1145">
        <v>0</v>
      </c>
      <c r="K108" s="1136">
        <v>0</v>
      </c>
      <c r="L108" s="1145">
        <v>0</v>
      </c>
      <c r="M108" s="1136">
        <v>0</v>
      </c>
      <c r="N108" s="1145">
        <v>0</v>
      </c>
      <c r="O108" s="1145">
        <v>759</v>
      </c>
      <c r="P108" s="1146">
        <v>2382321</v>
      </c>
      <c r="Q108" s="1147">
        <v>0</v>
      </c>
      <c r="R108" s="1146">
        <v>0</v>
      </c>
      <c r="S108" s="1146">
        <v>0</v>
      </c>
      <c r="T108" s="1146">
        <v>0</v>
      </c>
      <c r="U108" s="1146">
        <v>0</v>
      </c>
      <c r="V108" s="1146">
        <v>0</v>
      </c>
      <c r="W108" s="1129">
        <v>0</v>
      </c>
      <c r="X108" s="1146">
        <v>186593</v>
      </c>
      <c r="Y108" s="1146">
        <v>0</v>
      </c>
    </row>
    <row r="109" spans="1:25" s="1148" customFormat="1" ht="91.15" customHeight="1">
      <c r="A109" s="1280">
        <v>98</v>
      </c>
      <c r="B109" s="1139" t="s">
        <v>2328</v>
      </c>
      <c r="C109" s="1129">
        <f t="shared" si="13"/>
        <v>1086458</v>
      </c>
      <c r="D109" s="1129">
        <f t="shared" si="14"/>
        <v>0</v>
      </c>
      <c r="E109" s="1145">
        <v>0</v>
      </c>
      <c r="F109" s="1145">
        <v>0</v>
      </c>
      <c r="G109" s="1145">
        <v>0</v>
      </c>
      <c r="H109" s="1145">
        <v>0</v>
      </c>
      <c r="I109" s="1145">
        <v>0</v>
      </c>
      <c r="J109" s="1145">
        <v>0</v>
      </c>
      <c r="K109" s="1136">
        <v>0</v>
      </c>
      <c r="L109" s="1145">
        <v>0</v>
      </c>
      <c r="M109" s="1136">
        <v>0</v>
      </c>
      <c r="N109" s="1145">
        <v>0</v>
      </c>
      <c r="O109" s="1145">
        <v>321</v>
      </c>
      <c r="P109" s="1146">
        <v>1007543</v>
      </c>
      <c r="Q109" s="1147">
        <v>0</v>
      </c>
      <c r="R109" s="1146">
        <v>0</v>
      </c>
      <c r="S109" s="1146">
        <v>0</v>
      </c>
      <c r="T109" s="1146">
        <v>0</v>
      </c>
      <c r="U109" s="1146">
        <v>0</v>
      </c>
      <c r="V109" s="1146">
        <v>0</v>
      </c>
      <c r="W109" s="1129">
        <v>0</v>
      </c>
      <c r="X109" s="1146">
        <v>78915</v>
      </c>
      <c r="Y109" s="1146">
        <v>0</v>
      </c>
    </row>
    <row r="110" spans="1:25" s="1148" customFormat="1" ht="94.9" customHeight="1">
      <c r="A110" s="1280">
        <v>99</v>
      </c>
      <c r="B110" s="1139" t="s">
        <v>2329</v>
      </c>
      <c r="C110" s="1129">
        <f t="shared" si="13"/>
        <v>3316910</v>
      </c>
      <c r="D110" s="1129">
        <f t="shared" si="14"/>
        <v>0</v>
      </c>
      <c r="E110" s="1145">
        <v>0</v>
      </c>
      <c r="F110" s="1145">
        <v>0</v>
      </c>
      <c r="G110" s="1145">
        <v>0</v>
      </c>
      <c r="H110" s="1145">
        <v>0</v>
      </c>
      <c r="I110" s="1145">
        <v>0</v>
      </c>
      <c r="J110" s="1145">
        <v>0</v>
      </c>
      <c r="K110" s="1136">
        <v>0</v>
      </c>
      <c r="L110" s="1145">
        <v>0</v>
      </c>
      <c r="M110" s="1136">
        <v>0</v>
      </c>
      <c r="N110" s="1145">
        <v>0</v>
      </c>
      <c r="O110" s="1145">
        <v>980</v>
      </c>
      <c r="P110" s="1146">
        <v>3075987</v>
      </c>
      <c r="Q110" s="1147">
        <v>0</v>
      </c>
      <c r="R110" s="1146">
        <v>0</v>
      </c>
      <c r="S110" s="1146">
        <v>0</v>
      </c>
      <c r="T110" s="1146">
        <v>0</v>
      </c>
      <c r="U110" s="1146">
        <v>0</v>
      </c>
      <c r="V110" s="1146">
        <v>0</v>
      </c>
      <c r="W110" s="1129">
        <v>0</v>
      </c>
      <c r="X110" s="1146">
        <v>240923</v>
      </c>
      <c r="Y110" s="1146">
        <v>0</v>
      </c>
    </row>
    <row r="111" spans="1:25" s="1148" customFormat="1" ht="124.5" customHeight="1">
      <c r="A111" s="1280">
        <v>100</v>
      </c>
      <c r="B111" s="1139" t="s">
        <v>2310</v>
      </c>
      <c r="C111" s="1129">
        <f t="shared" si="13"/>
        <v>1678763</v>
      </c>
      <c r="D111" s="1129">
        <f t="shared" si="14"/>
        <v>0</v>
      </c>
      <c r="E111" s="1145">
        <v>0</v>
      </c>
      <c r="F111" s="1145">
        <v>0</v>
      </c>
      <c r="G111" s="1145">
        <v>0</v>
      </c>
      <c r="H111" s="1145">
        <v>0</v>
      </c>
      <c r="I111" s="1145">
        <v>0</v>
      </c>
      <c r="J111" s="1145">
        <v>0</v>
      </c>
      <c r="K111" s="1136">
        <v>0</v>
      </c>
      <c r="L111" s="1145">
        <v>0</v>
      </c>
      <c r="M111" s="1136">
        <v>0</v>
      </c>
      <c r="N111" s="1145">
        <v>0</v>
      </c>
      <c r="O111" s="1145">
        <v>496</v>
      </c>
      <c r="P111" s="1146">
        <v>1556826</v>
      </c>
      <c r="Q111" s="1147">
        <v>0</v>
      </c>
      <c r="R111" s="1146">
        <v>0</v>
      </c>
      <c r="S111" s="1146">
        <v>0</v>
      </c>
      <c r="T111" s="1146">
        <v>0</v>
      </c>
      <c r="U111" s="1146">
        <v>0</v>
      </c>
      <c r="V111" s="1146">
        <v>0</v>
      </c>
      <c r="W111" s="1129">
        <v>0</v>
      </c>
      <c r="X111" s="1146">
        <v>121937</v>
      </c>
      <c r="Y111" s="1146">
        <v>0</v>
      </c>
    </row>
    <row r="112" spans="1:25" s="1148" customFormat="1" ht="90" customHeight="1">
      <c r="A112" s="1280">
        <v>101</v>
      </c>
      <c r="B112" s="1139" t="s">
        <v>2330</v>
      </c>
      <c r="C112" s="1129">
        <f t="shared" si="13"/>
        <v>1020657.3400000001</v>
      </c>
      <c r="D112" s="1129">
        <f t="shared" si="14"/>
        <v>0</v>
      </c>
      <c r="E112" s="1145">
        <v>0</v>
      </c>
      <c r="F112" s="1145">
        <v>0</v>
      </c>
      <c r="G112" s="1145">
        <v>0</v>
      </c>
      <c r="H112" s="1145">
        <v>0</v>
      </c>
      <c r="I112" s="1145">
        <v>0</v>
      </c>
      <c r="J112" s="1145">
        <v>0</v>
      </c>
      <c r="K112" s="1136">
        <v>0</v>
      </c>
      <c r="L112" s="1145">
        <v>0</v>
      </c>
      <c r="M112" s="1136">
        <v>0</v>
      </c>
      <c r="N112" s="1145">
        <v>0</v>
      </c>
      <c r="O112" s="1145">
        <v>277.79000000000002</v>
      </c>
      <c r="P112" s="1146">
        <v>946406.28</v>
      </c>
      <c r="Q112" s="1147">
        <v>0</v>
      </c>
      <c r="R112" s="1146">
        <v>0</v>
      </c>
      <c r="S112" s="1146">
        <v>0</v>
      </c>
      <c r="T112" s="1146">
        <v>0</v>
      </c>
      <c r="U112" s="1146">
        <v>0</v>
      </c>
      <c r="V112" s="1146">
        <v>0</v>
      </c>
      <c r="W112" s="1129">
        <v>0</v>
      </c>
      <c r="X112" s="1146">
        <v>74251.06</v>
      </c>
      <c r="Y112" s="1146">
        <v>0</v>
      </c>
    </row>
    <row r="113" spans="1:25" s="1148" customFormat="1" ht="93.6" customHeight="1">
      <c r="A113" s="1280">
        <v>102</v>
      </c>
      <c r="B113" s="1139" t="s">
        <v>2331</v>
      </c>
      <c r="C113" s="1129">
        <f t="shared" si="13"/>
        <v>796854.09</v>
      </c>
      <c r="D113" s="1129">
        <f t="shared" si="14"/>
        <v>0</v>
      </c>
      <c r="E113" s="1145">
        <v>0</v>
      </c>
      <c r="F113" s="1145">
        <v>0</v>
      </c>
      <c r="G113" s="1145">
        <v>0</v>
      </c>
      <c r="H113" s="1145">
        <v>0</v>
      </c>
      <c r="I113" s="1145">
        <v>0</v>
      </c>
      <c r="J113" s="1145">
        <v>0</v>
      </c>
      <c r="K113" s="1136">
        <v>0</v>
      </c>
      <c r="L113" s="1145">
        <v>0</v>
      </c>
      <c r="M113" s="1136">
        <v>0</v>
      </c>
      <c r="N113" s="1145">
        <v>0</v>
      </c>
      <c r="O113" s="1145">
        <v>0</v>
      </c>
      <c r="P113" s="1146">
        <v>0</v>
      </c>
      <c r="Q113" s="1147">
        <v>0</v>
      </c>
      <c r="R113" s="1146">
        <v>0</v>
      </c>
      <c r="S113" s="1146">
        <v>252</v>
      </c>
      <c r="T113" s="1146">
        <v>738974.73</v>
      </c>
      <c r="U113" s="1146">
        <v>0</v>
      </c>
      <c r="V113" s="1146">
        <v>0</v>
      </c>
      <c r="W113" s="1129">
        <v>0</v>
      </c>
      <c r="X113" s="1146">
        <v>57879.360000000001</v>
      </c>
      <c r="Y113" s="1146">
        <v>0</v>
      </c>
    </row>
    <row r="114" spans="1:25" s="1148" customFormat="1" ht="136.15" customHeight="1">
      <c r="A114" s="1280">
        <v>103</v>
      </c>
      <c r="B114" s="1139" t="s">
        <v>3006</v>
      </c>
      <c r="C114" s="1129">
        <f t="shared" si="13"/>
        <v>60901</v>
      </c>
      <c r="D114" s="1129">
        <f t="shared" si="14"/>
        <v>0</v>
      </c>
      <c r="E114" s="1145">
        <v>0</v>
      </c>
      <c r="F114" s="1145">
        <v>0</v>
      </c>
      <c r="G114" s="1145">
        <v>0</v>
      </c>
      <c r="H114" s="1145">
        <v>0</v>
      </c>
      <c r="I114" s="1145">
        <v>0</v>
      </c>
      <c r="J114" s="1145">
        <v>0</v>
      </c>
      <c r="K114" s="1136">
        <v>0</v>
      </c>
      <c r="L114" s="1145">
        <v>0</v>
      </c>
      <c r="M114" s="1136">
        <v>0</v>
      </c>
      <c r="N114" s="1145">
        <v>0</v>
      </c>
      <c r="O114" s="1145">
        <v>0</v>
      </c>
      <c r="P114" s="1146">
        <v>0</v>
      </c>
      <c r="Q114" s="1147">
        <v>0</v>
      </c>
      <c r="R114" s="1146">
        <v>0</v>
      </c>
      <c r="S114" s="1146">
        <v>0</v>
      </c>
      <c r="T114" s="1146">
        <v>0</v>
      </c>
      <c r="U114" s="1146">
        <v>0</v>
      </c>
      <c r="V114" s="1146">
        <v>0</v>
      </c>
      <c r="W114" s="1129">
        <v>0</v>
      </c>
      <c r="X114" s="1146">
        <v>60901</v>
      </c>
      <c r="Y114" s="1146">
        <v>0</v>
      </c>
    </row>
    <row r="115" spans="1:25" s="1148" customFormat="1" ht="90" customHeight="1">
      <c r="A115" s="1280">
        <v>104</v>
      </c>
      <c r="B115" s="1139" t="s">
        <v>2332</v>
      </c>
      <c r="C115" s="1129">
        <f t="shared" si="13"/>
        <v>4640094.01</v>
      </c>
      <c r="D115" s="1129">
        <f t="shared" si="14"/>
        <v>0</v>
      </c>
      <c r="E115" s="1145">
        <v>0</v>
      </c>
      <c r="F115" s="1145">
        <v>0</v>
      </c>
      <c r="G115" s="1145">
        <v>0</v>
      </c>
      <c r="H115" s="1145">
        <v>0</v>
      </c>
      <c r="I115" s="1145">
        <v>0</v>
      </c>
      <c r="J115" s="1145">
        <v>0</v>
      </c>
      <c r="K115" s="1136">
        <v>0</v>
      </c>
      <c r="L115" s="1145">
        <v>0</v>
      </c>
      <c r="M115" s="1136">
        <v>0</v>
      </c>
      <c r="N115" s="1145">
        <v>0</v>
      </c>
      <c r="O115" s="1145">
        <v>0</v>
      </c>
      <c r="P115" s="1146">
        <v>0</v>
      </c>
      <c r="Q115" s="1147">
        <v>0</v>
      </c>
      <c r="R115" s="1146">
        <v>0</v>
      </c>
      <c r="S115" s="1146">
        <v>1467.4</v>
      </c>
      <c r="T115" s="1146">
        <v>4303061.58</v>
      </c>
      <c r="U115" s="1146">
        <v>0</v>
      </c>
      <c r="V115" s="1146">
        <v>0</v>
      </c>
      <c r="W115" s="1129">
        <v>0</v>
      </c>
      <c r="X115" s="1146">
        <v>337032.43</v>
      </c>
      <c r="Y115" s="1146">
        <v>0</v>
      </c>
    </row>
    <row r="116" spans="1:25" s="1148" customFormat="1" ht="92.45" customHeight="1">
      <c r="A116" s="1280">
        <v>105</v>
      </c>
      <c r="B116" s="1139" t="s">
        <v>2333</v>
      </c>
      <c r="C116" s="1129">
        <f t="shared" si="13"/>
        <v>2874498.88</v>
      </c>
      <c r="D116" s="1129">
        <f t="shared" si="14"/>
        <v>0</v>
      </c>
      <c r="E116" s="1145">
        <v>0</v>
      </c>
      <c r="F116" s="1145">
        <v>0</v>
      </c>
      <c r="G116" s="1145">
        <v>0</v>
      </c>
      <c r="H116" s="1145">
        <v>0</v>
      </c>
      <c r="I116" s="1145">
        <v>0</v>
      </c>
      <c r="J116" s="1145">
        <v>0</v>
      </c>
      <c r="K116" s="1136">
        <v>0</v>
      </c>
      <c r="L116" s="1145">
        <v>0</v>
      </c>
      <c r="M116" s="1136">
        <v>0</v>
      </c>
      <c r="N116" s="1145">
        <v>0</v>
      </c>
      <c r="O116" s="1145">
        <v>747.7</v>
      </c>
      <c r="P116" s="1146">
        <v>2665215.29</v>
      </c>
      <c r="Q116" s="1147">
        <v>0</v>
      </c>
      <c r="R116" s="1146">
        <v>0</v>
      </c>
      <c r="S116" s="1146">
        <v>0</v>
      </c>
      <c r="T116" s="1146">
        <v>0</v>
      </c>
      <c r="U116" s="1146">
        <v>0</v>
      </c>
      <c r="V116" s="1146">
        <v>0</v>
      </c>
      <c r="W116" s="1129">
        <v>0</v>
      </c>
      <c r="X116" s="1146">
        <v>209283.59</v>
      </c>
      <c r="Y116" s="1146">
        <v>0</v>
      </c>
    </row>
    <row r="117" spans="1:25" s="1148" customFormat="1" ht="92.45" customHeight="1">
      <c r="A117" s="1280">
        <v>106</v>
      </c>
      <c r="B117" s="1139" t="s">
        <v>2334</v>
      </c>
      <c r="C117" s="1129">
        <f t="shared" si="13"/>
        <v>2255106.5500000003</v>
      </c>
      <c r="D117" s="1129">
        <f t="shared" si="14"/>
        <v>0</v>
      </c>
      <c r="E117" s="1145">
        <v>0</v>
      </c>
      <c r="F117" s="1145">
        <v>0</v>
      </c>
      <c r="G117" s="1145">
        <v>0</v>
      </c>
      <c r="H117" s="1145">
        <v>0</v>
      </c>
      <c r="I117" s="1145">
        <v>0</v>
      </c>
      <c r="J117" s="1145">
        <v>0</v>
      </c>
      <c r="K117" s="1136">
        <v>0</v>
      </c>
      <c r="L117" s="1145">
        <v>0</v>
      </c>
      <c r="M117" s="1136">
        <v>0</v>
      </c>
      <c r="N117" s="1145">
        <v>0</v>
      </c>
      <c r="O117" s="1145">
        <v>635.20000000000005</v>
      </c>
      <c r="P117" s="1146">
        <v>2091155.85</v>
      </c>
      <c r="Q117" s="1147">
        <v>0</v>
      </c>
      <c r="R117" s="1146">
        <v>0</v>
      </c>
      <c r="S117" s="1146">
        <v>0</v>
      </c>
      <c r="T117" s="1146">
        <v>0</v>
      </c>
      <c r="U117" s="1146">
        <v>0</v>
      </c>
      <c r="V117" s="1146">
        <v>0</v>
      </c>
      <c r="W117" s="1129">
        <v>0</v>
      </c>
      <c r="X117" s="1146">
        <v>163950.70000000001</v>
      </c>
      <c r="Y117" s="1146">
        <v>0</v>
      </c>
    </row>
    <row r="118" spans="1:25" s="1148" customFormat="1" ht="96" customHeight="1">
      <c r="A118" s="1280">
        <v>107</v>
      </c>
      <c r="B118" s="1139" t="s">
        <v>2335</v>
      </c>
      <c r="C118" s="1129">
        <f t="shared" si="13"/>
        <v>5842347.1699999999</v>
      </c>
      <c r="D118" s="1129">
        <f t="shared" si="14"/>
        <v>0</v>
      </c>
      <c r="E118" s="1145">
        <v>0</v>
      </c>
      <c r="F118" s="1145">
        <v>0</v>
      </c>
      <c r="G118" s="1145">
        <v>0</v>
      </c>
      <c r="H118" s="1145">
        <v>0</v>
      </c>
      <c r="I118" s="1145">
        <v>0</v>
      </c>
      <c r="J118" s="1145">
        <v>0</v>
      </c>
      <c r="K118" s="1136">
        <v>0</v>
      </c>
      <c r="L118" s="1145">
        <v>0</v>
      </c>
      <c r="M118" s="1136">
        <v>0</v>
      </c>
      <c r="N118" s="1145">
        <v>0</v>
      </c>
      <c r="O118" s="1145">
        <v>760.28</v>
      </c>
      <c r="P118" s="1146">
        <v>5417989.29</v>
      </c>
      <c r="Q118" s="1147">
        <v>0</v>
      </c>
      <c r="R118" s="1146">
        <v>0</v>
      </c>
      <c r="S118" s="1146">
        <v>0</v>
      </c>
      <c r="T118" s="1146">
        <v>0</v>
      </c>
      <c r="U118" s="1146">
        <v>0</v>
      </c>
      <c r="V118" s="1146">
        <v>0</v>
      </c>
      <c r="W118" s="1129">
        <v>0</v>
      </c>
      <c r="X118" s="1146">
        <v>424357.88</v>
      </c>
      <c r="Y118" s="1146">
        <v>0</v>
      </c>
    </row>
    <row r="119" spans="1:25" s="1148" customFormat="1" ht="99.6" customHeight="1">
      <c r="A119" s="1280">
        <v>108</v>
      </c>
      <c r="B119" s="1139" t="s">
        <v>2336</v>
      </c>
      <c r="C119" s="1129">
        <f t="shared" si="13"/>
        <v>1479354.86</v>
      </c>
      <c r="D119" s="1129">
        <f t="shared" si="14"/>
        <v>0</v>
      </c>
      <c r="E119" s="1145">
        <v>0</v>
      </c>
      <c r="F119" s="1145">
        <v>0</v>
      </c>
      <c r="G119" s="1145">
        <v>0</v>
      </c>
      <c r="H119" s="1145">
        <v>0</v>
      </c>
      <c r="I119" s="1145">
        <v>0</v>
      </c>
      <c r="J119" s="1145">
        <v>0</v>
      </c>
      <c r="K119" s="1136">
        <v>0</v>
      </c>
      <c r="L119" s="1145">
        <v>0</v>
      </c>
      <c r="M119" s="1136">
        <v>0</v>
      </c>
      <c r="N119" s="1145">
        <v>0</v>
      </c>
      <c r="O119" s="1145">
        <v>400.94</v>
      </c>
      <c r="P119" s="1146">
        <v>1371726.11</v>
      </c>
      <c r="Q119" s="1147">
        <v>0</v>
      </c>
      <c r="R119" s="1146">
        <v>0</v>
      </c>
      <c r="S119" s="1146">
        <v>0</v>
      </c>
      <c r="T119" s="1146">
        <v>0</v>
      </c>
      <c r="U119" s="1146">
        <v>0</v>
      </c>
      <c r="V119" s="1146">
        <v>0</v>
      </c>
      <c r="W119" s="1129">
        <v>0</v>
      </c>
      <c r="X119" s="1146">
        <v>107628.75</v>
      </c>
      <c r="Y119" s="1146">
        <v>0</v>
      </c>
    </row>
    <row r="120" spans="1:25" s="1148" customFormat="1" ht="90" customHeight="1">
      <c r="A120" s="1280">
        <v>109</v>
      </c>
      <c r="B120" s="1139" t="s">
        <v>2337</v>
      </c>
      <c r="C120" s="1129">
        <f t="shared" si="13"/>
        <v>4241749</v>
      </c>
      <c r="D120" s="1129">
        <f t="shared" si="14"/>
        <v>0</v>
      </c>
      <c r="E120" s="1145">
        <v>0</v>
      </c>
      <c r="F120" s="1145">
        <v>0</v>
      </c>
      <c r="G120" s="1145">
        <v>0</v>
      </c>
      <c r="H120" s="1145">
        <v>0</v>
      </c>
      <c r="I120" s="1145">
        <v>0</v>
      </c>
      <c r="J120" s="1145">
        <v>0</v>
      </c>
      <c r="K120" s="1136">
        <v>0</v>
      </c>
      <c r="L120" s="1145">
        <v>0</v>
      </c>
      <c r="M120" s="1136">
        <v>0</v>
      </c>
      <c r="N120" s="1145">
        <v>0</v>
      </c>
      <c r="O120" s="1145">
        <v>551.99</v>
      </c>
      <c r="P120" s="1146">
        <v>3933650</v>
      </c>
      <c r="Q120" s="1147">
        <v>0</v>
      </c>
      <c r="R120" s="1146">
        <v>0</v>
      </c>
      <c r="S120" s="1146">
        <v>0</v>
      </c>
      <c r="T120" s="1146">
        <v>0</v>
      </c>
      <c r="U120" s="1146">
        <v>0</v>
      </c>
      <c r="V120" s="1146">
        <v>0</v>
      </c>
      <c r="W120" s="1129">
        <v>0</v>
      </c>
      <c r="X120" s="1146">
        <v>308099</v>
      </c>
      <c r="Y120" s="1146">
        <v>0</v>
      </c>
    </row>
    <row r="121" spans="1:25" s="1148" customFormat="1" ht="91.15" customHeight="1">
      <c r="A121" s="1280">
        <v>110</v>
      </c>
      <c r="B121" s="1139" t="s">
        <v>2338</v>
      </c>
      <c r="C121" s="1129">
        <f t="shared" si="13"/>
        <v>1837881.4</v>
      </c>
      <c r="D121" s="1129">
        <f t="shared" si="14"/>
        <v>0</v>
      </c>
      <c r="E121" s="1145">
        <v>0</v>
      </c>
      <c r="F121" s="1145">
        <v>0</v>
      </c>
      <c r="G121" s="1145">
        <v>0</v>
      </c>
      <c r="H121" s="1145">
        <v>0</v>
      </c>
      <c r="I121" s="1145">
        <v>0</v>
      </c>
      <c r="J121" s="1145">
        <v>0</v>
      </c>
      <c r="K121" s="1136">
        <v>0</v>
      </c>
      <c r="L121" s="1145">
        <v>0</v>
      </c>
      <c r="M121" s="1136">
        <v>0</v>
      </c>
      <c r="N121" s="1145">
        <v>0</v>
      </c>
      <c r="O121" s="1145">
        <v>420</v>
      </c>
      <c r="P121" s="1146">
        <v>1703787.97</v>
      </c>
      <c r="Q121" s="1147">
        <v>0</v>
      </c>
      <c r="R121" s="1146">
        <v>0</v>
      </c>
      <c r="S121" s="1146">
        <v>0</v>
      </c>
      <c r="T121" s="1146">
        <v>0</v>
      </c>
      <c r="U121" s="1146">
        <v>0</v>
      </c>
      <c r="V121" s="1146">
        <v>0</v>
      </c>
      <c r="W121" s="1129">
        <v>0</v>
      </c>
      <c r="X121" s="1146">
        <v>134093.43</v>
      </c>
      <c r="Y121" s="1146">
        <v>0</v>
      </c>
    </row>
    <row r="122" spans="1:25" s="1148" customFormat="1" ht="94.9" customHeight="1">
      <c r="A122" s="1280">
        <v>111</v>
      </c>
      <c r="B122" s="1139" t="s">
        <v>2339</v>
      </c>
      <c r="C122" s="1129">
        <f t="shared" si="13"/>
        <v>4091607</v>
      </c>
      <c r="D122" s="1129">
        <f t="shared" si="14"/>
        <v>0</v>
      </c>
      <c r="E122" s="1145">
        <v>0</v>
      </c>
      <c r="F122" s="1145">
        <v>0</v>
      </c>
      <c r="G122" s="1145">
        <v>0</v>
      </c>
      <c r="H122" s="1145">
        <v>0</v>
      </c>
      <c r="I122" s="1145">
        <v>0</v>
      </c>
      <c r="J122" s="1145">
        <v>0</v>
      </c>
      <c r="K122" s="1136">
        <v>0</v>
      </c>
      <c r="L122" s="1145">
        <v>0</v>
      </c>
      <c r="M122" s="1136">
        <v>0</v>
      </c>
      <c r="N122" s="1145">
        <v>0</v>
      </c>
      <c r="O122" s="1145">
        <v>796.85</v>
      </c>
      <c r="P122" s="1146">
        <v>3794414</v>
      </c>
      <c r="Q122" s="1147">
        <v>0</v>
      </c>
      <c r="R122" s="1146">
        <v>0</v>
      </c>
      <c r="S122" s="1146">
        <v>0</v>
      </c>
      <c r="T122" s="1146">
        <v>0</v>
      </c>
      <c r="U122" s="1146">
        <v>0</v>
      </c>
      <c r="V122" s="1146">
        <v>0</v>
      </c>
      <c r="W122" s="1129">
        <v>0</v>
      </c>
      <c r="X122" s="1146">
        <v>297193</v>
      </c>
      <c r="Y122" s="1146">
        <v>0</v>
      </c>
    </row>
    <row r="123" spans="1:25" s="1148" customFormat="1" ht="93.6" customHeight="1">
      <c r="A123" s="1280">
        <v>112</v>
      </c>
      <c r="B123" s="1139" t="s">
        <v>2340</v>
      </c>
      <c r="C123" s="1129">
        <f t="shared" si="13"/>
        <v>6428277</v>
      </c>
      <c r="D123" s="1129">
        <f t="shared" si="14"/>
        <v>0</v>
      </c>
      <c r="E123" s="1145">
        <v>0</v>
      </c>
      <c r="F123" s="1145">
        <v>0</v>
      </c>
      <c r="G123" s="1145">
        <v>0</v>
      </c>
      <c r="H123" s="1145">
        <v>0</v>
      </c>
      <c r="I123" s="1145">
        <v>0</v>
      </c>
      <c r="J123" s="1145">
        <v>0</v>
      </c>
      <c r="K123" s="1136">
        <v>0</v>
      </c>
      <c r="L123" s="1145">
        <v>0</v>
      </c>
      <c r="M123" s="1136">
        <v>0</v>
      </c>
      <c r="N123" s="1145">
        <v>0</v>
      </c>
      <c r="O123" s="1145">
        <v>1316</v>
      </c>
      <c r="P123" s="1146">
        <v>5961360</v>
      </c>
      <c r="Q123" s="1147">
        <v>0</v>
      </c>
      <c r="R123" s="1146">
        <v>0</v>
      </c>
      <c r="S123" s="1146">
        <v>0</v>
      </c>
      <c r="T123" s="1146">
        <v>0</v>
      </c>
      <c r="U123" s="1146">
        <v>0</v>
      </c>
      <c r="V123" s="1146">
        <v>0</v>
      </c>
      <c r="W123" s="1129">
        <v>0</v>
      </c>
      <c r="X123" s="1146">
        <v>466917</v>
      </c>
      <c r="Y123" s="1146">
        <v>0</v>
      </c>
    </row>
    <row r="124" spans="1:25" s="1148" customFormat="1" ht="121.9" customHeight="1">
      <c r="A124" s="1280">
        <v>113</v>
      </c>
      <c r="B124" s="1139" t="s">
        <v>2804</v>
      </c>
      <c r="C124" s="1129">
        <f t="shared" ref="C124:C130" si="15">D124+N124+P124+R124+T124+V124+X124</f>
        <v>1803468.71</v>
      </c>
      <c r="D124" s="1129">
        <f t="shared" ref="D124:D130" si="16">SUM(E124:J124)</f>
        <v>0</v>
      </c>
      <c r="E124" s="1145">
        <v>0</v>
      </c>
      <c r="F124" s="1145">
        <v>0</v>
      </c>
      <c r="G124" s="1145">
        <v>0</v>
      </c>
      <c r="H124" s="1145">
        <v>0</v>
      </c>
      <c r="I124" s="1145">
        <v>0</v>
      </c>
      <c r="J124" s="1145">
        <v>0</v>
      </c>
      <c r="K124" s="1136">
        <v>0</v>
      </c>
      <c r="L124" s="1145">
        <v>0</v>
      </c>
      <c r="M124" s="1136">
        <v>0</v>
      </c>
      <c r="N124" s="1145">
        <v>0</v>
      </c>
      <c r="O124" s="1145">
        <v>423</v>
      </c>
      <c r="P124" s="1146">
        <v>1672474.07</v>
      </c>
      <c r="Q124" s="1147">
        <v>0</v>
      </c>
      <c r="R124" s="1146">
        <v>0</v>
      </c>
      <c r="S124" s="1146">
        <v>0</v>
      </c>
      <c r="T124" s="1146">
        <v>0</v>
      </c>
      <c r="U124" s="1146">
        <v>0</v>
      </c>
      <c r="V124" s="1146">
        <v>0</v>
      </c>
      <c r="W124" s="1129">
        <v>0</v>
      </c>
      <c r="X124" s="1146">
        <v>130994.64</v>
      </c>
      <c r="Y124" s="1146">
        <v>0</v>
      </c>
    </row>
    <row r="125" spans="1:25" s="1148" customFormat="1" ht="86.45" customHeight="1">
      <c r="A125" s="1280">
        <v>114</v>
      </c>
      <c r="B125" s="1139" t="s">
        <v>1827</v>
      </c>
      <c r="C125" s="1129">
        <f t="shared" si="15"/>
        <v>1569979</v>
      </c>
      <c r="D125" s="1129">
        <f t="shared" si="16"/>
        <v>0</v>
      </c>
      <c r="E125" s="1145">
        <v>0</v>
      </c>
      <c r="F125" s="1145">
        <v>0</v>
      </c>
      <c r="G125" s="1145">
        <v>0</v>
      </c>
      <c r="H125" s="1145">
        <v>0</v>
      </c>
      <c r="I125" s="1145">
        <v>0</v>
      </c>
      <c r="J125" s="1145">
        <v>0</v>
      </c>
      <c r="K125" s="1136">
        <v>0</v>
      </c>
      <c r="L125" s="1145">
        <v>0</v>
      </c>
      <c r="M125" s="1136">
        <v>0</v>
      </c>
      <c r="N125" s="1145">
        <v>0</v>
      </c>
      <c r="O125" s="1145">
        <v>0</v>
      </c>
      <c r="P125" s="1146">
        <v>0</v>
      </c>
      <c r="Q125" s="1147">
        <v>0</v>
      </c>
      <c r="R125" s="1146">
        <v>0</v>
      </c>
      <c r="S125" s="1146">
        <v>590</v>
      </c>
      <c r="T125" s="1146">
        <v>1455944</v>
      </c>
      <c r="U125" s="1146">
        <v>0</v>
      </c>
      <c r="V125" s="1146">
        <v>0</v>
      </c>
      <c r="W125" s="1129">
        <v>0</v>
      </c>
      <c r="X125" s="1146">
        <v>114035</v>
      </c>
      <c r="Y125" s="1146">
        <v>0</v>
      </c>
    </row>
    <row r="126" spans="1:25" s="1148" customFormat="1" ht="85.15" customHeight="1">
      <c r="A126" s="1280">
        <v>115</v>
      </c>
      <c r="B126" s="1139" t="s">
        <v>2205</v>
      </c>
      <c r="C126" s="1129">
        <f t="shared" si="15"/>
        <v>836011.03</v>
      </c>
      <c r="D126" s="1129">
        <f t="shared" si="16"/>
        <v>784303.03</v>
      </c>
      <c r="E126" s="1145">
        <v>784303.03</v>
      </c>
      <c r="F126" s="1145">
        <v>0</v>
      </c>
      <c r="G126" s="1145">
        <v>0</v>
      </c>
      <c r="H126" s="1145">
        <v>0</v>
      </c>
      <c r="I126" s="1145">
        <v>0</v>
      </c>
      <c r="J126" s="1145">
        <v>0</v>
      </c>
      <c r="K126" s="1136">
        <v>0</v>
      </c>
      <c r="L126" s="1145">
        <v>0</v>
      </c>
      <c r="M126" s="1136">
        <v>0</v>
      </c>
      <c r="N126" s="1145">
        <v>0</v>
      </c>
      <c r="O126" s="1145">
        <v>0</v>
      </c>
      <c r="P126" s="1146">
        <v>0</v>
      </c>
      <c r="Q126" s="1147">
        <v>0</v>
      </c>
      <c r="R126" s="1146">
        <v>0</v>
      </c>
      <c r="S126" s="1146">
        <v>0</v>
      </c>
      <c r="T126" s="1146">
        <v>0</v>
      </c>
      <c r="U126" s="1146">
        <v>0</v>
      </c>
      <c r="V126" s="1146">
        <v>0</v>
      </c>
      <c r="W126" s="1129">
        <v>0</v>
      </c>
      <c r="X126" s="1146">
        <v>51708</v>
      </c>
      <c r="Y126" s="1146">
        <v>0</v>
      </c>
    </row>
    <row r="127" spans="1:25" s="1148" customFormat="1" ht="88.9" customHeight="1">
      <c r="A127" s="1280">
        <v>116</v>
      </c>
      <c r="B127" s="1139" t="s">
        <v>1828</v>
      </c>
      <c r="C127" s="1129">
        <f t="shared" si="15"/>
        <v>1391271.96</v>
      </c>
      <c r="D127" s="1129">
        <f t="shared" si="16"/>
        <v>0</v>
      </c>
      <c r="E127" s="1145">
        <v>0</v>
      </c>
      <c r="F127" s="1145">
        <v>0</v>
      </c>
      <c r="G127" s="1145">
        <v>0</v>
      </c>
      <c r="H127" s="1145">
        <v>0</v>
      </c>
      <c r="I127" s="1145">
        <v>0</v>
      </c>
      <c r="J127" s="1145">
        <v>0</v>
      </c>
      <c r="K127" s="1136">
        <v>0</v>
      </c>
      <c r="L127" s="1145">
        <v>0</v>
      </c>
      <c r="M127" s="1136">
        <v>0</v>
      </c>
      <c r="N127" s="1145">
        <v>0</v>
      </c>
      <c r="O127" s="1145">
        <v>385</v>
      </c>
      <c r="P127" s="1146">
        <v>1290217.1599999999</v>
      </c>
      <c r="Q127" s="1147">
        <v>0</v>
      </c>
      <c r="R127" s="1146">
        <v>0</v>
      </c>
      <c r="S127" s="1146">
        <v>0</v>
      </c>
      <c r="T127" s="1146">
        <v>0</v>
      </c>
      <c r="U127" s="1146">
        <v>0</v>
      </c>
      <c r="V127" s="1146">
        <v>0</v>
      </c>
      <c r="W127" s="1129">
        <v>0</v>
      </c>
      <c r="X127" s="1146">
        <v>101054.8</v>
      </c>
      <c r="Y127" s="1146">
        <v>0</v>
      </c>
    </row>
    <row r="128" spans="1:25" s="1148" customFormat="1" ht="84" customHeight="1">
      <c r="A128" s="1280">
        <v>117</v>
      </c>
      <c r="B128" s="1139" t="s">
        <v>1829</v>
      </c>
      <c r="C128" s="1129">
        <f t="shared" si="15"/>
        <v>3270119.38</v>
      </c>
      <c r="D128" s="1129">
        <f t="shared" si="16"/>
        <v>0</v>
      </c>
      <c r="E128" s="1145">
        <v>0</v>
      </c>
      <c r="F128" s="1145">
        <v>0</v>
      </c>
      <c r="G128" s="1145">
        <v>0</v>
      </c>
      <c r="H128" s="1145">
        <v>0</v>
      </c>
      <c r="I128" s="1145">
        <v>0</v>
      </c>
      <c r="J128" s="1145">
        <v>0</v>
      </c>
      <c r="K128" s="1136">
        <v>0</v>
      </c>
      <c r="L128" s="1145">
        <v>0</v>
      </c>
      <c r="M128" s="1136">
        <v>0</v>
      </c>
      <c r="N128" s="1145">
        <v>0</v>
      </c>
      <c r="O128" s="1145">
        <v>767</v>
      </c>
      <c r="P128" s="1146">
        <v>3032594.82</v>
      </c>
      <c r="Q128" s="1147">
        <v>0</v>
      </c>
      <c r="R128" s="1146">
        <v>0</v>
      </c>
      <c r="S128" s="1146">
        <v>0</v>
      </c>
      <c r="T128" s="1146">
        <v>0</v>
      </c>
      <c r="U128" s="1146">
        <v>0</v>
      </c>
      <c r="V128" s="1146">
        <v>0</v>
      </c>
      <c r="W128" s="1129">
        <v>0</v>
      </c>
      <c r="X128" s="1146">
        <v>237524.56</v>
      </c>
      <c r="Y128" s="1146">
        <v>0</v>
      </c>
    </row>
    <row r="129" spans="1:25" s="1148" customFormat="1" ht="90" customHeight="1">
      <c r="A129" s="1280">
        <v>118</v>
      </c>
      <c r="B129" s="1139" t="s">
        <v>1831</v>
      </c>
      <c r="C129" s="1129">
        <f t="shared" si="15"/>
        <v>210350</v>
      </c>
      <c r="D129" s="1129">
        <f t="shared" si="16"/>
        <v>195071.26</v>
      </c>
      <c r="E129" s="1145">
        <v>0</v>
      </c>
      <c r="F129" s="1145">
        <v>0</v>
      </c>
      <c r="G129" s="1145">
        <v>0</v>
      </c>
      <c r="H129" s="1145">
        <v>0</v>
      </c>
      <c r="I129" s="1145">
        <v>0</v>
      </c>
      <c r="J129" s="1145">
        <v>195071.26</v>
      </c>
      <c r="K129" s="1136">
        <v>0</v>
      </c>
      <c r="L129" s="1145">
        <v>0</v>
      </c>
      <c r="M129" s="1136">
        <v>0</v>
      </c>
      <c r="N129" s="1145">
        <v>0</v>
      </c>
      <c r="O129" s="1145">
        <v>0</v>
      </c>
      <c r="P129" s="1146">
        <v>0</v>
      </c>
      <c r="Q129" s="1147">
        <v>0</v>
      </c>
      <c r="R129" s="1146">
        <v>0</v>
      </c>
      <c r="S129" s="1146">
        <v>0</v>
      </c>
      <c r="T129" s="1146">
        <v>0</v>
      </c>
      <c r="U129" s="1146">
        <v>0</v>
      </c>
      <c r="V129" s="1146">
        <v>0</v>
      </c>
      <c r="W129" s="1129">
        <v>0</v>
      </c>
      <c r="X129" s="1146">
        <v>15278.74</v>
      </c>
      <c r="Y129" s="1146">
        <v>0</v>
      </c>
    </row>
    <row r="130" spans="1:25" s="1148" customFormat="1" ht="92.45" customHeight="1">
      <c r="A130" s="1280">
        <v>119</v>
      </c>
      <c r="B130" s="1139" t="s">
        <v>1830</v>
      </c>
      <c r="C130" s="1129">
        <f t="shared" si="15"/>
        <v>1111073.1600000001</v>
      </c>
      <c r="D130" s="1129">
        <f t="shared" si="16"/>
        <v>0</v>
      </c>
      <c r="E130" s="1145">
        <v>0</v>
      </c>
      <c r="F130" s="1145">
        <v>0</v>
      </c>
      <c r="G130" s="1145">
        <v>0</v>
      </c>
      <c r="H130" s="1145">
        <v>0</v>
      </c>
      <c r="I130" s="1145">
        <v>0</v>
      </c>
      <c r="J130" s="1145">
        <v>0</v>
      </c>
      <c r="K130" s="1136">
        <v>0</v>
      </c>
      <c r="L130" s="1145">
        <v>0</v>
      </c>
      <c r="M130" s="1136">
        <v>0</v>
      </c>
      <c r="N130" s="1145">
        <v>0</v>
      </c>
      <c r="O130" s="1145">
        <v>260.60000000000002</v>
      </c>
      <c r="P130" s="1146">
        <v>1030370.55</v>
      </c>
      <c r="Q130" s="1147">
        <v>0</v>
      </c>
      <c r="R130" s="1146">
        <v>0</v>
      </c>
      <c r="S130" s="1146">
        <v>0</v>
      </c>
      <c r="T130" s="1146">
        <v>0</v>
      </c>
      <c r="U130" s="1146">
        <v>0</v>
      </c>
      <c r="V130" s="1146">
        <v>0</v>
      </c>
      <c r="W130" s="1129">
        <v>0</v>
      </c>
      <c r="X130" s="1146">
        <v>80702.61</v>
      </c>
      <c r="Y130" s="1146">
        <v>0</v>
      </c>
    </row>
    <row r="131" spans="1:25" s="1137" customFormat="1" ht="98.45" customHeight="1">
      <c r="A131" s="1280"/>
      <c r="B131" s="1150" t="s">
        <v>1948</v>
      </c>
      <c r="C131" s="1129">
        <f t="shared" ref="C131:Y131" si="17">SUM(C132:C141)</f>
        <v>17889512.890000001</v>
      </c>
      <c r="D131" s="1129">
        <f t="shared" si="17"/>
        <v>3069561</v>
      </c>
      <c r="E131" s="1129">
        <f t="shared" si="17"/>
        <v>0</v>
      </c>
      <c r="F131" s="1129">
        <f t="shared" si="17"/>
        <v>0</v>
      </c>
      <c r="G131" s="1129">
        <f t="shared" si="17"/>
        <v>0</v>
      </c>
      <c r="H131" s="1129">
        <f t="shared" si="17"/>
        <v>3069561</v>
      </c>
      <c r="I131" s="1129">
        <f t="shared" si="17"/>
        <v>0</v>
      </c>
      <c r="J131" s="1129">
        <f t="shared" si="17"/>
        <v>0</v>
      </c>
      <c r="K131" s="1136">
        <f t="shared" si="17"/>
        <v>0</v>
      </c>
      <c r="L131" s="1129">
        <f t="shared" si="17"/>
        <v>0</v>
      </c>
      <c r="M131" s="1136">
        <f t="shared" si="17"/>
        <v>0</v>
      </c>
      <c r="N131" s="1129">
        <f t="shared" si="17"/>
        <v>0</v>
      </c>
      <c r="O131" s="1129">
        <f t="shared" si="17"/>
        <v>4878</v>
      </c>
      <c r="P131" s="1129">
        <f t="shared" si="17"/>
        <v>13610665.890000001</v>
      </c>
      <c r="Q131" s="1129">
        <f t="shared" si="17"/>
        <v>0</v>
      </c>
      <c r="R131" s="1129">
        <f t="shared" si="17"/>
        <v>0</v>
      </c>
      <c r="S131" s="1129">
        <f t="shared" si="17"/>
        <v>0</v>
      </c>
      <c r="T131" s="1129">
        <f t="shared" si="17"/>
        <v>0</v>
      </c>
      <c r="U131" s="1129">
        <f t="shared" si="17"/>
        <v>0</v>
      </c>
      <c r="V131" s="1129">
        <f t="shared" si="17"/>
        <v>0</v>
      </c>
      <c r="W131" s="1129">
        <v>0</v>
      </c>
      <c r="X131" s="1129">
        <f t="shared" si="17"/>
        <v>1209286</v>
      </c>
      <c r="Y131" s="1129">
        <f t="shared" si="17"/>
        <v>0</v>
      </c>
    </row>
    <row r="132" spans="1:25" s="1137" customFormat="1" ht="71.45" customHeight="1">
      <c r="A132" s="1280">
        <v>120</v>
      </c>
      <c r="B132" s="1128" t="s">
        <v>1664</v>
      </c>
      <c r="C132" s="1129">
        <f t="shared" ref="C132" si="18">D132+N132+P132+R132+T132+V132+X132</f>
        <v>1788092.36</v>
      </c>
      <c r="D132" s="1129">
        <f t="shared" ref="D132" si="19">SUM(E132:J132)</f>
        <v>0</v>
      </c>
      <c r="E132" s="1145">
        <v>0</v>
      </c>
      <c r="F132" s="1145">
        <v>0</v>
      </c>
      <c r="G132" s="1145">
        <v>0</v>
      </c>
      <c r="H132" s="1145">
        <v>0</v>
      </c>
      <c r="I132" s="1145">
        <v>0</v>
      </c>
      <c r="J132" s="1145">
        <v>0</v>
      </c>
      <c r="K132" s="1136">
        <v>0</v>
      </c>
      <c r="L132" s="1145">
        <v>0</v>
      </c>
      <c r="M132" s="1136">
        <v>0</v>
      </c>
      <c r="N132" s="1145">
        <v>0</v>
      </c>
      <c r="O132" s="1145">
        <v>576</v>
      </c>
      <c r="P132" s="1145">
        <v>1708858.36</v>
      </c>
      <c r="Q132" s="1145">
        <v>0</v>
      </c>
      <c r="R132" s="1145">
        <v>0</v>
      </c>
      <c r="S132" s="1145">
        <v>0</v>
      </c>
      <c r="T132" s="1145">
        <v>0</v>
      </c>
      <c r="U132" s="1145">
        <v>0</v>
      </c>
      <c r="V132" s="1145">
        <v>0</v>
      </c>
      <c r="W132" s="1129">
        <v>0</v>
      </c>
      <c r="X132" s="1145">
        <v>79234</v>
      </c>
      <c r="Y132" s="1145">
        <v>0</v>
      </c>
    </row>
    <row r="133" spans="1:25" s="1137" customFormat="1" ht="92.45" customHeight="1">
      <c r="A133" s="1280">
        <v>121</v>
      </c>
      <c r="B133" s="1128" t="s">
        <v>1835</v>
      </c>
      <c r="C133" s="1129">
        <f t="shared" ref="C133:C141" si="20">D133+N133+P133+R133+T133+V133+X133</f>
        <v>3746957.53</v>
      </c>
      <c r="D133" s="1129">
        <f t="shared" ref="D133:D141" si="21">SUM(E133:J133)</f>
        <v>0</v>
      </c>
      <c r="E133" s="1145">
        <v>0</v>
      </c>
      <c r="F133" s="1145">
        <v>0</v>
      </c>
      <c r="G133" s="1145">
        <v>0</v>
      </c>
      <c r="H133" s="1145">
        <v>0</v>
      </c>
      <c r="I133" s="1145">
        <v>0</v>
      </c>
      <c r="J133" s="1145">
        <v>0</v>
      </c>
      <c r="K133" s="1136">
        <v>0</v>
      </c>
      <c r="L133" s="1145">
        <v>0</v>
      </c>
      <c r="M133" s="1136">
        <v>0</v>
      </c>
      <c r="N133" s="1145">
        <v>0</v>
      </c>
      <c r="O133" s="1145">
        <v>1132</v>
      </c>
      <c r="P133" s="1145">
        <v>3514269.53</v>
      </c>
      <c r="Q133" s="1145">
        <v>0</v>
      </c>
      <c r="R133" s="1145">
        <v>0</v>
      </c>
      <c r="S133" s="1145">
        <v>0</v>
      </c>
      <c r="T133" s="1145">
        <v>0</v>
      </c>
      <c r="U133" s="1145">
        <v>0</v>
      </c>
      <c r="V133" s="1145">
        <v>0</v>
      </c>
      <c r="W133" s="1129">
        <v>0</v>
      </c>
      <c r="X133" s="1145">
        <v>232688</v>
      </c>
      <c r="Y133" s="1145">
        <v>0</v>
      </c>
    </row>
    <row r="134" spans="1:25" s="1137" customFormat="1" ht="79.150000000000006" customHeight="1">
      <c r="A134" s="1280">
        <v>122</v>
      </c>
      <c r="B134" s="1128" t="s">
        <v>1632</v>
      </c>
      <c r="C134" s="1129">
        <f t="shared" si="20"/>
        <v>405299</v>
      </c>
      <c r="D134" s="1129">
        <f t="shared" si="21"/>
        <v>375860</v>
      </c>
      <c r="E134" s="1145">
        <v>0</v>
      </c>
      <c r="F134" s="1145">
        <v>0</v>
      </c>
      <c r="G134" s="1145">
        <v>0</v>
      </c>
      <c r="H134" s="1145">
        <v>375860</v>
      </c>
      <c r="I134" s="1145">
        <v>0</v>
      </c>
      <c r="J134" s="1145">
        <v>0</v>
      </c>
      <c r="K134" s="1136">
        <v>0</v>
      </c>
      <c r="L134" s="1145">
        <v>0</v>
      </c>
      <c r="M134" s="1136">
        <v>0</v>
      </c>
      <c r="N134" s="1145">
        <v>0</v>
      </c>
      <c r="O134" s="1145">
        <v>0</v>
      </c>
      <c r="P134" s="1145">
        <v>0</v>
      </c>
      <c r="Q134" s="1145">
        <v>0</v>
      </c>
      <c r="R134" s="1145">
        <v>0</v>
      </c>
      <c r="S134" s="1145">
        <v>0</v>
      </c>
      <c r="T134" s="1145">
        <v>0</v>
      </c>
      <c r="U134" s="1145">
        <v>0</v>
      </c>
      <c r="V134" s="1145">
        <v>0</v>
      </c>
      <c r="W134" s="1129">
        <v>0</v>
      </c>
      <c r="X134" s="1145">
        <v>29439</v>
      </c>
      <c r="Y134" s="1145">
        <v>0</v>
      </c>
    </row>
    <row r="135" spans="1:25" s="1137" customFormat="1" ht="64.900000000000006" customHeight="1">
      <c r="A135" s="1280">
        <v>123</v>
      </c>
      <c r="B135" s="1128" t="s">
        <v>1508</v>
      </c>
      <c r="C135" s="1129">
        <f t="shared" si="20"/>
        <v>2904682</v>
      </c>
      <c r="D135" s="1129">
        <f t="shared" si="21"/>
        <v>2693701</v>
      </c>
      <c r="E135" s="1145">
        <v>0</v>
      </c>
      <c r="F135" s="1145">
        <v>0</v>
      </c>
      <c r="G135" s="1145">
        <v>0</v>
      </c>
      <c r="H135" s="1145">
        <v>2693701</v>
      </c>
      <c r="I135" s="1145">
        <v>0</v>
      </c>
      <c r="J135" s="1145">
        <v>0</v>
      </c>
      <c r="K135" s="1136">
        <v>0</v>
      </c>
      <c r="L135" s="1145">
        <v>0</v>
      </c>
      <c r="M135" s="1136">
        <v>0</v>
      </c>
      <c r="N135" s="1145">
        <v>0</v>
      </c>
      <c r="O135" s="1145">
        <v>0</v>
      </c>
      <c r="P135" s="1145">
        <v>0</v>
      </c>
      <c r="Q135" s="1145">
        <v>0</v>
      </c>
      <c r="R135" s="1145">
        <v>0</v>
      </c>
      <c r="S135" s="1145">
        <v>0</v>
      </c>
      <c r="T135" s="1145">
        <v>0</v>
      </c>
      <c r="U135" s="1145">
        <v>0</v>
      </c>
      <c r="V135" s="1145">
        <v>0</v>
      </c>
      <c r="W135" s="1129">
        <v>0</v>
      </c>
      <c r="X135" s="1145">
        <v>210981</v>
      </c>
      <c r="Y135" s="1145">
        <v>0</v>
      </c>
    </row>
    <row r="136" spans="1:25" s="1137" customFormat="1" ht="59.45" customHeight="1">
      <c r="A136" s="1280">
        <v>124</v>
      </c>
      <c r="B136" s="1128" t="s">
        <v>1509</v>
      </c>
      <c r="C136" s="1129">
        <f t="shared" si="20"/>
        <v>1298799</v>
      </c>
      <c r="D136" s="1129">
        <f t="shared" si="21"/>
        <v>0</v>
      </c>
      <c r="E136" s="1145">
        <v>0</v>
      </c>
      <c r="F136" s="1145">
        <v>0</v>
      </c>
      <c r="G136" s="1145">
        <v>0</v>
      </c>
      <c r="H136" s="1145">
        <v>0</v>
      </c>
      <c r="I136" s="1145">
        <v>0</v>
      </c>
      <c r="J136" s="1145">
        <v>0</v>
      </c>
      <c r="K136" s="1136">
        <v>0</v>
      </c>
      <c r="L136" s="1145">
        <v>0</v>
      </c>
      <c r="M136" s="1136">
        <v>0</v>
      </c>
      <c r="N136" s="1145">
        <v>0</v>
      </c>
      <c r="O136" s="1145">
        <v>478</v>
      </c>
      <c r="P136" s="1145">
        <v>1204461</v>
      </c>
      <c r="Q136" s="1145">
        <v>0</v>
      </c>
      <c r="R136" s="1145">
        <v>0</v>
      </c>
      <c r="S136" s="1145">
        <v>0</v>
      </c>
      <c r="T136" s="1145">
        <v>0</v>
      </c>
      <c r="U136" s="1145">
        <v>0</v>
      </c>
      <c r="V136" s="1145">
        <v>0</v>
      </c>
      <c r="W136" s="1129">
        <v>0</v>
      </c>
      <c r="X136" s="1145">
        <v>94338</v>
      </c>
      <c r="Y136" s="1145">
        <v>0</v>
      </c>
    </row>
    <row r="137" spans="1:25" s="1137" customFormat="1" ht="66.599999999999994" customHeight="1">
      <c r="A137" s="1280">
        <v>125</v>
      </c>
      <c r="B137" s="1128" t="s">
        <v>1510</v>
      </c>
      <c r="C137" s="1129">
        <f t="shared" si="20"/>
        <v>1298799</v>
      </c>
      <c r="D137" s="1129">
        <f t="shared" si="21"/>
        <v>0</v>
      </c>
      <c r="E137" s="1145">
        <v>0</v>
      </c>
      <c r="F137" s="1145">
        <v>0</v>
      </c>
      <c r="G137" s="1145">
        <v>0</v>
      </c>
      <c r="H137" s="1145">
        <v>0</v>
      </c>
      <c r="I137" s="1145">
        <v>0</v>
      </c>
      <c r="J137" s="1145">
        <v>0</v>
      </c>
      <c r="K137" s="1136">
        <v>0</v>
      </c>
      <c r="L137" s="1145">
        <v>0</v>
      </c>
      <c r="M137" s="1136">
        <v>0</v>
      </c>
      <c r="N137" s="1145">
        <v>0</v>
      </c>
      <c r="O137" s="1145">
        <v>478</v>
      </c>
      <c r="P137" s="1145">
        <v>1204461</v>
      </c>
      <c r="Q137" s="1145">
        <v>0</v>
      </c>
      <c r="R137" s="1145">
        <v>0</v>
      </c>
      <c r="S137" s="1145">
        <v>0</v>
      </c>
      <c r="T137" s="1145">
        <v>0</v>
      </c>
      <c r="U137" s="1145">
        <v>0</v>
      </c>
      <c r="V137" s="1145">
        <v>0</v>
      </c>
      <c r="W137" s="1129">
        <v>0</v>
      </c>
      <c r="X137" s="1145">
        <v>94338</v>
      </c>
      <c r="Y137" s="1145">
        <v>0</v>
      </c>
    </row>
    <row r="138" spans="1:25" s="1137" customFormat="1" ht="66" customHeight="1">
      <c r="A138" s="1280">
        <v>126</v>
      </c>
      <c r="B138" s="1128" t="s">
        <v>1271</v>
      </c>
      <c r="C138" s="1129">
        <f t="shared" si="20"/>
        <v>1252608</v>
      </c>
      <c r="D138" s="1129">
        <f t="shared" si="21"/>
        <v>0</v>
      </c>
      <c r="E138" s="1145">
        <v>0</v>
      </c>
      <c r="F138" s="1145">
        <v>0</v>
      </c>
      <c r="G138" s="1145">
        <v>0</v>
      </c>
      <c r="H138" s="1145">
        <v>0</v>
      </c>
      <c r="I138" s="1145">
        <v>0</v>
      </c>
      <c r="J138" s="1145">
        <v>0</v>
      </c>
      <c r="K138" s="1136">
        <v>0</v>
      </c>
      <c r="L138" s="1145">
        <v>0</v>
      </c>
      <c r="M138" s="1136">
        <v>0</v>
      </c>
      <c r="N138" s="1145">
        <v>0</v>
      </c>
      <c r="O138" s="1145">
        <v>461</v>
      </c>
      <c r="P138" s="1145">
        <v>1161625</v>
      </c>
      <c r="Q138" s="1145">
        <v>0</v>
      </c>
      <c r="R138" s="1145">
        <v>0</v>
      </c>
      <c r="S138" s="1145">
        <v>0</v>
      </c>
      <c r="T138" s="1145">
        <v>0</v>
      </c>
      <c r="U138" s="1145">
        <v>0</v>
      </c>
      <c r="V138" s="1145">
        <v>0</v>
      </c>
      <c r="W138" s="1129">
        <v>0</v>
      </c>
      <c r="X138" s="1145">
        <v>90983</v>
      </c>
      <c r="Y138" s="1145">
        <v>0</v>
      </c>
    </row>
    <row r="139" spans="1:25" s="1137" customFormat="1" ht="60.6" customHeight="1">
      <c r="A139" s="1280">
        <v>127</v>
      </c>
      <c r="B139" s="1128" t="s">
        <v>1273</v>
      </c>
      <c r="C139" s="1129">
        <f t="shared" si="20"/>
        <v>1298799</v>
      </c>
      <c r="D139" s="1129">
        <f t="shared" si="21"/>
        <v>0</v>
      </c>
      <c r="E139" s="1145">
        <v>0</v>
      </c>
      <c r="F139" s="1145">
        <v>0</v>
      </c>
      <c r="G139" s="1145">
        <v>0</v>
      </c>
      <c r="H139" s="1145">
        <v>0</v>
      </c>
      <c r="I139" s="1145">
        <v>0</v>
      </c>
      <c r="J139" s="1145">
        <v>0</v>
      </c>
      <c r="K139" s="1136">
        <v>0</v>
      </c>
      <c r="L139" s="1145">
        <v>0</v>
      </c>
      <c r="M139" s="1136">
        <v>0</v>
      </c>
      <c r="N139" s="1145">
        <v>0</v>
      </c>
      <c r="O139" s="1145">
        <v>478</v>
      </c>
      <c r="P139" s="1145">
        <v>1204461</v>
      </c>
      <c r="Q139" s="1145">
        <v>0</v>
      </c>
      <c r="R139" s="1145">
        <v>0</v>
      </c>
      <c r="S139" s="1145">
        <v>0</v>
      </c>
      <c r="T139" s="1145">
        <v>0</v>
      </c>
      <c r="U139" s="1145">
        <v>0</v>
      </c>
      <c r="V139" s="1145">
        <v>0</v>
      </c>
      <c r="W139" s="1129">
        <v>0</v>
      </c>
      <c r="X139" s="1145">
        <v>94338</v>
      </c>
      <c r="Y139" s="1145">
        <v>0</v>
      </c>
    </row>
    <row r="140" spans="1:25" s="1137" customFormat="1" ht="65.45" customHeight="1">
      <c r="A140" s="1280">
        <v>128</v>
      </c>
      <c r="B140" s="1128" t="s">
        <v>1274</v>
      </c>
      <c r="C140" s="1129">
        <f t="shared" si="20"/>
        <v>2186115</v>
      </c>
      <c r="D140" s="1129">
        <f t="shared" si="21"/>
        <v>0</v>
      </c>
      <c r="E140" s="1145">
        <v>0</v>
      </c>
      <c r="F140" s="1145">
        <v>0</v>
      </c>
      <c r="G140" s="1145">
        <v>0</v>
      </c>
      <c r="H140" s="1145">
        <v>0</v>
      </c>
      <c r="I140" s="1145">
        <v>0</v>
      </c>
      <c r="J140" s="1145">
        <v>0</v>
      </c>
      <c r="K140" s="1136">
        <v>0</v>
      </c>
      <c r="L140" s="1145">
        <v>0</v>
      </c>
      <c r="M140" s="1136">
        <v>0</v>
      </c>
      <c r="N140" s="1145">
        <v>0</v>
      </c>
      <c r="O140" s="1145">
        <v>645.9</v>
      </c>
      <c r="P140" s="1145">
        <v>2027327</v>
      </c>
      <c r="Q140" s="1145">
        <v>0</v>
      </c>
      <c r="R140" s="1145">
        <v>0</v>
      </c>
      <c r="S140" s="1145">
        <v>0</v>
      </c>
      <c r="T140" s="1145">
        <v>0</v>
      </c>
      <c r="U140" s="1145">
        <v>0</v>
      </c>
      <c r="V140" s="1145">
        <v>0</v>
      </c>
      <c r="W140" s="1129">
        <v>0</v>
      </c>
      <c r="X140" s="1145">
        <v>158788</v>
      </c>
      <c r="Y140" s="1145">
        <v>0</v>
      </c>
    </row>
    <row r="141" spans="1:25" s="1137" customFormat="1" ht="66.599999999999994" customHeight="1">
      <c r="A141" s="1280">
        <v>129</v>
      </c>
      <c r="B141" s="1128" t="s">
        <v>1277</v>
      </c>
      <c r="C141" s="1129">
        <f t="shared" si="20"/>
        <v>1709362</v>
      </c>
      <c r="D141" s="1129">
        <f t="shared" si="21"/>
        <v>0</v>
      </c>
      <c r="E141" s="1145">
        <v>0</v>
      </c>
      <c r="F141" s="1145">
        <v>0</v>
      </c>
      <c r="G141" s="1145">
        <v>0</v>
      </c>
      <c r="H141" s="1145">
        <v>0</v>
      </c>
      <c r="I141" s="1145">
        <v>0</v>
      </c>
      <c r="J141" s="1145">
        <v>0</v>
      </c>
      <c r="K141" s="1136">
        <v>0</v>
      </c>
      <c r="L141" s="1145">
        <v>0</v>
      </c>
      <c r="M141" s="1136">
        <v>0</v>
      </c>
      <c r="N141" s="1145">
        <v>0</v>
      </c>
      <c r="O141" s="1145">
        <v>629.1</v>
      </c>
      <c r="P141" s="1145">
        <v>1585203</v>
      </c>
      <c r="Q141" s="1145">
        <v>0</v>
      </c>
      <c r="R141" s="1145">
        <v>0</v>
      </c>
      <c r="S141" s="1145">
        <v>0</v>
      </c>
      <c r="T141" s="1145">
        <v>0</v>
      </c>
      <c r="U141" s="1145">
        <v>0</v>
      </c>
      <c r="V141" s="1145">
        <v>0</v>
      </c>
      <c r="W141" s="1129">
        <v>0</v>
      </c>
      <c r="X141" s="1145">
        <v>124159</v>
      </c>
      <c r="Y141" s="1145">
        <v>0</v>
      </c>
    </row>
    <row r="142" spans="1:25" s="1137" customFormat="1" ht="88.9" customHeight="1">
      <c r="A142" s="1280"/>
      <c r="B142" s="1128" t="s">
        <v>1949</v>
      </c>
      <c r="C142" s="1129">
        <f>C143+C144+C145</f>
        <v>13178092.399999999</v>
      </c>
      <c r="D142" s="1129">
        <f t="shared" ref="D142:Y142" si="22">D143+D144+D145</f>
        <v>0</v>
      </c>
      <c r="E142" s="1145">
        <f t="shared" si="22"/>
        <v>0</v>
      </c>
      <c r="F142" s="1145">
        <f t="shared" si="22"/>
        <v>0</v>
      </c>
      <c r="G142" s="1145">
        <f t="shared" si="22"/>
        <v>0</v>
      </c>
      <c r="H142" s="1145">
        <f t="shared" si="22"/>
        <v>0</v>
      </c>
      <c r="I142" s="1145">
        <f t="shared" si="22"/>
        <v>0</v>
      </c>
      <c r="J142" s="1145">
        <f t="shared" si="22"/>
        <v>0</v>
      </c>
      <c r="K142" s="1136">
        <f t="shared" si="22"/>
        <v>0</v>
      </c>
      <c r="L142" s="1145">
        <f t="shared" si="22"/>
        <v>0</v>
      </c>
      <c r="M142" s="1136">
        <f t="shared" si="22"/>
        <v>0</v>
      </c>
      <c r="N142" s="1145">
        <f t="shared" si="22"/>
        <v>0</v>
      </c>
      <c r="O142" s="1145">
        <f t="shared" si="22"/>
        <v>3262</v>
      </c>
      <c r="P142" s="1145">
        <f t="shared" si="22"/>
        <v>12220903.92</v>
      </c>
      <c r="Q142" s="1145">
        <f t="shared" si="22"/>
        <v>0</v>
      </c>
      <c r="R142" s="1145">
        <f t="shared" si="22"/>
        <v>0</v>
      </c>
      <c r="S142" s="1145">
        <f t="shared" si="22"/>
        <v>0</v>
      </c>
      <c r="T142" s="1145">
        <f t="shared" si="22"/>
        <v>0</v>
      </c>
      <c r="U142" s="1145">
        <f t="shared" si="22"/>
        <v>0</v>
      </c>
      <c r="V142" s="1145">
        <f t="shared" si="22"/>
        <v>0</v>
      </c>
      <c r="W142" s="1129">
        <v>0</v>
      </c>
      <c r="X142" s="1145">
        <f t="shared" si="22"/>
        <v>957188.48</v>
      </c>
      <c r="Y142" s="1145">
        <f t="shared" si="22"/>
        <v>0</v>
      </c>
    </row>
    <row r="143" spans="1:25" s="1137" customFormat="1" ht="65.45" customHeight="1">
      <c r="A143" s="1280">
        <v>130</v>
      </c>
      <c r="B143" s="1128" t="s">
        <v>736</v>
      </c>
      <c r="C143" s="1129">
        <f t="shared" ref="C143:C145" si="23">D143+N143+P143+R143+T143+V143+X143</f>
        <v>4693140.3000000007</v>
      </c>
      <c r="D143" s="1129">
        <f t="shared" ref="D143:D145" si="24">SUM(E143:J143)</f>
        <v>0</v>
      </c>
      <c r="E143" s="1145">
        <v>0</v>
      </c>
      <c r="F143" s="1145">
        <v>0</v>
      </c>
      <c r="G143" s="1145">
        <v>0</v>
      </c>
      <c r="H143" s="1145">
        <v>0</v>
      </c>
      <c r="I143" s="1145">
        <v>0</v>
      </c>
      <c r="J143" s="1145">
        <v>0</v>
      </c>
      <c r="K143" s="1136">
        <v>0</v>
      </c>
      <c r="L143" s="1145">
        <v>0</v>
      </c>
      <c r="M143" s="1136">
        <v>0</v>
      </c>
      <c r="N143" s="1145">
        <v>0</v>
      </c>
      <c r="O143" s="1145">
        <v>914</v>
      </c>
      <c r="P143" s="1145">
        <v>4352254.8600000003</v>
      </c>
      <c r="Q143" s="1145">
        <v>0</v>
      </c>
      <c r="R143" s="1145">
        <v>0</v>
      </c>
      <c r="S143" s="1145">
        <v>0</v>
      </c>
      <c r="T143" s="1145">
        <v>0</v>
      </c>
      <c r="U143" s="1145">
        <v>0</v>
      </c>
      <c r="V143" s="1145">
        <v>0</v>
      </c>
      <c r="W143" s="1129">
        <v>0</v>
      </c>
      <c r="X143" s="1145">
        <v>340885.44</v>
      </c>
      <c r="Y143" s="1145">
        <v>0</v>
      </c>
    </row>
    <row r="144" spans="1:25" s="1137" customFormat="1" ht="59.45" customHeight="1">
      <c r="A144" s="1280">
        <v>131</v>
      </c>
      <c r="B144" s="1128" t="s">
        <v>1326</v>
      </c>
      <c r="C144" s="1129">
        <f t="shared" si="23"/>
        <v>3541419.53</v>
      </c>
      <c r="D144" s="1129">
        <f t="shared" si="24"/>
        <v>0</v>
      </c>
      <c r="E144" s="1145">
        <v>0</v>
      </c>
      <c r="F144" s="1145">
        <v>0</v>
      </c>
      <c r="G144" s="1145">
        <v>0</v>
      </c>
      <c r="H144" s="1145">
        <v>0</v>
      </c>
      <c r="I144" s="1145">
        <v>0</v>
      </c>
      <c r="J144" s="1145">
        <v>0</v>
      </c>
      <c r="K144" s="1136">
        <v>0</v>
      </c>
      <c r="L144" s="1145">
        <v>0</v>
      </c>
      <c r="M144" s="1136">
        <v>0</v>
      </c>
      <c r="N144" s="1145">
        <v>0</v>
      </c>
      <c r="O144" s="1145">
        <v>980</v>
      </c>
      <c r="P144" s="1145">
        <v>3284189.13</v>
      </c>
      <c r="Q144" s="1145">
        <v>0</v>
      </c>
      <c r="R144" s="1145">
        <v>0</v>
      </c>
      <c r="S144" s="1145">
        <v>0</v>
      </c>
      <c r="T144" s="1145">
        <v>0</v>
      </c>
      <c r="U144" s="1145">
        <v>0</v>
      </c>
      <c r="V144" s="1145">
        <v>0</v>
      </c>
      <c r="W144" s="1129">
        <v>0</v>
      </c>
      <c r="X144" s="1145">
        <v>257230.4</v>
      </c>
      <c r="Y144" s="1145">
        <v>0</v>
      </c>
    </row>
    <row r="145" spans="1:25" s="1137" customFormat="1" ht="70.150000000000006" customHeight="1">
      <c r="A145" s="1280">
        <v>132</v>
      </c>
      <c r="B145" s="1128" t="s">
        <v>1327</v>
      </c>
      <c r="C145" s="1129">
        <f t="shared" si="23"/>
        <v>4943532.5699999994</v>
      </c>
      <c r="D145" s="1129">
        <f t="shared" si="24"/>
        <v>0</v>
      </c>
      <c r="E145" s="1145">
        <v>0</v>
      </c>
      <c r="F145" s="1145">
        <v>0</v>
      </c>
      <c r="G145" s="1145">
        <v>0</v>
      </c>
      <c r="H145" s="1145">
        <v>0</v>
      </c>
      <c r="I145" s="1145">
        <v>0</v>
      </c>
      <c r="J145" s="1145">
        <v>0</v>
      </c>
      <c r="K145" s="1136">
        <v>0</v>
      </c>
      <c r="L145" s="1145">
        <v>0</v>
      </c>
      <c r="M145" s="1136">
        <v>0</v>
      </c>
      <c r="N145" s="1145">
        <v>0</v>
      </c>
      <c r="O145" s="1145">
        <v>1368</v>
      </c>
      <c r="P145" s="1145">
        <v>4584459.93</v>
      </c>
      <c r="Q145" s="1145">
        <v>0</v>
      </c>
      <c r="R145" s="1145">
        <v>0</v>
      </c>
      <c r="S145" s="1145">
        <v>0</v>
      </c>
      <c r="T145" s="1145">
        <v>0</v>
      </c>
      <c r="U145" s="1145">
        <v>0</v>
      </c>
      <c r="V145" s="1145">
        <v>0</v>
      </c>
      <c r="W145" s="1129">
        <v>0</v>
      </c>
      <c r="X145" s="1145">
        <v>359072.64</v>
      </c>
      <c r="Y145" s="1145">
        <v>0</v>
      </c>
    </row>
    <row r="146" spans="1:25" s="1137" customFormat="1" ht="94.9" customHeight="1">
      <c r="A146" s="1280"/>
      <c r="B146" s="1135" t="s">
        <v>1435</v>
      </c>
      <c r="C146" s="1129">
        <f>C147+C148</f>
        <v>3858446</v>
      </c>
      <c r="D146" s="1129">
        <f t="shared" ref="D146:Y146" si="25">D147+D148</f>
        <v>0</v>
      </c>
      <c r="E146" s="1129">
        <f t="shared" si="25"/>
        <v>0</v>
      </c>
      <c r="F146" s="1129">
        <f t="shared" si="25"/>
        <v>0</v>
      </c>
      <c r="G146" s="1129">
        <f t="shared" si="25"/>
        <v>0</v>
      </c>
      <c r="H146" s="1129">
        <f t="shared" si="25"/>
        <v>0</v>
      </c>
      <c r="I146" s="1129">
        <f t="shared" si="25"/>
        <v>0</v>
      </c>
      <c r="J146" s="1129">
        <f t="shared" si="25"/>
        <v>0</v>
      </c>
      <c r="K146" s="1136">
        <f t="shared" si="25"/>
        <v>0</v>
      </c>
      <c r="L146" s="1129">
        <f t="shared" si="25"/>
        <v>0</v>
      </c>
      <c r="M146" s="1136">
        <f t="shared" si="25"/>
        <v>0</v>
      </c>
      <c r="N146" s="1129">
        <f t="shared" si="25"/>
        <v>0</v>
      </c>
      <c r="O146" s="1129">
        <f t="shared" si="25"/>
        <v>1140</v>
      </c>
      <c r="P146" s="1129">
        <f t="shared" si="25"/>
        <v>3578189</v>
      </c>
      <c r="Q146" s="1129">
        <f t="shared" si="25"/>
        <v>0</v>
      </c>
      <c r="R146" s="1129">
        <f t="shared" si="25"/>
        <v>0</v>
      </c>
      <c r="S146" s="1129">
        <f t="shared" si="25"/>
        <v>0</v>
      </c>
      <c r="T146" s="1129">
        <f t="shared" si="25"/>
        <v>0</v>
      </c>
      <c r="U146" s="1129">
        <f t="shared" si="25"/>
        <v>0</v>
      </c>
      <c r="V146" s="1129">
        <f t="shared" si="25"/>
        <v>0</v>
      </c>
      <c r="W146" s="1129">
        <v>0</v>
      </c>
      <c r="X146" s="1129">
        <f t="shared" si="25"/>
        <v>280257</v>
      </c>
      <c r="Y146" s="1129">
        <f t="shared" si="25"/>
        <v>0</v>
      </c>
    </row>
    <row r="147" spans="1:25" s="1137" customFormat="1" ht="84" customHeight="1">
      <c r="A147" s="1280">
        <v>133</v>
      </c>
      <c r="B147" s="1128" t="s">
        <v>2342</v>
      </c>
      <c r="C147" s="1129">
        <f t="shared" ref="C147:C148" si="26">D147+N147+P147+R147+T147+V147+X147</f>
        <v>1895377</v>
      </c>
      <c r="D147" s="1129">
        <f t="shared" ref="D147:D148" si="27">SUM(E147:J147)</f>
        <v>0</v>
      </c>
      <c r="E147" s="1145">
        <v>0</v>
      </c>
      <c r="F147" s="1145">
        <v>0</v>
      </c>
      <c r="G147" s="1145">
        <v>0</v>
      </c>
      <c r="H147" s="1145">
        <v>0</v>
      </c>
      <c r="I147" s="1145">
        <v>0</v>
      </c>
      <c r="J147" s="1145">
        <v>0</v>
      </c>
      <c r="K147" s="1136">
        <v>0</v>
      </c>
      <c r="L147" s="1145">
        <v>0</v>
      </c>
      <c r="M147" s="1136">
        <v>0</v>
      </c>
      <c r="N147" s="1145">
        <v>0</v>
      </c>
      <c r="O147" s="1145">
        <v>560</v>
      </c>
      <c r="P147" s="1145">
        <v>1757707</v>
      </c>
      <c r="Q147" s="1145">
        <v>0</v>
      </c>
      <c r="R147" s="1145">
        <v>0</v>
      </c>
      <c r="S147" s="1145">
        <v>0</v>
      </c>
      <c r="T147" s="1145">
        <v>0</v>
      </c>
      <c r="U147" s="1145">
        <v>0</v>
      </c>
      <c r="V147" s="1145">
        <v>0</v>
      </c>
      <c r="W147" s="1129">
        <v>0</v>
      </c>
      <c r="X147" s="1145">
        <v>137670</v>
      </c>
      <c r="Y147" s="1145">
        <v>0</v>
      </c>
    </row>
    <row r="148" spans="1:25" s="1137" customFormat="1" ht="92.45" customHeight="1">
      <c r="A148" s="1280">
        <v>134</v>
      </c>
      <c r="B148" s="1128" t="s">
        <v>2343</v>
      </c>
      <c r="C148" s="1129">
        <f t="shared" si="26"/>
        <v>1963069</v>
      </c>
      <c r="D148" s="1129">
        <f t="shared" si="27"/>
        <v>0</v>
      </c>
      <c r="E148" s="1145">
        <v>0</v>
      </c>
      <c r="F148" s="1145">
        <v>0</v>
      </c>
      <c r="G148" s="1145">
        <v>0</v>
      </c>
      <c r="H148" s="1145">
        <v>0</v>
      </c>
      <c r="I148" s="1145">
        <v>0</v>
      </c>
      <c r="J148" s="1145">
        <v>0</v>
      </c>
      <c r="K148" s="1136">
        <v>0</v>
      </c>
      <c r="L148" s="1145">
        <v>0</v>
      </c>
      <c r="M148" s="1136">
        <v>0</v>
      </c>
      <c r="N148" s="1145">
        <v>0</v>
      </c>
      <c r="O148" s="1145">
        <v>580</v>
      </c>
      <c r="P148" s="1145">
        <v>1820482</v>
      </c>
      <c r="Q148" s="1145">
        <v>0</v>
      </c>
      <c r="R148" s="1145">
        <v>0</v>
      </c>
      <c r="S148" s="1145">
        <v>0</v>
      </c>
      <c r="T148" s="1145">
        <v>0</v>
      </c>
      <c r="U148" s="1145">
        <v>0</v>
      </c>
      <c r="V148" s="1145">
        <v>0</v>
      </c>
      <c r="W148" s="1129">
        <v>0</v>
      </c>
      <c r="X148" s="1145">
        <v>142587</v>
      </c>
      <c r="Y148" s="1145">
        <v>0</v>
      </c>
    </row>
    <row r="149" spans="1:25" s="1137" customFormat="1" ht="67.900000000000006" customHeight="1">
      <c r="A149" s="1280"/>
      <c r="B149" s="1128" t="s">
        <v>41</v>
      </c>
      <c r="C149" s="1145">
        <f t="shared" ref="C149:J149" si="28">C150</f>
        <v>50217234.579999998</v>
      </c>
      <c r="D149" s="1145">
        <f t="shared" si="28"/>
        <v>5105546.1399999997</v>
      </c>
      <c r="E149" s="1145">
        <f t="shared" si="28"/>
        <v>711408</v>
      </c>
      <c r="F149" s="1145">
        <f t="shared" si="28"/>
        <v>1846341.47</v>
      </c>
      <c r="G149" s="1145">
        <f t="shared" si="28"/>
        <v>495704.32000000001</v>
      </c>
      <c r="H149" s="1145">
        <f t="shared" si="28"/>
        <v>515986</v>
      </c>
      <c r="I149" s="1145">
        <f t="shared" si="28"/>
        <v>0</v>
      </c>
      <c r="J149" s="1145">
        <f t="shared" si="28"/>
        <v>1536106.35</v>
      </c>
      <c r="K149" s="1136">
        <v>0</v>
      </c>
      <c r="L149" s="1145">
        <v>0</v>
      </c>
      <c r="M149" s="1136">
        <f t="shared" ref="M149:V149" si="29">M150</f>
        <v>0</v>
      </c>
      <c r="N149" s="1145">
        <f t="shared" si="29"/>
        <v>0</v>
      </c>
      <c r="O149" s="1145">
        <f t="shared" si="29"/>
        <v>8125.4</v>
      </c>
      <c r="P149" s="1145">
        <f t="shared" si="29"/>
        <v>35032336.560000002</v>
      </c>
      <c r="Q149" s="1145">
        <f t="shared" si="29"/>
        <v>0</v>
      </c>
      <c r="R149" s="1145">
        <f t="shared" si="29"/>
        <v>0</v>
      </c>
      <c r="S149" s="1145">
        <f t="shared" si="29"/>
        <v>2023.71</v>
      </c>
      <c r="T149" s="1145">
        <f t="shared" si="29"/>
        <v>6668438</v>
      </c>
      <c r="U149" s="1145">
        <f t="shared" si="29"/>
        <v>0</v>
      </c>
      <c r="V149" s="1145">
        <f t="shared" si="29"/>
        <v>0</v>
      </c>
      <c r="W149" s="1129">
        <v>0</v>
      </c>
      <c r="X149" s="1145">
        <f t="shared" ref="X149" si="30">X150</f>
        <v>3410913.8800000004</v>
      </c>
      <c r="Y149" s="1145">
        <v>0</v>
      </c>
    </row>
    <row r="150" spans="1:25" s="1137" customFormat="1" ht="94.15" customHeight="1">
      <c r="A150" s="1280"/>
      <c r="B150" s="1128" t="s">
        <v>1063</v>
      </c>
      <c r="C150" s="1145">
        <f t="shared" ref="C150:Y150" si="31">SUM(C151:C168)</f>
        <v>50217234.579999998</v>
      </c>
      <c r="D150" s="1145">
        <f t="shared" si="31"/>
        <v>5105546.1399999997</v>
      </c>
      <c r="E150" s="1145">
        <f t="shared" si="31"/>
        <v>711408</v>
      </c>
      <c r="F150" s="1145">
        <f t="shared" si="31"/>
        <v>1846341.47</v>
      </c>
      <c r="G150" s="1145">
        <f t="shared" si="31"/>
        <v>495704.32000000001</v>
      </c>
      <c r="H150" s="1145">
        <f t="shared" si="31"/>
        <v>515986</v>
      </c>
      <c r="I150" s="1145">
        <f t="shared" si="31"/>
        <v>0</v>
      </c>
      <c r="J150" s="1145">
        <f t="shared" si="31"/>
        <v>1536106.35</v>
      </c>
      <c r="K150" s="1163">
        <f t="shared" si="31"/>
        <v>0</v>
      </c>
      <c r="L150" s="1145">
        <f t="shared" si="31"/>
        <v>0</v>
      </c>
      <c r="M150" s="1163">
        <f t="shared" si="31"/>
        <v>0</v>
      </c>
      <c r="N150" s="1145">
        <f t="shared" si="31"/>
        <v>0</v>
      </c>
      <c r="O150" s="1145">
        <f t="shared" si="31"/>
        <v>8125.4</v>
      </c>
      <c r="P150" s="1145">
        <f t="shared" si="31"/>
        <v>35032336.560000002</v>
      </c>
      <c r="Q150" s="1145">
        <f t="shared" si="31"/>
        <v>0</v>
      </c>
      <c r="R150" s="1145">
        <f t="shared" si="31"/>
        <v>0</v>
      </c>
      <c r="S150" s="1145">
        <f t="shared" si="31"/>
        <v>2023.71</v>
      </c>
      <c r="T150" s="1145">
        <f t="shared" si="31"/>
        <v>6668438</v>
      </c>
      <c r="U150" s="1145">
        <f t="shared" si="31"/>
        <v>0</v>
      </c>
      <c r="V150" s="1145">
        <f t="shared" si="31"/>
        <v>0</v>
      </c>
      <c r="W150" s="1145">
        <f t="shared" si="31"/>
        <v>0</v>
      </c>
      <c r="X150" s="1145">
        <f t="shared" si="31"/>
        <v>3410913.8800000004</v>
      </c>
      <c r="Y150" s="1145">
        <f t="shared" si="31"/>
        <v>0</v>
      </c>
    </row>
    <row r="151" spans="1:25" s="1137" customFormat="1" ht="64.150000000000006" customHeight="1">
      <c r="A151" s="1151">
        <v>135</v>
      </c>
      <c r="B151" s="1128" t="s">
        <v>1512</v>
      </c>
      <c r="C151" s="1129">
        <f t="shared" ref="C151:C168" si="32">D151+N151+P151+R151+T151+V151+X151</f>
        <v>2715253.21</v>
      </c>
      <c r="D151" s="1129">
        <f t="shared" ref="D151:D168" si="33">SUM(E151:J151)</f>
        <v>2562712.8199999998</v>
      </c>
      <c r="E151" s="1129">
        <v>0</v>
      </c>
      <c r="F151" s="1129">
        <v>1846341.47</v>
      </c>
      <c r="G151" s="1129">
        <v>0</v>
      </c>
      <c r="H151" s="1129">
        <v>0</v>
      </c>
      <c r="I151" s="1129">
        <v>0</v>
      </c>
      <c r="J151" s="1129">
        <v>716371.35</v>
      </c>
      <c r="K151" s="1136">
        <v>0</v>
      </c>
      <c r="L151" s="1129">
        <v>0</v>
      </c>
      <c r="M151" s="1136">
        <v>0</v>
      </c>
      <c r="N151" s="1129">
        <v>0</v>
      </c>
      <c r="O151" s="1129">
        <v>0</v>
      </c>
      <c r="P151" s="1129">
        <v>0</v>
      </c>
      <c r="Q151" s="1129">
        <v>0</v>
      </c>
      <c r="R151" s="1129">
        <v>0</v>
      </c>
      <c r="S151" s="1129">
        <v>0</v>
      </c>
      <c r="T151" s="1129">
        <v>0</v>
      </c>
      <c r="U151" s="1129">
        <v>0</v>
      </c>
      <c r="V151" s="1129">
        <v>0</v>
      </c>
      <c r="W151" s="1129">
        <v>0</v>
      </c>
      <c r="X151" s="1129">
        <v>152540.39000000001</v>
      </c>
      <c r="Y151" s="1129">
        <v>0</v>
      </c>
    </row>
    <row r="152" spans="1:25" s="1137" customFormat="1" ht="60.6" customHeight="1">
      <c r="A152" s="1151">
        <v>136</v>
      </c>
      <c r="B152" s="1128" t="s">
        <v>1513</v>
      </c>
      <c r="C152" s="1129">
        <f t="shared" si="32"/>
        <v>3721587</v>
      </c>
      <c r="D152" s="1129">
        <f t="shared" si="33"/>
        <v>0</v>
      </c>
      <c r="E152" s="1129">
        <v>0</v>
      </c>
      <c r="F152" s="1129">
        <v>0</v>
      </c>
      <c r="G152" s="1129">
        <v>0</v>
      </c>
      <c r="H152" s="1129">
        <v>0</v>
      </c>
      <c r="I152" s="1129">
        <v>0</v>
      </c>
      <c r="J152" s="1129">
        <v>0</v>
      </c>
      <c r="K152" s="1136">
        <v>0</v>
      </c>
      <c r="L152" s="1129">
        <v>0</v>
      </c>
      <c r="M152" s="1136">
        <v>0</v>
      </c>
      <c r="N152" s="1129">
        <v>0</v>
      </c>
      <c r="O152" s="1129">
        <v>0</v>
      </c>
      <c r="P152" s="1129">
        <v>0</v>
      </c>
      <c r="Q152" s="1129">
        <v>0</v>
      </c>
      <c r="R152" s="1129">
        <v>0</v>
      </c>
      <c r="S152" s="1129">
        <v>720</v>
      </c>
      <c r="T152" s="1129">
        <v>3451270</v>
      </c>
      <c r="U152" s="1129">
        <v>0</v>
      </c>
      <c r="V152" s="1129">
        <v>0</v>
      </c>
      <c r="W152" s="1129">
        <v>0</v>
      </c>
      <c r="X152" s="1129">
        <v>270317</v>
      </c>
      <c r="Y152" s="1129">
        <v>0</v>
      </c>
    </row>
    <row r="153" spans="1:25" s="1137" customFormat="1" ht="63" customHeight="1">
      <c r="A153" s="1151">
        <v>137</v>
      </c>
      <c r="B153" s="1128" t="s">
        <v>1514</v>
      </c>
      <c r="C153" s="1129">
        <f t="shared" si="32"/>
        <v>1608909.71</v>
      </c>
      <c r="D153" s="1129">
        <f t="shared" si="33"/>
        <v>0</v>
      </c>
      <c r="E153" s="1129">
        <v>0</v>
      </c>
      <c r="F153" s="1129">
        <v>0</v>
      </c>
      <c r="G153" s="1129">
        <v>0</v>
      </c>
      <c r="H153" s="1129">
        <v>0</v>
      </c>
      <c r="I153" s="1129">
        <v>0</v>
      </c>
      <c r="J153" s="1129">
        <v>0</v>
      </c>
      <c r="K153" s="1136">
        <v>0</v>
      </c>
      <c r="L153" s="1129">
        <v>0</v>
      </c>
      <c r="M153" s="1136">
        <v>0</v>
      </c>
      <c r="N153" s="1129">
        <v>0</v>
      </c>
      <c r="O153" s="1129">
        <v>0</v>
      </c>
      <c r="P153" s="1129">
        <v>0</v>
      </c>
      <c r="Q153" s="1129">
        <v>0</v>
      </c>
      <c r="R153" s="1129">
        <v>0</v>
      </c>
      <c r="S153" s="1129">
        <v>604.63</v>
      </c>
      <c r="T153" s="1129">
        <v>1492047</v>
      </c>
      <c r="U153" s="1129">
        <v>0</v>
      </c>
      <c r="V153" s="1129">
        <v>0</v>
      </c>
      <c r="W153" s="1129">
        <v>0</v>
      </c>
      <c r="X153" s="1129">
        <v>116862.71</v>
      </c>
      <c r="Y153" s="1129">
        <v>0</v>
      </c>
    </row>
    <row r="154" spans="1:25" s="1137" customFormat="1" ht="61.9" customHeight="1">
      <c r="A154" s="1151">
        <v>138</v>
      </c>
      <c r="B154" s="1128" t="s">
        <v>1515</v>
      </c>
      <c r="C154" s="1129">
        <f t="shared" si="32"/>
        <v>3430773</v>
      </c>
      <c r="D154" s="1129">
        <f t="shared" si="33"/>
        <v>0</v>
      </c>
      <c r="E154" s="1129">
        <v>0</v>
      </c>
      <c r="F154" s="1129">
        <v>0</v>
      </c>
      <c r="G154" s="1129">
        <v>0</v>
      </c>
      <c r="H154" s="1129">
        <v>0</v>
      </c>
      <c r="I154" s="1129">
        <v>0</v>
      </c>
      <c r="J154" s="1129">
        <v>0</v>
      </c>
      <c r="K154" s="1136">
        <v>0</v>
      </c>
      <c r="L154" s="1129">
        <v>0</v>
      </c>
      <c r="M154" s="1136">
        <v>0</v>
      </c>
      <c r="N154" s="1129">
        <v>0</v>
      </c>
      <c r="O154" s="1129">
        <v>860</v>
      </c>
      <c r="P154" s="1129">
        <v>3181579</v>
      </c>
      <c r="Q154" s="1129">
        <v>0</v>
      </c>
      <c r="R154" s="1129">
        <v>0</v>
      </c>
      <c r="S154" s="1129">
        <v>0</v>
      </c>
      <c r="T154" s="1129">
        <v>0</v>
      </c>
      <c r="U154" s="1129">
        <v>0</v>
      </c>
      <c r="V154" s="1129">
        <v>0</v>
      </c>
      <c r="W154" s="1129">
        <v>0</v>
      </c>
      <c r="X154" s="1129">
        <v>249194</v>
      </c>
      <c r="Y154" s="1129">
        <v>0</v>
      </c>
    </row>
    <row r="155" spans="1:25" s="1137" customFormat="1" ht="59.45" customHeight="1">
      <c r="A155" s="1151">
        <v>139</v>
      </c>
      <c r="B155" s="1128" t="s">
        <v>1516</v>
      </c>
      <c r="C155" s="1129">
        <f t="shared" si="32"/>
        <v>3167481</v>
      </c>
      <c r="D155" s="1129">
        <f t="shared" si="33"/>
        <v>0</v>
      </c>
      <c r="E155" s="1129">
        <v>0</v>
      </c>
      <c r="F155" s="1129">
        <v>0</v>
      </c>
      <c r="G155" s="1129">
        <v>0</v>
      </c>
      <c r="H155" s="1129">
        <v>0</v>
      </c>
      <c r="I155" s="1129">
        <v>0</v>
      </c>
      <c r="J155" s="1129">
        <v>0</v>
      </c>
      <c r="K155" s="1136">
        <v>0</v>
      </c>
      <c r="L155" s="1129">
        <v>0</v>
      </c>
      <c r="M155" s="1136">
        <v>0</v>
      </c>
      <c r="N155" s="1129">
        <v>0</v>
      </c>
      <c r="O155" s="1129">
        <v>794</v>
      </c>
      <c r="P155" s="1129">
        <v>2937412</v>
      </c>
      <c r="Q155" s="1129">
        <v>0</v>
      </c>
      <c r="R155" s="1129">
        <v>0</v>
      </c>
      <c r="S155" s="1129">
        <v>0</v>
      </c>
      <c r="T155" s="1129">
        <v>0</v>
      </c>
      <c r="U155" s="1129">
        <v>0</v>
      </c>
      <c r="V155" s="1129">
        <v>0</v>
      </c>
      <c r="W155" s="1129">
        <v>0</v>
      </c>
      <c r="X155" s="1129">
        <v>230069</v>
      </c>
      <c r="Y155" s="1129">
        <v>0</v>
      </c>
    </row>
    <row r="156" spans="1:25" s="1148" customFormat="1" ht="62.45" customHeight="1">
      <c r="A156" s="1151">
        <v>140</v>
      </c>
      <c r="B156" s="1128" t="s">
        <v>1517</v>
      </c>
      <c r="C156" s="1129">
        <f t="shared" si="32"/>
        <v>288691</v>
      </c>
      <c r="D156" s="1129">
        <f t="shared" si="33"/>
        <v>267722</v>
      </c>
      <c r="E156" s="1129">
        <v>267722</v>
      </c>
      <c r="F156" s="1129">
        <v>0</v>
      </c>
      <c r="G156" s="1129">
        <v>0</v>
      </c>
      <c r="H156" s="1129">
        <v>0</v>
      </c>
      <c r="I156" s="1129">
        <v>0</v>
      </c>
      <c r="J156" s="1129">
        <v>0</v>
      </c>
      <c r="K156" s="1136">
        <v>0</v>
      </c>
      <c r="L156" s="1129">
        <v>0</v>
      </c>
      <c r="M156" s="1136">
        <v>0</v>
      </c>
      <c r="N156" s="1129">
        <v>0</v>
      </c>
      <c r="O156" s="1129">
        <v>0</v>
      </c>
      <c r="P156" s="1129">
        <v>0</v>
      </c>
      <c r="Q156" s="1129">
        <v>0</v>
      </c>
      <c r="R156" s="1129">
        <v>0</v>
      </c>
      <c r="S156" s="1129">
        <v>0</v>
      </c>
      <c r="T156" s="1129">
        <v>0</v>
      </c>
      <c r="U156" s="1129">
        <v>0</v>
      </c>
      <c r="V156" s="1129">
        <v>0</v>
      </c>
      <c r="W156" s="1129">
        <v>0</v>
      </c>
      <c r="X156" s="1129">
        <v>20969</v>
      </c>
      <c r="Y156" s="1129">
        <v>0</v>
      </c>
    </row>
    <row r="157" spans="1:25" s="1148" customFormat="1" ht="61.9" customHeight="1">
      <c r="A157" s="1151">
        <v>141</v>
      </c>
      <c r="B157" s="1128" t="s">
        <v>1518</v>
      </c>
      <c r="C157" s="1129">
        <f t="shared" si="32"/>
        <v>2556724</v>
      </c>
      <c r="D157" s="1129">
        <f t="shared" si="33"/>
        <v>0</v>
      </c>
      <c r="E157" s="1129">
        <v>0</v>
      </c>
      <c r="F157" s="1129">
        <v>0</v>
      </c>
      <c r="G157" s="1129">
        <v>0</v>
      </c>
      <c r="H157" s="1129">
        <v>0</v>
      </c>
      <c r="I157" s="1129">
        <v>0</v>
      </c>
      <c r="J157" s="1129">
        <v>0</v>
      </c>
      <c r="K157" s="1136">
        <v>0</v>
      </c>
      <c r="L157" s="1129">
        <v>0</v>
      </c>
      <c r="M157" s="1136">
        <v>0</v>
      </c>
      <c r="N157" s="1129">
        <v>0</v>
      </c>
      <c r="O157" s="1129">
        <v>640.9</v>
      </c>
      <c r="P157" s="1129">
        <v>2371017</v>
      </c>
      <c r="Q157" s="1129">
        <v>0</v>
      </c>
      <c r="R157" s="1129">
        <v>0</v>
      </c>
      <c r="S157" s="1129">
        <v>0</v>
      </c>
      <c r="T157" s="1129">
        <v>0</v>
      </c>
      <c r="U157" s="1129">
        <v>0</v>
      </c>
      <c r="V157" s="1129">
        <v>0</v>
      </c>
      <c r="W157" s="1129">
        <v>0</v>
      </c>
      <c r="X157" s="1129">
        <v>185707</v>
      </c>
      <c r="Y157" s="1129">
        <v>0</v>
      </c>
    </row>
    <row r="158" spans="1:25" s="1148" customFormat="1" ht="60.6" customHeight="1">
      <c r="A158" s="1151">
        <v>142</v>
      </c>
      <c r="B158" s="1128" t="s">
        <v>1633</v>
      </c>
      <c r="C158" s="1129">
        <f t="shared" si="32"/>
        <v>3718399.32</v>
      </c>
      <c r="D158" s="1129">
        <f t="shared" si="33"/>
        <v>0</v>
      </c>
      <c r="E158" s="1129">
        <v>0</v>
      </c>
      <c r="F158" s="1129">
        <v>0</v>
      </c>
      <c r="G158" s="1129">
        <v>0</v>
      </c>
      <c r="H158" s="1129">
        <v>0</v>
      </c>
      <c r="I158" s="1129">
        <v>0</v>
      </c>
      <c r="J158" s="1129">
        <v>0</v>
      </c>
      <c r="K158" s="1136">
        <v>0</v>
      </c>
      <c r="L158" s="1129">
        <v>0</v>
      </c>
      <c r="M158" s="1136">
        <v>0</v>
      </c>
      <c r="N158" s="1129">
        <v>0</v>
      </c>
      <c r="O158" s="1129">
        <v>932.1</v>
      </c>
      <c r="P158" s="1129">
        <v>3448314.02</v>
      </c>
      <c r="Q158" s="1129">
        <v>0</v>
      </c>
      <c r="R158" s="1129">
        <v>0</v>
      </c>
      <c r="S158" s="1129">
        <v>0</v>
      </c>
      <c r="T158" s="1129">
        <v>0</v>
      </c>
      <c r="U158" s="1129">
        <v>0</v>
      </c>
      <c r="V158" s="1129">
        <v>0</v>
      </c>
      <c r="W158" s="1129">
        <v>0</v>
      </c>
      <c r="X158" s="1129">
        <v>270085.3</v>
      </c>
      <c r="Y158" s="1129">
        <v>0</v>
      </c>
    </row>
    <row r="159" spans="1:25" s="1148" customFormat="1" ht="63" customHeight="1">
      <c r="A159" s="1151">
        <v>143</v>
      </c>
      <c r="B159" s="1128" t="s">
        <v>1519</v>
      </c>
      <c r="C159" s="1129">
        <f t="shared" si="32"/>
        <v>4112925</v>
      </c>
      <c r="D159" s="1129">
        <f t="shared" si="33"/>
        <v>0</v>
      </c>
      <c r="E159" s="1129">
        <v>0</v>
      </c>
      <c r="F159" s="1129">
        <v>0</v>
      </c>
      <c r="G159" s="1129">
        <v>0</v>
      </c>
      <c r="H159" s="1129">
        <v>0</v>
      </c>
      <c r="I159" s="1129">
        <v>0</v>
      </c>
      <c r="J159" s="1129">
        <v>0</v>
      </c>
      <c r="K159" s="1136">
        <v>0</v>
      </c>
      <c r="L159" s="1129">
        <v>0</v>
      </c>
      <c r="M159" s="1136">
        <v>0</v>
      </c>
      <c r="N159" s="1129">
        <v>0</v>
      </c>
      <c r="O159" s="1129">
        <v>842</v>
      </c>
      <c r="P159" s="1129">
        <v>3814183</v>
      </c>
      <c r="Q159" s="1129">
        <v>0</v>
      </c>
      <c r="R159" s="1129">
        <v>0</v>
      </c>
      <c r="S159" s="1129">
        <v>0</v>
      </c>
      <c r="T159" s="1129">
        <v>0</v>
      </c>
      <c r="U159" s="1129">
        <v>0</v>
      </c>
      <c r="V159" s="1129">
        <v>0</v>
      </c>
      <c r="W159" s="1129">
        <v>0</v>
      </c>
      <c r="X159" s="1129">
        <v>298742</v>
      </c>
      <c r="Y159" s="1129">
        <v>0</v>
      </c>
    </row>
    <row r="160" spans="1:25" s="1148" customFormat="1" ht="66.599999999999994" customHeight="1">
      <c r="A160" s="1151">
        <v>144</v>
      </c>
      <c r="B160" s="1128" t="s">
        <v>1520</v>
      </c>
      <c r="C160" s="1129">
        <f t="shared" si="32"/>
        <v>8606287.5399999991</v>
      </c>
      <c r="D160" s="1129">
        <f t="shared" si="33"/>
        <v>0</v>
      </c>
      <c r="E160" s="1129">
        <v>0</v>
      </c>
      <c r="F160" s="1129">
        <v>0</v>
      </c>
      <c r="G160" s="1129">
        <v>0</v>
      </c>
      <c r="H160" s="1129">
        <v>0</v>
      </c>
      <c r="I160" s="1129">
        <v>0</v>
      </c>
      <c r="J160" s="1129">
        <v>0</v>
      </c>
      <c r="K160" s="1136">
        <v>0</v>
      </c>
      <c r="L160" s="1129">
        <v>0</v>
      </c>
      <c r="M160" s="1136">
        <v>0</v>
      </c>
      <c r="N160" s="1129">
        <v>0</v>
      </c>
      <c r="O160" s="1129">
        <v>1716.4</v>
      </c>
      <c r="P160" s="1129">
        <v>8173096.54</v>
      </c>
      <c r="Q160" s="1129">
        <v>0</v>
      </c>
      <c r="R160" s="1129">
        <v>0</v>
      </c>
      <c r="S160" s="1129">
        <v>0</v>
      </c>
      <c r="T160" s="1129">
        <v>0</v>
      </c>
      <c r="U160" s="1129">
        <v>0</v>
      </c>
      <c r="V160" s="1129">
        <v>0</v>
      </c>
      <c r="W160" s="1129">
        <v>0</v>
      </c>
      <c r="X160" s="1129">
        <v>433191</v>
      </c>
      <c r="Y160" s="1129">
        <v>0</v>
      </c>
    </row>
    <row r="161" spans="1:25" s="1148" customFormat="1" ht="70.900000000000006" customHeight="1">
      <c r="A161" s="1151">
        <v>145</v>
      </c>
      <c r="B161" s="1128" t="s">
        <v>1260</v>
      </c>
      <c r="C161" s="1129">
        <f t="shared" si="32"/>
        <v>1445225</v>
      </c>
      <c r="D161" s="1129">
        <f t="shared" si="33"/>
        <v>0</v>
      </c>
      <c r="E161" s="1129">
        <v>0</v>
      </c>
      <c r="F161" s="1129">
        <v>0</v>
      </c>
      <c r="G161" s="1129">
        <v>0</v>
      </c>
      <c r="H161" s="1129">
        <v>0</v>
      </c>
      <c r="I161" s="1129">
        <v>0</v>
      </c>
      <c r="J161" s="1129">
        <v>0</v>
      </c>
      <c r="K161" s="1136">
        <v>0</v>
      </c>
      <c r="L161" s="1129">
        <v>0</v>
      </c>
      <c r="M161" s="1136">
        <v>0</v>
      </c>
      <c r="N161" s="1129">
        <v>0</v>
      </c>
      <c r="O161" s="1129">
        <v>350</v>
      </c>
      <c r="P161" s="1129">
        <v>1340251</v>
      </c>
      <c r="Q161" s="1129">
        <v>0</v>
      </c>
      <c r="R161" s="1129">
        <v>0</v>
      </c>
      <c r="S161" s="1129">
        <v>0</v>
      </c>
      <c r="T161" s="1129">
        <v>0</v>
      </c>
      <c r="U161" s="1129">
        <v>0</v>
      </c>
      <c r="V161" s="1129">
        <v>0</v>
      </c>
      <c r="W161" s="1129">
        <v>0</v>
      </c>
      <c r="X161" s="1129">
        <v>104974</v>
      </c>
      <c r="Y161" s="1129">
        <v>0</v>
      </c>
    </row>
    <row r="162" spans="1:25" s="1148" customFormat="1" ht="64.150000000000006" customHeight="1">
      <c r="A162" s="1151">
        <v>146</v>
      </c>
      <c r="B162" s="1128" t="s">
        <v>1042</v>
      </c>
      <c r="C162" s="1129">
        <f t="shared" si="32"/>
        <v>3937076</v>
      </c>
      <c r="D162" s="1129">
        <f t="shared" si="33"/>
        <v>0</v>
      </c>
      <c r="E162" s="1129">
        <v>0</v>
      </c>
      <c r="F162" s="1129">
        <v>0</v>
      </c>
      <c r="G162" s="1129">
        <v>0</v>
      </c>
      <c r="H162" s="1129">
        <v>0</v>
      </c>
      <c r="I162" s="1129">
        <v>0</v>
      </c>
      <c r="J162" s="1129">
        <v>0</v>
      </c>
      <c r="K162" s="1136">
        <v>0</v>
      </c>
      <c r="L162" s="1129">
        <v>0</v>
      </c>
      <c r="M162" s="1136">
        <v>0</v>
      </c>
      <c r="N162" s="1129">
        <v>0</v>
      </c>
      <c r="O162" s="1129">
        <v>640</v>
      </c>
      <c r="P162" s="1129">
        <v>3651107</v>
      </c>
      <c r="Q162" s="1129">
        <v>0</v>
      </c>
      <c r="R162" s="1129">
        <v>0</v>
      </c>
      <c r="S162" s="1129">
        <v>0</v>
      </c>
      <c r="T162" s="1129">
        <v>0</v>
      </c>
      <c r="U162" s="1129">
        <v>0</v>
      </c>
      <c r="V162" s="1129">
        <v>0</v>
      </c>
      <c r="W162" s="1129">
        <v>0</v>
      </c>
      <c r="X162" s="1129">
        <v>285969</v>
      </c>
      <c r="Y162" s="1129">
        <v>0</v>
      </c>
    </row>
    <row r="163" spans="1:25" s="1148" customFormat="1" ht="64.150000000000006" customHeight="1">
      <c r="A163" s="1151">
        <v>147</v>
      </c>
      <c r="B163" s="1128" t="s">
        <v>1521</v>
      </c>
      <c r="C163" s="1129">
        <f t="shared" si="32"/>
        <v>1860239</v>
      </c>
      <c r="D163" s="1129">
        <f t="shared" si="33"/>
        <v>0</v>
      </c>
      <c r="E163" s="1129">
        <v>0</v>
      </c>
      <c r="F163" s="1129">
        <v>0</v>
      </c>
      <c r="G163" s="1129">
        <v>0</v>
      </c>
      <c r="H163" s="1129">
        <v>0</v>
      </c>
      <c r="I163" s="1129">
        <v>0</v>
      </c>
      <c r="J163" s="1129">
        <v>0</v>
      </c>
      <c r="K163" s="1136">
        <v>0</v>
      </c>
      <c r="L163" s="1129">
        <v>0</v>
      </c>
      <c r="M163" s="1136">
        <v>0</v>
      </c>
      <c r="N163" s="1129">
        <v>0</v>
      </c>
      <c r="O163" s="1129">
        <v>0</v>
      </c>
      <c r="P163" s="1129">
        <v>0</v>
      </c>
      <c r="Q163" s="1129">
        <v>0</v>
      </c>
      <c r="R163" s="1129">
        <v>0</v>
      </c>
      <c r="S163" s="1129">
        <v>699.08</v>
      </c>
      <c r="T163" s="1129">
        <v>1725121</v>
      </c>
      <c r="U163" s="1129">
        <v>0</v>
      </c>
      <c r="V163" s="1129">
        <v>0</v>
      </c>
      <c r="W163" s="1129">
        <v>0</v>
      </c>
      <c r="X163" s="1129">
        <v>135118</v>
      </c>
      <c r="Y163" s="1129">
        <v>0</v>
      </c>
    </row>
    <row r="164" spans="1:25" s="1137" customFormat="1" ht="63" customHeight="1">
      <c r="A164" s="1151">
        <v>148</v>
      </c>
      <c r="B164" s="1128" t="s">
        <v>1043</v>
      </c>
      <c r="C164" s="1129">
        <f t="shared" si="32"/>
        <v>3321602</v>
      </c>
      <c r="D164" s="1129">
        <f t="shared" si="33"/>
        <v>0</v>
      </c>
      <c r="E164" s="1129">
        <v>0</v>
      </c>
      <c r="F164" s="1129">
        <v>0</v>
      </c>
      <c r="G164" s="1129">
        <v>0</v>
      </c>
      <c r="H164" s="1129">
        <v>0</v>
      </c>
      <c r="I164" s="1129">
        <v>0</v>
      </c>
      <c r="J164" s="1129">
        <v>0</v>
      </c>
      <c r="K164" s="1136">
        <v>0</v>
      </c>
      <c r="L164" s="1129">
        <v>0</v>
      </c>
      <c r="M164" s="1136">
        <v>0</v>
      </c>
      <c r="N164" s="1129">
        <v>0</v>
      </c>
      <c r="O164" s="1129">
        <v>680</v>
      </c>
      <c r="P164" s="1129">
        <v>3080338</v>
      </c>
      <c r="Q164" s="1129">
        <v>0</v>
      </c>
      <c r="R164" s="1129">
        <v>0</v>
      </c>
      <c r="S164" s="1129">
        <v>0</v>
      </c>
      <c r="T164" s="1129">
        <v>0</v>
      </c>
      <c r="U164" s="1129">
        <v>0</v>
      </c>
      <c r="V164" s="1129">
        <v>0</v>
      </c>
      <c r="W164" s="1129">
        <v>0</v>
      </c>
      <c r="X164" s="1129">
        <v>241264</v>
      </c>
      <c r="Y164" s="1129">
        <v>0</v>
      </c>
    </row>
    <row r="165" spans="1:25" s="1137" customFormat="1" ht="68.45" customHeight="1">
      <c r="A165" s="1151">
        <v>149</v>
      </c>
      <c r="B165" s="1128" t="s">
        <v>1044</v>
      </c>
      <c r="C165" s="1129">
        <f t="shared" si="32"/>
        <v>3272755</v>
      </c>
      <c r="D165" s="1129">
        <f t="shared" si="33"/>
        <v>0</v>
      </c>
      <c r="E165" s="1129">
        <v>0</v>
      </c>
      <c r="F165" s="1129">
        <v>0</v>
      </c>
      <c r="G165" s="1129">
        <v>0</v>
      </c>
      <c r="H165" s="1129">
        <v>0</v>
      </c>
      <c r="I165" s="1129">
        <v>0</v>
      </c>
      <c r="J165" s="1129">
        <v>0</v>
      </c>
      <c r="K165" s="1136">
        <v>0</v>
      </c>
      <c r="L165" s="1129">
        <v>0</v>
      </c>
      <c r="M165" s="1136">
        <v>0</v>
      </c>
      <c r="N165" s="1129">
        <v>0</v>
      </c>
      <c r="O165" s="1129">
        <v>670</v>
      </c>
      <c r="P165" s="1129">
        <v>3035039</v>
      </c>
      <c r="Q165" s="1129">
        <v>0</v>
      </c>
      <c r="R165" s="1129">
        <v>0</v>
      </c>
      <c r="S165" s="1129">
        <v>0</v>
      </c>
      <c r="T165" s="1129">
        <v>0</v>
      </c>
      <c r="U165" s="1129">
        <v>0</v>
      </c>
      <c r="V165" s="1129">
        <v>0</v>
      </c>
      <c r="W165" s="1129">
        <v>0</v>
      </c>
      <c r="X165" s="1129">
        <v>237716</v>
      </c>
      <c r="Y165" s="1129">
        <v>0</v>
      </c>
    </row>
    <row r="166" spans="1:25" s="1137" customFormat="1" ht="66.599999999999994" customHeight="1">
      <c r="A166" s="1151">
        <v>150</v>
      </c>
      <c r="B166" s="1128" t="s">
        <v>1522</v>
      </c>
      <c r="C166" s="1129">
        <f t="shared" si="32"/>
        <v>1386668</v>
      </c>
      <c r="D166" s="1129">
        <f t="shared" si="33"/>
        <v>1285948</v>
      </c>
      <c r="E166" s="1129">
        <v>443686</v>
      </c>
      <c r="F166" s="1129">
        <v>0</v>
      </c>
      <c r="G166" s="1129">
        <v>0</v>
      </c>
      <c r="H166" s="1129">
        <v>515986</v>
      </c>
      <c r="I166" s="1129">
        <v>0</v>
      </c>
      <c r="J166" s="1129">
        <v>326276</v>
      </c>
      <c r="K166" s="1136">
        <v>0</v>
      </c>
      <c r="L166" s="1129">
        <v>0</v>
      </c>
      <c r="M166" s="1136">
        <v>0</v>
      </c>
      <c r="N166" s="1129">
        <v>0</v>
      </c>
      <c r="O166" s="1129">
        <v>0</v>
      </c>
      <c r="P166" s="1129">
        <v>0</v>
      </c>
      <c r="Q166" s="1129">
        <v>0</v>
      </c>
      <c r="R166" s="1129">
        <v>0</v>
      </c>
      <c r="S166" s="1129">
        <v>0</v>
      </c>
      <c r="T166" s="1129">
        <v>0</v>
      </c>
      <c r="U166" s="1129">
        <v>0</v>
      </c>
      <c r="V166" s="1129">
        <v>0</v>
      </c>
      <c r="W166" s="1129">
        <v>0</v>
      </c>
      <c r="X166" s="1129">
        <v>100720</v>
      </c>
      <c r="Y166" s="1129">
        <v>0</v>
      </c>
    </row>
    <row r="167" spans="1:25" s="1137" customFormat="1" ht="59.45" customHeight="1">
      <c r="A167" s="1151">
        <v>151</v>
      </c>
      <c r="B167" s="1128" t="s">
        <v>1523</v>
      </c>
      <c r="C167" s="1129">
        <f t="shared" si="32"/>
        <v>534529.80000000005</v>
      </c>
      <c r="D167" s="1129">
        <f t="shared" si="33"/>
        <v>495704.32000000001</v>
      </c>
      <c r="E167" s="1129">
        <v>0</v>
      </c>
      <c r="F167" s="1129">
        <v>0</v>
      </c>
      <c r="G167" s="1129">
        <v>495704.32000000001</v>
      </c>
      <c r="H167" s="1129">
        <v>0</v>
      </c>
      <c r="I167" s="1129">
        <v>0</v>
      </c>
      <c r="J167" s="1129">
        <v>0</v>
      </c>
      <c r="K167" s="1136">
        <v>0</v>
      </c>
      <c r="L167" s="1129">
        <v>0</v>
      </c>
      <c r="M167" s="1136">
        <v>0</v>
      </c>
      <c r="N167" s="1129">
        <v>0</v>
      </c>
      <c r="O167" s="1129">
        <v>0</v>
      </c>
      <c r="P167" s="1129">
        <v>0</v>
      </c>
      <c r="Q167" s="1129">
        <v>0</v>
      </c>
      <c r="R167" s="1129">
        <v>0</v>
      </c>
      <c r="S167" s="1129">
        <v>0</v>
      </c>
      <c r="T167" s="1129">
        <v>0</v>
      </c>
      <c r="U167" s="1129">
        <v>0</v>
      </c>
      <c r="V167" s="1129">
        <v>0</v>
      </c>
      <c r="W167" s="1129">
        <v>0</v>
      </c>
      <c r="X167" s="1129">
        <v>38825.480000000003</v>
      </c>
      <c r="Y167" s="1129">
        <v>0</v>
      </c>
    </row>
    <row r="168" spans="1:25" s="1137" customFormat="1" ht="58.15" customHeight="1">
      <c r="A168" s="1151">
        <v>152</v>
      </c>
      <c r="B168" s="1128" t="s">
        <v>1524</v>
      </c>
      <c r="C168" s="1129">
        <f t="shared" si="32"/>
        <v>532109</v>
      </c>
      <c r="D168" s="1129">
        <f t="shared" si="33"/>
        <v>493459</v>
      </c>
      <c r="E168" s="1129">
        <v>0</v>
      </c>
      <c r="F168" s="1129">
        <v>0</v>
      </c>
      <c r="G168" s="1129">
        <v>0</v>
      </c>
      <c r="H168" s="1129">
        <v>0</v>
      </c>
      <c r="I168" s="1129">
        <v>0</v>
      </c>
      <c r="J168" s="1129">
        <v>493459</v>
      </c>
      <c r="K168" s="1136">
        <v>0</v>
      </c>
      <c r="L168" s="1129">
        <v>0</v>
      </c>
      <c r="M168" s="1136">
        <v>0</v>
      </c>
      <c r="N168" s="1129">
        <v>0</v>
      </c>
      <c r="O168" s="1129">
        <v>0</v>
      </c>
      <c r="P168" s="1129">
        <v>0</v>
      </c>
      <c r="Q168" s="1129">
        <v>0</v>
      </c>
      <c r="R168" s="1129">
        <v>0</v>
      </c>
      <c r="S168" s="1129">
        <v>0</v>
      </c>
      <c r="T168" s="1129">
        <v>0</v>
      </c>
      <c r="U168" s="1129">
        <v>0</v>
      </c>
      <c r="V168" s="1129">
        <v>0</v>
      </c>
      <c r="W168" s="1129">
        <v>0</v>
      </c>
      <c r="X168" s="1129">
        <v>38650</v>
      </c>
      <c r="Y168" s="1129">
        <v>0</v>
      </c>
    </row>
    <row r="169" spans="1:25" s="1137" customFormat="1" ht="118.5" customHeight="1">
      <c r="A169" s="1280"/>
      <c r="B169" s="1128" t="s">
        <v>2673</v>
      </c>
      <c r="C169" s="1129">
        <f>C170+C171+C172+C173</f>
        <v>1597686.4300000002</v>
      </c>
      <c r="D169" s="1129">
        <f t="shared" ref="D169:Y169" si="34">D170+D171+D172+D173</f>
        <v>1481638.75</v>
      </c>
      <c r="E169" s="1129">
        <f t="shared" si="34"/>
        <v>1135941.2200000002</v>
      </c>
      <c r="F169" s="1129">
        <f t="shared" si="34"/>
        <v>0</v>
      </c>
      <c r="G169" s="1129">
        <f t="shared" si="34"/>
        <v>0</v>
      </c>
      <c r="H169" s="1129">
        <f t="shared" si="34"/>
        <v>0</v>
      </c>
      <c r="I169" s="1129">
        <f t="shared" si="34"/>
        <v>0</v>
      </c>
      <c r="J169" s="1129">
        <f t="shared" si="34"/>
        <v>345697.53</v>
      </c>
      <c r="K169" s="1129">
        <f t="shared" si="34"/>
        <v>0</v>
      </c>
      <c r="L169" s="1129">
        <f t="shared" si="34"/>
        <v>0</v>
      </c>
      <c r="M169" s="1129">
        <f t="shared" si="34"/>
        <v>0</v>
      </c>
      <c r="N169" s="1129">
        <f t="shared" si="34"/>
        <v>0</v>
      </c>
      <c r="O169" s="1129">
        <f t="shared" si="34"/>
        <v>0</v>
      </c>
      <c r="P169" s="1129">
        <f t="shared" si="34"/>
        <v>0</v>
      </c>
      <c r="Q169" s="1129">
        <f t="shared" si="34"/>
        <v>0</v>
      </c>
      <c r="R169" s="1129">
        <f t="shared" si="34"/>
        <v>0</v>
      </c>
      <c r="S169" s="1129">
        <f t="shared" si="34"/>
        <v>0</v>
      </c>
      <c r="T169" s="1129">
        <f t="shared" si="34"/>
        <v>0</v>
      </c>
      <c r="U169" s="1129">
        <f t="shared" si="34"/>
        <v>0</v>
      </c>
      <c r="V169" s="1129">
        <f t="shared" si="34"/>
        <v>0</v>
      </c>
      <c r="W169" s="1129">
        <f t="shared" si="34"/>
        <v>0</v>
      </c>
      <c r="X169" s="1129">
        <f t="shared" si="34"/>
        <v>116047.67999999999</v>
      </c>
      <c r="Y169" s="1129">
        <f t="shared" si="34"/>
        <v>0</v>
      </c>
    </row>
    <row r="170" spans="1:25" s="1137" customFormat="1" ht="88.5" customHeight="1">
      <c r="A170" s="1280">
        <v>153</v>
      </c>
      <c r="B170" s="1183" t="s">
        <v>3064</v>
      </c>
      <c r="C170" s="1129">
        <f t="shared" ref="C170" si="35">D170+N170+P170+R170+T170+V170+X170</f>
        <v>372773.9</v>
      </c>
      <c r="D170" s="1129">
        <f t="shared" ref="D170" si="36">SUM(E170:J170)</f>
        <v>345697.53</v>
      </c>
      <c r="E170" s="1129">
        <v>0</v>
      </c>
      <c r="F170" s="1129">
        <v>0</v>
      </c>
      <c r="G170" s="1129">
        <v>0</v>
      </c>
      <c r="H170" s="1129">
        <v>0</v>
      </c>
      <c r="I170" s="1129">
        <v>0</v>
      </c>
      <c r="J170" s="1129">
        <v>345697.53</v>
      </c>
      <c r="K170" s="1136">
        <v>0</v>
      </c>
      <c r="L170" s="1129">
        <v>0</v>
      </c>
      <c r="M170" s="1136">
        <v>0</v>
      </c>
      <c r="N170" s="1129">
        <v>0</v>
      </c>
      <c r="O170" s="1129">
        <v>0</v>
      </c>
      <c r="P170" s="1129">
        <v>0</v>
      </c>
      <c r="Q170" s="1129">
        <v>0</v>
      </c>
      <c r="R170" s="1129">
        <v>0</v>
      </c>
      <c r="S170" s="1129">
        <v>0</v>
      </c>
      <c r="T170" s="1129">
        <v>0</v>
      </c>
      <c r="U170" s="1129">
        <v>0</v>
      </c>
      <c r="V170" s="1129">
        <v>0</v>
      </c>
      <c r="W170" s="1129">
        <v>0</v>
      </c>
      <c r="X170" s="1129">
        <v>27076.37</v>
      </c>
      <c r="Y170" s="1129">
        <v>0</v>
      </c>
    </row>
    <row r="171" spans="1:25" s="1137" customFormat="1" ht="93.75" customHeight="1">
      <c r="A171" s="1280">
        <v>154</v>
      </c>
      <c r="B171" s="1183" t="s">
        <v>2692</v>
      </c>
      <c r="C171" s="1129">
        <f t="shared" ref="C171:C173" si="37">D171+N171+P171+R171+T171+V171+X171</f>
        <v>598927.55000000005</v>
      </c>
      <c r="D171" s="1129">
        <f t="shared" ref="D171:D173" si="38">SUM(E171:J171)</f>
        <v>555424.55000000005</v>
      </c>
      <c r="E171" s="1129">
        <v>555424.55000000005</v>
      </c>
      <c r="F171" s="1129">
        <v>0</v>
      </c>
      <c r="G171" s="1129">
        <v>0</v>
      </c>
      <c r="H171" s="1129">
        <v>0</v>
      </c>
      <c r="I171" s="1129">
        <v>0</v>
      </c>
      <c r="J171" s="1129">
        <v>0</v>
      </c>
      <c r="K171" s="1136">
        <v>0</v>
      </c>
      <c r="L171" s="1129">
        <v>0</v>
      </c>
      <c r="M171" s="1136">
        <v>0</v>
      </c>
      <c r="N171" s="1129">
        <v>0</v>
      </c>
      <c r="O171" s="1129">
        <v>0</v>
      </c>
      <c r="P171" s="1129">
        <v>0</v>
      </c>
      <c r="Q171" s="1129">
        <v>0</v>
      </c>
      <c r="R171" s="1129">
        <v>0</v>
      </c>
      <c r="S171" s="1129">
        <v>0</v>
      </c>
      <c r="T171" s="1129">
        <v>0</v>
      </c>
      <c r="U171" s="1129">
        <v>0</v>
      </c>
      <c r="V171" s="1129">
        <v>0</v>
      </c>
      <c r="W171" s="1129">
        <v>0</v>
      </c>
      <c r="X171" s="1129">
        <v>43503</v>
      </c>
      <c r="Y171" s="1129">
        <v>0</v>
      </c>
    </row>
    <row r="172" spans="1:25" s="1137" customFormat="1" ht="81" customHeight="1">
      <c r="A172" s="1280">
        <v>155</v>
      </c>
      <c r="B172" s="1183" t="s">
        <v>2693</v>
      </c>
      <c r="C172" s="1129">
        <f t="shared" si="37"/>
        <v>203494.44</v>
      </c>
      <c r="D172" s="1129">
        <f t="shared" si="38"/>
        <v>188713.66</v>
      </c>
      <c r="E172" s="1129">
        <v>188713.66</v>
      </c>
      <c r="F172" s="1129">
        <v>0</v>
      </c>
      <c r="G172" s="1129">
        <v>0</v>
      </c>
      <c r="H172" s="1129">
        <v>0</v>
      </c>
      <c r="I172" s="1129">
        <v>0</v>
      </c>
      <c r="J172" s="1129">
        <v>0</v>
      </c>
      <c r="K172" s="1136">
        <v>0</v>
      </c>
      <c r="L172" s="1129">
        <v>0</v>
      </c>
      <c r="M172" s="1136">
        <v>0</v>
      </c>
      <c r="N172" s="1129">
        <v>0</v>
      </c>
      <c r="O172" s="1129">
        <v>0</v>
      </c>
      <c r="P172" s="1129">
        <v>0</v>
      </c>
      <c r="Q172" s="1129">
        <v>0</v>
      </c>
      <c r="R172" s="1129">
        <v>0</v>
      </c>
      <c r="S172" s="1129">
        <v>0</v>
      </c>
      <c r="T172" s="1129">
        <v>0</v>
      </c>
      <c r="U172" s="1129">
        <v>0</v>
      </c>
      <c r="V172" s="1129">
        <v>0</v>
      </c>
      <c r="W172" s="1129">
        <v>0</v>
      </c>
      <c r="X172" s="1129">
        <v>14780.78</v>
      </c>
      <c r="Y172" s="1129">
        <v>0</v>
      </c>
    </row>
    <row r="173" spans="1:25" s="1152" customFormat="1" ht="84" customHeight="1">
      <c r="A173" s="1280">
        <v>156</v>
      </c>
      <c r="B173" s="1183" t="s">
        <v>3007</v>
      </c>
      <c r="C173" s="1129">
        <f t="shared" si="37"/>
        <v>422490.54000000004</v>
      </c>
      <c r="D173" s="1129">
        <f t="shared" si="38"/>
        <v>391803.01</v>
      </c>
      <c r="E173" s="1129">
        <v>391803.01</v>
      </c>
      <c r="F173" s="1129">
        <v>0</v>
      </c>
      <c r="G173" s="1129">
        <v>0</v>
      </c>
      <c r="H173" s="1129">
        <v>0</v>
      </c>
      <c r="I173" s="1129">
        <v>0</v>
      </c>
      <c r="J173" s="1129">
        <v>0</v>
      </c>
      <c r="K173" s="1136">
        <v>0</v>
      </c>
      <c r="L173" s="1129">
        <v>0</v>
      </c>
      <c r="M173" s="1136">
        <v>0</v>
      </c>
      <c r="N173" s="1129">
        <v>0</v>
      </c>
      <c r="O173" s="1129">
        <v>0</v>
      </c>
      <c r="P173" s="1129">
        <v>0</v>
      </c>
      <c r="Q173" s="1129">
        <v>0</v>
      </c>
      <c r="R173" s="1129">
        <v>0</v>
      </c>
      <c r="S173" s="1129">
        <v>0</v>
      </c>
      <c r="T173" s="1129">
        <v>0</v>
      </c>
      <c r="U173" s="1129">
        <v>0</v>
      </c>
      <c r="V173" s="1129">
        <v>0</v>
      </c>
      <c r="W173" s="1129">
        <v>0</v>
      </c>
      <c r="X173" s="1129">
        <v>30687.53</v>
      </c>
      <c r="Y173" s="1129">
        <v>0</v>
      </c>
    </row>
    <row r="174" spans="1:25" s="1152" customFormat="1" ht="65.45" customHeight="1">
      <c r="A174" s="1280"/>
      <c r="B174" s="1128" t="s">
        <v>43</v>
      </c>
      <c r="C174" s="1129">
        <f>C175+C183</f>
        <v>25585661.469999999</v>
      </c>
      <c r="D174" s="1129">
        <f t="shared" ref="D174:Y174" si="39">D175+D183</f>
        <v>0</v>
      </c>
      <c r="E174" s="1129">
        <f t="shared" si="39"/>
        <v>0</v>
      </c>
      <c r="F174" s="1129">
        <f t="shared" si="39"/>
        <v>0</v>
      </c>
      <c r="G174" s="1129">
        <f t="shared" si="39"/>
        <v>0</v>
      </c>
      <c r="H174" s="1129">
        <f t="shared" si="39"/>
        <v>0</v>
      </c>
      <c r="I174" s="1129">
        <f t="shared" si="39"/>
        <v>0</v>
      </c>
      <c r="J174" s="1129">
        <f t="shared" si="39"/>
        <v>0</v>
      </c>
      <c r="K174" s="1136">
        <f t="shared" si="39"/>
        <v>0</v>
      </c>
      <c r="L174" s="1129">
        <f t="shared" si="39"/>
        <v>0</v>
      </c>
      <c r="M174" s="1136">
        <f t="shared" si="39"/>
        <v>0</v>
      </c>
      <c r="N174" s="1129">
        <f t="shared" si="39"/>
        <v>0</v>
      </c>
      <c r="O174" s="1129">
        <f t="shared" si="39"/>
        <v>5906.9500000000007</v>
      </c>
      <c r="P174" s="1129">
        <f t="shared" si="39"/>
        <v>24269607.469999999</v>
      </c>
      <c r="Q174" s="1129">
        <f t="shared" si="39"/>
        <v>0</v>
      </c>
      <c r="R174" s="1129">
        <f t="shared" si="39"/>
        <v>0</v>
      </c>
      <c r="S174" s="1129">
        <f t="shared" si="39"/>
        <v>0</v>
      </c>
      <c r="T174" s="1129">
        <f t="shared" si="39"/>
        <v>0</v>
      </c>
      <c r="U174" s="1129">
        <f t="shared" si="39"/>
        <v>0</v>
      </c>
      <c r="V174" s="1129">
        <f t="shared" si="39"/>
        <v>0</v>
      </c>
      <c r="W174" s="1129">
        <v>0</v>
      </c>
      <c r="X174" s="1129">
        <f t="shared" si="39"/>
        <v>1316054</v>
      </c>
      <c r="Y174" s="1129">
        <f t="shared" si="39"/>
        <v>0</v>
      </c>
    </row>
    <row r="175" spans="1:25" s="1152" customFormat="1" ht="125.45" customHeight="1">
      <c r="A175" s="1280"/>
      <c r="B175" s="1135" t="s">
        <v>1950</v>
      </c>
      <c r="C175" s="1145">
        <f>SUM(C176:C182)</f>
        <v>23251937.469999999</v>
      </c>
      <c r="D175" s="1145">
        <f t="shared" ref="D175:Y175" si="40">SUM(D176:D182)</f>
        <v>0</v>
      </c>
      <c r="E175" s="1145">
        <f t="shared" si="40"/>
        <v>0</v>
      </c>
      <c r="F175" s="1145">
        <f t="shared" si="40"/>
        <v>0</v>
      </c>
      <c r="G175" s="1145">
        <f t="shared" si="40"/>
        <v>0</v>
      </c>
      <c r="H175" s="1145">
        <f t="shared" si="40"/>
        <v>0</v>
      </c>
      <c r="I175" s="1145">
        <f t="shared" si="40"/>
        <v>0</v>
      </c>
      <c r="J175" s="1145">
        <f t="shared" si="40"/>
        <v>0</v>
      </c>
      <c r="K175" s="1136">
        <f t="shared" si="40"/>
        <v>0</v>
      </c>
      <c r="L175" s="1145">
        <f t="shared" si="40"/>
        <v>0</v>
      </c>
      <c r="M175" s="1136">
        <f t="shared" si="40"/>
        <v>0</v>
      </c>
      <c r="N175" s="1145">
        <f t="shared" si="40"/>
        <v>0</v>
      </c>
      <c r="O175" s="1145">
        <f t="shared" si="40"/>
        <v>5321.9500000000007</v>
      </c>
      <c r="P175" s="1145">
        <f t="shared" si="40"/>
        <v>22105393.469999999</v>
      </c>
      <c r="Q175" s="1145">
        <f t="shared" si="40"/>
        <v>0</v>
      </c>
      <c r="R175" s="1145">
        <f t="shared" si="40"/>
        <v>0</v>
      </c>
      <c r="S175" s="1145">
        <f t="shared" si="40"/>
        <v>0</v>
      </c>
      <c r="T175" s="1145">
        <f t="shared" si="40"/>
        <v>0</v>
      </c>
      <c r="U175" s="1145">
        <f t="shared" si="40"/>
        <v>0</v>
      </c>
      <c r="V175" s="1145">
        <f t="shared" si="40"/>
        <v>0</v>
      </c>
      <c r="W175" s="1129">
        <v>0</v>
      </c>
      <c r="X175" s="1145">
        <f t="shared" si="40"/>
        <v>1146544</v>
      </c>
      <c r="Y175" s="1145">
        <f t="shared" si="40"/>
        <v>0</v>
      </c>
    </row>
    <row r="176" spans="1:25" s="1152" customFormat="1" ht="58.15" customHeight="1">
      <c r="A176" s="1280">
        <v>157</v>
      </c>
      <c r="B176" s="1135" t="s">
        <v>1335</v>
      </c>
      <c r="C176" s="1129">
        <f t="shared" ref="C176" si="41">D176+N176+P176+R176+T176+V176+X176</f>
        <v>4474754.84</v>
      </c>
      <c r="D176" s="1129">
        <f t="shared" ref="D176" si="42">SUM(E176:J176)</f>
        <v>0</v>
      </c>
      <c r="E176" s="1129">
        <v>0</v>
      </c>
      <c r="F176" s="1129">
        <v>0</v>
      </c>
      <c r="G176" s="1129">
        <v>0</v>
      </c>
      <c r="H176" s="1129">
        <v>0</v>
      </c>
      <c r="I176" s="1129">
        <v>0</v>
      </c>
      <c r="J176" s="1129">
        <v>0</v>
      </c>
      <c r="K176" s="1136">
        <v>0</v>
      </c>
      <c r="L176" s="1129">
        <v>0</v>
      </c>
      <c r="M176" s="1136">
        <v>0</v>
      </c>
      <c r="N176" s="1129">
        <v>0</v>
      </c>
      <c r="O176" s="1129">
        <v>1315.1</v>
      </c>
      <c r="P176" s="1129">
        <v>4192261.84</v>
      </c>
      <c r="Q176" s="1129">
        <v>0</v>
      </c>
      <c r="R176" s="1129">
        <v>0</v>
      </c>
      <c r="S176" s="1129">
        <v>0</v>
      </c>
      <c r="T176" s="1129">
        <v>0</v>
      </c>
      <c r="U176" s="1129">
        <v>0</v>
      </c>
      <c r="V176" s="1129">
        <v>0</v>
      </c>
      <c r="W176" s="1129">
        <v>0</v>
      </c>
      <c r="X176" s="1129">
        <v>282493</v>
      </c>
      <c r="Y176" s="1129">
        <v>0</v>
      </c>
    </row>
    <row r="177" spans="1:25" s="1152" customFormat="1" ht="57" customHeight="1">
      <c r="A177" s="1280">
        <v>158</v>
      </c>
      <c r="B177" s="1135" t="s">
        <v>1336</v>
      </c>
      <c r="C177" s="1129">
        <f t="shared" ref="C177:C182" si="43">D177+N177+P177+R177+T177+V177+X177</f>
        <v>3587126.86</v>
      </c>
      <c r="D177" s="1129">
        <f t="shared" ref="D177:D182" si="44">SUM(E177:J177)</f>
        <v>0</v>
      </c>
      <c r="E177" s="1129">
        <v>0</v>
      </c>
      <c r="F177" s="1129">
        <v>0</v>
      </c>
      <c r="G177" s="1129">
        <v>0</v>
      </c>
      <c r="H177" s="1129">
        <v>0</v>
      </c>
      <c r="I177" s="1129">
        <v>0</v>
      </c>
      <c r="J177" s="1129">
        <v>0</v>
      </c>
      <c r="K177" s="1136">
        <v>0</v>
      </c>
      <c r="L177" s="1129">
        <v>0</v>
      </c>
      <c r="M177" s="1136">
        <v>0</v>
      </c>
      <c r="N177" s="1129">
        <v>0</v>
      </c>
      <c r="O177" s="1129">
        <v>1076.8800000000001</v>
      </c>
      <c r="P177" s="1129">
        <v>3374593.86</v>
      </c>
      <c r="Q177" s="1129">
        <v>0</v>
      </c>
      <c r="R177" s="1129">
        <v>0</v>
      </c>
      <c r="S177" s="1129">
        <v>0</v>
      </c>
      <c r="T177" s="1129">
        <v>0</v>
      </c>
      <c r="U177" s="1129">
        <v>0</v>
      </c>
      <c r="V177" s="1129">
        <v>0</v>
      </c>
      <c r="W177" s="1129">
        <v>0</v>
      </c>
      <c r="X177" s="1129">
        <v>212533</v>
      </c>
      <c r="Y177" s="1129">
        <v>0</v>
      </c>
    </row>
    <row r="178" spans="1:25" s="1152" customFormat="1" ht="57" customHeight="1">
      <c r="A178" s="1280">
        <v>159</v>
      </c>
      <c r="B178" s="1135" t="s">
        <v>1525</v>
      </c>
      <c r="C178" s="1129">
        <f t="shared" si="43"/>
        <v>1421533</v>
      </c>
      <c r="D178" s="1129">
        <f t="shared" si="44"/>
        <v>0</v>
      </c>
      <c r="E178" s="1129">
        <v>0</v>
      </c>
      <c r="F178" s="1129">
        <v>0</v>
      </c>
      <c r="G178" s="1129">
        <v>0</v>
      </c>
      <c r="H178" s="1129">
        <v>0</v>
      </c>
      <c r="I178" s="1129">
        <v>0</v>
      </c>
      <c r="J178" s="1129">
        <v>0</v>
      </c>
      <c r="K178" s="1136">
        <v>0</v>
      </c>
      <c r="L178" s="1129">
        <v>0</v>
      </c>
      <c r="M178" s="1136">
        <v>0</v>
      </c>
      <c r="N178" s="1129">
        <v>0</v>
      </c>
      <c r="O178" s="1129">
        <v>420</v>
      </c>
      <c r="P178" s="1129">
        <v>1318280</v>
      </c>
      <c r="Q178" s="1129">
        <v>0</v>
      </c>
      <c r="R178" s="1129">
        <v>0</v>
      </c>
      <c r="S178" s="1129">
        <v>0</v>
      </c>
      <c r="T178" s="1129">
        <v>0</v>
      </c>
      <c r="U178" s="1129">
        <v>0</v>
      </c>
      <c r="V178" s="1129">
        <v>0</v>
      </c>
      <c r="W178" s="1129">
        <v>0</v>
      </c>
      <c r="X178" s="1129">
        <v>103253</v>
      </c>
      <c r="Y178" s="1129">
        <v>0</v>
      </c>
    </row>
    <row r="179" spans="1:25" s="1152" customFormat="1" ht="64.150000000000006" customHeight="1">
      <c r="A179" s="1280">
        <v>160</v>
      </c>
      <c r="B179" s="1135" t="s">
        <v>2206</v>
      </c>
      <c r="C179" s="1129">
        <f t="shared" si="43"/>
        <v>4064571.56</v>
      </c>
      <c r="D179" s="1129">
        <f t="shared" si="44"/>
        <v>0</v>
      </c>
      <c r="E179" s="1129">
        <v>0</v>
      </c>
      <c r="F179" s="1129">
        <v>0</v>
      </c>
      <c r="G179" s="1129">
        <v>0</v>
      </c>
      <c r="H179" s="1129">
        <v>0</v>
      </c>
      <c r="I179" s="1129">
        <v>0</v>
      </c>
      <c r="J179" s="1129">
        <v>0</v>
      </c>
      <c r="K179" s="1136">
        <v>0</v>
      </c>
      <c r="L179" s="1129">
        <v>0</v>
      </c>
      <c r="M179" s="1136">
        <v>0</v>
      </c>
      <c r="N179" s="1129">
        <v>0</v>
      </c>
      <c r="O179" s="1129">
        <v>606.37</v>
      </c>
      <c r="P179" s="1129">
        <v>3871240.56</v>
      </c>
      <c r="Q179" s="1129">
        <v>0</v>
      </c>
      <c r="R179" s="1129">
        <v>0</v>
      </c>
      <c r="S179" s="1129">
        <v>0</v>
      </c>
      <c r="T179" s="1129">
        <v>0</v>
      </c>
      <c r="U179" s="1129">
        <v>0</v>
      </c>
      <c r="V179" s="1129">
        <v>0</v>
      </c>
      <c r="W179" s="1129">
        <v>0</v>
      </c>
      <c r="X179" s="1129">
        <v>193331</v>
      </c>
      <c r="Y179" s="1129">
        <v>0</v>
      </c>
    </row>
    <row r="180" spans="1:25" s="1152" customFormat="1" ht="62.45" customHeight="1">
      <c r="A180" s="1280">
        <v>161</v>
      </c>
      <c r="B180" s="1135" t="s">
        <v>1526</v>
      </c>
      <c r="C180" s="1129">
        <f t="shared" si="43"/>
        <v>3590229.1</v>
      </c>
      <c r="D180" s="1129">
        <f t="shared" si="44"/>
        <v>0</v>
      </c>
      <c r="E180" s="1129">
        <v>0</v>
      </c>
      <c r="F180" s="1129">
        <v>0</v>
      </c>
      <c r="G180" s="1129">
        <v>0</v>
      </c>
      <c r="H180" s="1129">
        <v>0</v>
      </c>
      <c r="I180" s="1129">
        <v>0</v>
      </c>
      <c r="J180" s="1129">
        <v>0</v>
      </c>
      <c r="K180" s="1136">
        <v>0</v>
      </c>
      <c r="L180" s="1129">
        <v>0</v>
      </c>
      <c r="M180" s="1136">
        <v>0</v>
      </c>
      <c r="N180" s="1129">
        <v>0</v>
      </c>
      <c r="O180" s="1129">
        <v>976</v>
      </c>
      <c r="P180" s="1129">
        <v>3448920.1</v>
      </c>
      <c r="Q180" s="1129">
        <v>0</v>
      </c>
      <c r="R180" s="1129">
        <v>0</v>
      </c>
      <c r="S180" s="1129">
        <v>0</v>
      </c>
      <c r="T180" s="1129">
        <v>0</v>
      </c>
      <c r="U180" s="1129">
        <v>0</v>
      </c>
      <c r="V180" s="1129">
        <v>0</v>
      </c>
      <c r="W180" s="1129">
        <v>0</v>
      </c>
      <c r="X180" s="1129">
        <v>141309</v>
      </c>
      <c r="Y180" s="1129">
        <v>0</v>
      </c>
    </row>
    <row r="181" spans="1:25" s="1152" customFormat="1" ht="55.9" customHeight="1">
      <c r="A181" s="1280">
        <v>162</v>
      </c>
      <c r="B181" s="1135" t="s">
        <v>1337</v>
      </c>
      <c r="C181" s="1129">
        <f t="shared" si="43"/>
        <v>3056074.47</v>
      </c>
      <c r="D181" s="1129">
        <f t="shared" si="44"/>
        <v>0</v>
      </c>
      <c r="E181" s="1129">
        <v>0</v>
      </c>
      <c r="F181" s="1129">
        <v>0</v>
      </c>
      <c r="G181" s="1129">
        <v>0</v>
      </c>
      <c r="H181" s="1129">
        <v>0</v>
      </c>
      <c r="I181" s="1129">
        <v>0</v>
      </c>
      <c r="J181" s="1129">
        <v>0</v>
      </c>
      <c r="K181" s="1136">
        <v>0</v>
      </c>
      <c r="L181" s="1129">
        <v>0</v>
      </c>
      <c r="M181" s="1136">
        <v>0</v>
      </c>
      <c r="N181" s="1129">
        <v>0</v>
      </c>
      <c r="O181" s="1129">
        <v>463.8</v>
      </c>
      <c r="P181" s="1129">
        <v>2949882.47</v>
      </c>
      <c r="Q181" s="1129">
        <v>0</v>
      </c>
      <c r="R181" s="1129">
        <v>0</v>
      </c>
      <c r="S181" s="1129">
        <v>0</v>
      </c>
      <c r="T181" s="1129">
        <v>0</v>
      </c>
      <c r="U181" s="1129">
        <v>0</v>
      </c>
      <c r="V181" s="1129">
        <v>0</v>
      </c>
      <c r="W181" s="1129">
        <v>0</v>
      </c>
      <c r="X181" s="1129">
        <v>106192</v>
      </c>
      <c r="Y181" s="1129">
        <v>0</v>
      </c>
    </row>
    <row r="182" spans="1:25" s="1152" customFormat="1" ht="66.599999999999994" customHeight="1">
      <c r="A182" s="1280">
        <v>163</v>
      </c>
      <c r="B182" s="1135" t="s">
        <v>1338</v>
      </c>
      <c r="C182" s="1129">
        <f t="shared" si="43"/>
        <v>3057647.64</v>
      </c>
      <c r="D182" s="1129">
        <f t="shared" si="44"/>
        <v>0</v>
      </c>
      <c r="E182" s="1129">
        <v>0</v>
      </c>
      <c r="F182" s="1129">
        <v>0</v>
      </c>
      <c r="G182" s="1129">
        <v>0</v>
      </c>
      <c r="H182" s="1129">
        <v>0</v>
      </c>
      <c r="I182" s="1129">
        <v>0</v>
      </c>
      <c r="J182" s="1129">
        <v>0</v>
      </c>
      <c r="K182" s="1136">
        <v>0</v>
      </c>
      <c r="L182" s="1129">
        <v>0</v>
      </c>
      <c r="M182" s="1136">
        <v>0</v>
      </c>
      <c r="N182" s="1129">
        <v>0</v>
      </c>
      <c r="O182" s="1129">
        <v>463.8</v>
      </c>
      <c r="P182" s="1129">
        <v>2950214.64</v>
      </c>
      <c r="Q182" s="1129">
        <v>0</v>
      </c>
      <c r="R182" s="1129">
        <v>0</v>
      </c>
      <c r="S182" s="1129">
        <v>0</v>
      </c>
      <c r="T182" s="1129">
        <v>0</v>
      </c>
      <c r="U182" s="1129">
        <v>0</v>
      </c>
      <c r="V182" s="1129">
        <v>0</v>
      </c>
      <c r="W182" s="1129">
        <v>0</v>
      </c>
      <c r="X182" s="1129">
        <v>107433</v>
      </c>
      <c r="Y182" s="1129">
        <v>0</v>
      </c>
    </row>
    <row r="183" spans="1:25" s="1152" customFormat="1" ht="135" customHeight="1">
      <c r="A183" s="1280"/>
      <c r="B183" s="1135" t="s">
        <v>1659</v>
      </c>
      <c r="C183" s="1129">
        <f>C184</f>
        <v>2333724</v>
      </c>
      <c r="D183" s="1129">
        <f t="shared" ref="D183:Y183" si="45">D184</f>
        <v>0</v>
      </c>
      <c r="E183" s="1129">
        <f t="shared" si="45"/>
        <v>0</v>
      </c>
      <c r="F183" s="1129">
        <f t="shared" si="45"/>
        <v>0</v>
      </c>
      <c r="G183" s="1129">
        <f t="shared" si="45"/>
        <v>0</v>
      </c>
      <c r="H183" s="1129">
        <f t="shared" si="45"/>
        <v>0</v>
      </c>
      <c r="I183" s="1129">
        <f t="shared" si="45"/>
        <v>0</v>
      </c>
      <c r="J183" s="1129">
        <f t="shared" si="45"/>
        <v>0</v>
      </c>
      <c r="K183" s="1136">
        <f t="shared" si="45"/>
        <v>0</v>
      </c>
      <c r="L183" s="1129">
        <f t="shared" si="45"/>
        <v>0</v>
      </c>
      <c r="M183" s="1136">
        <f t="shared" si="45"/>
        <v>0</v>
      </c>
      <c r="N183" s="1129">
        <f t="shared" si="45"/>
        <v>0</v>
      </c>
      <c r="O183" s="1129">
        <f t="shared" si="45"/>
        <v>585</v>
      </c>
      <c r="P183" s="1129">
        <f t="shared" si="45"/>
        <v>2164214</v>
      </c>
      <c r="Q183" s="1129">
        <f t="shared" si="45"/>
        <v>0</v>
      </c>
      <c r="R183" s="1129">
        <f t="shared" si="45"/>
        <v>0</v>
      </c>
      <c r="S183" s="1129">
        <f t="shared" si="45"/>
        <v>0</v>
      </c>
      <c r="T183" s="1129">
        <f t="shared" si="45"/>
        <v>0</v>
      </c>
      <c r="U183" s="1129">
        <f t="shared" si="45"/>
        <v>0</v>
      </c>
      <c r="V183" s="1129">
        <f t="shared" si="45"/>
        <v>0</v>
      </c>
      <c r="W183" s="1129">
        <v>0</v>
      </c>
      <c r="X183" s="1129">
        <f t="shared" si="45"/>
        <v>169510</v>
      </c>
      <c r="Y183" s="1129">
        <f t="shared" si="45"/>
        <v>0</v>
      </c>
    </row>
    <row r="184" spans="1:25" s="1152" customFormat="1" ht="99.6" customHeight="1">
      <c r="A184" s="1280">
        <v>164</v>
      </c>
      <c r="B184" s="1135" t="s">
        <v>1836</v>
      </c>
      <c r="C184" s="1129">
        <f t="shared" ref="C184" si="46">D184+N184+P184+R184+T184+V184+X184</f>
        <v>2333724</v>
      </c>
      <c r="D184" s="1129">
        <f t="shared" ref="D184" si="47">SUM(E184:J184)</f>
        <v>0</v>
      </c>
      <c r="E184" s="1129">
        <v>0</v>
      </c>
      <c r="F184" s="1129">
        <v>0</v>
      </c>
      <c r="G184" s="1129">
        <v>0</v>
      </c>
      <c r="H184" s="1129">
        <v>0</v>
      </c>
      <c r="I184" s="1129">
        <v>0</v>
      </c>
      <c r="J184" s="1129">
        <v>0</v>
      </c>
      <c r="K184" s="1136">
        <v>0</v>
      </c>
      <c r="L184" s="1129">
        <v>0</v>
      </c>
      <c r="M184" s="1136">
        <v>0</v>
      </c>
      <c r="N184" s="1129">
        <v>0</v>
      </c>
      <c r="O184" s="1129">
        <v>585</v>
      </c>
      <c r="P184" s="1129">
        <v>2164214</v>
      </c>
      <c r="Q184" s="1129">
        <v>0</v>
      </c>
      <c r="R184" s="1129">
        <v>0</v>
      </c>
      <c r="S184" s="1129">
        <v>0</v>
      </c>
      <c r="T184" s="1129">
        <v>0</v>
      </c>
      <c r="U184" s="1129">
        <v>0</v>
      </c>
      <c r="V184" s="1129">
        <v>0</v>
      </c>
      <c r="W184" s="1129">
        <v>0</v>
      </c>
      <c r="X184" s="1129">
        <v>169510</v>
      </c>
      <c r="Y184" s="1129">
        <v>0</v>
      </c>
    </row>
    <row r="185" spans="1:25" s="1152" customFormat="1" ht="98.45" customHeight="1">
      <c r="A185" s="1280"/>
      <c r="B185" s="1135" t="s">
        <v>1370</v>
      </c>
      <c r="C185" s="1129">
        <f>C186+C187</f>
        <v>3350144</v>
      </c>
      <c r="D185" s="1129">
        <f t="shared" ref="D185:Y185" si="48">D186+D187</f>
        <v>0</v>
      </c>
      <c r="E185" s="1129">
        <f t="shared" si="48"/>
        <v>0</v>
      </c>
      <c r="F185" s="1129">
        <f t="shared" si="48"/>
        <v>0</v>
      </c>
      <c r="G185" s="1129">
        <f t="shared" si="48"/>
        <v>0</v>
      </c>
      <c r="H185" s="1129">
        <f t="shared" si="48"/>
        <v>0</v>
      </c>
      <c r="I185" s="1129">
        <f t="shared" si="48"/>
        <v>0</v>
      </c>
      <c r="J185" s="1129">
        <f t="shared" si="48"/>
        <v>0</v>
      </c>
      <c r="K185" s="1136">
        <f t="shared" si="48"/>
        <v>0</v>
      </c>
      <c r="L185" s="1129">
        <f t="shared" si="48"/>
        <v>0</v>
      </c>
      <c r="M185" s="1136">
        <f t="shared" si="48"/>
        <v>0</v>
      </c>
      <c r="N185" s="1129">
        <f t="shared" si="48"/>
        <v>0</v>
      </c>
      <c r="O185" s="1129">
        <f t="shared" si="48"/>
        <v>1118</v>
      </c>
      <c r="P185" s="1129">
        <f t="shared" si="48"/>
        <v>3106807</v>
      </c>
      <c r="Q185" s="1129">
        <f t="shared" si="48"/>
        <v>0</v>
      </c>
      <c r="R185" s="1129">
        <f t="shared" si="48"/>
        <v>0</v>
      </c>
      <c r="S185" s="1129">
        <f t="shared" si="48"/>
        <v>0</v>
      </c>
      <c r="T185" s="1129">
        <f t="shared" si="48"/>
        <v>0</v>
      </c>
      <c r="U185" s="1129">
        <f t="shared" si="48"/>
        <v>0</v>
      </c>
      <c r="V185" s="1129">
        <f t="shared" si="48"/>
        <v>0</v>
      </c>
      <c r="W185" s="1129">
        <v>0</v>
      </c>
      <c r="X185" s="1129">
        <f t="shared" si="48"/>
        <v>243337</v>
      </c>
      <c r="Y185" s="1129">
        <f t="shared" si="48"/>
        <v>0</v>
      </c>
    </row>
    <row r="186" spans="1:25" s="1137" customFormat="1" ht="96" customHeight="1">
      <c r="A186" s="1280">
        <v>165</v>
      </c>
      <c r="B186" s="1128" t="s">
        <v>2344</v>
      </c>
      <c r="C186" s="1129">
        <f t="shared" ref="C186:C187" si="49">D186+N186+P186+R186+T186+V186+X186</f>
        <v>1583994</v>
      </c>
      <c r="D186" s="1129">
        <f t="shared" ref="D186:D187" si="50">SUM(E186:J186)</f>
        <v>0</v>
      </c>
      <c r="E186" s="1129">
        <v>0</v>
      </c>
      <c r="F186" s="1129">
        <v>0</v>
      </c>
      <c r="G186" s="1129">
        <v>0</v>
      </c>
      <c r="H186" s="1129">
        <v>0</v>
      </c>
      <c r="I186" s="1129">
        <v>0</v>
      </c>
      <c r="J186" s="1129">
        <v>0</v>
      </c>
      <c r="K186" s="1136">
        <v>0</v>
      </c>
      <c r="L186" s="1129">
        <v>0</v>
      </c>
      <c r="M186" s="1136">
        <v>0</v>
      </c>
      <c r="N186" s="1129">
        <v>0</v>
      </c>
      <c r="O186" s="1129">
        <v>468</v>
      </c>
      <c r="P186" s="1129">
        <v>1468941</v>
      </c>
      <c r="Q186" s="1129">
        <v>0</v>
      </c>
      <c r="R186" s="1129">
        <v>0</v>
      </c>
      <c r="S186" s="1129">
        <v>0</v>
      </c>
      <c r="T186" s="1129">
        <v>0</v>
      </c>
      <c r="U186" s="1129">
        <v>0</v>
      </c>
      <c r="V186" s="1129">
        <v>0</v>
      </c>
      <c r="W186" s="1129">
        <v>0</v>
      </c>
      <c r="X186" s="1129">
        <v>115053</v>
      </c>
      <c r="Y186" s="1129">
        <v>0</v>
      </c>
    </row>
    <row r="187" spans="1:25" s="1137" customFormat="1" ht="92.45" customHeight="1">
      <c r="A187" s="1280">
        <v>166</v>
      </c>
      <c r="B187" s="1128" t="s">
        <v>2345</v>
      </c>
      <c r="C187" s="1129">
        <f t="shared" si="49"/>
        <v>1766150</v>
      </c>
      <c r="D187" s="1129">
        <f t="shared" si="50"/>
        <v>0</v>
      </c>
      <c r="E187" s="1129">
        <v>0</v>
      </c>
      <c r="F187" s="1129">
        <v>0</v>
      </c>
      <c r="G187" s="1129">
        <v>0</v>
      </c>
      <c r="H187" s="1129">
        <v>0</v>
      </c>
      <c r="I187" s="1129">
        <v>0</v>
      </c>
      <c r="J187" s="1129">
        <v>0</v>
      </c>
      <c r="K187" s="1136">
        <v>0</v>
      </c>
      <c r="L187" s="1129">
        <v>0</v>
      </c>
      <c r="M187" s="1136">
        <v>0</v>
      </c>
      <c r="N187" s="1129">
        <v>0</v>
      </c>
      <c r="O187" s="1129">
        <v>650</v>
      </c>
      <c r="P187" s="1129">
        <v>1637866</v>
      </c>
      <c r="Q187" s="1129">
        <v>0</v>
      </c>
      <c r="R187" s="1129">
        <v>0</v>
      </c>
      <c r="S187" s="1129">
        <v>0</v>
      </c>
      <c r="T187" s="1129">
        <v>0</v>
      </c>
      <c r="U187" s="1129">
        <v>0</v>
      </c>
      <c r="V187" s="1129">
        <v>0</v>
      </c>
      <c r="W187" s="1129">
        <v>0</v>
      </c>
      <c r="X187" s="1129">
        <v>128284</v>
      </c>
      <c r="Y187" s="1129">
        <v>0</v>
      </c>
    </row>
    <row r="188" spans="1:25" s="1137" customFormat="1" ht="58.15" customHeight="1">
      <c r="A188" s="1280"/>
      <c r="B188" s="1135" t="s">
        <v>46</v>
      </c>
      <c r="C188" s="1129">
        <f>C189</f>
        <v>1688916</v>
      </c>
      <c r="D188" s="1129">
        <f t="shared" ref="D188:Y188" si="51">D189</f>
        <v>0</v>
      </c>
      <c r="E188" s="1129">
        <f t="shared" si="51"/>
        <v>0</v>
      </c>
      <c r="F188" s="1129">
        <f t="shared" si="51"/>
        <v>0</v>
      </c>
      <c r="G188" s="1129">
        <f t="shared" si="51"/>
        <v>0</v>
      </c>
      <c r="H188" s="1129">
        <f t="shared" si="51"/>
        <v>0</v>
      </c>
      <c r="I188" s="1129">
        <f t="shared" si="51"/>
        <v>0</v>
      </c>
      <c r="J188" s="1129">
        <f t="shared" si="51"/>
        <v>0</v>
      </c>
      <c r="K188" s="1136">
        <f t="shared" si="51"/>
        <v>0</v>
      </c>
      <c r="L188" s="1129">
        <f t="shared" si="51"/>
        <v>0</v>
      </c>
      <c r="M188" s="1136">
        <f t="shared" si="51"/>
        <v>0</v>
      </c>
      <c r="N188" s="1129">
        <f t="shared" si="51"/>
        <v>0</v>
      </c>
      <c r="O188" s="1129">
        <f t="shared" si="51"/>
        <v>499</v>
      </c>
      <c r="P188" s="1129">
        <f t="shared" si="51"/>
        <v>1566242</v>
      </c>
      <c r="Q188" s="1129">
        <f t="shared" si="51"/>
        <v>0</v>
      </c>
      <c r="R188" s="1129">
        <f t="shared" si="51"/>
        <v>0</v>
      </c>
      <c r="S188" s="1129">
        <f t="shared" si="51"/>
        <v>0</v>
      </c>
      <c r="T188" s="1129">
        <f t="shared" si="51"/>
        <v>0</v>
      </c>
      <c r="U188" s="1129">
        <f t="shared" si="51"/>
        <v>0</v>
      </c>
      <c r="V188" s="1129">
        <f t="shared" si="51"/>
        <v>0</v>
      </c>
      <c r="W188" s="1129">
        <v>0</v>
      </c>
      <c r="X188" s="1129">
        <f t="shared" si="51"/>
        <v>122674</v>
      </c>
      <c r="Y188" s="1129">
        <f t="shared" si="51"/>
        <v>0</v>
      </c>
    </row>
    <row r="189" spans="1:25" s="1137" customFormat="1" ht="135" customHeight="1">
      <c r="A189" s="1280"/>
      <c r="B189" s="1135" t="s">
        <v>1838</v>
      </c>
      <c r="C189" s="1129">
        <f>C190</f>
        <v>1688916</v>
      </c>
      <c r="D189" s="1129">
        <f t="shared" ref="D189:Y189" si="52">D190</f>
        <v>0</v>
      </c>
      <c r="E189" s="1129">
        <f t="shared" si="52"/>
        <v>0</v>
      </c>
      <c r="F189" s="1129">
        <f t="shared" si="52"/>
        <v>0</v>
      </c>
      <c r="G189" s="1129">
        <f t="shared" si="52"/>
        <v>0</v>
      </c>
      <c r="H189" s="1129">
        <f t="shared" si="52"/>
        <v>0</v>
      </c>
      <c r="I189" s="1129">
        <f t="shared" si="52"/>
        <v>0</v>
      </c>
      <c r="J189" s="1129">
        <f t="shared" si="52"/>
        <v>0</v>
      </c>
      <c r="K189" s="1136">
        <f t="shared" si="52"/>
        <v>0</v>
      </c>
      <c r="L189" s="1129">
        <f t="shared" si="52"/>
        <v>0</v>
      </c>
      <c r="M189" s="1136">
        <f t="shared" si="52"/>
        <v>0</v>
      </c>
      <c r="N189" s="1129">
        <f t="shared" si="52"/>
        <v>0</v>
      </c>
      <c r="O189" s="1129">
        <f t="shared" si="52"/>
        <v>499</v>
      </c>
      <c r="P189" s="1129">
        <f t="shared" si="52"/>
        <v>1566242</v>
      </c>
      <c r="Q189" s="1129">
        <f t="shared" si="52"/>
        <v>0</v>
      </c>
      <c r="R189" s="1129">
        <f t="shared" si="52"/>
        <v>0</v>
      </c>
      <c r="S189" s="1129">
        <f t="shared" si="52"/>
        <v>0</v>
      </c>
      <c r="T189" s="1129">
        <f t="shared" si="52"/>
        <v>0</v>
      </c>
      <c r="U189" s="1129">
        <f t="shared" si="52"/>
        <v>0</v>
      </c>
      <c r="V189" s="1129">
        <f t="shared" si="52"/>
        <v>0</v>
      </c>
      <c r="W189" s="1129">
        <v>0</v>
      </c>
      <c r="X189" s="1129">
        <f t="shared" si="52"/>
        <v>122674</v>
      </c>
      <c r="Y189" s="1129">
        <f t="shared" si="52"/>
        <v>0</v>
      </c>
    </row>
    <row r="190" spans="1:25" s="1137" customFormat="1" ht="104.45" customHeight="1">
      <c r="A190" s="1280">
        <v>167</v>
      </c>
      <c r="B190" s="1135" t="s">
        <v>1837</v>
      </c>
      <c r="C190" s="1129">
        <f>D190+N190+P190+R190+T190+V190+X190</f>
        <v>1688916</v>
      </c>
      <c r="D190" s="1129">
        <f>SUM(E190:J190)</f>
        <v>0</v>
      </c>
      <c r="E190" s="1129">
        <v>0</v>
      </c>
      <c r="F190" s="1129">
        <v>0</v>
      </c>
      <c r="G190" s="1129">
        <v>0</v>
      </c>
      <c r="H190" s="1129">
        <v>0</v>
      </c>
      <c r="I190" s="1129">
        <v>0</v>
      </c>
      <c r="J190" s="1129">
        <v>0</v>
      </c>
      <c r="K190" s="1136">
        <v>0</v>
      </c>
      <c r="L190" s="1129">
        <v>0</v>
      </c>
      <c r="M190" s="1136">
        <v>0</v>
      </c>
      <c r="N190" s="1129">
        <v>0</v>
      </c>
      <c r="O190" s="1129">
        <v>499</v>
      </c>
      <c r="P190" s="1129">
        <v>1566242</v>
      </c>
      <c r="Q190" s="1129">
        <v>0</v>
      </c>
      <c r="R190" s="1129">
        <v>0</v>
      </c>
      <c r="S190" s="1129">
        <v>0</v>
      </c>
      <c r="T190" s="1129">
        <v>0</v>
      </c>
      <c r="U190" s="1129">
        <v>0</v>
      </c>
      <c r="V190" s="1129">
        <v>0</v>
      </c>
      <c r="W190" s="1129">
        <v>0</v>
      </c>
      <c r="X190" s="1129">
        <v>122674</v>
      </c>
      <c r="Y190" s="1129">
        <v>0</v>
      </c>
    </row>
    <row r="191" spans="1:25" s="1137" customFormat="1" ht="87.6" customHeight="1">
      <c r="A191" s="1280"/>
      <c r="B191" s="1135" t="s">
        <v>1649</v>
      </c>
      <c r="C191" s="1129">
        <f>C192+C193+C194</f>
        <v>6549572</v>
      </c>
      <c r="D191" s="1129">
        <f t="shared" ref="D191:Y191" si="53">D192+D193+D194</f>
        <v>0</v>
      </c>
      <c r="E191" s="1129">
        <f t="shared" si="53"/>
        <v>0</v>
      </c>
      <c r="F191" s="1129">
        <f t="shared" si="53"/>
        <v>0</v>
      </c>
      <c r="G191" s="1129">
        <f t="shared" si="53"/>
        <v>0</v>
      </c>
      <c r="H191" s="1129">
        <f t="shared" si="53"/>
        <v>0</v>
      </c>
      <c r="I191" s="1129">
        <f t="shared" si="53"/>
        <v>0</v>
      </c>
      <c r="J191" s="1129">
        <f t="shared" si="53"/>
        <v>0</v>
      </c>
      <c r="K191" s="1136">
        <f t="shared" si="53"/>
        <v>0</v>
      </c>
      <c r="L191" s="1129">
        <f t="shared" si="53"/>
        <v>0</v>
      </c>
      <c r="M191" s="1136">
        <f t="shared" si="53"/>
        <v>0</v>
      </c>
      <c r="N191" s="1129">
        <f t="shared" si="53"/>
        <v>0</v>
      </c>
      <c r="O191" s="1129">
        <f t="shared" si="53"/>
        <v>1650</v>
      </c>
      <c r="P191" s="1129">
        <f t="shared" si="53"/>
        <v>5178958</v>
      </c>
      <c r="Q191" s="1129">
        <f t="shared" si="53"/>
        <v>0</v>
      </c>
      <c r="R191" s="1129">
        <f t="shared" si="53"/>
        <v>0</v>
      </c>
      <c r="S191" s="1129">
        <f t="shared" si="53"/>
        <v>362.64</v>
      </c>
      <c r="T191" s="1129">
        <f t="shared" si="53"/>
        <v>894887</v>
      </c>
      <c r="U191" s="1129">
        <f t="shared" si="53"/>
        <v>0</v>
      </c>
      <c r="V191" s="1129">
        <f t="shared" si="53"/>
        <v>0</v>
      </c>
      <c r="W191" s="1129">
        <v>0</v>
      </c>
      <c r="X191" s="1129">
        <f t="shared" si="53"/>
        <v>475727</v>
      </c>
      <c r="Y191" s="1129">
        <f t="shared" si="53"/>
        <v>0</v>
      </c>
    </row>
    <row r="192" spans="1:25" s="1137" customFormat="1" ht="87.6" customHeight="1">
      <c r="A192" s="1280">
        <v>168</v>
      </c>
      <c r="B192" s="1128" t="s">
        <v>2346</v>
      </c>
      <c r="C192" s="1129">
        <f>D192+N192+P192+R192+T192+V192+X192</f>
        <v>1556917</v>
      </c>
      <c r="D192" s="1129">
        <f>SUM(E192:J192)</f>
        <v>0</v>
      </c>
      <c r="E192" s="1129">
        <v>0</v>
      </c>
      <c r="F192" s="1129">
        <v>0</v>
      </c>
      <c r="G192" s="1129">
        <v>0</v>
      </c>
      <c r="H192" s="1129">
        <v>0</v>
      </c>
      <c r="I192" s="1129">
        <v>0</v>
      </c>
      <c r="J192" s="1129">
        <v>0</v>
      </c>
      <c r="K192" s="1136">
        <v>0</v>
      </c>
      <c r="L192" s="1129">
        <v>0</v>
      </c>
      <c r="M192" s="1136">
        <v>0</v>
      </c>
      <c r="N192" s="1129">
        <v>0</v>
      </c>
      <c r="O192" s="1129">
        <v>460</v>
      </c>
      <c r="P192" s="1129">
        <v>1443831</v>
      </c>
      <c r="Q192" s="1129">
        <v>0</v>
      </c>
      <c r="R192" s="1129">
        <v>0</v>
      </c>
      <c r="S192" s="1129">
        <v>0</v>
      </c>
      <c r="T192" s="1129">
        <v>0</v>
      </c>
      <c r="U192" s="1129">
        <v>0</v>
      </c>
      <c r="V192" s="1129">
        <v>0</v>
      </c>
      <c r="W192" s="1129">
        <v>0</v>
      </c>
      <c r="X192" s="1129">
        <v>113086</v>
      </c>
      <c r="Y192" s="1129">
        <v>0</v>
      </c>
    </row>
    <row r="193" spans="1:25" s="1137" customFormat="1" ht="91.15" customHeight="1">
      <c r="A193" s="1280">
        <v>169</v>
      </c>
      <c r="B193" s="1128" t="s">
        <v>2347</v>
      </c>
      <c r="C193" s="1129">
        <f>D193+N193+P193+R193+T193+V193+X193</f>
        <v>2944604</v>
      </c>
      <c r="D193" s="1129">
        <f>SUM(E193:J193)</f>
        <v>0</v>
      </c>
      <c r="E193" s="1129">
        <v>0</v>
      </c>
      <c r="F193" s="1129">
        <v>0</v>
      </c>
      <c r="G193" s="1129">
        <v>0</v>
      </c>
      <c r="H193" s="1129">
        <v>0</v>
      </c>
      <c r="I193" s="1129">
        <v>0</v>
      </c>
      <c r="J193" s="1129">
        <v>0</v>
      </c>
      <c r="K193" s="1136">
        <v>0</v>
      </c>
      <c r="L193" s="1129">
        <v>0</v>
      </c>
      <c r="M193" s="1136">
        <v>0</v>
      </c>
      <c r="N193" s="1129">
        <v>0</v>
      </c>
      <c r="O193" s="1129">
        <v>870</v>
      </c>
      <c r="P193" s="1129">
        <v>2730723</v>
      </c>
      <c r="Q193" s="1129">
        <v>0</v>
      </c>
      <c r="R193" s="1129">
        <v>0</v>
      </c>
      <c r="S193" s="1129">
        <v>0</v>
      </c>
      <c r="T193" s="1129">
        <v>0</v>
      </c>
      <c r="U193" s="1129">
        <v>0</v>
      </c>
      <c r="V193" s="1129">
        <v>0</v>
      </c>
      <c r="W193" s="1129">
        <v>0</v>
      </c>
      <c r="X193" s="1129">
        <v>213881</v>
      </c>
      <c r="Y193" s="1129">
        <v>0</v>
      </c>
    </row>
    <row r="194" spans="1:25" s="1137" customFormat="1" ht="90" customHeight="1">
      <c r="A194" s="1280">
        <v>170</v>
      </c>
      <c r="B194" s="1128" t="s">
        <v>2348</v>
      </c>
      <c r="C194" s="1129">
        <f>D194+N194+P194+R194+T194+V194+X194</f>
        <v>2048051</v>
      </c>
      <c r="D194" s="1129">
        <f>SUM(E194:J194)</f>
        <v>0</v>
      </c>
      <c r="E194" s="1129">
        <v>0</v>
      </c>
      <c r="F194" s="1129">
        <v>0</v>
      </c>
      <c r="G194" s="1129">
        <v>0</v>
      </c>
      <c r="H194" s="1129">
        <v>0</v>
      </c>
      <c r="I194" s="1129">
        <v>0</v>
      </c>
      <c r="J194" s="1129">
        <v>0</v>
      </c>
      <c r="K194" s="1136">
        <v>0</v>
      </c>
      <c r="L194" s="1129">
        <v>0</v>
      </c>
      <c r="M194" s="1136">
        <v>0</v>
      </c>
      <c r="N194" s="1129">
        <v>0</v>
      </c>
      <c r="O194" s="1129">
        <v>320</v>
      </c>
      <c r="P194" s="1129">
        <v>1004404</v>
      </c>
      <c r="Q194" s="1129">
        <v>0</v>
      </c>
      <c r="R194" s="1129">
        <v>0</v>
      </c>
      <c r="S194" s="1129">
        <v>362.64</v>
      </c>
      <c r="T194" s="1129">
        <v>894887</v>
      </c>
      <c r="U194" s="1129">
        <v>0</v>
      </c>
      <c r="V194" s="1129">
        <v>0</v>
      </c>
      <c r="W194" s="1129">
        <v>0</v>
      </c>
      <c r="X194" s="1129">
        <v>148760</v>
      </c>
      <c r="Y194" s="1129">
        <v>0</v>
      </c>
    </row>
    <row r="195" spans="1:25" s="1137" customFormat="1" ht="67.900000000000006" customHeight="1">
      <c r="A195" s="1280"/>
      <c r="B195" s="1135" t="s">
        <v>49</v>
      </c>
      <c r="C195" s="1129">
        <f t="shared" ref="C195:V195" si="54">C204+C209+C198+C213+C215+C217+C201+C196+C206</f>
        <v>36080625.129999995</v>
      </c>
      <c r="D195" s="1129">
        <f t="shared" si="54"/>
        <v>1111825.77</v>
      </c>
      <c r="E195" s="1129">
        <f t="shared" si="54"/>
        <v>0</v>
      </c>
      <c r="F195" s="1129">
        <f t="shared" si="54"/>
        <v>0</v>
      </c>
      <c r="G195" s="1129">
        <f t="shared" si="54"/>
        <v>0</v>
      </c>
      <c r="H195" s="1129">
        <f t="shared" si="54"/>
        <v>0</v>
      </c>
      <c r="I195" s="1129">
        <f t="shared" si="54"/>
        <v>0</v>
      </c>
      <c r="J195" s="1129">
        <f t="shared" si="54"/>
        <v>1111825.77</v>
      </c>
      <c r="K195" s="1136">
        <f t="shared" si="54"/>
        <v>0</v>
      </c>
      <c r="L195" s="1129">
        <f t="shared" si="54"/>
        <v>0</v>
      </c>
      <c r="M195" s="1136">
        <f t="shared" si="54"/>
        <v>0</v>
      </c>
      <c r="N195" s="1129">
        <f t="shared" si="54"/>
        <v>0</v>
      </c>
      <c r="O195" s="1129">
        <f t="shared" si="54"/>
        <v>9905.0400000000009</v>
      </c>
      <c r="P195" s="1129">
        <f t="shared" si="54"/>
        <v>32504431.859999999</v>
      </c>
      <c r="Q195" s="1129">
        <f t="shared" si="54"/>
        <v>0</v>
      </c>
      <c r="R195" s="1129">
        <f t="shared" si="54"/>
        <v>0</v>
      </c>
      <c r="S195" s="1129">
        <f t="shared" si="54"/>
        <v>0</v>
      </c>
      <c r="T195" s="1129">
        <f t="shared" si="54"/>
        <v>0</v>
      </c>
      <c r="U195" s="1129">
        <f t="shared" si="54"/>
        <v>0</v>
      </c>
      <c r="V195" s="1129">
        <f t="shared" si="54"/>
        <v>0</v>
      </c>
      <c r="W195" s="1129">
        <v>0</v>
      </c>
      <c r="X195" s="1129">
        <f>X204+X209+X198+X213+X215+X217+X201+X196+X206</f>
        <v>2464367.5</v>
      </c>
      <c r="Y195" s="1129">
        <f>Y204+Y209+Y198+Y213+Y215+Y217+Y201+Y196+Y206</f>
        <v>0</v>
      </c>
    </row>
    <row r="196" spans="1:25" s="1137" customFormat="1" ht="129" customHeight="1">
      <c r="A196" s="1280"/>
      <c r="B196" s="1135" t="s">
        <v>1839</v>
      </c>
      <c r="C196" s="1129">
        <f>C197</f>
        <v>3012296</v>
      </c>
      <c r="D196" s="1129">
        <f t="shared" ref="D196:Y196" si="55">D197</f>
        <v>0</v>
      </c>
      <c r="E196" s="1129">
        <f t="shared" si="55"/>
        <v>0</v>
      </c>
      <c r="F196" s="1129">
        <f t="shared" si="55"/>
        <v>0</v>
      </c>
      <c r="G196" s="1129">
        <f t="shared" si="55"/>
        <v>0</v>
      </c>
      <c r="H196" s="1129">
        <f t="shared" si="55"/>
        <v>0</v>
      </c>
      <c r="I196" s="1129">
        <f t="shared" si="55"/>
        <v>0</v>
      </c>
      <c r="J196" s="1129">
        <f t="shared" si="55"/>
        <v>0</v>
      </c>
      <c r="K196" s="1136">
        <f t="shared" si="55"/>
        <v>0</v>
      </c>
      <c r="L196" s="1129">
        <f t="shared" si="55"/>
        <v>0</v>
      </c>
      <c r="M196" s="1136">
        <f t="shared" si="55"/>
        <v>0</v>
      </c>
      <c r="N196" s="1129">
        <f t="shared" si="55"/>
        <v>0</v>
      </c>
      <c r="O196" s="1129">
        <f t="shared" si="55"/>
        <v>873</v>
      </c>
      <c r="P196" s="1129">
        <f t="shared" si="55"/>
        <v>2793498</v>
      </c>
      <c r="Q196" s="1129">
        <f t="shared" si="55"/>
        <v>0</v>
      </c>
      <c r="R196" s="1129">
        <f t="shared" si="55"/>
        <v>0</v>
      </c>
      <c r="S196" s="1129">
        <f t="shared" si="55"/>
        <v>0</v>
      </c>
      <c r="T196" s="1129">
        <f t="shared" si="55"/>
        <v>0</v>
      </c>
      <c r="U196" s="1129">
        <f t="shared" si="55"/>
        <v>0</v>
      </c>
      <c r="V196" s="1129">
        <f t="shared" si="55"/>
        <v>0</v>
      </c>
      <c r="W196" s="1129">
        <v>0</v>
      </c>
      <c r="X196" s="1129">
        <f t="shared" si="55"/>
        <v>218798</v>
      </c>
      <c r="Y196" s="1129">
        <f t="shared" si="55"/>
        <v>0</v>
      </c>
    </row>
    <row r="197" spans="1:25" s="1137" customFormat="1" ht="69" customHeight="1">
      <c r="A197" s="1280">
        <v>171</v>
      </c>
      <c r="B197" s="1135" t="s">
        <v>1527</v>
      </c>
      <c r="C197" s="1129">
        <f>D197+N197+P197+R197+T197+V197+X197</f>
        <v>3012296</v>
      </c>
      <c r="D197" s="1129">
        <f>SUM(E197:J197)</f>
        <v>0</v>
      </c>
      <c r="E197" s="1129">
        <v>0</v>
      </c>
      <c r="F197" s="1129">
        <v>0</v>
      </c>
      <c r="G197" s="1129">
        <v>0</v>
      </c>
      <c r="H197" s="1129">
        <v>0</v>
      </c>
      <c r="I197" s="1129">
        <v>0</v>
      </c>
      <c r="J197" s="1129">
        <v>0</v>
      </c>
      <c r="K197" s="1136">
        <v>0</v>
      </c>
      <c r="L197" s="1129">
        <v>0</v>
      </c>
      <c r="M197" s="1136">
        <v>0</v>
      </c>
      <c r="N197" s="1129">
        <v>0</v>
      </c>
      <c r="O197" s="1129">
        <v>873</v>
      </c>
      <c r="P197" s="1129">
        <v>2793498</v>
      </c>
      <c r="Q197" s="1129">
        <v>0</v>
      </c>
      <c r="R197" s="1129">
        <v>0</v>
      </c>
      <c r="S197" s="1129">
        <v>0</v>
      </c>
      <c r="T197" s="1129">
        <v>0</v>
      </c>
      <c r="U197" s="1129">
        <v>0</v>
      </c>
      <c r="V197" s="1129">
        <v>0</v>
      </c>
      <c r="W197" s="1129">
        <v>0</v>
      </c>
      <c r="X197" s="1129">
        <v>218798</v>
      </c>
      <c r="Y197" s="1129">
        <v>0</v>
      </c>
    </row>
    <row r="198" spans="1:25" s="1137" customFormat="1" ht="126.6" customHeight="1">
      <c r="A198" s="1280"/>
      <c r="B198" s="1135" t="s">
        <v>1125</v>
      </c>
      <c r="C198" s="1129">
        <f>C199+C200</f>
        <v>3043212</v>
      </c>
      <c r="D198" s="1129">
        <f t="shared" ref="D198:Y198" si="56">D199+D200</f>
        <v>0</v>
      </c>
      <c r="E198" s="1129">
        <f t="shared" si="56"/>
        <v>0</v>
      </c>
      <c r="F198" s="1129">
        <f t="shared" si="56"/>
        <v>0</v>
      </c>
      <c r="G198" s="1129">
        <f t="shared" si="56"/>
        <v>0</v>
      </c>
      <c r="H198" s="1129">
        <f t="shared" si="56"/>
        <v>0</v>
      </c>
      <c r="I198" s="1129">
        <f t="shared" si="56"/>
        <v>0</v>
      </c>
      <c r="J198" s="1129">
        <f t="shared" si="56"/>
        <v>0</v>
      </c>
      <c r="K198" s="1136">
        <f t="shared" si="56"/>
        <v>0</v>
      </c>
      <c r="L198" s="1129">
        <f t="shared" si="56"/>
        <v>0</v>
      </c>
      <c r="M198" s="1136">
        <f t="shared" si="56"/>
        <v>0</v>
      </c>
      <c r="N198" s="1129">
        <f t="shared" si="56"/>
        <v>0</v>
      </c>
      <c r="O198" s="1129">
        <f t="shared" si="56"/>
        <v>1120</v>
      </c>
      <c r="P198" s="1129">
        <f t="shared" si="56"/>
        <v>2822169</v>
      </c>
      <c r="Q198" s="1129">
        <f t="shared" si="56"/>
        <v>0</v>
      </c>
      <c r="R198" s="1129">
        <f t="shared" si="56"/>
        <v>0</v>
      </c>
      <c r="S198" s="1129">
        <f t="shared" si="56"/>
        <v>0</v>
      </c>
      <c r="T198" s="1129">
        <f t="shared" si="56"/>
        <v>0</v>
      </c>
      <c r="U198" s="1129">
        <f t="shared" si="56"/>
        <v>0</v>
      </c>
      <c r="V198" s="1129">
        <f t="shared" si="56"/>
        <v>0</v>
      </c>
      <c r="W198" s="1129">
        <v>0</v>
      </c>
      <c r="X198" s="1129">
        <f t="shared" si="56"/>
        <v>221043</v>
      </c>
      <c r="Y198" s="1129">
        <f t="shared" si="56"/>
        <v>0</v>
      </c>
    </row>
    <row r="199" spans="1:25" s="1137" customFormat="1" ht="64.150000000000006" customHeight="1">
      <c r="A199" s="1280">
        <v>172</v>
      </c>
      <c r="B199" s="1135" t="s">
        <v>1215</v>
      </c>
      <c r="C199" s="1129">
        <f>D199+N199+P199+R199+T199+V199+X199</f>
        <v>1032519</v>
      </c>
      <c r="D199" s="1129">
        <f>SUM(E199:J199)</f>
        <v>0</v>
      </c>
      <c r="E199" s="1129">
        <v>0</v>
      </c>
      <c r="F199" s="1129">
        <v>0</v>
      </c>
      <c r="G199" s="1129">
        <v>0</v>
      </c>
      <c r="H199" s="1129">
        <v>0</v>
      </c>
      <c r="I199" s="1129">
        <v>0</v>
      </c>
      <c r="J199" s="1129">
        <v>0</v>
      </c>
      <c r="K199" s="1136">
        <v>0</v>
      </c>
      <c r="L199" s="1129">
        <v>0</v>
      </c>
      <c r="M199" s="1136">
        <v>0</v>
      </c>
      <c r="N199" s="1129">
        <v>0</v>
      </c>
      <c r="O199" s="1129">
        <v>380</v>
      </c>
      <c r="P199" s="1129">
        <v>957522</v>
      </c>
      <c r="Q199" s="1129">
        <v>0</v>
      </c>
      <c r="R199" s="1129">
        <v>0</v>
      </c>
      <c r="S199" s="1129">
        <v>0</v>
      </c>
      <c r="T199" s="1129">
        <v>0</v>
      </c>
      <c r="U199" s="1129">
        <v>0</v>
      </c>
      <c r="V199" s="1129">
        <v>0</v>
      </c>
      <c r="W199" s="1129">
        <v>0</v>
      </c>
      <c r="X199" s="1129">
        <v>74997</v>
      </c>
      <c r="Y199" s="1129">
        <v>0</v>
      </c>
    </row>
    <row r="200" spans="1:25" s="1137" customFormat="1" ht="61.9" customHeight="1">
      <c r="A200" s="1280">
        <v>173</v>
      </c>
      <c r="B200" s="1135" t="s">
        <v>1216</v>
      </c>
      <c r="C200" s="1129">
        <f>D200+N200+P200+R200+T200+V200+X200</f>
        <v>2010693</v>
      </c>
      <c r="D200" s="1129">
        <f>SUM(E200:J200)</f>
        <v>0</v>
      </c>
      <c r="E200" s="1129">
        <v>0</v>
      </c>
      <c r="F200" s="1129">
        <v>0</v>
      </c>
      <c r="G200" s="1129">
        <v>0</v>
      </c>
      <c r="H200" s="1129">
        <v>0</v>
      </c>
      <c r="I200" s="1129">
        <v>0</v>
      </c>
      <c r="J200" s="1129">
        <v>0</v>
      </c>
      <c r="K200" s="1136">
        <v>0</v>
      </c>
      <c r="L200" s="1129">
        <v>0</v>
      </c>
      <c r="M200" s="1136">
        <v>0</v>
      </c>
      <c r="N200" s="1129">
        <v>0</v>
      </c>
      <c r="O200" s="1129">
        <v>740</v>
      </c>
      <c r="P200" s="1129">
        <v>1864647</v>
      </c>
      <c r="Q200" s="1129">
        <v>0</v>
      </c>
      <c r="R200" s="1129">
        <v>0</v>
      </c>
      <c r="S200" s="1129">
        <v>0</v>
      </c>
      <c r="T200" s="1129">
        <v>0</v>
      </c>
      <c r="U200" s="1129">
        <v>0</v>
      </c>
      <c r="V200" s="1129">
        <v>0</v>
      </c>
      <c r="W200" s="1129">
        <v>0</v>
      </c>
      <c r="X200" s="1129">
        <v>146046</v>
      </c>
      <c r="Y200" s="1129">
        <v>0</v>
      </c>
    </row>
    <row r="201" spans="1:25" s="1137" customFormat="1" ht="98.45" customHeight="1">
      <c r="A201" s="1280"/>
      <c r="B201" s="1135" t="s">
        <v>1317</v>
      </c>
      <c r="C201" s="1129">
        <f>C202+C203</f>
        <v>6733926.0899999999</v>
      </c>
      <c r="D201" s="1129">
        <f t="shared" ref="D201:Y201" si="57">D202+D203</f>
        <v>0</v>
      </c>
      <c r="E201" s="1129">
        <f t="shared" si="57"/>
        <v>0</v>
      </c>
      <c r="F201" s="1129">
        <f t="shared" si="57"/>
        <v>0</v>
      </c>
      <c r="G201" s="1129">
        <f t="shared" si="57"/>
        <v>0</v>
      </c>
      <c r="H201" s="1129">
        <f t="shared" si="57"/>
        <v>0</v>
      </c>
      <c r="I201" s="1129">
        <f t="shared" si="57"/>
        <v>0</v>
      </c>
      <c r="J201" s="1129">
        <f t="shared" si="57"/>
        <v>0</v>
      </c>
      <c r="K201" s="1136">
        <f t="shared" si="57"/>
        <v>0</v>
      </c>
      <c r="L201" s="1129">
        <f t="shared" si="57"/>
        <v>0</v>
      </c>
      <c r="M201" s="1136">
        <f t="shared" si="57"/>
        <v>0</v>
      </c>
      <c r="N201" s="1129">
        <f t="shared" si="57"/>
        <v>0</v>
      </c>
      <c r="O201" s="1129">
        <f t="shared" si="57"/>
        <v>1898.2</v>
      </c>
      <c r="P201" s="1129">
        <f t="shared" si="57"/>
        <v>6244808.0899999999</v>
      </c>
      <c r="Q201" s="1129">
        <f t="shared" si="57"/>
        <v>0</v>
      </c>
      <c r="R201" s="1129">
        <f t="shared" si="57"/>
        <v>0</v>
      </c>
      <c r="S201" s="1129">
        <f t="shared" si="57"/>
        <v>0</v>
      </c>
      <c r="T201" s="1129">
        <f t="shared" si="57"/>
        <v>0</v>
      </c>
      <c r="U201" s="1129">
        <f t="shared" si="57"/>
        <v>0</v>
      </c>
      <c r="V201" s="1129">
        <f t="shared" si="57"/>
        <v>0</v>
      </c>
      <c r="W201" s="1129">
        <v>0</v>
      </c>
      <c r="X201" s="1129">
        <f t="shared" si="57"/>
        <v>489118</v>
      </c>
      <c r="Y201" s="1129">
        <f t="shared" si="57"/>
        <v>0</v>
      </c>
    </row>
    <row r="202" spans="1:25" s="1137" customFormat="1" ht="123" customHeight="1">
      <c r="A202" s="1280">
        <v>174</v>
      </c>
      <c r="B202" s="1135" t="s">
        <v>1952</v>
      </c>
      <c r="C202" s="1129">
        <f>D202+N202+P202+R202+T202+V202+X202</f>
        <v>1855440</v>
      </c>
      <c r="D202" s="1129">
        <f>SUM(E202:J202)</f>
        <v>0</v>
      </c>
      <c r="E202" s="1129">
        <v>0</v>
      </c>
      <c r="F202" s="1129">
        <v>0</v>
      </c>
      <c r="G202" s="1129">
        <v>0</v>
      </c>
      <c r="H202" s="1129">
        <v>0</v>
      </c>
      <c r="I202" s="1129">
        <v>0</v>
      </c>
      <c r="J202" s="1129">
        <v>0</v>
      </c>
      <c r="K202" s="1136">
        <v>0</v>
      </c>
      <c r="L202" s="1129">
        <v>0</v>
      </c>
      <c r="M202" s="1136">
        <v>0</v>
      </c>
      <c r="N202" s="1129">
        <v>0</v>
      </c>
      <c r="O202" s="1129">
        <v>548.20000000000005</v>
      </c>
      <c r="P202" s="1129">
        <v>1720670</v>
      </c>
      <c r="Q202" s="1129">
        <v>0</v>
      </c>
      <c r="R202" s="1129">
        <v>0</v>
      </c>
      <c r="S202" s="1129">
        <v>0</v>
      </c>
      <c r="T202" s="1129">
        <v>0</v>
      </c>
      <c r="U202" s="1129">
        <v>0</v>
      </c>
      <c r="V202" s="1129"/>
      <c r="W202" s="1129">
        <v>0</v>
      </c>
      <c r="X202" s="1129">
        <v>134770</v>
      </c>
      <c r="Y202" s="1129">
        <v>0</v>
      </c>
    </row>
    <row r="203" spans="1:25" s="1137" customFormat="1" ht="66.599999999999994" customHeight="1">
      <c r="A203" s="1280">
        <v>175</v>
      </c>
      <c r="B203" s="1135" t="s">
        <v>1528</v>
      </c>
      <c r="C203" s="1129">
        <f>D203+N203+P203+R203+T203+V203+X203</f>
        <v>4878486.09</v>
      </c>
      <c r="D203" s="1129">
        <f>SUM(E203:J203)</f>
        <v>0</v>
      </c>
      <c r="E203" s="1129">
        <v>0</v>
      </c>
      <c r="F203" s="1129">
        <v>0</v>
      </c>
      <c r="G203" s="1129">
        <v>0</v>
      </c>
      <c r="H203" s="1129">
        <v>0</v>
      </c>
      <c r="I203" s="1129">
        <v>0</v>
      </c>
      <c r="J203" s="1129">
        <v>0</v>
      </c>
      <c r="K203" s="1136">
        <v>0</v>
      </c>
      <c r="L203" s="1129">
        <v>0</v>
      </c>
      <c r="M203" s="1136">
        <v>0</v>
      </c>
      <c r="N203" s="1129">
        <v>0</v>
      </c>
      <c r="O203" s="1129">
        <v>1350</v>
      </c>
      <c r="P203" s="1129">
        <v>4524138.09</v>
      </c>
      <c r="Q203" s="1129">
        <v>0</v>
      </c>
      <c r="R203" s="1129">
        <v>0</v>
      </c>
      <c r="S203" s="1129">
        <v>0</v>
      </c>
      <c r="T203" s="1129">
        <v>0</v>
      </c>
      <c r="U203" s="1129">
        <v>0</v>
      </c>
      <c r="V203" s="1129">
        <v>0</v>
      </c>
      <c r="W203" s="1129">
        <v>0</v>
      </c>
      <c r="X203" s="1129">
        <v>354348</v>
      </c>
      <c r="Y203" s="1129">
        <v>0</v>
      </c>
    </row>
    <row r="204" spans="1:25" s="1137" customFormat="1" ht="129" customHeight="1">
      <c r="A204" s="1280"/>
      <c r="B204" s="1135" t="s">
        <v>1140</v>
      </c>
      <c r="C204" s="1129">
        <f>C205</f>
        <v>3143546</v>
      </c>
      <c r="D204" s="1129">
        <f t="shared" ref="D204:Y204" si="58">D205</f>
        <v>0</v>
      </c>
      <c r="E204" s="1129">
        <f t="shared" si="58"/>
        <v>0</v>
      </c>
      <c r="F204" s="1129">
        <f t="shared" si="58"/>
        <v>0</v>
      </c>
      <c r="G204" s="1129">
        <f t="shared" si="58"/>
        <v>0</v>
      </c>
      <c r="H204" s="1129">
        <f t="shared" si="58"/>
        <v>0</v>
      </c>
      <c r="I204" s="1129">
        <f t="shared" si="58"/>
        <v>0</v>
      </c>
      <c r="J204" s="1129">
        <f t="shared" si="58"/>
        <v>0</v>
      </c>
      <c r="K204" s="1129">
        <f t="shared" si="58"/>
        <v>0</v>
      </c>
      <c r="L204" s="1129">
        <f t="shared" si="58"/>
        <v>0</v>
      </c>
      <c r="M204" s="1129">
        <f t="shared" si="58"/>
        <v>0</v>
      </c>
      <c r="N204" s="1129">
        <f t="shared" si="58"/>
        <v>0</v>
      </c>
      <c r="O204" s="1129">
        <f t="shared" si="58"/>
        <v>788</v>
      </c>
      <c r="P204" s="1129">
        <f t="shared" si="58"/>
        <v>2915215</v>
      </c>
      <c r="Q204" s="1129">
        <f t="shared" si="58"/>
        <v>0</v>
      </c>
      <c r="R204" s="1129">
        <f t="shared" si="58"/>
        <v>0</v>
      </c>
      <c r="S204" s="1129">
        <f t="shared" si="58"/>
        <v>0</v>
      </c>
      <c r="T204" s="1129">
        <f t="shared" si="58"/>
        <v>0</v>
      </c>
      <c r="U204" s="1129">
        <f t="shared" si="58"/>
        <v>0</v>
      </c>
      <c r="V204" s="1129">
        <f t="shared" si="58"/>
        <v>0</v>
      </c>
      <c r="W204" s="1129">
        <f t="shared" si="58"/>
        <v>0</v>
      </c>
      <c r="X204" s="1129">
        <f t="shared" si="58"/>
        <v>228331</v>
      </c>
      <c r="Y204" s="1129">
        <f t="shared" si="58"/>
        <v>0</v>
      </c>
    </row>
    <row r="205" spans="1:25" s="1137" customFormat="1" ht="93.6" customHeight="1">
      <c r="A205" s="1280">
        <v>176</v>
      </c>
      <c r="B205" s="1135" t="s">
        <v>1951</v>
      </c>
      <c r="C205" s="1129">
        <f>D205+N205+P205+R205+T205+V205+X205</f>
        <v>3143546</v>
      </c>
      <c r="D205" s="1129">
        <f>SUM(E205:J205)</f>
        <v>0</v>
      </c>
      <c r="E205" s="1129">
        <v>0</v>
      </c>
      <c r="F205" s="1129">
        <v>0</v>
      </c>
      <c r="G205" s="1129">
        <v>0</v>
      </c>
      <c r="H205" s="1129">
        <v>0</v>
      </c>
      <c r="I205" s="1129">
        <v>0</v>
      </c>
      <c r="J205" s="1129">
        <v>0</v>
      </c>
      <c r="K205" s="1136">
        <v>0</v>
      </c>
      <c r="L205" s="1129">
        <v>0</v>
      </c>
      <c r="M205" s="1136">
        <v>0</v>
      </c>
      <c r="N205" s="1129">
        <v>0</v>
      </c>
      <c r="O205" s="1129">
        <v>788</v>
      </c>
      <c r="P205" s="1129">
        <v>2915215</v>
      </c>
      <c r="Q205" s="1129">
        <v>0</v>
      </c>
      <c r="R205" s="1129">
        <v>0</v>
      </c>
      <c r="S205" s="1129">
        <v>0</v>
      </c>
      <c r="T205" s="1129">
        <v>0</v>
      </c>
      <c r="U205" s="1129">
        <v>0</v>
      </c>
      <c r="V205" s="1129">
        <v>0</v>
      </c>
      <c r="W205" s="1129">
        <v>0</v>
      </c>
      <c r="X205" s="1129">
        <v>228331</v>
      </c>
      <c r="Y205" s="1129">
        <v>0</v>
      </c>
    </row>
    <row r="206" spans="1:25" s="1153" customFormat="1" ht="133.9" customHeight="1">
      <c r="A206" s="1280"/>
      <c r="B206" s="1135" t="s">
        <v>1356</v>
      </c>
      <c r="C206" s="1129">
        <f>C207+C208</f>
        <v>4827660.26</v>
      </c>
      <c r="D206" s="1129">
        <f t="shared" ref="D206:Y206" si="59">D207+D208</f>
        <v>0</v>
      </c>
      <c r="E206" s="1129">
        <f t="shared" si="59"/>
        <v>0</v>
      </c>
      <c r="F206" s="1129">
        <f t="shared" si="59"/>
        <v>0</v>
      </c>
      <c r="G206" s="1129">
        <f t="shared" si="59"/>
        <v>0</v>
      </c>
      <c r="H206" s="1129">
        <f t="shared" si="59"/>
        <v>0</v>
      </c>
      <c r="I206" s="1129">
        <f t="shared" si="59"/>
        <v>0</v>
      </c>
      <c r="J206" s="1129">
        <f t="shared" si="59"/>
        <v>0</v>
      </c>
      <c r="K206" s="1136">
        <f t="shared" si="59"/>
        <v>0</v>
      </c>
      <c r="L206" s="1129">
        <f t="shared" si="59"/>
        <v>0</v>
      </c>
      <c r="M206" s="1136">
        <f t="shared" si="59"/>
        <v>0</v>
      </c>
      <c r="N206" s="1129">
        <f t="shared" si="59"/>
        <v>0</v>
      </c>
      <c r="O206" s="1129">
        <f t="shared" si="59"/>
        <v>1435.04</v>
      </c>
      <c r="P206" s="1129">
        <f t="shared" si="59"/>
        <v>4477004.26</v>
      </c>
      <c r="Q206" s="1129">
        <f t="shared" si="59"/>
        <v>0</v>
      </c>
      <c r="R206" s="1129">
        <f t="shared" si="59"/>
        <v>0</v>
      </c>
      <c r="S206" s="1129">
        <f t="shared" si="59"/>
        <v>0</v>
      </c>
      <c r="T206" s="1129">
        <f t="shared" si="59"/>
        <v>0</v>
      </c>
      <c r="U206" s="1129">
        <f t="shared" si="59"/>
        <v>0</v>
      </c>
      <c r="V206" s="1129">
        <f t="shared" si="59"/>
        <v>0</v>
      </c>
      <c r="W206" s="1129">
        <v>0</v>
      </c>
      <c r="X206" s="1129">
        <f t="shared" si="59"/>
        <v>350656</v>
      </c>
      <c r="Y206" s="1129">
        <f t="shared" si="59"/>
        <v>0</v>
      </c>
    </row>
    <row r="207" spans="1:25" s="1153" customFormat="1" ht="90" customHeight="1">
      <c r="A207" s="1280">
        <v>177</v>
      </c>
      <c r="B207" s="1135" t="s">
        <v>1840</v>
      </c>
      <c r="C207" s="1129">
        <f>D207+N207+P207+R207+T207+V207+X207</f>
        <v>3156502.26</v>
      </c>
      <c r="D207" s="1129">
        <f>SUM(E207:J207)</f>
        <v>0</v>
      </c>
      <c r="E207" s="1129">
        <v>0</v>
      </c>
      <c r="F207" s="1129">
        <v>0</v>
      </c>
      <c r="G207" s="1129">
        <v>0</v>
      </c>
      <c r="H207" s="1129">
        <v>0</v>
      </c>
      <c r="I207" s="1129">
        <v>0</v>
      </c>
      <c r="J207" s="1129">
        <v>0</v>
      </c>
      <c r="K207" s="1136">
        <v>0</v>
      </c>
      <c r="L207" s="1129">
        <v>0</v>
      </c>
      <c r="M207" s="1136">
        <v>0</v>
      </c>
      <c r="N207" s="1129">
        <v>0</v>
      </c>
      <c r="O207" s="1129">
        <v>820</v>
      </c>
      <c r="P207" s="1129">
        <v>2927230.26</v>
      </c>
      <c r="Q207" s="1129">
        <v>0</v>
      </c>
      <c r="R207" s="1129">
        <v>0</v>
      </c>
      <c r="S207" s="1129">
        <v>0</v>
      </c>
      <c r="T207" s="1129">
        <v>0</v>
      </c>
      <c r="U207" s="1129">
        <v>0</v>
      </c>
      <c r="V207" s="1129">
        <v>0</v>
      </c>
      <c r="W207" s="1129">
        <v>0</v>
      </c>
      <c r="X207" s="1129">
        <v>229272</v>
      </c>
      <c r="Y207" s="1129">
        <v>0</v>
      </c>
    </row>
    <row r="208" spans="1:25" s="1153" customFormat="1" ht="66" customHeight="1">
      <c r="A208" s="1280">
        <v>178</v>
      </c>
      <c r="B208" s="1135" t="s">
        <v>1358</v>
      </c>
      <c r="C208" s="1129">
        <f>D208+N208+P208+R208+T208+V208+X208</f>
        <v>1671158</v>
      </c>
      <c r="D208" s="1129">
        <f>SUM(E208:J208)</f>
        <v>0</v>
      </c>
      <c r="E208" s="1129">
        <v>0</v>
      </c>
      <c r="F208" s="1129">
        <v>0</v>
      </c>
      <c r="G208" s="1129">
        <v>0</v>
      </c>
      <c r="H208" s="1129">
        <v>0</v>
      </c>
      <c r="I208" s="1129">
        <v>0</v>
      </c>
      <c r="J208" s="1129">
        <v>0</v>
      </c>
      <c r="K208" s="1136">
        <v>0</v>
      </c>
      <c r="L208" s="1129">
        <v>0</v>
      </c>
      <c r="M208" s="1136">
        <v>0</v>
      </c>
      <c r="N208" s="1129">
        <v>0</v>
      </c>
      <c r="O208" s="1129">
        <v>615.04</v>
      </c>
      <c r="P208" s="1129">
        <v>1549774</v>
      </c>
      <c r="Q208" s="1129">
        <v>0</v>
      </c>
      <c r="R208" s="1129">
        <v>0</v>
      </c>
      <c r="S208" s="1129">
        <v>0</v>
      </c>
      <c r="T208" s="1129">
        <v>0</v>
      </c>
      <c r="U208" s="1129">
        <v>0</v>
      </c>
      <c r="V208" s="1129">
        <v>0</v>
      </c>
      <c r="W208" s="1129">
        <v>0</v>
      </c>
      <c r="X208" s="1129">
        <v>121384</v>
      </c>
      <c r="Y208" s="1129">
        <v>0</v>
      </c>
    </row>
    <row r="209" spans="1:25" s="1153" customFormat="1" ht="87.6" customHeight="1">
      <c r="A209" s="1280"/>
      <c r="B209" s="1135" t="s">
        <v>1065</v>
      </c>
      <c r="C209" s="1129">
        <f>C210+C211+C212</f>
        <v>7623339.5099999998</v>
      </c>
      <c r="D209" s="1129">
        <f t="shared" ref="D209:Y209" si="60">D210+D211+D212</f>
        <v>0</v>
      </c>
      <c r="E209" s="1129">
        <f t="shared" si="60"/>
        <v>0</v>
      </c>
      <c r="F209" s="1129">
        <f t="shared" si="60"/>
        <v>0</v>
      </c>
      <c r="G209" s="1129">
        <f t="shared" si="60"/>
        <v>0</v>
      </c>
      <c r="H209" s="1129">
        <f t="shared" si="60"/>
        <v>0</v>
      </c>
      <c r="I209" s="1129">
        <f t="shared" si="60"/>
        <v>0</v>
      </c>
      <c r="J209" s="1129">
        <f t="shared" si="60"/>
        <v>0</v>
      </c>
      <c r="K209" s="1136">
        <f t="shared" si="60"/>
        <v>0</v>
      </c>
      <c r="L209" s="1129">
        <f t="shared" si="60"/>
        <v>0</v>
      </c>
      <c r="M209" s="1136">
        <f t="shared" si="60"/>
        <v>0</v>
      </c>
      <c r="N209" s="1129">
        <f t="shared" si="60"/>
        <v>0</v>
      </c>
      <c r="O209" s="1129">
        <f t="shared" si="60"/>
        <v>2037.1</v>
      </c>
      <c r="P209" s="1129">
        <f t="shared" si="60"/>
        <v>7225962.5099999998</v>
      </c>
      <c r="Q209" s="1129">
        <f t="shared" si="60"/>
        <v>0</v>
      </c>
      <c r="R209" s="1129">
        <f t="shared" si="60"/>
        <v>0</v>
      </c>
      <c r="S209" s="1129">
        <f t="shared" si="60"/>
        <v>0</v>
      </c>
      <c r="T209" s="1129">
        <f t="shared" si="60"/>
        <v>0</v>
      </c>
      <c r="U209" s="1129">
        <f t="shared" si="60"/>
        <v>0</v>
      </c>
      <c r="V209" s="1129">
        <f t="shared" si="60"/>
        <v>0</v>
      </c>
      <c r="W209" s="1129">
        <v>0</v>
      </c>
      <c r="X209" s="1129">
        <f t="shared" si="60"/>
        <v>397377</v>
      </c>
      <c r="Y209" s="1129">
        <f t="shared" si="60"/>
        <v>0</v>
      </c>
    </row>
    <row r="210" spans="1:25" s="1153" customFormat="1" ht="56.45" customHeight="1">
      <c r="A210" s="1280">
        <v>179</v>
      </c>
      <c r="B210" s="1135" t="s">
        <v>1183</v>
      </c>
      <c r="C210" s="1129">
        <f>D210+N210+P210+R210+T210+V210+X210</f>
        <v>2330422.92</v>
      </c>
      <c r="D210" s="1129">
        <f>SUM(E210:J210)</f>
        <v>0</v>
      </c>
      <c r="E210" s="1129">
        <v>0</v>
      </c>
      <c r="F210" s="1129">
        <v>0</v>
      </c>
      <c r="G210" s="1129">
        <v>0</v>
      </c>
      <c r="H210" s="1129">
        <v>0</v>
      </c>
      <c r="I210" s="1129">
        <v>0</v>
      </c>
      <c r="J210" s="1129">
        <v>0</v>
      </c>
      <c r="K210" s="1136">
        <v>0</v>
      </c>
      <c r="L210" s="1129">
        <v>0</v>
      </c>
      <c r="M210" s="1136">
        <v>0</v>
      </c>
      <c r="N210" s="1129">
        <v>0</v>
      </c>
      <c r="O210" s="1129">
        <v>618.75</v>
      </c>
      <c r="P210" s="1129">
        <v>2197963.92</v>
      </c>
      <c r="Q210" s="1129">
        <v>0</v>
      </c>
      <c r="R210" s="1129">
        <v>0</v>
      </c>
      <c r="S210" s="1129">
        <v>0</v>
      </c>
      <c r="T210" s="1129">
        <v>0</v>
      </c>
      <c r="U210" s="1129">
        <v>0</v>
      </c>
      <c r="V210" s="1129">
        <v>0</v>
      </c>
      <c r="W210" s="1129">
        <v>0</v>
      </c>
      <c r="X210" s="1129">
        <v>132459</v>
      </c>
      <c r="Y210" s="1129">
        <v>0</v>
      </c>
    </row>
    <row r="211" spans="1:25" s="1153" customFormat="1" ht="61.15" customHeight="1">
      <c r="A211" s="1280">
        <v>180</v>
      </c>
      <c r="B211" s="1135" t="s">
        <v>1184</v>
      </c>
      <c r="C211" s="1129">
        <f>D211+N211+P211+R211+T211+V211+X211</f>
        <v>2330422.92</v>
      </c>
      <c r="D211" s="1129">
        <f>SUM(E211:J211)</f>
        <v>0</v>
      </c>
      <c r="E211" s="1129">
        <v>0</v>
      </c>
      <c r="F211" s="1129">
        <v>0</v>
      </c>
      <c r="G211" s="1129">
        <v>0</v>
      </c>
      <c r="H211" s="1129">
        <v>0</v>
      </c>
      <c r="I211" s="1129">
        <v>0</v>
      </c>
      <c r="J211" s="1129">
        <v>0</v>
      </c>
      <c r="K211" s="1136">
        <v>0</v>
      </c>
      <c r="L211" s="1129">
        <v>0</v>
      </c>
      <c r="M211" s="1136">
        <v>0</v>
      </c>
      <c r="N211" s="1129">
        <v>0</v>
      </c>
      <c r="O211" s="1129">
        <v>618.75</v>
      </c>
      <c r="P211" s="1129">
        <v>2197963.92</v>
      </c>
      <c r="Q211" s="1129">
        <v>0</v>
      </c>
      <c r="R211" s="1129">
        <v>0</v>
      </c>
      <c r="S211" s="1129">
        <v>0</v>
      </c>
      <c r="T211" s="1129">
        <v>0</v>
      </c>
      <c r="U211" s="1129">
        <v>0</v>
      </c>
      <c r="V211" s="1129">
        <v>0</v>
      </c>
      <c r="W211" s="1129">
        <v>0</v>
      </c>
      <c r="X211" s="1129">
        <v>132459</v>
      </c>
      <c r="Y211" s="1129">
        <v>0</v>
      </c>
    </row>
    <row r="212" spans="1:25" s="1153" customFormat="1" ht="61.15" customHeight="1">
      <c r="A212" s="1280">
        <v>181</v>
      </c>
      <c r="B212" s="1135" t="s">
        <v>1530</v>
      </c>
      <c r="C212" s="1129">
        <f>D212+N212+P212+R212+T212+V212+X212</f>
        <v>2962493.67</v>
      </c>
      <c r="D212" s="1129">
        <f>SUM(E212:J212)</f>
        <v>0</v>
      </c>
      <c r="E212" s="1129">
        <v>0</v>
      </c>
      <c r="F212" s="1129">
        <v>0</v>
      </c>
      <c r="G212" s="1129">
        <v>0</v>
      </c>
      <c r="H212" s="1129">
        <v>0</v>
      </c>
      <c r="I212" s="1129">
        <v>0</v>
      </c>
      <c r="J212" s="1129">
        <v>0</v>
      </c>
      <c r="K212" s="1136">
        <v>0</v>
      </c>
      <c r="L212" s="1129">
        <v>0</v>
      </c>
      <c r="M212" s="1136">
        <v>0</v>
      </c>
      <c r="N212" s="1129">
        <v>0</v>
      </c>
      <c r="O212" s="1129">
        <v>799.6</v>
      </c>
      <c r="P212" s="1129">
        <v>2830034.67</v>
      </c>
      <c r="Q212" s="1129">
        <v>0</v>
      </c>
      <c r="R212" s="1129">
        <v>0</v>
      </c>
      <c r="S212" s="1129">
        <v>0</v>
      </c>
      <c r="T212" s="1129">
        <v>0</v>
      </c>
      <c r="U212" s="1129">
        <v>0</v>
      </c>
      <c r="V212" s="1129">
        <v>0</v>
      </c>
      <c r="W212" s="1129">
        <v>0</v>
      </c>
      <c r="X212" s="1129">
        <v>132459</v>
      </c>
      <c r="Y212" s="1129">
        <v>0</v>
      </c>
    </row>
    <row r="213" spans="1:25" s="1153" customFormat="1" ht="125.45" customHeight="1">
      <c r="A213" s="1280"/>
      <c r="B213" s="1135" t="s">
        <v>1261</v>
      </c>
      <c r="C213" s="1129">
        <f>C214</f>
        <v>2788912</v>
      </c>
      <c r="D213" s="1129">
        <f t="shared" ref="D213:Y213" si="61">D214</f>
        <v>0</v>
      </c>
      <c r="E213" s="1129">
        <f t="shared" si="61"/>
        <v>0</v>
      </c>
      <c r="F213" s="1129">
        <f t="shared" si="61"/>
        <v>0</v>
      </c>
      <c r="G213" s="1129">
        <f t="shared" si="61"/>
        <v>0</v>
      </c>
      <c r="H213" s="1129">
        <f t="shared" si="61"/>
        <v>0</v>
      </c>
      <c r="I213" s="1129">
        <f t="shared" si="61"/>
        <v>0</v>
      </c>
      <c r="J213" s="1129">
        <f t="shared" si="61"/>
        <v>0</v>
      </c>
      <c r="K213" s="1136">
        <f t="shared" si="61"/>
        <v>0</v>
      </c>
      <c r="L213" s="1129">
        <f t="shared" si="61"/>
        <v>0</v>
      </c>
      <c r="M213" s="1136">
        <f t="shared" si="61"/>
        <v>0</v>
      </c>
      <c r="N213" s="1129">
        <f t="shared" si="61"/>
        <v>0</v>
      </c>
      <c r="O213" s="1129">
        <f t="shared" si="61"/>
        <v>824</v>
      </c>
      <c r="P213" s="1129">
        <f t="shared" si="61"/>
        <v>2586340</v>
      </c>
      <c r="Q213" s="1129">
        <f t="shared" si="61"/>
        <v>0</v>
      </c>
      <c r="R213" s="1129">
        <f t="shared" si="61"/>
        <v>0</v>
      </c>
      <c r="S213" s="1129">
        <f t="shared" si="61"/>
        <v>0</v>
      </c>
      <c r="T213" s="1129">
        <f t="shared" si="61"/>
        <v>0</v>
      </c>
      <c r="U213" s="1129">
        <f t="shared" si="61"/>
        <v>0</v>
      </c>
      <c r="V213" s="1129">
        <f t="shared" si="61"/>
        <v>0</v>
      </c>
      <c r="W213" s="1129">
        <v>0</v>
      </c>
      <c r="X213" s="1129">
        <f t="shared" si="61"/>
        <v>202572</v>
      </c>
      <c r="Y213" s="1129">
        <f t="shared" si="61"/>
        <v>0</v>
      </c>
    </row>
    <row r="214" spans="1:25" s="1153" customFormat="1" ht="63.6" customHeight="1">
      <c r="A214" s="1280">
        <v>182</v>
      </c>
      <c r="B214" s="1135" t="s">
        <v>1262</v>
      </c>
      <c r="C214" s="1129">
        <f>D214+N214+P214+R214+T214+V214+X214</f>
        <v>2788912</v>
      </c>
      <c r="D214" s="1129">
        <f>SUM(E214:J214)</f>
        <v>0</v>
      </c>
      <c r="E214" s="1129">
        <v>0</v>
      </c>
      <c r="F214" s="1129">
        <v>0</v>
      </c>
      <c r="G214" s="1129">
        <v>0</v>
      </c>
      <c r="H214" s="1129">
        <v>0</v>
      </c>
      <c r="I214" s="1129">
        <v>0</v>
      </c>
      <c r="J214" s="1129">
        <v>0</v>
      </c>
      <c r="K214" s="1136">
        <v>0</v>
      </c>
      <c r="L214" s="1129">
        <v>0</v>
      </c>
      <c r="M214" s="1136">
        <v>0</v>
      </c>
      <c r="N214" s="1129">
        <v>0</v>
      </c>
      <c r="O214" s="1129">
        <v>824</v>
      </c>
      <c r="P214" s="1129">
        <v>2586340</v>
      </c>
      <c r="Q214" s="1129">
        <v>0</v>
      </c>
      <c r="R214" s="1129">
        <v>0</v>
      </c>
      <c r="S214" s="1129">
        <v>0</v>
      </c>
      <c r="T214" s="1129">
        <v>0</v>
      </c>
      <c r="U214" s="1129">
        <v>0</v>
      </c>
      <c r="V214" s="1129">
        <v>0</v>
      </c>
      <c r="W214" s="1129">
        <v>0</v>
      </c>
      <c r="X214" s="1129">
        <v>202572</v>
      </c>
      <c r="Y214" s="1129">
        <v>0</v>
      </c>
    </row>
    <row r="215" spans="1:25" s="1153" customFormat="1" ht="135" customHeight="1">
      <c r="A215" s="1280"/>
      <c r="B215" s="1135" t="s">
        <v>1128</v>
      </c>
      <c r="C215" s="1129">
        <f>C216</f>
        <v>1723365</v>
      </c>
      <c r="D215" s="1129">
        <f t="shared" ref="D215:Y215" si="62">D216</f>
        <v>0</v>
      </c>
      <c r="E215" s="1129">
        <f t="shared" si="62"/>
        <v>0</v>
      </c>
      <c r="F215" s="1129">
        <f t="shared" si="62"/>
        <v>0</v>
      </c>
      <c r="G215" s="1129">
        <f t="shared" si="62"/>
        <v>0</v>
      </c>
      <c r="H215" s="1129">
        <f t="shared" si="62"/>
        <v>0</v>
      </c>
      <c r="I215" s="1129">
        <f t="shared" si="62"/>
        <v>0</v>
      </c>
      <c r="J215" s="1129">
        <f t="shared" si="62"/>
        <v>0</v>
      </c>
      <c r="K215" s="1136">
        <f t="shared" si="62"/>
        <v>0</v>
      </c>
      <c r="L215" s="1129">
        <f t="shared" si="62"/>
        <v>0</v>
      </c>
      <c r="M215" s="1136">
        <f t="shared" si="62"/>
        <v>0</v>
      </c>
      <c r="N215" s="1129">
        <f t="shared" si="62"/>
        <v>0</v>
      </c>
      <c r="O215" s="1129">
        <f t="shared" si="62"/>
        <v>432</v>
      </c>
      <c r="P215" s="1129">
        <f t="shared" si="62"/>
        <v>1598189</v>
      </c>
      <c r="Q215" s="1129">
        <f t="shared" si="62"/>
        <v>0</v>
      </c>
      <c r="R215" s="1129">
        <f t="shared" si="62"/>
        <v>0</v>
      </c>
      <c r="S215" s="1129">
        <f t="shared" si="62"/>
        <v>0</v>
      </c>
      <c r="T215" s="1129">
        <f t="shared" si="62"/>
        <v>0</v>
      </c>
      <c r="U215" s="1129">
        <f t="shared" si="62"/>
        <v>0</v>
      </c>
      <c r="V215" s="1129">
        <f t="shared" si="62"/>
        <v>0</v>
      </c>
      <c r="W215" s="1129">
        <v>0</v>
      </c>
      <c r="X215" s="1129">
        <f t="shared" si="62"/>
        <v>125176</v>
      </c>
      <c r="Y215" s="1129">
        <f t="shared" si="62"/>
        <v>0</v>
      </c>
    </row>
    <row r="216" spans="1:25" s="1152" customFormat="1" ht="91.15" customHeight="1">
      <c r="A216" s="1280">
        <v>183</v>
      </c>
      <c r="B216" s="1135" t="s">
        <v>1841</v>
      </c>
      <c r="C216" s="1129">
        <f>D216+N216+P216+R216+T216+V216+X216</f>
        <v>1723365</v>
      </c>
      <c r="D216" s="1129">
        <f>SUM(E216:J216)</f>
        <v>0</v>
      </c>
      <c r="E216" s="1129">
        <v>0</v>
      </c>
      <c r="F216" s="1129">
        <v>0</v>
      </c>
      <c r="G216" s="1129">
        <v>0</v>
      </c>
      <c r="H216" s="1129">
        <v>0</v>
      </c>
      <c r="I216" s="1129">
        <v>0</v>
      </c>
      <c r="J216" s="1129">
        <v>0</v>
      </c>
      <c r="K216" s="1136">
        <v>0</v>
      </c>
      <c r="L216" s="1129">
        <v>0</v>
      </c>
      <c r="M216" s="1136">
        <v>0</v>
      </c>
      <c r="N216" s="1129">
        <v>0</v>
      </c>
      <c r="O216" s="1129">
        <v>432</v>
      </c>
      <c r="P216" s="1129">
        <v>1598189</v>
      </c>
      <c r="Q216" s="1129">
        <v>0</v>
      </c>
      <c r="R216" s="1129">
        <v>0</v>
      </c>
      <c r="S216" s="1129">
        <v>0</v>
      </c>
      <c r="T216" s="1129">
        <v>0</v>
      </c>
      <c r="U216" s="1129">
        <v>0</v>
      </c>
      <c r="V216" s="1129">
        <v>0</v>
      </c>
      <c r="W216" s="1129">
        <v>0</v>
      </c>
      <c r="X216" s="1129">
        <v>125176</v>
      </c>
      <c r="Y216" s="1129">
        <v>0</v>
      </c>
    </row>
    <row r="217" spans="1:25" s="1153" customFormat="1" ht="126.6" customHeight="1">
      <c r="A217" s="1280"/>
      <c r="B217" s="1135" t="s">
        <v>1151</v>
      </c>
      <c r="C217" s="1129">
        <f>C218+C219</f>
        <v>3184368.27</v>
      </c>
      <c r="D217" s="1129">
        <f t="shared" ref="D217:Y217" si="63">D218+D219</f>
        <v>1111825.77</v>
      </c>
      <c r="E217" s="1129">
        <f t="shared" si="63"/>
        <v>0</v>
      </c>
      <c r="F217" s="1129">
        <f t="shared" si="63"/>
        <v>0</v>
      </c>
      <c r="G217" s="1129">
        <f t="shared" si="63"/>
        <v>0</v>
      </c>
      <c r="H217" s="1129">
        <f t="shared" si="63"/>
        <v>0</v>
      </c>
      <c r="I217" s="1129">
        <f t="shared" si="63"/>
        <v>0</v>
      </c>
      <c r="J217" s="1129">
        <f t="shared" si="63"/>
        <v>1111825.77</v>
      </c>
      <c r="K217" s="1136">
        <f t="shared" si="63"/>
        <v>0</v>
      </c>
      <c r="L217" s="1129">
        <f t="shared" si="63"/>
        <v>0</v>
      </c>
      <c r="M217" s="1136">
        <f t="shared" si="63"/>
        <v>0</v>
      </c>
      <c r="N217" s="1129">
        <f t="shared" si="63"/>
        <v>0</v>
      </c>
      <c r="O217" s="1129">
        <f t="shared" si="63"/>
        <v>497.7</v>
      </c>
      <c r="P217" s="1129">
        <f t="shared" si="63"/>
        <v>1841246</v>
      </c>
      <c r="Q217" s="1129">
        <f t="shared" si="63"/>
        <v>0</v>
      </c>
      <c r="R217" s="1129">
        <f t="shared" si="63"/>
        <v>0</v>
      </c>
      <c r="S217" s="1129">
        <f t="shared" si="63"/>
        <v>0</v>
      </c>
      <c r="T217" s="1129">
        <f t="shared" si="63"/>
        <v>0</v>
      </c>
      <c r="U217" s="1129">
        <f t="shared" si="63"/>
        <v>0</v>
      </c>
      <c r="V217" s="1129">
        <f t="shared" si="63"/>
        <v>0</v>
      </c>
      <c r="W217" s="1129">
        <v>0</v>
      </c>
      <c r="X217" s="1129">
        <f t="shared" si="63"/>
        <v>231296.5</v>
      </c>
      <c r="Y217" s="1129">
        <f t="shared" si="63"/>
        <v>0</v>
      </c>
    </row>
    <row r="218" spans="1:25" s="1137" customFormat="1" ht="69" customHeight="1">
      <c r="A218" s="1280">
        <v>184</v>
      </c>
      <c r="B218" s="1128" t="s">
        <v>1531</v>
      </c>
      <c r="C218" s="1129">
        <f>D218+N218+P218+R218+T218+V218+X218</f>
        <v>1985460</v>
      </c>
      <c r="D218" s="1129">
        <f>SUM(E218:J218)</f>
        <v>0</v>
      </c>
      <c r="E218" s="1129">
        <v>0</v>
      </c>
      <c r="F218" s="1129">
        <v>0</v>
      </c>
      <c r="G218" s="1129">
        <v>0</v>
      </c>
      <c r="H218" s="1129">
        <v>0</v>
      </c>
      <c r="I218" s="1129">
        <v>0</v>
      </c>
      <c r="J218" s="1129">
        <v>0</v>
      </c>
      <c r="K218" s="1136">
        <v>0</v>
      </c>
      <c r="L218" s="1129">
        <v>0</v>
      </c>
      <c r="M218" s="1136">
        <v>0</v>
      </c>
      <c r="N218" s="1129">
        <v>0</v>
      </c>
      <c r="O218" s="1129">
        <v>497.7</v>
      </c>
      <c r="P218" s="1129">
        <v>1841246</v>
      </c>
      <c r="Q218" s="1129">
        <v>0</v>
      </c>
      <c r="R218" s="1129">
        <v>0</v>
      </c>
      <c r="S218" s="1129">
        <v>0</v>
      </c>
      <c r="T218" s="1129">
        <v>0</v>
      </c>
      <c r="U218" s="1129">
        <v>0</v>
      </c>
      <c r="V218" s="1129">
        <v>0</v>
      </c>
      <c r="W218" s="1129">
        <v>0</v>
      </c>
      <c r="X218" s="1129">
        <v>144214</v>
      </c>
      <c r="Y218" s="1129">
        <v>0</v>
      </c>
    </row>
    <row r="219" spans="1:25" s="1137" customFormat="1" ht="70.150000000000006" customHeight="1">
      <c r="A219" s="1280">
        <v>185</v>
      </c>
      <c r="B219" s="1128" t="s">
        <v>1532</v>
      </c>
      <c r="C219" s="1129">
        <f>D219+N219+P219+R219+T219+V219+X219</f>
        <v>1198908.27</v>
      </c>
      <c r="D219" s="1129">
        <f>SUM(E219:J219)</f>
        <v>1111825.77</v>
      </c>
      <c r="E219" s="1129">
        <v>0</v>
      </c>
      <c r="F219" s="1129">
        <v>0</v>
      </c>
      <c r="G219" s="1129">
        <v>0</v>
      </c>
      <c r="H219" s="1129">
        <v>0</v>
      </c>
      <c r="I219" s="1129">
        <v>0</v>
      </c>
      <c r="J219" s="1129">
        <v>1111825.77</v>
      </c>
      <c r="K219" s="1136">
        <v>0</v>
      </c>
      <c r="L219" s="1129">
        <v>0</v>
      </c>
      <c r="M219" s="1136">
        <v>0</v>
      </c>
      <c r="N219" s="1129">
        <v>0</v>
      </c>
      <c r="O219" s="1129">
        <v>0</v>
      </c>
      <c r="P219" s="1129">
        <v>0</v>
      </c>
      <c r="Q219" s="1129">
        <v>0</v>
      </c>
      <c r="R219" s="1129">
        <v>0</v>
      </c>
      <c r="S219" s="1129">
        <v>0</v>
      </c>
      <c r="T219" s="1129">
        <v>0</v>
      </c>
      <c r="U219" s="1129">
        <v>0</v>
      </c>
      <c r="V219" s="1129">
        <v>0</v>
      </c>
      <c r="W219" s="1129">
        <v>0</v>
      </c>
      <c r="X219" s="1129">
        <v>87082.5</v>
      </c>
      <c r="Y219" s="1129">
        <v>0</v>
      </c>
    </row>
    <row r="220" spans="1:25" s="1137" customFormat="1" ht="85.15" customHeight="1">
      <c r="A220" s="1280"/>
      <c r="B220" s="1135" t="s">
        <v>50</v>
      </c>
      <c r="C220" s="1129">
        <f t="shared" ref="C220:J220" si="64">C221</f>
        <v>23576771</v>
      </c>
      <c r="D220" s="1129">
        <f t="shared" si="64"/>
        <v>0</v>
      </c>
      <c r="E220" s="1129">
        <f t="shared" si="64"/>
        <v>0</v>
      </c>
      <c r="F220" s="1129">
        <f t="shared" si="64"/>
        <v>0</v>
      </c>
      <c r="G220" s="1129">
        <f t="shared" si="64"/>
        <v>0</v>
      </c>
      <c r="H220" s="1129">
        <f t="shared" si="64"/>
        <v>0</v>
      </c>
      <c r="I220" s="1129">
        <f t="shared" si="64"/>
        <v>0</v>
      </c>
      <c r="J220" s="1129">
        <f t="shared" si="64"/>
        <v>0</v>
      </c>
      <c r="K220" s="1136">
        <v>0</v>
      </c>
      <c r="L220" s="1129">
        <v>0</v>
      </c>
      <c r="M220" s="1136">
        <f t="shared" ref="M220:V220" si="65">M221</f>
        <v>0</v>
      </c>
      <c r="N220" s="1129">
        <f t="shared" si="65"/>
        <v>0</v>
      </c>
      <c r="O220" s="1129">
        <f t="shared" si="65"/>
        <v>8556.4</v>
      </c>
      <c r="P220" s="1129">
        <f t="shared" si="65"/>
        <v>21864276</v>
      </c>
      <c r="Q220" s="1129">
        <f t="shared" si="65"/>
        <v>0</v>
      </c>
      <c r="R220" s="1129">
        <f t="shared" si="65"/>
        <v>0</v>
      </c>
      <c r="S220" s="1129">
        <f t="shared" si="65"/>
        <v>0</v>
      </c>
      <c r="T220" s="1129">
        <f t="shared" si="65"/>
        <v>0</v>
      </c>
      <c r="U220" s="1129">
        <f t="shared" si="65"/>
        <v>0</v>
      </c>
      <c r="V220" s="1129">
        <f t="shared" si="65"/>
        <v>0</v>
      </c>
      <c r="W220" s="1129">
        <v>0</v>
      </c>
      <c r="X220" s="1129">
        <f t="shared" ref="X220" si="66">X221</f>
        <v>1712495</v>
      </c>
      <c r="Y220" s="1129">
        <v>0</v>
      </c>
    </row>
    <row r="221" spans="1:25" s="1137" customFormat="1" ht="110.25" customHeight="1">
      <c r="A221" s="1280"/>
      <c r="B221" s="1135" t="s">
        <v>1067</v>
      </c>
      <c r="C221" s="1145">
        <f>SUM(C222:C229)</f>
        <v>23576771</v>
      </c>
      <c r="D221" s="1145">
        <f t="shared" ref="D221:Y221" si="67">SUM(D222:D229)</f>
        <v>0</v>
      </c>
      <c r="E221" s="1145">
        <f t="shared" si="67"/>
        <v>0</v>
      </c>
      <c r="F221" s="1145">
        <f t="shared" si="67"/>
        <v>0</v>
      </c>
      <c r="G221" s="1145">
        <f t="shared" si="67"/>
        <v>0</v>
      </c>
      <c r="H221" s="1145">
        <f t="shared" si="67"/>
        <v>0</v>
      </c>
      <c r="I221" s="1145">
        <f t="shared" si="67"/>
        <v>0</v>
      </c>
      <c r="J221" s="1145">
        <f t="shared" si="67"/>
        <v>0</v>
      </c>
      <c r="K221" s="1136">
        <f t="shared" si="67"/>
        <v>0</v>
      </c>
      <c r="L221" s="1145">
        <f t="shared" si="67"/>
        <v>0</v>
      </c>
      <c r="M221" s="1136">
        <f t="shared" si="67"/>
        <v>0</v>
      </c>
      <c r="N221" s="1145">
        <f t="shared" si="67"/>
        <v>0</v>
      </c>
      <c r="O221" s="1145">
        <f t="shared" si="67"/>
        <v>8556.4</v>
      </c>
      <c r="P221" s="1145">
        <f t="shared" si="67"/>
        <v>21864276</v>
      </c>
      <c r="Q221" s="1145">
        <f t="shared" si="67"/>
        <v>0</v>
      </c>
      <c r="R221" s="1145">
        <f t="shared" si="67"/>
        <v>0</v>
      </c>
      <c r="S221" s="1145">
        <f t="shared" si="67"/>
        <v>0</v>
      </c>
      <c r="T221" s="1145">
        <f t="shared" si="67"/>
        <v>0</v>
      </c>
      <c r="U221" s="1145">
        <f t="shared" si="67"/>
        <v>0</v>
      </c>
      <c r="V221" s="1145">
        <f t="shared" si="67"/>
        <v>0</v>
      </c>
      <c r="W221" s="1129">
        <v>0</v>
      </c>
      <c r="X221" s="1145">
        <f t="shared" si="67"/>
        <v>1712495</v>
      </c>
      <c r="Y221" s="1145">
        <f t="shared" si="67"/>
        <v>0</v>
      </c>
    </row>
    <row r="222" spans="1:25" s="1137" customFormat="1" ht="61.9" customHeight="1">
      <c r="A222" s="1280">
        <v>186</v>
      </c>
      <c r="B222" s="1128" t="s">
        <v>1245</v>
      </c>
      <c r="C222" s="1129">
        <f t="shared" ref="C222:C227" si="68">D222+N222+P222+R222+T222+V222+X222</f>
        <v>4293103</v>
      </c>
      <c r="D222" s="1129">
        <f t="shared" ref="D222:D227" si="69">SUM(E222:J222)</f>
        <v>0</v>
      </c>
      <c r="E222" s="1129">
        <f>([1]база!E260-(([1]база!E260*8)/110.14))</f>
        <v>0</v>
      </c>
      <c r="F222" s="1129">
        <f>([1]база!F260-(([1]база!F260*8)/110.14))</f>
        <v>0</v>
      </c>
      <c r="G222" s="1129">
        <f>([1]база!G260-(([1]база!G260*8)/110.14))</f>
        <v>0</v>
      </c>
      <c r="H222" s="1129">
        <f>([1]база!H260-(([1]база!H260*8)/110.14))</f>
        <v>0</v>
      </c>
      <c r="I222" s="1129">
        <f>([1]база!I260-(([1]база!I260*8)/110.14))</f>
        <v>0</v>
      </c>
      <c r="J222" s="1129">
        <f>([1]база!J260-(([1]база!J260*8)/110.14))</f>
        <v>0</v>
      </c>
      <c r="K222" s="1136">
        <v>0</v>
      </c>
      <c r="L222" s="1129">
        <v>0</v>
      </c>
      <c r="M222" s="1136">
        <v>0</v>
      </c>
      <c r="N222" s="1129">
        <f>([1]база!L260-([1]база!L260*8)/110.14)</f>
        <v>0</v>
      </c>
      <c r="O222" s="1129">
        <v>1580</v>
      </c>
      <c r="P222" s="1145">
        <v>3981274</v>
      </c>
      <c r="Q222" s="1129">
        <v>0</v>
      </c>
      <c r="R222" s="1129">
        <v>0</v>
      </c>
      <c r="S222" s="1129">
        <v>0</v>
      </c>
      <c r="T222" s="1129">
        <v>0</v>
      </c>
      <c r="U222" s="1129">
        <v>0</v>
      </c>
      <c r="V222" s="1129">
        <v>0</v>
      </c>
      <c r="W222" s="1129">
        <v>0</v>
      </c>
      <c r="X222" s="1129">
        <v>311829</v>
      </c>
      <c r="Y222" s="1129">
        <v>0</v>
      </c>
    </row>
    <row r="223" spans="1:25" s="1137" customFormat="1" ht="60.6" customHeight="1">
      <c r="A223" s="1280">
        <v>187</v>
      </c>
      <c r="B223" s="1128" t="s">
        <v>1246</v>
      </c>
      <c r="C223" s="1129">
        <f t="shared" si="68"/>
        <v>3619249</v>
      </c>
      <c r="D223" s="1129">
        <f t="shared" si="69"/>
        <v>0</v>
      </c>
      <c r="E223" s="1129">
        <f>([1]база!E261-(([1]база!E261*8)/110.14))</f>
        <v>0</v>
      </c>
      <c r="F223" s="1129">
        <f>([1]база!F261-(([1]база!F261*8)/110.14))</f>
        <v>0</v>
      </c>
      <c r="G223" s="1129">
        <f>([1]база!G261-(([1]база!G261*8)/110.14))</f>
        <v>0</v>
      </c>
      <c r="H223" s="1129">
        <f>([1]база!H261-(([1]база!H261*8)/110.14))</f>
        <v>0</v>
      </c>
      <c r="I223" s="1129">
        <f>([1]база!I261-(([1]база!I261*8)/110.14))</f>
        <v>0</v>
      </c>
      <c r="J223" s="1129">
        <f>([1]база!J261-(([1]база!J261*8)/110.14))</f>
        <v>0</v>
      </c>
      <c r="K223" s="1136">
        <v>0</v>
      </c>
      <c r="L223" s="1129">
        <v>0</v>
      </c>
      <c r="M223" s="1136">
        <v>0</v>
      </c>
      <c r="N223" s="1129">
        <f>([1]база!L261-([1]база!L261*8)/110.14)</f>
        <v>0</v>
      </c>
      <c r="O223" s="1129">
        <v>1332</v>
      </c>
      <c r="P223" s="1145">
        <v>3356365</v>
      </c>
      <c r="Q223" s="1129">
        <v>0</v>
      </c>
      <c r="R223" s="1129">
        <v>0</v>
      </c>
      <c r="S223" s="1129">
        <v>0</v>
      </c>
      <c r="T223" s="1129">
        <v>0</v>
      </c>
      <c r="U223" s="1129">
        <v>0</v>
      </c>
      <c r="V223" s="1129">
        <v>0</v>
      </c>
      <c r="W223" s="1129">
        <v>0</v>
      </c>
      <c r="X223" s="1129">
        <v>262884</v>
      </c>
      <c r="Y223" s="1129">
        <v>0</v>
      </c>
    </row>
    <row r="224" spans="1:25" s="1137" customFormat="1" ht="57" customHeight="1">
      <c r="A224" s="1280">
        <v>188</v>
      </c>
      <c r="B224" s="1128" t="s">
        <v>1247</v>
      </c>
      <c r="C224" s="1129">
        <f t="shared" si="68"/>
        <v>3260585</v>
      </c>
      <c r="D224" s="1129">
        <f t="shared" si="69"/>
        <v>0</v>
      </c>
      <c r="E224" s="1129">
        <f>([1]база!E263-(([1]база!E263*8)/110.14))</f>
        <v>0</v>
      </c>
      <c r="F224" s="1129">
        <f>([1]база!F263-(([1]база!F263*8)/110.14))</f>
        <v>0</v>
      </c>
      <c r="G224" s="1129">
        <f>([1]база!G263-(([1]база!G263*8)/110.14))</f>
        <v>0</v>
      </c>
      <c r="H224" s="1129">
        <f>([1]база!H263-(([1]база!H263*8)/110.14))</f>
        <v>0</v>
      </c>
      <c r="I224" s="1129">
        <f>([1]база!I263-(([1]база!I263*8)/110.14))</f>
        <v>0</v>
      </c>
      <c r="J224" s="1129">
        <f>([1]база!J263-(([1]база!J263*8)/110.14))</f>
        <v>0</v>
      </c>
      <c r="K224" s="1136">
        <v>0</v>
      </c>
      <c r="L224" s="1129">
        <v>0</v>
      </c>
      <c r="M224" s="1136">
        <v>0</v>
      </c>
      <c r="N224" s="1129">
        <f>([1]база!L263-([1]база!L263*8)/110.14)</f>
        <v>0</v>
      </c>
      <c r="O224" s="1129">
        <v>1200</v>
      </c>
      <c r="P224" s="1145">
        <v>3023753</v>
      </c>
      <c r="Q224" s="1129">
        <v>0</v>
      </c>
      <c r="R224" s="1129">
        <v>0</v>
      </c>
      <c r="S224" s="1129">
        <v>0</v>
      </c>
      <c r="T224" s="1129">
        <v>0</v>
      </c>
      <c r="U224" s="1129">
        <v>0</v>
      </c>
      <c r="V224" s="1129">
        <v>0</v>
      </c>
      <c r="W224" s="1129">
        <v>0</v>
      </c>
      <c r="X224" s="1129">
        <v>236832</v>
      </c>
      <c r="Y224" s="1129">
        <v>0</v>
      </c>
    </row>
    <row r="225" spans="1:25" s="1137" customFormat="1" ht="55.9" customHeight="1">
      <c r="A225" s="1280">
        <v>189</v>
      </c>
      <c r="B225" s="1128" t="s">
        <v>1248</v>
      </c>
      <c r="C225" s="1129">
        <f t="shared" si="68"/>
        <v>2253607</v>
      </c>
      <c r="D225" s="1129">
        <f t="shared" si="69"/>
        <v>0</v>
      </c>
      <c r="E225" s="1129">
        <f>([1]база!E264-(([1]база!E264*8)/110.14))</f>
        <v>0</v>
      </c>
      <c r="F225" s="1129">
        <f>([1]база!F264-(([1]база!F264*8)/110.14))</f>
        <v>0</v>
      </c>
      <c r="G225" s="1129">
        <f>([1]база!G264-(([1]база!G264*8)/110.14))</f>
        <v>0</v>
      </c>
      <c r="H225" s="1129">
        <f>([1]база!H264-(([1]база!H264*8)/110.14))</f>
        <v>0</v>
      </c>
      <c r="I225" s="1129">
        <f>([1]база!I264-(([1]база!I264*8)/110.14))</f>
        <v>0</v>
      </c>
      <c r="J225" s="1129">
        <f>([1]база!J264-(([1]база!J264*8)/110.14))</f>
        <v>0</v>
      </c>
      <c r="K225" s="1136">
        <v>0</v>
      </c>
      <c r="L225" s="1129">
        <v>0</v>
      </c>
      <c r="M225" s="1136">
        <v>0</v>
      </c>
      <c r="N225" s="1129">
        <f>([1]база!L264-([1]база!L264*8)/110.14)</f>
        <v>0</v>
      </c>
      <c r="O225" s="1129">
        <v>829.4</v>
      </c>
      <c r="P225" s="1145">
        <v>2089917</v>
      </c>
      <c r="Q225" s="1129">
        <v>0</v>
      </c>
      <c r="R225" s="1129">
        <v>0</v>
      </c>
      <c r="S225" s="1129">
        <v>0</v>
      </c>
      <c r="T225" s="1129">
        <v>0</v>
      </c>
      <c r="U225" s="1129">
        <v>0</v>
      </c>
      <c r="V225" s="1129">
        <v>0</v>
      </c>
      <c r="W225" s="1129">
        <v>0</v>
      </c>
      <c r="X225" s="1129">
        <v>163690</v>
      </c>
      <c r="Y225" s="1129">
        <v>0</v>
      </c>
    </row>
    <row r="226" spans="1:25" s="1137" customFormat="1" ht="67.900000000000006" customHeight="1">
      <c r="A226" s="1280">
        <v>190</v>
      </c>
      <c r="B226" s="1128" t="s">
        <v>1244</v>
      </c>
      <c r="C226" s="1129">
        <f t="shared" si="68"/>
        <v>3380139</v>
      </c>
      <c r="D226" s="1129">
        <f t="shared" si="69"/>
        <v>0</v>
      </c>
      <c r="E226" s="1129">
        <f>([1]база!E267-(([1]база!E267*8)/110.14))</f>
        <v>0</v>
      </c>
      <c r="F226" s="1129">
        <f>([1]база!F267-(([1]база!F267*8)/110.14))</f>
        <v>0</v>
      </c>
      <c r="G226" s="1129">
        <f>([1]база!G267-(([1]база!G267*8)/110.14))</f>
        <v>0</v>
      </c>
      <c r="H226" s="1129">
        <f>([1]база!H267-(([1]база!H267*8)/110.14))</f>
        <v>0</v>
      </c>
      <c r="I226" s="1129">
        <f>([1]база!I267-(([1]база!I267*8)/110.14))</f>
        <v>0</v>
      </c>
      <c r="J226" s="1129">
        <f>([1]база!J267-(([1]база!J267*8)/110.14))</f>
        <v>0</v>
      </c>
      <c r="K226" s="1136">
        <v>0</v>
      </c>
      <c r="L226" s="1129">
        <v>0</v>
      </c>
      <c r="M226" s="1136">
        <v>0</v>
      </c>
      <c r="N226" s="1129">
        <f>([1]база!L267-([1]база!L267*8)/110.14)</f>
        <v>0</v>
      </c>
      <c r="O226" s="1129">
        <v>1244</v>
      </c>
      <c r="P226" s="1145">
        <v>3134623</v>
      </c>
      <c r="Q226" s="1129">
        <v>0</v>
      </c>
      <c r="R226" s="1129">
        <v>0</v>
      </c>
      <c r="S226" s="1129">
        <v>0</v>
      </c>
      <c r="T226" s="1129">
        <v>0</v>
      </c>
      <c r="U226" s="1129">
        <v>0</v>
      </c>
      <c r="V226" s="1129">
        <v>0</v>
      </c>
      <c r="W226" s="1129">
        <v>0</v>
      </c>
      <c r="X226" s="1129">
        <v>245516</v>
      </c>
      <c r="Y226" s="1129">
        <v>0</v>
      </c>
    </row>
    <row r="227" spans="1:25" s="1137" customFormat="1" ht="64.150000000000006" customHeight="1">
      <c r="A227" s="1280">
        <v>191</v>
      </c>
      <c r="B227" s="1128" t="s">
        <v>1249</v>
      </c>
      <c r="C227" s="1129">
        <f t="shared" si="68"/>
        <v>2119380</v>
      </c>
      <c r="D227" s="1129">
        <f t="shared" si="69"/>
        <v>0</v>
      </c>
      <c r="E227" s="1129">
        <f>([1]база!E268-(([1]база!E268*8)/110.14))</f>
        <v>0</v>
      </c>
      <c r="F227" s="1129">
        <f>([1]база!F268-(([1]база!F268*8)/110.14))</f>
        <v>0</v>
      </c>
      <c r="G227" s="1129">
        <f>([1]база!G268-(([1]база!G268*8)/110.14))</f>
        <v>0</v>
      </c>
      <c r="H227" s="1129">
        <f>([1]база!H268-(([1]база!H268*8)/110.14))</f>
        <v>0</v>
      </c>
      <c r="I227" s="1129">
        <f>([1]база!I268-(([1]база!I268*8)/110.14))</f>
        <v>0</v>
      </c>
      <c r="J227" s="1129">
        <f>([1]база!J268-(([1]база!J268*8)/110.14))</f>
        <v>0</v>
      </c>
      <c r="K227" s="1136">
        <v>0</v>
      </c>
      <c r="L227" s="1129">
        <v>0</v>
      </c>
      <c r="M227" s="1136">
        <v>0</v>
      </c>
      <c r="N227" s="1129">
        <f>([1]база!L268-([1]база!L268*8)/110.14)</f>
        <v>0</v>
      </c>
      <c r="O227" s="1129">
        <v>780</v>
      </c>
      <c r="P227" s="1145">
        <v>1965439</v>
      </c>
      <c r="Q227" s="1129">
        <v>0</v>
      </c>
      <c r="R227" s="1129">
        <v>0</v>
      </c>
      <c r="S227" s="1129">
        <v>0</v>
      </c>
      <c r="T227" s="1129">
        <v>0</v>
      </c>
      <c r="U227" s="1129">
        <v>0</v>
      </c>
      <c r="V227" s="1129">
        <v>0</v>
      </c>
      <c r="W227" s="1129">
        <v>0</v>
      </c>
      <c r="X227" s="1129">
        <v>153941</v>
      </c>
      <c r="Y227" s="1129">
        <v>0</v>
      </c>
    </row>
    <row r="228" spans="1:25" s="1137" customFormat="1" ht="60.6" customHeight="1">
      <c r="A228" s="1280">
        <v>192</v>
      </c>
      <c r="B228" s="1128" t="s">
        <v>1250</v>
      </c>
      <c r="C228" s="1129">
        <f t="shared" ref="C228:C229" si="70">D228+N228+P228+R228+T228+V228+X228</f>
        <v>2988869</v>
      </c>
      <c r="D228" s="1129">
        <f t="shared" ref="D228:D229" si="71">SUM(E228:J228)</f>
        <v>0</v>
      </c>
      <c r="E228" s="1129">
        <v>0</v>
      </c>
      <c r="F228" s="1129">
        <v>0</v>
      </c>
      <c r="G228" s="1129">
        <v>0</v>
      </c>
      <c r="H228" s="1129">
        <v>0</v>
      </c>
      <c r="I228" s="1129">
        <v>0</v>
      </c>
      <c r="J228" s="1129">
        <v>0</v>
      </c>
      <c r="K228" s="1136">
        <v>0</v>
      </c>
      <c r="L228" s="1129">
        <v>0</v>
      </c>
      <c r="M228" s="1136">
        <v>0</v>
      </c>
      <c r="N228" s="1129">
        <v>0</v>
      </c>
      <c r="O228" s="1129">
        <v>1100</v>
      </c>
      <c r="P228" s="1154">
        <v>2771773</v>
      </c>
      <c r="Q228" s="1129">
        <v>0</v>
      </c>
      <c r="R228" s="1129">
        <v>0</v>
      </c>
      <c r="S228" s="1129">
        <v>0</v>
      </c>
      <c r="T228" s="1129">
        <v>0</v>
      </c>
      <c r="U228" s="1129">
        <v>0</v>
      </c>
      <c r="V228" s="1129">
        <v>0</v>
      </c>
      <c r="W228" s="1129">
        <v>0</v>
      </c>
      <c r="X228" s="1129">
        <v>217096</v>
      </c>
      <c r="Y228" s="1129">
        <v>0</v>
      </c>
    </row>
    <row r="229" spans="1:25" s="1137" customFormat="1" ht="65.45" customHeight="1">
      <c r="A229" s="1280">
        <v>193</v>
      </c>
      <c r="B229" s="1128" t="s">
        <v>1251</v>
      </c>
      <c r="C229" s="1129">
        <f t="shared" si="70"/>
        <v>1661839</v>
      </c>
      <c r="D229" s="1129">
        <f t="shared" si="71"/>
        <v>0</v>
      </c>
      <c r="E229" s="1129">
        <v>0</v>
      </c>
      <c r="F229" s="1129">
        <v>0</v>
      </c>
      <c r="G229" s="1129">
        <v>0</v>
      </c>
      <c r="H229" s="1129">
        <v>0</v>
      </c>
      <c r="I229" s="1129">
        <v>0</v>
      </c>
      <c r="J229" s="1129">
        <v>0</v>
      </c>
      <c r="K229" s="1136">
        <v>0</v>
      </c>
      <c r="L229" s="1129">
        <v>0</v>
      </c>
      <c r="M229" s="1136">
        <v>0</v>
      </c>
      <c r="N229" s="1129">
        <v>0</v>
      </c>
      <c r="O229" s="1129">
        <v>491</v>
      </c>
      <c r="P229" s="1129">
        <v>1541132</v>
      </c>
      <c r="Q229" s="1129">
        <v>0</v>
      </c>
      <c r="R229" s="1129">
        <v>0</v>
      </c>
      <c r="S229" s="1129">
        <v>0</v>
      </c>
      <c r="T229" s="1129">
        <v>0</v>
      </c>
      <c r="U229" s="1129">
        <v>0</v>
      </c>
      <c r="V229" s="1129">
        <v>0</v>
      </c>
      <c r="W229" s="1129">
        <v>0</v>
      </c>
      <c r="X229" s="1129">
        <v>120707</v>
      </c>
      <c r="Y229" s="1129">
        <v>0</v>
      </c>
    </row>
    <row r="230" spans="1:25" s="1137" customFormat="1" ht="128.25" customHeight="1">
      <c r="A230" s="1280"/>
      <c r="B230" s="1135" t="s">
        <v>1169</v>
      </c>
      <c r="C230" s="1145">
        <f>SUM(C231:C238)</f>
        <v>16702023.25</v>
      </c>
      <c r="D230" s="1145">
        <f t="shared" ref="D230:Y230" si="72">SUM(D231:D238)</f>
        <v>1820108</v>
      </c>
      <c r="E230" s="1145">
        <f t="shared" si="72"/>
        <v>0</v>
      </c>
      <c r="F230" s="1145">
        <f t="shared" si="72"/>
        <v>0</v>
      </c>
      <c r="G230" s="1145">
        <f t="shared" si="72"/>
        <v>0</v>
      </c>
      <c r="H230" s="1145">
        <f t="shared" si="72"/>
        <v>0</v>
      </c>
      <c r="I230" s="1145">
        <f t="shared" si="72"/>
        <v>1820108</v>
      </c>
      <c r="J230" s="1145">
        <f t="shared" si="72"/>
        <v>0</v>
      </c>
      <c r="K230" s="1136">
        <f t="shared" si="72"/>
        <v>0</v>
      </c>
      <c r="L230" s="1145">
        <f t="shared" si="72"/>
        <v>0</v>
      </c>
      <c r="M230" s="1136">
        <f t="shared" si="72"/>
        <v>0</v>
      </c>
      <c r="N230" s="1145">
        <f t="shared" si="72"/>
        <v>0</v>
      </c>
      <c r="O230" s="1145">
        <f t="shared" si="72"/>
        <v>4200.9350000000004</v>
      </c>
      <c r="P230" s="1145">
        <f t="shared" si="72"/>
        <v>13721081.539999999</v>
      </c>
      <c r="Q230" s="1145">
        <f t="shared" si="72"/>
        <v>0</v>
      </c>
      <c r="R230" s="1145">
        <f t="shared" si="72"/>
        <v>0</v>
      </c>
      <c r="S230" s="1145">
        <f t="shared" si="72"/>
        <v>0</v>
      </c>
      <c r="T230" s="1145">
        <f t="shared" si="72"/>
        <v>0</v>
      </c>
      <c r="U230" s="1145">
        <f t="shared" si="72"/>
        <v>0</v>
      </c>
      <c r="V230" s="1145">
        <f t="shared" si="72"/>
        <v>0</v>
      </c>
      <c r="W230" s="1129">
        <v>0</v>
      </c>
      <c r="X230" s="1145">
        <f t="shared" si="72"/>
        <v>1160833.71</v>
      </c>
      <c r="Y230" s="1145">
        <f t="shared" si="72"/>
        <v>0</v>
      </c>
    </row>
    <row r="231" spans="1:25" s="1137" customFormat="1" ht="94.9" customHeight="1">
      <c r="A231" s="1280">
        <v>194</v>
      </c>
      <c r="B231" s="1135" t="s">
        <v>1953</v>
      </c>
      <c r="C231" s="1129">
        <f>D231+N231+P231+R231+T231+V231+X231</f>
        <v>685130</v>
      </c>
      <c r="D231" s="1129">
        <f>SUM(E231:J231)</f>
        <v>0</v>
      </c>
      <c r="E231" s="1129">
        <v>0</v>
      </c>
      <c r="F231" s="1129">
        <v>0</v>
      </c>
      <c r="G231" s="1129">
        <v>0</v>
      </c>
      <c r="H231" s="1129">
        <v>0</v>
      </c>
      <c r="I231" s="1129">
        <v>0</v>
      </c>
      <c r="J231" s="1129">
        <v>0</v>
      </c>
      <c r="K231" s="1136">
        <v>0</v>
      </c>
      <c r="L231" s="1129">
        <v>0</v>
      </c>
      <c r="M231" s="1136">
        <v>0</v>
      </c>
      <c r="N231" s="1129">
        <v>0</v>
      </c>
      <c r="O231" s="1145">
        <v>252.01499999999999</v>
      </c>
      <c r="P231" s="1145">
        <v>635366</v>
      </c>
      <c r="Q231" s="1129">
        <v>0</v>
      </c>
      <c r="R231" s="1129">
        <v>0</v>
      </c>
      <c r="S231" s="1129">
        <v>0</v>
      </c>
      <c r="T231" s="1129">
        <v>0</v>
      </c>
      <c r="U231" s="1129">
        <v>0</v>
      </c>
      <c r="V231" s="1129">
        <v>0</v>
      </c>
      <c r="W231" s="1129">
        <v>0</v>
      </c>
      <c r="X231" s="1155">
        <v>49764</v>
      </c>
      <c r="Y231" s="1155">
        <v>0</v>
      </c>
    </row>
    <row r="232" spans="1:25" s="1137" customFormat="1" ht="106.5" customHeight="1">
      <c r="A232" s="1280">
        <v>195</v>
      </c>
      <c r="B232" s="1135" t="s">
        <v>2042</v>
      </c>
      <c r="C232" s="1129">
        <f t="shared" ref="C232:C238" si="73">D232+N232+P232+R232+T232+V232+X232</f>
        <v>1630796.1700000002</v>
      </c>
      <c r="D232" s="1129">
        <f t="shared" ref="D232:D238" si="74">SUM(E232:J232)</f>
        <v>0</v>
      </c>
      <c r="E232" s="1129">
        <v>0</v>
      </c>
      <c r="F232" s="1129">
        <v>0</v>
      </c>
      <c r="G232" s="1129">
        <v>0</v>
      </c>
      <c r="H232" s="1129">
        <v>0</v>
      </c>
      <c r="I232" s="1129">
        <v>0</v>
      </c>
      <c r="J232" s="1129">
        <v>0</v>
      </c>
      <c r="K232" s="1136">
        <v>0</v>
      </c>
      <c r="L232" s="1129">
        <v>0</v>
      </c>
      <c r="M232" s="1136">
        <v>0</v>
      </c>
      <c r="N232" s="1129">
        <v>0</v>
      </c>
      <c r="O232" s="1129">
        <v>382.5</v>
      </c>
      <c r="P232" s="1129">
        <v>1512343.57</v>
      </c>
      <c r="Q232" s="1129">
        <v>0</v>
      </c>
      <c r="R232" s="1129">
        <v>0</v>
      </c>
      <c r="S232" s="1129">
        <v>0</v>
      </c>
      <c r="T232" s="1129">
        <v>0</v>
      </c>
      <c r="U232" s="1129">
        <v>0</v>
      </c>
      <c r="V232" s="1129">
        <v>0</v>
      </c>
      <c r="W232" s="1129">
        <v>0</v>
      </c>
      <c r="X232" s="1129">
        <v>118452.6</v>
      </c>
      <c r="Y232" s="1129">
        <v>0</v>
      </c>
    </row>
    <row r="233" spans="1:25" s="1137" customFormat="1" ht="124.15" customHeight="1">
      <c r="A233" s="1280">
        <v>196</v>
      </c>
      <c r="B233" s="1135" t="s">
        <v>2349</v>
      </c>
      <c r="C233" s="1129">
        <f t="shared" si="73"/>
        <v>2416147</v>
      </c>
      <c r="D233" s="1129">
        <f t="shared" si="74"/>
        <v>0</v>
      </c>
      <c r="E233" s="1129">
        <v>0</v>
      </c>
      <c r="F233" s="1129">
        <v>0</v>
      </c>
      <c r="G233" s="1129">
        <v>0</v>
      </c>
      <c r="H233" s="1129">
        <v>0</v>
      </c>
      <c r="I233" s="1129">
        <v>0</v>
      </c>
      <c r="J233" s="1129">
        <v>0</v>
      </c>
      <c r="K233" s="1136">
        <v>0</v>
      </c>
      <c r="L233" s="1129">
        <v>0</v>
      </c>
      <c r="M233" s="1136">
        <v>0</v>
      </c>
      <c r="N233" s="1129">
        <v>0</v>
      </c>
      <c r="O233" s="1129">
        <v>889.22</v>
      </c>
      <c r="P233" s="1129">
        <v>2240651</v>
      </c>
      <c r="Q233" s="1129">
        <v>0</v>
      </c>
      <c r="R233" s="1129">
        <v>0</v>
      </c>
      <c r="S233" s="1129">
        <v>0</v>
      </c>
      <c r="T233" s="1129">
        <v>0</v>
      </c>
      <c r="U233" s="1129">
        <v>0</v>
      </c>
      <c r="V233" s="1129">
        <v>0</v>
      </c>
      <c r="W233" s="1129">
        <v>0</v>
      </c>
      <c r="X233" s="1129">
        <v>175496</v>
      </c>
      <c r="Y233" s="1129">
        <v>0</v>
      </c>
    </row>
    <row r="234" spans="1:25" s="1137" customFormat="1" ht="96.75" customHeight="1">
      <c r="A234" s="1280">
        <v>197</v>
      </c>
      <c r="B234" s="1135" t="s">
        <v>2350</v>
      </c>
      <c r="C234" s="1129">
        <f t="shared" si="73"/>
        <v>1236420.6299999999</v>
      </c>
      <c r="D234" s="1129">
        <f t="shared" si="74"/>
        <v>0</v>
      </c>
      <c r="E234" s="1129">
        <v>0</v>
      </c>
      <c r="F234" s="1129">
        <v>0</v>
      </c>
      <c r="G234" s="1129">
        <v>0</v>
      </c>
      <c r="H234" s="1129">
        <v>0</v>
      </c>
      <c r="I234" s="1129">
        <v>0</v>
      </c>
      <c r="J234" s="1129">
        <v>0</v>
      </c>
      <c r="K234" s="1136">
        <v>0</v>
      </c>
      <c r="L234" s="1129">
        <v>0</v>
      </c>
      <c r="M234" s="1136">
        <v>0</v>
      </c>
      <c r="N234" s="1129">
        <v>0</v>
      </c>
      <c r="O234" s="1129">
        <v>290</v>
      </c>
      <c r="P234" s="1129">
        <v>1146613.43</v>
      </c>
      <c r="Q234" s="1129">
        <v>0</v>
      </c>
      <c r="R234" s="1129">
        <v>0</v>
      </c>
      <c r="S234" s="1129">
        <v>0</v>
      </c>
      <c r="T234" s="1129">
        <v>0</v>
      </c>
      <c r="U234" s="1129">
        <v>0</v>
      </c>
      <c r="V234" s="1129">
        <v>0</v>
      </c>
      <c r="W234" s="1129">
        <v>0</v>
      </c>
      <c r="X234" s="1129">
        <v>89807.2</v>
      </c>
      <c r="Y234" s="1129">
        <v>0</v>
      </c>
    </row>
    <row r="235" spans="1:25" s="1137" customFormat="1" ht="92.45" customHeight="1">
      <c r="A235" s="1280">
        <v>198</v>
      </c>
      <c r="B235" s="1135" t="s">
        <v>2045</v>
      </c>
      <c r="C235" s="1129">
        <f t="shared" si="73"/>
        <v>4752006.0199999996</v>
      </c>
      <c r="D235" s="1129">
        <f t="shared" si="74"/>
        <v>0</v>
      </c>
      <c r="E235" s="1129">
        <v>0</v>
      </c>
      <c r="F235" s="1129">
        <v>0</v>
      </c>
      <c r="G235" s="1129">
        <v>0</v>
      </c>
      <c r="H235" s="1129">
        <v>0</v>
      </c>
      <c r="I235" s="1129">
        <v>0</v>
      </c>
      <c r="J235" s="1129">
        <v>0</v>
      </c>
      <c r="K235" s="1136">
        <v>0</v>
      </c>
      <c r="L235" s="1129">
        <v>0</v>
      </c>
      <c r="M235" s="1136">
        <v>0</v>
      </c>
      <c r="N235" s="1129">
        <v>0</v>
      </c>
      <c r="O235" s="1129">
        <v>1321.6</v>
      </c>
      <c r="P235" s="1129">
        <v>4428963.63</v>
      </c>
      <c r="Q235" s="1129">
        <v>0</v>
      </c>
      <c r="R235" s="1129">
        <v>0</v>
      </c>
      <c r="S235" s="1129">
        <v>0</v>
      </c>
      <c r="T235" s="1129">
        <v>0</v>
      </c>
      <c r="U235" s="1129">
        <v>0</v>
      </c>
      <c r="V235" s="1129">
        <v>0</v>
      </c>
      <c r="W235" s="1129">
        <v>0</v>
      </c>
      <c r="X235" s="1129">
        <v>323042.39</v>
      </c>
      <c r="Y235" s="1129">
        <v>0</v>
      </c>
    </row>
    <row r="236" spans="1:25" s="1137" customFormat="1" ht="90" customHeight="1">
      <c r="A236" s="1280">
        <v>199</v>
      </c>
      <c r="B236" s="1135" t="s">
        <v>3008</v>
      </c>
      <c r="C236" s="1129">
        <f t="shared" si="73"/>
        <v>1297904.9100000001</v>
      </c>
      <c r="D236" s="1129">
        <f t="shared" si="74"/>
        <v>0</v>
      </c>
      <c r="E236" s="1129">
        <v>0</v>
      </c>
      <c r="F236" s="1129">
        <v>0</v>
      </c>
      <c r="G236" s="1129">
        <v>0</v>
      </c>
      <c r="H236" s="1129">
        <v>0</v>
      </c>
      <c r="I236" s="1129">
        <v>0</v>
      </c>
      <c r="J236" s="1129">
        <v>0</v>
      </c>
      <c r="K236" s="1136">
        <v>0</v>
      </c>
      <c r="L236" s="1129">
        <v>0</v>
      </c>
      <c r="M236" s="1136">
        <v>0</v>
      </c>
      <c r="N236" s="1129">
        <v>0</v>
      </c>
      <c r="O236" s="1129">
        <v>308.8</v>
      </c>
      <c r="P236" s="1129">
        <v>1220945.6100000001</v>
      </c>
      <c r="Q236" s="1129">
        <v>0</v>
      </c>
      <c r="R236" s="1129">
        <v>0</v>
      </c>
      <c r="S236" s="1129">
        <v>0</v>
      </c>
      <c r="T236" s="1129">
        <v>0</v>
      </c>
      <c r="U236" s="1129">
        <v>0</v>
      </c>
      <c r="V236" s="1129">
        <v>0</v>
      </c>
      <c r="W236" s="1129">
        <v>0</v>
      </c>
      <c r="X236" s="1129">
        <v>76959.3</v>
      </c>
      <c r="Y236" s="1129">
        <v>0</v>
      </c>
    </row>
    <row r="237" spans="1:25" s="1137" customFormat="1" ht="123" customHeight="1">
      <c r="A237" s="1280">
        <v>200</v>
      </c>
      <c r="B237" s="1135" t="s">
        <v>2351</v>
      </c>
      <c r="C237" s="1129">
        <f t="shared" si="73"/>
        <v>1962666</v>
      </c>
      <c r="D237" s="1129">
        <f t="shared" si="74"/>
        <v>1820108</v>
      </c>
      <c r="E237" s="1129">
        <v>0</v>
      </c>
      <c r="F237" s="1129">
        <v>0</v>
      </c>
      <c r="G237" s="1129">
        <v>0</v>
      </c>
      <c r="H237" s="1129">
        <v>0</v>
      </c>
      <c r="I237" s="1129">
        <v>1820108</v>
      </c>
      <c r="J237" s="1129">
        <v>0</v>
      </c>
      <c r="K237" s="1136">
        <v>0</v>
      </c>
      <c r="L237" s="1129">
        <v>0</v>
      </c>
      <c r="M237" s="1136">
        <v>0</v>
      </c>
      <c r="N237" s="1129">
        <v>0</v>
      </c>
      <c r="O237" s="1129">
        <v>0</v>
      </c>
      <c r="P237" s="1129">
        <v>0</v>
      </c>
      <c r="Q237" s="1129">
        <v>0</v>
      </c>
      <c r="R237" s="1129">
        <v>0</v>
      </c>
      <c r="S237" s="1129">
        <v>0</v>
      </c>
      <c r="T237" s="1129">
        <v>0</v>
      </c>
      <c r="U237" s="1129">
        <v>0</v>
      </c>
      <c r="V237" s="1129">
        <v>0</v>
      </c>
      <c r="W237" s="1129">
        <v>0</v>
      </c>
      <c r="X237" s="1129">
        <v>142558</v>
      </c>
      <c r="Y237" s="1129">
        <v>0</v>
      </c>
    </row>
    <row r="238" spans="1:25" s="1137" customFormat="1" ht="88.9" customHeight="1">
      <c r="A238" s="1280">
        <v>201</v>
      </c>
      <c r="B238" s="1135" t="s">
        <v>2048</v>
      </c>
      <c r="C238" s="1129">
        <f t="shared" si="73"/>
        <v>2720952.52</v>
      </c>
      <c r="D238" s="1129">
        <f t="shared" si="74"/>
        <v>0</v>
      </c>
      <c r="E238" s="1129">
        <v>0</v>
      </c>
      <c r="F238" s="1129">
        <v>0</v>
      </c>
      <c r="G238" s="1129">
        <v>0</v>
      </c>
      <c r="H238" s="1129">
        <v>0</v>
      </c>
      <c r="I238" s="1129">
        <v>0</v>
      </c>
      <c r="J238" s="1129">
        <v>0</v>
      </c>
      <c r="K238" s="1136">
        <v>0</v>
      </c>
      <c r="L238" s="1129">
        <v>0</v>
      </c>
      <c r="M238" s="1136">
        <v>0</v>
      </c>
      <c r="N238" s="1129">
        <v>0</v>
      </c>
      <c r="O238" s="1129">
        <v>756.8</v>
      </c>
      <c r="P238" s="1129">
        <v>2536198.2999999998</v>
      </c>
      <c r="Q238" s="1129">
        <v>0</v>
      </c>
      <c r="R238" s="1129">
        <v>0</v>
      </c>
      <c r="S238" s="1129">
        <v>0</v>
      </c>
      <c r="T238" s="1129">
        <v>0</v>
      </c>
      <c r="U238" s="1129">
        <v>0</v>
      </c>
      <c r="V238" s="1129">
        <v>0</v>
      </c>
      <c r="W238" s="1129">
        <v>0</v>
      </c>
      <c r="X238" s="1129">
        <v>184754.22</v>
      </c>
      <c r="Y238" s="1129">
        <v>0</v>
      </c>
    </row>
    <row r="239" spans="1:25" s="1137" customFormat="1" ht="111" customHeight="1">
      <c r="A239" s="1280"/>
      <c r="B239" s="1135" t="s">
        <v>2702</v>
      </c>
      <c r="C239" s="1129">
        <f>C240+C246+C250+C252</f>
        <v>21372185.590000004</v>
      </c>
      <c r="D239" s="1129">
        <f t="shared" ref="D239:Y239" si="75">D240+D246+D250+D252</f>
        <v>4800458.83</v>
      </c>
      <c r="E239" s="1129">
        <f t="shared" si="75"/>
        <v>651436.77</v>
      </c>
      <c r="F239" s="1129">
        <f t="shared" si="75"/>
        <v>2381818.46</v>
      </c>
      <c r="G239" s="1129">
        <f t="shared" si="75"/>
        <v>530772.04</v>
      </c>
      <c r="H239" s="1129">
        <f t="shared" si="75"/>
        <v>757591.17</v>
      </c>
      <c r="I239" s="1129">
        <f t="shared" si="75"/>
        <v>0</v>
      </c>
      <c r="J239" s="1129">
        <f t="shared" si="75"/>
        <v>478840.39</v>
      </c>
      <c r="K239" s="1129">
        <f t="shared" si="75"/>
        <v>0</v>
      </c>
      <c r="L239" s="1129">
        <f t="shared" si="75"/>
        <v>0</v>
      </c>
      <c r="M239" s="1129">
        <f t="shared" si="75"/>
        <v>0</v>
      </c>
      <c r="N239" s="1129">
        <f t="shared" si="75"/>
        <v>0</v>
      </c>
      <c r="O239" s="1129">
        <f t="shared" si="75"/>
        <v>2564.9499999999998</v>
      </c>
      <c r="P239" s="1129">
        <f t="shared" si="75"/>
        <v>12232009.390000001</v>
      </c>
      <c r="Q239" s="1129">
        <f t="shared" si="75"/>
        <v>0</v>
      </c>
      <c r="R239" s="1129">
        <f t="shared" si="75"/>
        <v>0</v>
      </c>
      <c r="S239" s="1129">
        <f t="shared" si="75"/>
        <v>1180</v>
      </c>
      <c r="T239" s="1129">
        <f t="shared" si="75"/>
        <v>2911889</v>
      </c>
      <c r="U239" s="1129">
        <f t="shared" si="75"/>
        <v>0</v>
      </c>
      <c r="V239" s="1129">
        <f t="shared" si="75"/>
        <v>0</v>
      </c>
      <c r="W239" s="1129">
        <f t="shared" si="75"/>
        <v>0</v>
      </c>
      <c r="X239" s="1129">
        <f t="shared" si="75"/>
        <v>1427828.37</v>
      </c>
      <c r="Y239" s="1129">
        <f t="shared" si="75"/>
        <v>0</v>
      </c>
    </row>
    <row r="240" spans="1:25" s="1148" customFormat="1" ht="85.15" customHeight="1">
      <c r="A240" s="1280"/>
      <c r="B240" s="1128" t="s">
        <v>2341</v>
      </c>
      <c r="C240" s="1129">
        <f>C241+C242+C243+C244+C245</f>
        <v>5981829</v>
      </c>
      <c r="D240" s="1129">
        <f t="shared" ref="D240:Y240" si="76">D241+D242+D243+D244+D245</f>
        <v>1147678</v>
      </c>
      <c r="E240" s="1129">
        <f t="shared" si="76"/>
        <v>0</v>
      </c>
      <c r="F240" s="1129">
        <f t="shared" si="76"/>
        <v>1147678</v>
      </c>
      <c r="G240" s="1129">
        <f t="shared" si="76"/>
        <v>0</v>
      </c>
      <c r="H240" s="1129">
        <f t="shared" si="76"/>
        <v>0</v>
      </c>
      <c r="I240" s="1129">
        <f t="shared" si="76"/>
        <v>0</v>
      </c>
      <c r="J240" s="1129">
        <f t="shared" si="76"/>
        <v>0</v>
      </c>
      <c r="K240" s="1136">
        <f t="shared" si="76"/>
        <v>0</v>
      </c>
      <c r="L240" s="1129">
        <f t="shared" si="76"/>
        <v>0</v>
      </c>
      <c r="M240" s="1136">
        <f t="shared" si="76"/>
        <v>0</v>
      </c>
      <c r="N240" s="1129">
        <f t="shared" si="76"/>
        <v>0</v>
      </c>
      <c r="O240" s="1129">
        <f t="shared" si="76"/>
        <v>474</v>
      </c>
      <c r="P240" s="1129">
        <f t="shared" si="76"/>
        <v>1487773</v>
      </c>
      <c r="Q240" s="1129">
        <f t="shared" si="76"/>
        <v>0</v>
      </c>
      <c r="R240" s="1129">
        <f t="shared" si="76"/>
        <v>0</v>
      </c>
      <c r="S240" s="1129">
        <f t="shared" si="76"/>
        <v>1180</v>
      </c>
      <c r="T240" s="1129">
        <f t="shared" si="76"/>
        <v>2911889</v>
      </c>
      <c r="U240" s="1129">
        <f t="shared" si="76"/>
        <v>0</v>
      </c>
      <c r="V240" s="1129">
        <f t="shared" si="76"/>
        <v>0</v>
      </c>
      <c r="W240" s="1129">
        <v>0</v>
      </c>
      <c r="X240" s="1129">
        <f t="shared" si="76"/>
        <v>434489</v>
      </c>
      <c r="Y240" s="1129">
        <f t="shared" si="76"/>
        <v>0</v>
      </c>
    </row>
    <row r="241" spans="1:25" s="1148" customFormat="1" ht="94.15" customHeight="1">
      <c r="A241" s="1280">
        <v>202</v>
      </c>
      <c r="B241" s="1135" t="s">
        <v>1209</v>
      </c>
      <c r="C241" s="1129">
        <f>D241+N241+P241+R241+T241+V241+X241</f>
        <v>1814258</v>
      </c>
      <c r="D241" s="1129">
        <f t="shared" ref="D241" si="77">SUM(E241:J241)</f>
        <v>0</v>
      </c>
      <c r="E241" s="1129">
        <v>0</v>
      </c>
      <c r="F241" s="1129">
        <v>0</v>
      </c>
      <c r="G241" s="1129">
        <v>0</v>
      </c>
      <c r="H241" s="1129">
        <v>0</v>
      </c>
      <c r="I241" s="1129">
        <v>0</v>
      </c>
      <c r="J241" s="1129">
        <v>0</v>
      </c>
      <c r="K241" s="1136">
        <v>0</v>
      </c>
      <c r="L241" s="1129">
        <v>0</v>
      </c>
      <c r="M241" s="1136">
        <v>0</v>
      </c>
      <c r="N241" s="1129">
        <v>0</v>
      </c>
      <c r="O241" s="1129">
        <v>0</v>
      </c>
      <c r="P241" s="1129">
        <v>0</v>
      </c>
      <c r="Q241" s="1149">
        <v>0</v>
      </c>
      <c r="R241" s="1129">
        <v>0</v>
      </c>
      <c r="S241" s="1149">
        <v>681.8</v>
      </c>
      <c r="T241" s="1129">
        <v>1682480</v>
      </c>
      <c r="U241" s="1149">
        <v>0</v>
      </c>
      <c r="V241" s="1129">
        <v>0</v>
      </c>
      <c r="W241" s="1129">
        <v>0</v>
      </c>
      <c r="X241" s="1129">
        <v>131778</v>
      </c>
      <c r="Y241" s="1129">
        <v>0</v>
      </c>
    </row>
    <row r="242" spans="1:25" s="1148" customFormat="1" ht="57" customHeight="1">
      <c r="A242" s="1280">
        <v>203</v>
      </c>
      <c r="B242" s="1135" t="s">
        <v>1210</v>
      </c>
      <c r="C242" s="1129">
        <f t="shared" ref="C242:C245" si="78">D242+N242+P242+R242+T242+V242+X242</f>
        <v>590924</v>
      </c>
      <c r="D242" s="1129">
        <f t="shared" ref="D242:D245" si="79">SUM(E242:J242)</f>
        <v>548002</v>
      </c>
      <c r="E242" s="1129">
        <v>0</v>
      </c>
      <c r="F242" s="1129">
        <v>548002</v>
      </c>
      <c r="G242" s="1129">
        <v>0</v>
      </c>
      <c r="H242" s="1129">
        <v>0</v>
      </c>
      <c r="I242" s="1129">
        <v>0</v>
      </c>
      <c r="J242" s="1129">
        <v>0</v>
      </c>
      <c r="K242" s="1136">
        <v>0</v>
      </c>
      <c r="L242" s="1129">
        <v>0</v>
      </c>
      <c r="M242" s="1136">
        <v>0</v>
      </c>
      <c r="N242" s="1129">
        <v>0</v>
      </c>
      <c r="O242" s="1129">
        <v>0</v>
      </c>
      <c r="P242" s="1129">
        <v>0</v>
      </c>
      <c r="Q242" s="1149">
        <v>0</v>
      </c>
      <c r="R242" s="1129">
        <v>0</v>
      </c>
      <c r="S242" s="1149">
        <v>0</v>
      </c>
      <c r="T242" s="1129">
        <v>0</v>
      </c>
      <c r="U242" s="1149">
        <v>0</v>
      </c>
      <c r="V242" s="1129">
        <v>0</v>
      </c>
      <c r="W242" s="1129">
        <v>0</v>
      </c>
      <c r="X242" s="1129">
        <v>42922</v>
      </c>
      <c r="Y242" s="1129">
        <v>0</v>
      </c>
    </row>
    <row r="243" spans="1:25" s="1148" customFormat="1" ht="60.6" customHeight="1">
      <c r="A243" s="1280">
        <v>204</v>
      </c>
      <c r="B243" s="1135" t="s">
        <v>1211</v>
      </c>
      <c r="C243" s="1129">
        <f t="shared" si="78"/>
        <v>646645</v>
      </c>
      <c r="D243" s="1129">
        <f t="shared" si="79"/>
        <v>599676</v>
      </c>
      <c r="E243" s="1129">
        <v>0</v>
      </c>
      <c r="F243" s="1129">
        <v>599676</v>
      </c>
      <c r="G243" s="1129">
        <v>0</v>
      </c>
      <c r="H243" s="1129">
        <v>0</v>
      </c>
      <c r="I243" s="1129">
        <v>0</v>
      </c>
      <c r="J243" s="1129">
        <v>0</v>
      </c>
      <c r="K243" s="1136">
        <v>0</v>
      </c>
      <c r="L243" s="1129">
        <v>0</v>
      </c>
      <c r="M243" s="1136">
        <v>0</v>
      </c>
      <c r="N243" s="1129">
        <v>0</v>
      </c>
      <c r="O243" s="1129">
        <v>0</v>
      </c>
      <c r="P243" s="1129">
        <v>0</v>
      </c>
      <c r="Q243" s="1149">
        <v>0</v>
      </c>
      <c r="R243" s="1129">
        <v>0</v>
      </c>
      <c r="S243" s="1149">
        <v>0</v>
      </c>
      <c r="T243" s="1129">
        <v>0</v>
      </c>
      <c r="U243" s="1149">
        <v>0</v>
      </c>
      <c r="V243" s="1129">
        <v>0</v>
      </c>
      <c r="W243" s="1129">
        <v>0</v>
      </c>
      <c r="X243" s="1129">
        <v>46969</v>
      </c>
      <c r="Y243" s="1129">
        <v>0</v>
      </c>
    </row>
    <row r="244" spans="1:25" s="1148" customFormat="1" ht="58.15" customHeight="1">
      <c r="A244" s="1280">
        <v>205</v>
      </c>
      <c r="B244" s="1135" t="s">
        <v>1212</v>
      </c>
      <c r="C244" s="1129">
        <f t="shared" si="78"/>
        <v>1604301</v>
      </c>
      <c r="D244" s="1129">
        <f t="shared" si="79"/>
        <v>0</v>
      </c>
      <c r="E244" s="1129">
        <v>0</v>
      </c>
      <c r="F244" s="1129">
        <v>0</v>
      </c>
      <c r="G244" s="1129">
        <v>0</v>
      </c>
      <c r="H244" s="1129">
        <v>0</v>
      </c>
      <c r="I244" s="1129">
        <v>0</v>
      </c>
      <c r="J244" s="1129">
        <v>0</v>
      </c>
      <c r="K244" s="1136">
        <v>0</v>
      </c>
      <c r="L244" s="1129">
        <v>0</v>
      </c>
      <c r="M244" s="1136">
        <v>0</v>
      </c>
      <c r="N244" s="1129">
        <v>0</v>
      </c>
      <c r="O244" s="1129">
        <v>474</v>
      </c>
      <c r="P244" s="1129">
        <v>1487773</v>
      </c>
      <c r="Q244" s="1149">
        <v>0</v>
      </c>
      <c r="R244" s="1129">
        <v>0</v>
      </c>
      <c r="S244" s="1149">
        <v>0</v>
      </c>
      <c r="T244" s="1129">
        <v>0</v>
      </c>
      <c r="U244" s="1149">
        <v>0</v>
      </c>
      <c r="V244" s="1129">
        <v>0</v>
      </c>
      <c r="W244" s="1129">
        <v>0</v>
      </c>
      <c r="X244" s="1129">
        <v>116528</v>
      </c>
      <c r="Y244" s="1129">
        <v>0</v>
      </c>
    </row>
    <row r="245" spans="1:25" s="1148" customFormat="1" ht="61.9" customHeight="1">
      <c r="A245" s="1280">
        <v>206</v>
      </c>
      <c r="B245" s="1135" t="s">
        <v>1503</v>
      </c>
      <c r="C245" s="1129">
        <f t="shared" si="78"/>
        <v>1325701</v>
      </c>
      <c r="D245" s="1129">
        <f t="shared" si="79"/>
        <v>0</v>
      </c>
      <c r="E245" s="1129">
        <v>0</v>
      </c>
      <c r="F245" s="1129">
        <v>0</v>
      </c>
      <c r="G245" s="1129">
        <v>0</v>
      </c>
      <c r="H245" s="1129">
        <v>0</v>
      </c>
      <c r="I245" s="1129">
        <v>0</v>
      </c>
      <c r="J245" s="1129">
        <v>0</v>
      </c>
      <c r="K245" s="1136">
        <v>0</v>
      </c>
      <c r="L245" s="1129">
        <v>0</v>
      </c>
      <c r="M245" s="1136">
        <v>0</v>
      </c>
      <c r="N245" s="1129">
        <v>0</v>
      </c>
      <c r="O245" s="1129">
        <v>0</v>
      </c>
      <c r="P245" s="1129">
        <v>0</v>
      </c>
      <c r="Q245" s="1149">
        <v>0</v>
      </c>
      <c r="R245" s="1129">
        <v>0</v>
      </c>
      <c r="S245" s="1149">
        <v>498.2</v>
      </c>
      <c r="T245" s="1129">
        <v>1229409</v>
      </c>
      <c r="U245" s="1149">
        <v>0</v>
      </c>
      <c r="V245" s="1129">
        <v>0</v>
      </c>
      <c r="W245" s="1129">
        <v>0</v>
      </c>
      <c r="X245" s="1129">
        <v>96292</v>
      </c>
      <c r="Y245" s="1129">
        <v>0</v>
      </c>
    </row>
    <row r="246" spans="1:25" s="1137" customFormat="1" ht="130.15" customHeight="1">
      <c r="A246" s="1280"/>
      <c r="B246" s="1135" t="s">
        <v>1068</v>
      </c>
      <c r="C246" s="1129">
        <f>C247+C248+C249</f>
        <v>7653085.3900000006</v>
      </c>
      <c r="D246" s="1129">
        <f t="shared" ref="D246:Y246" si="80">D247+D248+D249</f>
        <v>3652780.83</v>
      </c>
      <c r="E246" s="1129">
        <f t="shared" si="80"/>
        <v>651436.77</v>
      </c>
      <c r="F246" s="1129">
        <f t="shared" si="80"/>
        <v>1234140.46</v>
      </c>
      <c r="G246" s="1129">
        <f t="shared" si="80"/>
        <v>530772.04</v>
      </c>
      <c r="H246" s="1129">
        <f t="shared" si="80"/>
        <v>757591.17</v>
      </c>
      <c r="I246" s="1129">
        <f t="shared" si="80"/>
        <v>0</v>
      </c>
      <c r="J246" s="1129">
        <f t="shared" si="80"/>
        <v>478840.39</v>
      </c>
      <c r="K246" s="1136">
        <f t="shared" si="80"/>
        <v>0</v>
      </c>
      <c r="L246" s="1129">
        <f t="shared" si="80"/>
        <v>0</v>
      </c>
      <c r="M246" s="1136">
        <f t="shared" si="80"/>
        <v>0</v>
      </c>
      <c r="N246" s="1129">
        <f t="shared" si="80"/>
        <v>0</v>
      </c>
      <c r="O246" s="1129">
        <f t="shared" si="80"/>
        <v>723.35</v>
      </c>
      <c r="P246" s="1129">
        <f t="shared" si="80"/>
        <v>3444424.01</v>
      </c>
      <c r="Q246" s="1129">
        <f t="shared" si="80"/>
        <v>0</v>
      </c>
      <c r="R246" s="1129">
        <f t="shared" si="80"/>
        <v>0</v>
      </c>
      <c r="S246" s="1129">
        <f t="shared" si="80"/>
        <v>0</v>
      </c>
      <c r="T246" s="1129">
        <f t="shared" si="80"/>
        <v>0</v>
      </c>
      <c r="U246" s="1129">
        <f t="shared" si="80"/>
        <v>0</v>
      </c>
      <c r="V246" s="1129">
        <f t="shared" si="80"/>
        <v>0</v>
      </c>
      <c r="W246" s="1129">
        <v>0</v>
      </c>
      <c r="X246" s="1129">
        <f t="shared" si="80"/>
        <v>555880.55000000005</v>
      </c>
      <c r="Y246" s="1129">
        <f t="shared" si="80"/>
        <v>0</v>
      </c>
    </row>
    <row r="247" spans="1:25" s="1137" customFormat="1" ht="86.45" customHeight="1">
      <c r="A247" s="1280">
        <v>207</v>
      </c>
      <c r="B247" s="1156" t="s">
        <v>1954</v>
      </c>
      <c r="C247" s="1129">
        <f>D247+N247+P247+R247+T247+V247+X247</f>
        <v>1904983.64</v>
      </c>
      <c r="D247" s="1129">
        <f>SUM(E247:J247)</f>
        <v>0</v>
      </c>
      <c r="E247" s="1145">
        <v>0</v>
      </c>
      <c r="F247" s="1145">
        <v>0</v>
      </c>
      <c r="G247" s="1145">
        <v>0</v>
      </c>
      <c r="H247" s="1145">
        <v>0</v>
      </c>
      <c r="I247" s="1145">
        <v>0</v>
      </c>
      <c r="J247" s="1145">
        <v>0</v>
      </c>
      <c r="K247" s="1136">
        <v>0</v>
      </c>
      <c r="L247" s="1145">
        <v>0</v>
      </c>
      <c r="M247" s="1136">
        <v>0</v>
      </c>
      <c r="N247" s="1145">
        <v>0</v>
      </c>
      <c r="O247" s="1145">
        <v>371</v>
      </c>
      <c r="P247" s="1145">
        <v>1766615.48</v>
      </c>
      <c r="Q247" s="1145">
        <v>0</v>
      </c>
      <c r="R247" s="1145">
        <v>0</v>
      </c>
      <c r="S247" s="1145">
        <v>0</v>
      </c>
      <c r="T247" s="1145">
        <v>0</v>
      </c>
      <c r="U247" s="1145">
        <v>0</v>
      </c>
      <c r="V247" s="1145">
        <v>0</v>
      </c>
      <c r="W247" s="1129">
        <v>0</v>
      </c>
      <c r="X247" s="1145">
        <v>138368.16</v>
      </c>
      <c r="Y247" s="1145">
        <v>0</v>
      </c>
    </row>
    <row r="248" spans="1:25" s="1137" customFormat="1" ht="90" customHeight="1">
      <c r="A248" s="1280">
        <v>208</v>
      </c>
      <c r="B248" s="1156" t="s">
        <v>1955</v>
      </c>
      <c r="C248" s="1129">
        <f>D248+N248+P248+R248+T248+V248+X248</f>
        <v>1809220.99</v>
      </c>
      <c r="D248" s="1129">
        <f>SUM(E248:J248)</f>
        <v>0</v>
      </c>
      <c r="E248" s="1145">
        <v>0</v>
      </c>
      <c r="F248" s="1145">
        <v>0</v>
      </c>
      <c r="G248" s="1145">
        <v>0</v>
      </c>
      <c r="H248" s="1145">
        <v>0</v>
      </c>
      <c r="I248" s="1145">
        <v>0</v>
      </c>
      <c r="J248" s="1145">
        <v>0</v>
      </c>
      <c r="K248" s="1136">
        <v>0</v>
      </c>
      <c r="L248" s="1145">
        <v>0</v>
      </c>
      <c r="M248" s="1136">
        <v>0</v>
      </c>
      <c r="N248" s="1145">
        <v>0</v>
      </c>
      <c r="O248" s="1145">
        <v>352.35</v>
      </c>
      <c r="P248" s="1145">
        <v>1677808.53</v>
      </c>
      <c r="Q248" s="1145">
        <v>0</v>
      </c>
      <c r="R248" s="1145">
        <v>0</v>
      </c>
      <c r="S248" s="1145">
        <v>0</v>
      </c>
      <c r="T248" s="1145">
        <v>0</v>
      </c>
      <c r="U248" s="1145">
        <v>0</v>
      </c>
      <c r="V248" s="1145">
        <v>0</v>
      </c>
      <c r="W248" s="1129">
        <v>0</v>
      </c>
      <c r="X248" s="1145">
        <v>131412.46</v>
      </c>
      <c r="Y248" s="1145">
        <v>0</v>
      </c>
    </row>
    <row r="249" spans="1:25" s="1137" customFormat="1" ht="87.6" customHeight="1">
      <c r="A249" s="1280">
        <v>209</v>
      </c>
      <c r="B249" s="1156" t="s">
        <v>1956</v>
      </c>
      <c r="C249" s="1129">
        <f>D249+N249+P249+R249+T249+V249+X249+L249</f>
        <v>3938880.7600000002</v>
      </c>
      <c r="D249" s="1129">
        <f>SUM(E249:J249)</f>
        <v>3652780.83</v>
      </c>
      <c r="E249" s="1145">
        <v>651436.77</v>
      </c>
      <c r="F249" s="1145">
        <v>1234140.46</v>
      </c>
      <c r="G249" s="1145">
        <v>530772.04</v>
      </c>
      <c r="H249" s="1145">
        <v>757591.17</v>
      </c>
      <c r="I249" s="1145">
        <v>0</v>
      </c>
      <c r="J249" s="1145">
        <v>478840.39</v>
      </c>
      <c r="K249" s="1136">
        <v>0</v>
      </c>
      <c r="L249" s="1145">
        <v>0</v>
      </c>
      <c r="M249" s="1136">
        <v>0</v>
      </c>
      <c r="N249" s="1145">
        <v>0</v>
      </c>
      <c r="O249" s="1145">
        <v>0</v>
      </c>
      <c r="P249" s="1145">
        <v>0</v>
      </c>
      <c r="Q249" s="1145">
        <v>0</v>
      </c>
      <c r="R249" s="1145">
        <v>0</v>
      </c>
      <c r="S249" s="1145">
        <v>0</v>
      </c>
      <c r="T249" s="1145">
        <v>0</v>
      </c>
      <c r="U249" s="1145">
        <v>0</v>
      </c>
      <c r="V249" s="1145">
        <v>0</v>
      </c>
      <c r="W249" s="1129">
        <v>0</v>
      </c>
      <c r="X249" s="1145">
        <v>286099.93</v>
      </c>
      <c r="Y249" s="1145">
        <v>0</v>
      </c>
    </row>
    <row r="250" spans="1:25" s="1137" customFormat="1" ht="124.15" customHeight="1">
      <c r="A250" s="1280"/>
      <c r="B250" s="1135" t="s">
        <v>1084</v>
      </c>
      <c r="C250" s="1129">
        <f>C251</f>
        <v>3246439.14</v>
      </c>
      <c r="D250" s="1129">
        <f t="shared" ref="D250:Y250" si="81">D251</f>
        <v>0</v>
      </c>
      <c r="E250" s="1129">
        <f t="shared" si="81"/>
        <v>0</v>
      </c>
      <c r="F250" s="1129">
        <f t="shared" si="81"/>
        <v>0</v>
      </c>
      <c r="G250" s="1129">
        <f t="shared" si="81"/>
        <v>0</v>
      </c>
      <c r="H250" s="1129">
        <f t="shared" si="81"/>
        <v>0</v>
      </c>
      <c r="I250" s="1129">
        <f t="shared" si="81"/>
        <v>0</v>
      </c>
      <c r="J250" s="1129">
        <f t="shared" si="81"/>
        <v>0</v>
      </c>
      <c r="K250" s="1136">
        <f t="shared" si="81"/>
        <v>0</v>
      </c>
      <c r="L250" s="1129">
        <f t="shared" si="81"/>
        <v>0</v>
      </c>
      <c r="M250" s="1136">
        <f t="shared" si="81"/>
        <v>0</v>
      </c>
      <c r="N250" s="1129">
        <f t="shared" si="81"/>
        <v>0</v>
      </c>
      <c r="O250" s="1129">
        <f t="shared" si="81"/>
        <v>493</v>
      </c>
      <c r="P250" s="1129">
        <f t="shared" si="81"/>
        <v>3135171.14</v>
      </c>
      <c r="Q250" s="1129">
        <f t="shared" si="81"/>
        <v>0</v>
      </c>
      <c r="R250" s="1129">
        <f t="shared" si="81"/>
        <v>0</v>
      </c>
      <c r="S250" s="1129">
        <f t="shared" si="81"/>
        <v>0</v>
      </c>
      <c r="T250" s="1129">
        <f t="shared" si="81"/>
        <v>0</v>
      </c>
      <c r="U250" s="1129">
        <f t="shared" si="81"/>
        <v>0</v>
      </c>
      <c r="V250" s="1129">
        <f t="shared" si="81"/>
        <v>0</v>
      </c>
      <c r="W250" s="1129">
        <v>0</v>
      </c>
      <c r="X250" s="1129">
        <f t="shared" si="81"/>
        <v>111268</v>
      </c>
      <c r="Y250" s="1129">
        <f t="shared" si="81"/>
        <v>0</v>
      </c>
    </row>
    <row r="251" spans="1:25" s="1137" customFormat="1" ht="93.6" customHeight="1">
      <c r="A251" s="1280">
        <v>210</v>
      </c>
      <c r="B251" s="1156" t="s">
        <v>1957</v>
      </c>
      <c r="C251" s="1129">
        <f>D251+N251+P251+R251+T251+V251+X251+L251</f>
        <v>3246439.14</v>
      </c>
      <c r="D251" s="1129">
        <f>SUM(E251:J251)</f>
        <v>0</v>
      </c>
      <c r="E251" s="1145">
        <v>0</v>
      </c>
      <c r="F251" s="1145">
        <v>0</v>
      </c>
      <c r="G251" s="1145">
        <v>0</v>
      </c>
      <c r="H251" s="1145">
        <v>0</v>
      </c>
      <c r="I251" s="1145">
        <v>0</v>
      </c>
      <c r="J251" s="1145">
        <v>0</v>
      </c>
      <c r="K251" s="1136">
        <v>0</v>
      </c>
      <c r="L251" s="1145">
        <v>0</v>
      </c>
      <c r="M251" s="1136">
        <v>0</v>
      </c>
      <c r="N251" s="1145">
        <v>0</v>
      </c>
      <c r="O251" s="1145">
        <v>493</v>
      </c>
      <c r="P251" s="1145">
        <v>3135171.14</v>
      </c>
      <c r="Q251" s="1145">
        <v>0</v>
      </c>
      <c r="R251" s="1145">
        <v>0</v>
      </c>
      <c r="S251" s="1145">
        <v>0</v>
      </c>
      <c r="T251" s="1145">
        <v>0</v>
      </c>
      <c r="U251" s="1145">
        <v>0</v>
      </c>
      <c r="V251" s="1145">
        <v>0</v>
      </c>
      <c r="W251" s="1129">
        <v>0</v>
      </c>
      <c r="X251" s="1145">
        <v>111268</v>
      </c>
      <c r="Y251" s="1145">
        <v>0</v>
      </c>
    </row>
    <row r="252" spans="1:25" s="1137" customFormat="1" ht="86.45" customHeight="1">
      <c r="A252" s="1280"/>
      <c r="B252" s="1135" t="s">
        <v>1319</v>
      </c>
      <c r="C252" s="1145">
        <f>C253</f>
        <v>4490832.0600000005</v>
      </c>
      <c r="D252" s="1145">
        <f t="shared" ref="D252:Y252" si="82">D253</f>
        <v>0</v>
      </c>
      <c r="E252" s="1145">
        <f t="shared" si="82"/>
        <v>0</v>
      </c>
      <c r="F252" s="1145">
        <f t="shared" si="82"/>
        <v>0</v>
      </c>
      <c r="G252" s="1145">
        <f t="shared" si="82"/>
        <v>0</v>
      </c>
      <c r="H252" s="1145">
        <f t="shared" si="82"/>
        <v>0</v>
      </c>
      <c r="I252" s="1145">
        <f t="shared" si="82"/>
        <v>0</v>
      </c>
      <c r="J252" s="1145">
        <f t="shared" si="82"/>
        <v>0</v>
      </c>
      <c r="K252" s="1136">
        <f t="shared" si="82"/>
        <v>0</v>
      </c>
      <c r="L252" s="1145">
        <f t="shared" si="82"/>
        <v>0</v>
      </c>
      <c r="M252" s="1136">
        <f t="shared" si="82"/>
        <v>0</v>
      </c>
      <c r="N252" s="1145">
        <f t="shared" si="82"/>
        <v>0</v>
      </c>
      <c r="O252" s="1145">
        <f t="shared" si="82"/>
        <v>874.6</v>
      </c>
      <c r="P252" s="1145">
        <f t="shared" si="82"/>
        <v>4164641.24</v>
      </c>
      <c r="Q252" s="1145">
        <f t="shared" si="82"/>
        <v>0</v>
      </c>
      <c r="R252" s="1145">
        <f t="shared" si="82"/>
        <v>0</v>
      </c>
      <c r="S252" s="1145">
        <f t="shared" si="82"/>
        <v>0</v>
      </c>
      <c r="T252" s="1145">
        <f t="shared" si="82"/>
        <v>0</v>
      </c>
      <c r="U252" s="1145">
        <f t="shared" si="82"/>
        <v>0</v>
      </c>
      <c r="V252" s="1145">
        <f t="shared" si="82"/>
        <v>0</v>
      </c>
      <c r="W252" s="1129">
        <v>0</v>
      </c>
      <c r="X252" s="1145">
        <f t="shared" si="82"/>
        <v>326190.82</v>
      </c>
      <c r="Y252" s="1145">
        <f t="shared" si="82"/>
        <v>0</v>
      </c>
    </row>
    <row r="253" spans="1:25" s="1137" customFormat="1" ht="84" customHeight="1">
      <c r="A253" s="1280">
        <v>211</v>
      </c>
      <c r="B253" s="1128" t="s">
        <v>1958</v>
      </c>
      <c r="C253" s="1145">
        <f t="shared" ref="C253" si="83">D253+N253+P253+R253+T253+V253+X253</f>
        <v>4490832.0600000005</v>
      </c>
      <c r="D253" s="1145">
        <f t="shared" ref="D253" si="84">SUM(E253:J253)</f>
        <v>0</v>
      </c>
      <c r="E253" s="1145">
        <v>0</v>
      </c>
      <c r="F253" s="1145">
        <v>0</v>
      </c>
      <c r="G253" s="1145">
        <v>0</v>
      </c>
      <c r="H253" s="1145">
        <v>0</v>
      </c>
      <c r="I253" s="1145">
        <v>0</v>
      </c>
      <c r="J253" s="1145">
        <v>0</v>
      </c>
      <c r="K253" s="1136">
        <v>0</v>
      </c>
      <c r="L253" s="1145">
        <v>0</v>
      </c>
      <c r="M253" s="1136">
        <v>0</v>
      </c>
      <c r="N253" s="1145">
        <v>0</v>
      </c>
      <c r="O253" s="1145">
        <v>874.6</v>
      </c>
      <c r="P253" s="1145">
        <v>4164641.24</v>
      </c>
      <c r="Q253" s="1145">
        <v>0</v>
      </c>
      <c r="R253" s="1145">
        <v>0</v>
      </c>
      <c r="S253" s="1145">
        <v>0</v>
      </c>
      <c r="T253" s="1145">
        <v>0</v>
      </c>
      <c r="U253" s="1145">
        <v>0</v>
      </c>
      <c r="V253" s="1145">
        <v>0</v>
      </c>
      <c r="W253" s="1129">
        <v>0</v>
      </c>
      <c r="X253" s="1145">
        <v>326190.82</v>
      </c>
      <c r="Y253" s="1145">
        <v>0</v>
      </c>
    </row>
    <row r="254" spans="1:25" s="1137" customFormat="1" ht="69" customHeight="1">
      <c r="A254" s="1280"/>
      <c r="B254" s="1135" t="s">
        <v>53</v>
      </c>
      <c r="C254" s="1129">
        <f>C255+C266+C269+C271+C273+C275</f>
        <v>105654341.28999999</v>
      </c>
      <c r="D254" s="1129">
        <f t="shared" ref="D254:Y254" si="85">D255+D266+D269+D271+D273+D275</f>
        <v>6867773</v>
      </c>
      <c r="E254" s="1129">
        <f t="shared" si="85"/>
        <v>3013287</v>
      </c>
      <c r="F254" s="1129">
        <f t="shared" si="85"/>
        <v>3854486</v>
      </c>
      <c r="G254" s="1129">
        <f t="shared" si="85"/>
        <v>0</v>
      </c>
      <c r="H254" s="1129">
        <f t="shared" si="85"/>
        <v>0</v>
      </c>
      <c r="I254" s="1129">
        <f t="shared" si="85"/>
        <v>0</v>
      </c>
      <c r="J254" s="1129">
        <f t="shared" si="85"/>
        <v>0</v>
      </c>
      <c r="K254" s="1136">
        <f t="shared" si="85"/>
        <v>0</v>
      </c>
      <c r="L254" s="1129">
        <f t="shared" si="85"/>
        <v>0</v>
      </c>
      <c r="M254" s="1136">
        <f t="shared" si="85"/>
        <v>10</v>
      </c>
      <c r="N254" s="1129">
        <f t="shared" si="85"/>
        <v>20093145.189999998</v>
      </c>
      <c r="O254" s="1129">
        <f t="shared" si="85"/>
        <v>8005.8</v>
      </c>
      <c r="P254" s="1129">
        <f t="shared" si="85"/>
        <v>21130238</v>
      </c>
      <c r="Q254" s="1129">
        <f t="shared" si="85"/>
        <v>0</v>
      </c>
      <c r="R254" s="1129">
        <f t="shared" si="85"/>
        <v>0</v>
      </c>
      <c r="S254" s="1129">
        <f t="shared" si="85"/>
        <v>10133.529999999999</v>
      </c>
      <c r="T254" s="1129">
        <f t="shared" si="85"/>
        <v>50513030.469999991</v>
      </c>
      <c r="U254" s="1129">
        <f t="shared" si="85"/>
        <v>0</v>
      </c>
      <c r="V254" s="1129">
        <v>0</v>
      </c>
      <c r="W254" s="1129">
        <v>0</v>
      </c>
      <c r="X254" s="1129">
        <f t="shared" si="85"/>
        <v>7050154.6299999999</v>
      </c>
      <c r="Y254" s="1129">
        <f t="shared" si="85"/>
        <v>0</v>
      </c>
    </row>
    <row r="255" spans="1:25" s="1137" customFormat="1" ht="123" customHeight="1">
      <c r="A255" s="1280"/>
      <c r="B255" s="1135" t="s">
        <v>1069</v>
      </c>
      <c r="C255" s="1145">
        <f>SUM(C256:C265)</f>
        <v>80820537.289999992</v>
      </c>
      <c r="D255" s="1145">
        <f t="shared" ref="D255:Y255" si="86">SUM(D256:D265)</f>
        <v>4223918</v>
      </c>
      <c r="E255" s="1145">
        <f t="shared" si="86"/>
        <v>369432</v>
      </c>
      <c r="F255" s="1145">
        <f t="shared" si="86"/>
        <v>3854486</v>
      </c>
      <c r="G255" s="1145">
        <f t="shared" si="86"/>
        <v>0</v>
      </c>
      <c r="H255" s="1145">
        <f t="shared" si="86"/>
        <v>0</v>
      </c>
      <c r="I255" s="1145">
        <f t="shared" si="86"/>
        <v>0</v>
      </c>
      <c r="J255" s="1145">
        <f t="shared" si="86"/>
        <v>0</v>
      </c>
      <c r="K255" s="1163">
        <f t="shared" si="86"/>
        <v>0</v>
      </c>
      <c r="L255" s="1145">
        <f t="shared" si="86"/>
        <v>0</v>
      </c>
      <c r="M255" s="1163">
        <f t="shared" si="86"/>
        <v>10</v>
      </c>
      <c r="N255" s="1145">
        <f t="shared" si="86"/>
        <v>20093145.189999998</v>
      </c>
      <c r="O255" s="1145">
        <f t="shared" si="86"/>
        <v>1207</v>
      </c>
      <c r="P255" s="1145">
        <f t="shared" si="86"/>
        <v>799696</v>
      </c>
      <c r="Q255" s="1145">
        <f t="shared" si="86"/>
        <v>0</v>
      </c>
      <c r="R255" s="1145">
        <f t="shared" si="86"/>
        <v>0</v>
      </c>
      <c r="S255" s="1145">
        <f t="shared" si="86"/>
        <v>10133.529999999999</v>
      </c>
      <c r="T255" s="1145">
        <f t="shared" si="86"/>
        <v>50513030.469999991</v>
      </c>
      <c r="U255" s="1145">
        <f t="shared" si="86"/>
        <v>0</v>
      </c>
      <c r="V255" s="1145">
        <f t="shared" si="86"/>
        <v>0</v>
      </c>
      <c r="W255" s="1145">
        <f t="shared" si="86"/>
        <v>0</v>
      </c>
      <c r="X255" s="1145">
        <f t="shared" si="86"/>
        <v>5190747.63</v>
      </c>
      <c r="Y255" s="1145">
        <f t="shared" si="86"/>
        <v>0</v>
      </c>
    </row>
    <row r="256" spans="1:25" s="1137" customFormat="1" ht="60.6" customHeight="1">
      <c r="A256" s="1280">
        <v>212</v>
      </c>
      <c r="B256" s="1135" t="s">
        <v>1292</v>
      </c>
      <c r="C256" s="1145">
        <f t="shared" ref="C256" si="87">D256+N256+P256+R256+T256+V256+X256</f>
        <v>25596872.149999999</v>
      </c>
      <c r="D256" s="1145">
        <f t="shared" ref="D256" si="88">SUM(E256:J256)</f>
        <v>0</v>
      </c>
      <c r="E256" s="1145">
        <v>0</v>
      </c>
      <c r="F256" s="1145">
        <v>0</v>
      </c>
      <c r="G256" s="1145">
        <v>0</v>
      </c>
      <c r="H256" s="1145">
        <v>0</v>
      </c>
      <c r="I256" s="1145">
        <v>0</v>
      </c>
      <c r="J256" s="1145">
        <v>0</v>
      </c>
      <c r="K256" s="1136">
        <v>0</v>
      </c>
      <c r="L256" s="1145">
        <v>0</v>
      </c>
      <c r="M256" s="1136">
        <v>0</v>
      </c>
      <c r="N256" s="1145">
        <v>0</v>
      </c>
      <c r="O256" s="1145">
        <v>0</v>
      </c>
      <c r="P256" s="1145">
        <v>0</v>
      </c>
      <c r="Q256" s="1145">
        <v>0</v>
      </c>
      <c r="R256" s="1145">
        <v>0</v>
      </c>
      <c r="S256" s="1145">
        <v>4748.3999999999996</v>
      </c>
      <c r="T256" s="1145">
        <v>23973676.149999999</v>
      </c>
      <c r="U256" s="1145">
        <f t="shared" ref="U256:V256" si="89">SUM(U257:U298)</f>
        <v>0</v>
      </c>
      <c r="V256" s="1145">
        <f t="shared" si="89"/>
        <v>0</v>
      </c>
      <c r="W256" s="1129">
        <v>0</v>
      </c>
      <c r="X256" s="1145">
        <v>1623196</v>
      </c>
      <c r="Y256" s="1145">
        <f>SUM(Y257:Y298)</f>
        <v>0</v>
      </c>
    </row>
    <row r="257" spans="1:25" s="1137" customFormat="1" ht="61.9" customHeight="1">
      <c r="A257" s="1280">
        <v>213</v>
      </c>
      <c r="B257" s="1135" t="s">
        <v>1293</v>
      </c>
      <c r="C257" s="1145">
        <f t="shared" ref="C257:C261" si="90">D257+N257+P257+R257+T257+V257+X257</f>
        <v>7152840.7800000003</v>
      </c>
      <c r="D257" s="1145">
        <f t="shared" ref="D257:D261" si="91">SUM(E257:J257)</f>
        <v>0</v>
      </c>
      <c r="E257" s="1145">
        <v>0</v>
      </c>
      <c r="F257" s="1145">
        <v>0</v>
      </c>
      <c r="G257" s="1145">
        <v>0</v>
      </c>
      <c r="H257" s="1145">
        <v>0</v>
      </c>
      <c r="I257" s="1145">
        <v>0</v>
      </c>
      <c r="J257" s="1145">
        <v>0</v>
      </c>
      <c r="K257" s="1136">
        <v>0</v>
      </c>
      <c r="L257" s="1145">
        <v>0</v>
      </c>
      <c r="M257" s="1136">
        <v>3</v>
      </c>
      <c r="N257" s="1145">
        <v>6623000.7800000003</v>
      </c>
      <c r="O257" s="1145">
        <v>0</v>
      </c>
      <c r="P257" s="1145">
        <v>0</v>
      </c>
      <c r="Q257" s="1145">
        <v>0</v>
      </c>
      <c r="R257" s="1145">
        <v>0</v>
      </c>
      <c r="S257" s="1145">
        <v>0</v>
      </c>
      <c r="T257" s="1145">
        <v>0</v>
      </c>
      <c r="U257" s="1145">
        <f t="shared" ref="U257:V260" si="92">SUM(U258:U299)</f>
        <v>0</v>
      </c>
      <c r="V257" s="1145">
        <f t="shared" si="92"/>
        <v>0</v>
      </c>
      <c r="W257" s="1129">
        <v>0</v>
      </c>
      <c r="X257" s="1145">
        <v>529840</v>
      </c>
      <c r="Y257" s="1145">
        <f>SUM(Y258:Y299)</f>
        <v>0</v>
      </c>
    </row>
    <row r="258" spans="1:25" s="1137" customFormat="1" ht="64.900000000000006" customHeight="1">
      <c r="A258" s="1280">
        <v>214</v>
      </c>
      <c r="B258" s="1135" t="s">
        <v>1533</v>
      </c>
      <c r="C258" s="1145">
        <f t="shared" si="90"/>
        <v>4768560.8600000003</v>
      </c>
      <c r="D258" s="1145">
        <f t="shared" si="91"/>
        <v>0</v>
      </c>
      <c r="E258" s="1145">
        <v>0</v>
      </c>
      <c r="F258" s="1145">
        <v>0</v>
      </c>
      <c r="G258" s="1145">
        <v>0</v>
      </c>
      <c r="H258" s="1145">
        <v>0</v>
      </c>
      <c r="I258" s="1145">
        <v>0</v>
      </c>
      <c r="J258" s="1145">
        <v>0</v>
      </c>
      <c r="K258" s="1136">
        <v>0</v>
      </c>
      <c r="L258" s="1145">
        <v>0</v>
      </c>
      <c r="M258" s="1136">
        <v>2</v>
      </c>
      <c r="N258" s="1145">
        <v>4415333.8600000003</v>
      </c>
      <c r="O258" s="1145">
        <v>0</v>
      </c>
      <c r="P258" s="1145">
        <v>0</v>
      </c>
      <c r="Q258" s="1145">
        <v>0</v>
      </c>
      <c r="R258" s="1145">
        <v>0</v>
      </c>
      <c r="S258" s="1145">
        <v>0</v>
      </c>
      <c r="T258" s="1145">
        <v>0</v>
      </c>
      <c r="U258" s="1145">
        <f t="shared" si="92"/>
        <v>0</v>
      </c>
      <c r="V258" s="1145">
        <f t="shared" si="92"/>
        <v>0</v>
      </c>
      <c r="W258" s="1129">
        <v>0</v>
      </c>
      <c r="X258" s="1145">
        <v>353227</v>
      </c>
      <c r="Y258" s="1145">
        <f>SUM(Y259:Y300)</f>
        <v>0</v>
      </c>
    </row>
    <row r="259" spans="1:25" s="1137" customFormat="1" ht="86.45" customHeight="1">
      <c r="A259" s="1280">
        <v>215</v>
      </c>
      <c r="B259" s="1135" t="s">
        <v>1843</v>
      </c>
      <c r="C259" s="1145">
        <f t="shared" si="90"/>
        <v>4768560.8600000003</v>
      </c>
      <c r="D259" s="1145">
        <f t="shared" si="91"/>
        <v>0</v>
      </c>
      <c r="E259" s="1145">
        <v>0</v>
      </c>
      <c r="F259" s="1145">
        <v>0</v>
      </c>
      <c r="G259" s="1145">
        <v>0</v>
      </c>
      <c r="H259" s="1145">
        <v>0</v>
      </c>
      <c r="I259" s="1145">
        <v>0</v>
      </c>
      <c r="J259" s="1145">
        <v>0</v>
      </c>
      <c r="K259" s="1136">
        <v>0</v>
      </c>
      <c r="L259" s="1145">
        <v>0</v>
      </c>
      <c r="M259" s="1136">
        <v>2</v>
      </c>
      <c r="N259" s="1145">
        <v>4415333.8600000003</v>
      </c>
      <c r="O259" s="1145">
        <v>0</v>
      </c>
      <c r="P259" s="1145">
        <v>0</v>
      </c>
      <c r="Q259" s="1145">
        <v>0</v>
      </c>
      <c r="R259" s="1145">
        <v>0</v>
      </c>
      <c r="S259" s="1145">
        <v>0</v>
      </c>
      <c r="T259" s="1145">
        <v>0</v>
      </c>
      <c r="U259" s="1145">
        <f t="shared" si="92"/>
        <v>0</v>
      </c>
      <c r="V259" s="1145">
        <f t="shared" si="92"/>
        <v>0</v>
      </c>
      <c r="W259" s="1129">
        <v>0</v>
      </c>
      <c r="X259" s="1145">
        <v>353227</v>
      </c>
      <c r="Y259" s="1145">
        <f>SUM(Y260:Y301)</f>
        <v>0</v>
      </c>
    </row>
    <row r="260" spans="1:25" s="1137" customFormat="1" ht="69" customHeight="1">
      <c r="A260" s="1280">
        <v>216</v>
      </c>
      <c r="B260" s="1135" t="s">
        <v>1535</v>
      </c>
      <c r="C260" s="1145">
        <f t="shared" si="90"/>
        <v>20067393.939999998</v>
      </c>
      <c r="D260" s="1145">
        <f t="shared" si="91"/>
        <v>0</v>
      </c>
      <c r="E260" s="1145">
        <v>0</v>
      </c>
      <c r="F260" s="1145">
        <v>0</v>
      </c>
      <c r="G260" s="1145">
        <v>0</v>
      </c>
      <c r="H260" s="1145">
        <v>0</v>
      </c>
      <c r="I260" s="1145">
        <v>0</v>
      </c>
      <c r="J260" s="1145">
        <v>0</v>
      </c>
      <c r="K260" s="1136">
        <v>0</v>
      </c>
      <c r="L260" s="1145">
        <v>0</v>
      </c>
      <c r="M260" s="1136">
        <v>2</v>
      </c>
      <c r="N260" s="1145">
        <v>4415333.8600000003</v>
      </c>
      <c r="O260" s="1145">
        <v>0</v>
      </c>
      <c r="P260" s="1145">
        <v>0</v>
      </c>
      <c r="Q260" s="1145">
        <v>0</v>
      </c>
      <c r="R260" s="1145">
        <v>0</v>
      </c>
      <c r="S260" s="1145">
        <v>3018.45</v>
      </c>
      <c r="T260" s="1145">
        <v>14165586.449999999</v>
      </c>
      <c r="U260" s="1145">
        <f t="shared" si="92"/>
        <v>0</v>
      </c>
      <c r="V260" s="1145">
        <f t="shared" si="92"/>
        <v>0</v>
      </c>
      <c r="W260" s="1129">
        <v>0</v>
      </c>
      <c r="X260" s="1145">
        <v>1486473.63</v>
      </c>
      <c r="Y260" s="1145">
        <f>SUM(Y261:Y302)</f>
        <v>0</v>
      </c>
    </row>
    <row r="261" spans="1:25" s="1137" customFormat="1" ht="87.6" customHeight="1">
      <c r="A261" s="1280">
        <v>217</v>
      </c>
      <c r="B261" s="1135" t="s">
        <v>1844</v>
      </c>
      <c r="C261" s="1145">
        <f t="shared" si="90"/>
        <v>16920387.869999997</v>
      </c>
      <c r="D261" s="1145">
        <f t="shared" si="91"/>
        <v>3854486</v>
      </c>
      <c r="E261" s="1145">
        <v>0</v>
      </c>
      <c r="F261" s="1145">
        <v>3854486</v>
      </c>
      <c r="G261" s="1145">
        <v>0</v>
      </c>
      <c r="H261" s="1145">
        <v>0</v>
      </c>
      <c r="I261" s="1145">
        <v>0</v>
      </c>
      <c r="J261" s="1145">
        <v>0</v>
      </c>
      <c r="K261" s="1136">
        <v>0</v>
      </c>
      <c r="L261" s="1145">
        <v>0</v>
      </c>
      <c r="M261" s="1136">
        <v>0</v>
      </c>
      <c r="N261" s="1145">
        <v>0</v>
      </c>
      <c r="O261" s="1145">
        <v>0</v>
      </c>
      <c r="P261" s="1145">
        <v>0</v>
      </c>
      <c r="Q261" s="1145">
        <v>0</v>
      </c>
      <c r="R261" s="1145">
        <v>0</v>
      </c>
      <c r="S261" s="1145">
        <v>2352.6</v>
      </c>
      <c r="T261" s="1145">
        <v>12221117.869999999</v>
      </c>
      <c r="U261" s="1145">
        <f t="shared" ref="U261:V261" si="93">SUM(U298:U303)</f>
        <v>0</v>
      </c>
      <c r="V261" s="1145">
        <f t="shared" si="93"/>
        <v>0</v>
      </c>
      <c r="W261" s="1129">
        <v>0</v>
      </c>
      <c r="X261" s="1145">
        <f>542886+301898</f>
        <v>844784</v>
      </c>
      <c r="Y261" s="1145">
        <f>SUM(Y298:Y303)</f>
        <v>0</v>
      </c>
    </row>
    <row r="262" spans="1:25" s="1137" customFormat="1" ht="59.45" customHeight="1">
      <c r="A262" s="1280">
        <v>218</v>
      </c>
      <c r="B262" s="1128" t="s">
        <v>2016</v>
      </c>
      <c r="C262" s="1145">
        <f t="shared" ref="C262:C265" si="94">D262+N262+P262+R262+T262+V262+X262</f>
        <v>799696</v>
      </c>
      <c r="D262" s="1145">
        <f t="shared" ref="D262:D265" si="95">SUM(E262:J262)</f>
        <v>0</v>
      </c>
      <c r="E262" s="1145">
        <v>0</v>
      </c>
      <c r="F262" s="1145">
        <v>0</v>
      </c>
      <c r="G262" s="1145">
        <v>0</v>
      </c>
      <c r="H262" s="1145">
        <v>0</v>
      </c>
      <c r="I262" s="1145">
        <v>0</v>
      </c>
      <c r="J262" s="1145">
        <v>0</v>
      </c>
      <c r="K262" s="1136">
        <v>0</v>
      </c>
      <c r="L262" s="1145">
        <v>0</v>
      </c>
      <c r="M262" s="1136">
        <v>0</v>
      </c>
      <c r="N262" s="1145">
        <v>0</v>
      </c>
      <c r="O262" s="1145">
        <v>1207</v>
      </c>
      <c r="P262" s="1145">
        <v>799696</v>
      </c>
      <c r="Q262" s="1145">
        <v>0</v>
      </c>
      <c r="R262" s="1145">
        <v>0</v>
      </c>
      <c r="S262" s="1145">
        <v>0</v>
      </c>
      <c r="T262" s="1145">
        <v>0</v>
      </c>
      <c r="U262" s="1145">
        <v>0</v>
      </c>
      <c r="V262" s="1145">
        <v>0</v>
      </c>
      <c r="W262" s="1129">
        <v>0</v>
      </c>
      <c r="X262" s="1145">
        <v>0</v>
      </c>
      <c r="Y262" s="1145">
        <v>0</v>
      </c>
    </row>
    <row r="263" spans="1:25" s="1137" customFormat="1" ht="61.9" customHeight="1">
      <c r="A263" s="1280">
        <v>219</v>
      </c>
      <c r="B263" s="1128" t="s">
        <v>2017</v>
      </c>
      <c r="C263" s="1145">
        <f t="shared" si="94"/>
        <v>224142.83</v>
      </c>
      <c r="D263" s="1145">
        <f t="shared" si="95"/>
        <v>0</v>
      </c>
      <c r="E263" s="1145">
        <v>0</v>
      </c>
      <c r="F263" s="1145">
        <v>0</v>
      </c>
      <c r="G263" s="1145">
        <v>0</v>
      </c>
      <c r="H263" s="1145">
        <v>0</v>
      </c>
      <c r="I263" s="1145">
        <v>0</v>
      </c>
      <c r="J263" s="1145">
        <v>0</v>
      </c>
      <c r="K263" s="1136">
        <v>0</v>
      </c>
      <c r="L263" s="1145">
        <v>0</v>
      </c>
      <c r="M263" s="1136">
        <v>1</v>
      </c>
      <c r="N263" s="1145">
        <v>224142.83</v>
      </c>
      <c r="O263" s="1145">
        <v>0</v>
      </c>
      <c r="P263" s="1145">
        <v>0</v>
      </c>
      <c r="Q263" s="1145">
        <v>0</v>
      </c>
      <c r="R263" s="1145">
        <v>0</v>
      </c>
      <c r="S263" s="1145">
        <v>0</v>
      </c>
      <c r="T263" s="1145">
        <v>0</v>
      </c>
      <c r="U263" s="1145">
        <v>0</v>
      </c>
      <c r="V263" s="1145">
        <v>0</v>
      </c>
      <c r="W263" s="1129">
        <v>0</v>
      </c>
      <c r="X263" s="1145">
        <v>0</v>
      </c>
      <c r="Y263" s="1145">
        <v>0</v>
      </c>
    </row>
    <row r="264" spans="1:25" s="1137" customFormat="1" ht="60.6" customHeight="1">
      <c r="A264" s="1280">
        <v>220</v>
      </c>
      <c r="B264" s="1128" t="s">
        <v>2018</v>
      </c>
      <c r="C264" s="1145">
        <f t="shared" si="94"/>
        <v>369432</v>
      </c>
      <c r="D264" s="1145">
        <f t="shared" si="95"/>
        <v>369432</v>
      </c>
      <c r="E264" s="1145">
        <v>369432</v>
      </c>
      <c r="F264" s="1145">
        <v>0</v>
      </c>
      <c r="G264" s="1145">
        <v>0</v>
      </c>
      <c r="H264" s="1145">
        <v>0</v>
      </c>
      <c r="I264" s="1145">
        <v>0</v>
      </c>
      <c r="J264" s="1145">
        <v>0</v>
      </c>
      <c r="K264" s="1136">
        <v>0</v>
      </c>
      <c r="L264" s="1145">
        <v>0</v>
      </c>
      <c r="M264" s="1136">
        <v>0</v>
      </c>
      <c r="N264" s="1145">
        <v>0</v>
      </c>
      <c r="O264" s="1145">
        <v>0</v>
      </c>
      <c r="P264" s="1145">
        <v>0</v>
      </c>
      <c r="Q264" s="1145">
        <v>0</v>
      </c>
      <c r="R264" s="1145">
        <v>0</v>
      </c>
      <c r="S264" s="1145">
        <v>0</v>
      </c>
      <c r="T264" s="1145">
        <v>0</v>
      </c>
      <c r="U264" s="1145">
        <v>0</v>
      </c>
      <c r="V264" s="1145">
        <v>0</v>
      </c>
      <c r="W264" s="1129">
        <v>0</v>
      </c>
      <c r="X264" s="1145">
        <v>0</v>
      </c>
      <c r="Y264" s="1145">
        <v>0</v>
      </c>
    </row>
    <row r="265" spans="1:25" s="1137" customFormat="1" ht="67.900000000000006" customHeight="1">
      <c r="A265" s="1280">
        <v>221</v>
      </c>
      <c r="B265" s="1203" t="s">
        <v>2019</v>
      </c>
      <c r="C265" s="1145">
        <f t="shared" si="94"/>
        <v>152650</v>
      </c>
      <c r="D265" s="1145">
        <f t="shared" si="95"/>
        <v>0</v>
      </c>
      <c r="E265" s="1145">
        <v>0</v>
      </c>
      <c r="F265" s="1145">
        <v>0</v>
      </c>
      <c r="G265" s="1145">
        <v>0</v>
      </c>
      <c r="H265" s="1145">
        <v>0</v>
      </c>
      <c r="I265" s="1145">
        <v>0</v>
      </c>
      <c r="J265" s="1145">
        <v>0</v>
      </c>
      <c r="K265" s="1136">
        <v>0</v>
      </c>
      <c r="L265" s="1145">
        <v>0</v>
      </c>
      <c r="M265" s="1136">
        <v>0</v>
      </c>
      <c r="N265" s="1145">
        <v>0</v>
      </c>
      <c r="O265" s="1145">
        <v>0</v>
      </c>
      <c r="P265" s="1145">
        <v>0</v>
      </c>
      <c r="Q265" s="1145">
        <v>0</v>
      </c>
      <c r="R265" s="1145">
        <v>0</v>
      </c>
      <c r="S265" s="1145">
        <v>14.08</v>
      </c>
      <c r="T265" s="1145">
        <v>152650</v>
      </c>
      <c r="U265" s="1145">
        <v>0</v>
      </c>
      <c r="V265" s="1145">
        <v>0</v>
      </c>
      <c r="W265" s="1129">
        <v>0</v>
      </c>
      <c r="X265" s="1145">
        <v>0</v>
      </c>
      <c r="Y265" s="1145">
        <v>0</v>
      </c>
    </row>
    <row r="266" spans="1:25" s="1137" customFormat="1" ht="90" customHeight="1">
      <c r="A266" s="1280"/>
      <c r="B266" s="1128" t="s">
        <v>1070</v>
      </c>
      <c r="C266" s="1145">
        <f>C267+C268</f>
        <v>5964228</v>
      </c>
      <c r="D266" s="1145">
        <f t="shared" ref="D266:Y266" si="96">D267+D268</f>
        <v>0</v>
      </c>
      <c r="E266" s="1145">
        <f t="shared" si="96"/>
        <v>0</v>
      </c>
      <c r="F266" s="1145">
        <f t="shared" si="96"/>
        <v>0</v>
      </c>
      <c r="G266" s="1145">
        <f t="shared" si="96"/>
        <v>0</v>
      </c>
      <c r="H266" s="1145">
        <f t="shared" si="96"/>
        <v>0</v>
      </c>
      <c r="I266" s="1145">
        <f t="shared" si="96"/>
        <v>0</v>
      </c>
      <c r="J266" s="1145">
        <f t="shared" si="96"/>
        <v>0</v>
      </c>
      <c r="K266" s="1136">
        <f t="shared" si="96"/>
        <v>0</v>
      </c>
      <c r="L266" s="1145">
        <f t="shared" si="96"/>
        <v>0</v>
      </c>
      <c r="M266" s="1136">
        <f t="shared" si="96"/>
        <v>0</v>
      </c>
      <c r="N266" s="1145">
        <f t="shared" si="96"/>
        <v>0</v>
      </c>
      <c r="O266" s="1145">
        <f t="shared" si="96"/>
        <v>1221</v>
      </c>
      <c r="P266" s="1145">
        <f t="shared" si="96"/>
        <v>5531018</v>
      </c>
      <c r="Q266" s="1145">
        <f t="shared" si="96"/>
        <v>0</v>
      </c>
      <c r="R266" s="1145">
        <f t="shared" si="96"/>
        <v>0</v>
      </c>
      <c r="S266" s="1145">
        <f t="shared" si="96"/>
        <v>0</v>
      </c>
      <c r="T266" s="1145">
        <f t="shared" si="96"/>
        <v>0</v>
      </c>
      <c r="U266" s="1145">
        <f t="shared" si="96"/>
        <v>0</v>
      </c>
      <c r="V266" s="1145">
        <f t="shared" si="96"/>
        <v>0</v>
      </c>
      <c r="W266" s="1129">
        <v>0</v>
      </c>
      <c r="X266" s="1145">
        <f t="shared" si="96"/>
        <v>433210</v>
      </c>
      <c r="Y266" s="1145">
        <f t="shared" si="96"/>
        <v>0</v>
      </c>
    </row>
    <row r="267" spans="1:25" s="1137" customFormat="1" ht="88.9" customHeight="1">
      <c r="A267" s="1280">
        <v>222</v>
      </c>
      <c r="B267" s="1135" t="s">
        <v>1845</v>
      </c>
      <c r="C267" s="1145">
        <f t="shared" ref="C267:C268" si="97">D267+N267+P267+R267+T267+V267+X267</f>
        <v>2823361</v>
      </c>
      <c r="D267" s="1145">
        <f t="shared" ref="D267:D268" si="98">SUM(E267:J267)</f>
        <v>0</v>
      </c>
      <c r="E267" s="1145">
        <v>0</v>
      </c>
      <c r="F267" s="1145">
        <v>0</v>
      </c>
      <c r="G267" s="1145">
        <v>0</v>
      </c>
      <c r="H267" s="1145">
        <v>0</v>
      </c>
      <c r="I267" s="1145">
        <v>0</v>
      </c>
      <c r="J267" s="1145">
        <v>0</v>
      </c>
      <c r="K267" s="1136">
        <v>0</v>
      </c>
      <c r="L267" s="1145">
        <v>0</v>
      </c>
      <c r="M267" s="1136">
        <v>0</v>
      </c>
      <c r="N267" s="1145">
        <v>0</v>
      </c>
      <c r="O267" s="1145">
        <v>578</v>
      </c>
      <c r="P267" s="1145">
        <v>2618287</v>
      </c>
      <c r="Q267" s="1145">
        <v>0</v>
      </c>
      <c r="R267" s="1145">
        <v>0</v>
      </c>
      <c r="S267" s="1145">
        <v>0</v>
      </c>
      <c r="T267" s="1145">
        <v>0</v>
      </c>
      <c r="U267" s="1145">
        <v>0</v>
      </c>
      <c r="V267" s="1145">
        <v>0</v>
      </c>
      <c r="W267" s="1129">
        <v>0</v>
      </c>
      <c r="X267" s="1145">
        <v>205074</v>
      </c>
      <c r="Y267" s="1145">
        <v>0</v>
      </c>
    </row>
    <row r="268" spans="1:25" s="1137" customFormat="1" ht="88.9" customHeight="1">
      <c r="A268" s="1280">
        <v>223</v>
      </c>
      <c r="B268" s="1135" t="s">
        <v>2352</v>
      </c>
      <c r="C268" s="1145">
        <f t="shared" si="97"/>
        <v>3140867</v>
      </c>
      <c r="D268" s="1145">
        <f t="shared" si="98"/>
        <v>0</v>
      </c>
      <c r="E268" s="1145">
        <v>0</v>
      </c>
      <c r="F268" s="1145">
        <v>0</v>
      </c>
      <c r="G268" s="1145">
        <v>0</v>
      </c>
      <c r="H268" s="1145">
        <v>0</v>
      </c>
      <c r="I268" s="1145">
        <v>0</v>
      </c>
      <c r="J268" s="1145">
        <v>0</v>
      </c>
      <c r="K268" s="1136">
        <v>0</v>
      </c>
      <c r="L268" s="1145">
        <v>0</v>
      </c>
      <c r="M268" s="1136">
        <v>0</v>
      </c>
      <c r="N268" s="1145">
        <v>0</v>
      </c>
      <c r="O268" s="1145">
        <v>643</v>
      </c>
      <c r="P268" s="1145">
        <v>2912731</v>
      </c>
      <c r="Q268" s="1145">
        <v>0</v>
      </c>
      <c r="R268" s="1145">
        <v>0</v>
      </c>
      <c r="S268" s="1145">
        <v>0</v>
      </c>
      <c r="T268" s="1145">
        <v>0</v>
      </c>
      <c r="U268" s="1145">
        <v>0</v>
      </c>
      <c r="V268" s="1145">
        <v>0</v>
      </c>
      <c r="W268" s="1129">
        <v>0</v>
      </c>
      <c r="X268" s="1145">
        <v>228136</v>
      </c>
      <c r="Y268" s="1145">
        <v>0</v>
      </c>
    </row>
    <row r="269" spans="1:25" s="1137" customFormat="1" ht="92.45" customHeight="1">
      <c r="A269" s="1280"/>
      <c r="B269" s="1128" t="s">
        <v>1072</v>
      </c>
      <c r="C269" s="1129">
        <f>C270</f>
        <v>1668609</v>
      </c>
      <c r="D269" s="1129">
        <f t="shared" ref="D269:Y269" si="99">D270</f>
        <v>0</v>
      </c>
      <c r="E269" s="1129">
        <f t="shared" si="99"/>
        <v>0</v>
      </c>
      <c r="F269" s="1129">
        <f t="shared" si="99"/>
        <v>0</v>
      </c>
      <c r="G269" s="1129">
        <f t="shared" si="99"/>
        <v>0</v>
      </c>
      <c r="H269" s="1129">
        <f t="shared" si="99"/>
        <v>0</v>
      </c>
      <c r="I269" s="1129">
        <f t="shared" si="99"/>
        <v>0</v>
      </c>
      <c r="J269" s="1129">
        <f t="shared" si="99"/>
        <v>0</v>
      </c>
      <c r="K269" s="1136">
        <v>0</v>
      </c>
      <c r="L269" s="1129">
        <v>0</v>
      </c>
      <c r="M269" s="1136">
        <f t="shared" si="99"/>
        <v>0</v>
      </c>
      <c r="N269" s="1129">
        <f t="shared" si="99"/>
        <v>0</v>
      </c>
      <c r="O269" s="1129">
        <f t="shared" si="99"/>
        <v>493</v>
      </c>
      <c r="P269" s="1129">
        <f t="shared" si="99"/>
        <v>1547410</v>
      </c>
      <c r="Q269" s="1129">
        <f t="shared" si="99"/>
        <v>0</v>
      </c>
      <c r="R269" s="1129">
        <f t="shared" si="99"/>
        <v>0</v>
      </c>
      <c r="S269" s="1129">
        <f t="shared" si="99"/>
        <v>0</v>
      </c>
      <c r="T269" s="1129">
        <f t="shared" si="99"/>
        <v>0</v>
      </c>
      <c r="U269" s="1129">
        <f t="shared" si="99"/>
        <v>0</v>
      </c>
      <c r="V269" s="1129">
        <f t="shared" si="99"/>
        <v>0</v>
      </c>
      <c r="W269" s="1129">
        <v>0</v>
      </c>
      <c r="X269" s="1129">
        <f t="shared" si="99"/>
        <v>121199</v>
      </c>
      <c r="Y269" s="1129">
        <f t="shared" si="99"/>
        <v>0</v>
      </c>
    </row>
    <row r="270" spans="1:25" s="1137" customFormat="1" ht="67.150000000000006" customHeight="1">
      <c r="A270" s="1280">
        <v>224</v>
      </c>
      <c r="B270" s="1128" t="s">
        <v>1345</v>
      </c>
      <c r="C270" s="1129">
        <f>D270+N270+P270+R270+T270+V270+X270</f>
        <v>1668609</v>
      </c>
      <c r="D270" s="1129">
        <f>SUM(E270:J270)</f>
        <v>0</v>
      </c>
      <c r="E270" s="1129">
        <f>([1]база!E316-(([1]база!E316*8)/110.14))</f>
        <v>0</v>
      </c>
      <c r="F270" s="1129">
        <f>([1]база!F316-(([1]база!F316*8)/110.14))</f>
        <v>0</v>
      </c>
      <c r="G270" s="1129">
        <f>([1]база!G316-(([1]база!G316*8)/110.14))</f>
        <v>0</v>
      </c>
      <c r="H270" s="1129">
        <f>([1]база!H316-(([1]база!H316*8)/110.14))</f>
        <v>0</v>
      </c>
      <c r="I270" s="1129">
        <f>([1]база!I316-(([1]база!I316*8)/110.14))</f>
        <v>0</v>
      </c>
      <c r="J270" s="1129">
        <f>([1]база!J316-(([1]база!J316*8)/110.14))</f>
        <v>0</v>
      </c>
      <c r="K270" s="1136">
        <v>0</v>
      </c>
      <c r="L270" s="1129">
        <v>0</v>
      </c>
      <c r="M270" s="1136">
        <v>0</v>
      </c>
      <c r="N270" s="1129">
        <f>([1]база!L316-([1]база!L316*8)/110.14)</f>
        <v>0</v>
      </c>
      <c r="O270" s="1129">
        <v>493</v>
      </c>
      <c r="P270" s="1129">
        <v>1547410</v>
      </c>
      <c r="Q270" s="1129">
        <v>0</v>
      </c>
      <c r="R270" s="1129">
        <f>([1]база!P316-([1]база!P316*8)/110.14)</f>
        <v>0</v>
      </c>
      <c r="S270" s="1129">
        <v>0</v>
      </c>
      <c r="T270" s="1129">
        <f>([1]база!R316-([1]база!R316*8)/110.14)</f>
        <v>0</v>
      </c>
      <c r="U270" s="1129">
        <v>0</v>
      </c>
      <c r="V270" s="1129">
        <f>([1]база!T316-([1]база!T316*8)/110.14)</f>
        <v>0</v>
      </c>
      <c r="W270" s="1129">
        <v>0</v>
      </c>
      <c r="X270" s="1129">
        <v>121199</v>
      </c>
      <c r="Y270" s="1129">
        <v>0</v>
      </c>
    </row>
    <row r="271" spans="1:25" s="1137" customFormat="1" ht="121.9" customHeight="1">
      <c r="A271" s="1280"/>
      <c r="B271" s="1135" t="s">
        <v>1351</v>
      </c>
      <c r="C271" s="1129">
        <f>C272</f>
        <v>2119380</v>
      </c>
      <c r="D271" s="1129">
        <f t="shared" ref="D271:Y273" si="100">D272</f>
        <v>0</v>
      </c>
      <c r="E271" s="1129">
        <f t="shared" si="100"/>
        <v>0</v>
      </c>
      <c r="F271" s="1129">
        <f t="shared" si="100"/>
        <v>0</v>
      </c>
      <c r="G271" s="1129">
        <f t="shared" si="100"/>
        <v>0</v>
      </c>
      <c r="H271" s="1129">
        <f t="shared" si="100"/>
        <v>0</v>
      </c>
      <c r="I271" s="1129">
        <f t="shared" si="100"/>
        <v>0</v>
      </c>
      <c r="J271" s="1129">
        <f t="shared" si="100"/>
        <v>0</v>
      </c>
      <c r="K271" s="1136">
        <f t="shared" si="100"/>
        <v>0</v>
      </c>
      <c r="L271" s="1129">
        <f t="shared" si="100"/>
        <v>0</v>
      </c>
      <c r="M271" s="1136">
        <f t="shared" si="100"/>
        <v>0</v>
      </c>
      <c r="N271" s="1129">
        <f t="shared" si="100"/>
        <v>0</v>
      </c>
      <c r="O271" s="1129">
        <f t="shared" si="100"/>
        <v>780</v>
      </c>
      <c r="P271" s="1129">
        <f t="shared" si="100"/>
        <v>1965439</v>
      </c>
      <c r="Q271" s="1129">
        <f t="shared" si="100"/>
        <v>0</v>
      </c>
      <c r="R271" s="1129">
        <f t="shared" si="100"/>
        <v>0</v>
      </c>
      <c r="S271" s="1129">
        <f t="shared" si="100"/>
        <v>0</v>
      </c>
      <c r="T271" s="1129">
        <f t="shared" si="100"/>
        <v>0</v>
      </c>
      <c r="U271" s="1129">
        <f t="shared" si="100"/>
        <v>0</v>
      </c>
      <c r="V271" s="1129">
        <f t="shared" si="100"/>
        <v>0</v>
      </c>
      <c r="W271" s="1129">
        <v>0</v>
      </c>
      <c r="X271" s="1129">
        <f t="shared" si="100"/>
        <v>153941</v>
      </c>
      <c r="Y271" s="1129">
        <f t="shared" si="100"/>
        <v>0</v>
      </c>
    </row>
    <row r="272" spans="1:25" s="1142" customFormat="1" ht="90" customHeight="1">
      <c r="A272" s="1280">
        <v>225</v>
      </c>
      <c r="B272" s="1128" t="s">
        <v>1352</v>
      </c>
      <c r="C272" s="1129">
        <f>D272+N272+P272+R272+T272+V272+X272</f>
        <v>2119380</v>
      </c>
      <c r="D272" s="1129">
        <f>SUM(E272:J272)</f>
        <v>0</v>
      </c>
      <c r="E272" s="1129">
        <v>0</v>
      </c>
      <c r="F272" s="1129">
        <v>0</v>
      </c>
      <c r="G272" s="1129">
        <v>0</v>
      </c>
      <c r="H272" s="1129">
        <v>0</v>
      </c>
      <c r="I272" s="1129">
        <v>0</v>
      </c>
      <c r="J272" s="1129">
        <v>0</v>
      </c>
      <c r="K272" s="1136">
        <v>0</v>
      </c>
      <c r="L272" s="1129">
        <v>0</v>
      </c>
      <c r="M272" s="1136">
        <v>0</v>
      </c>
      <c r="N272" s="1129">
        <v>0</v>
      </c>
      <c r="O272" s="1129">
        <v>780</v>
      </c>
      <c r="P272" s="1129">
        <v>1965439</v>
      </c>
      <c r="Q272" s="1129">
        <v>0</v>
      </c>
      <c r="R272" s="1129">
        <v>0</v>
      </c>
      <c r="S272" s="1129">
        <v>0</v>
      </c>
      <c r="T272" s="1129">
        <v>0</v>
      </c>
      <c r="U272" s="1129">
        <v>0</v>
      </c>
      <c r="V272" s="1129">
        <v>0</v>
      </c>
      <c r="W272" s="1129">
        <v>0</v>
      </c>
      <c r="X272" s="1129">
        <v>153941</v>
      </c>
      <c r="Y272" s="1129">
        <v>0</v>
      </c>
    </row>
    <row r="273" spans="1:25" s="1142" customFormat="1" ht="90" customHeight="1">
      <c r="A273" s="1280"/>
      <c r="B273" s="1128" t="s">
        <v>1074</v>
      </c>
      <c r="C273" s="1129">
        <f>C274</f>
        <v>255847</v>
      </c>
      <c r="D273" s="1129">
        <f t="shared" ref="D273:Y273" si="101">D274</f>
        <v>181655</v>
      </c>
      <c r="E273" s="1129">
        <f t="shared" si="101"/>
        <v>181655</v>
      </c>
      <c r="F273" s="1129">
        <f t="shared" si="101"/>
        <v>0</v>
      </c>
      <c r="G273" s="1129">
        <f t="shared" si="101"/>
        <v>0</v>
      </c>
      <c r="H273" s="1129">
        <f t="shared" si="101"/>
        <v>0</v>
      </c>
      <c r="I273" s="1129">
        <f t="shared" si="101"/>
        <v>0</v>
      </c>
      <c r="J273" s="1129">
        <f t="shared" si="101"/>
        <v>0</v>
      </c>
      <c r="K273" s="1136">
        <f t="shared" si="101"/>
        <v>0</v>
      </c>
      <c r="L273" s="1129">
        <f t="shared" si="101"/>
        <v>0</v>
      </c>
      <c r="M273" s="1136">
        <f t="shared" si="101"/>
        <v>0</v>
      </c>
      <c r="N273" s="1129">
        <f t="shared" si="101"/>
        <v>0</v>
      </c>
      <c r="O273" s="1129">
        <f t="shared" si="101"/>
        <v>0</v>
      </c>
      <c r="P273" s="1129">
        <f t="shared" si="101"/>
        <v>0</v>
      </c>
      <c r="Q273" s="1129">
        <f t="shared" si="101"/>
        <v>0</v>
      </c>
      <c r="R273" s="1129">
        <f t="shared" si="101"/>
        <v>0</v>
      </c>
      <c r="S273" s="1129">
        <f t="shared" si="101"/>
        <v>0</v>
      </c>
      <c r="T273" s="1129">
        <f t="shared" si="101"/>
        <v>0</v>
      </c>
      <c r="U273" s="1129">
        <f t="shared" si="101"/>
        <v>0</v>
      </c>
      <c r="V273" s="1129">
        <f t="shared" si="100"/>
        <v>0</v>
      </c>
      <c r="W273" s="1129">
        <v>0</v>
      </c>
      <c r="X273" s="1129">
        <f t="shared" si="101"/>
        <v>74192</v>
      </c>
      <c r="Y273" s="1129">
        <f t="shared" si="101"/>
        <v>0</v>
      </c>
    </row>
    <row r="274" spans="1:25" s="1142" customFormat="1" ht="69" customHeight="1">
      <c r="A274" s="1280">
        <v>226</v>
      </c>
      <c r="B274" s="1128" t="s">
        <v>1353</v>
      </c>
      <c r="C274" s="1129">
        <f>D274+N274+P274+R274+T274+V274+X274</f>
        <v>255847</v>
      </c>
      <c r="D274" s="1129">
        <f>SUM(E274:J274)</f>
        <v>181655</v>
      </c>
      <c r="E274" s="1129">
        <v>181655</v>
      </c>
      <c r="F274" s="1129">
        <v>0</v>
      </c>
      <c r="G274" s="1129">
        <v>0</v>
      </c>
      <c r="H274" s="1129">
        <v>0</v>
      </c>
      <c r="I274" s="1129">
        <v>0</v>
      </c>
      <c r="J274" s="1129">
        <v>0</v>
      </c>
      <c r="K274" s="1136">
        <v>0</v>
      </c>
      <c r="L274" s="1129">
        <v>0</v>
      </c>
      <c r="M274" s="1136">
        <v>0</v>
      </c>
      <c r="N274" s="1129">
        <v>0</v>
      </c>
      <c r="O274" s="1129">
        <v>0</v>
      </c>
      <c r="P274" s="1129">
        <v>0</v>
      </c>
      <c r="Q274" s="1129">
        <v>0</v>
      </c>
      <c r="R274" s="1129">
        <v>0</v>
      </c>
      <c r="S274" s="1129">
        <v>0</v>
      </c>
      <c r="T274" s="1129">
        <v>0</v>
      </c>
      <c r="U274" s="1129">
        <v>0</v>
      </c>
      <c r="V274" s="1129">
        <v>0</v>
      </c>
      <c r="W274" s="1129">
        <v>0</v>
      </c>
      <c r="X274" s="1129">
        <v>74192</v>
      </c>
      <c r="Y274" s="1129">
        <v>0</v>
      </c>
    </row>
    <row r="275" spans="1:25" s="1142" customFormat="1" ht="88.9" customHeight="1">
      <c r="A275" s="1280"/>
      <c r="B275" s="1128" t="s">
        <v>1073</v>
      </c>
      <c r="C275" s="1129">
        <f>C276+C277+C278+C279+C280</f>
        <v>14825740</v>
      </c>
      <c r="D275" s="1129">
        <f t="shared" ref="D275:Y275" si="102">D276+D277+D278+D279+D280</f>
        <v>2462200</v>
      </c>
      <c r="E275" s="1129">
        <f t="shared" si="102"/>
        <v>2462200</v>
      </c>
      <c r="F275" s="1129">
        <f t="shared" si="102"/>
        <v>0</v>
      </c>
      <c r="G275" s="1129">
        <f t="shared" si="102"/>
        <v>0</v>
      </c>
      <c r="H275" s="1129">
        <f t="shared" si="102"/>
        <v>0</v>
      </c>
      <c r="I275" s="1129">
        <f t="shared" si="102"/>
        <v>0</v>
      </c>
      <c r="J275" s="1129">
        <f t="shared" si="102"/>
        <v>0</v>
      </c>
      <c r="K275" s="1136">
        <f t="shared" si="102"/>
        <v>0</v>
      </c>
      <c r="L275" s="1129">
        <f t="shared" si="102"/>
        <v>0</v>
      </c>
      <c r="M275" s="1136">
        <f t="shared" si="102"/>
        <v>0</v>
      </c>
      <c r="N275" s="1129">
        <f t="shared" si="102"/>
        <v>0</v>
      </c>
      <c r="O275" s="1129">
        <f t="shared" si="102"/>
        <v>4304.8</v>
      </c>
      <c r="P275" s="1129">
        <f t="shared" si="102"/>
        <v>11286675</v>
      </c>
      <c r="Q275" s="1129">
        <f t="shared" si="102"/>
        <v>0</v>
      </c>
      <c r="R275" s="1129">
        <f t="shared" si="102"/>
        <v>0</v>
      </c>
      <c r="S275" s="1129">
        <f t="shared" si="102"/>
        <v>0</v>
      </c>
      <c r="T275" s="1129">
        <f t="shared" si="102"/>
        <v>0</v>
      </c>
      <c r="U275" s="1129">
        <f t="shared" si="102"/>
        <v>0</v>
      </c>
      <c r="V275" s="1129">
        <f t="shared" si="102"/>
        <v>0</v>
      </c>
      <c r="W275" s="1129">
        <v>0</v>
      </c>
      <c r="X275" s="1129">
        <f t="shared" si="102"/>
        <v>1076865</v>
      </c>
      <c r="Y275" s="1129">
        <f t="shared" si="102"/>
        <v>0</v>
      </c>
    </row>
    <row r="276" spans="1:25" s="1142" customFormat="1" ht="63.6" customHeight="1">
      <c r="A276" s="1280">
        <v>227</v>
      </c>
      <c r="B276" s="1135" t="s">
        <v>1361</v>
      </c>
      <c r="C276" s="1129">
        <f>D276+N276+P276+R276+T276+V276+X276</f>
        <v>3315471</v>
      </c>
      <c r="D276" s="1129">
        <f>SUM(E276:J276)</f>
        <v>0</v>
      </c>
      <c r="E276" s="1129">
        <v>0</v>
      </c>
      <c r="F276" s="1129">
        <v>0</v>
      </c>
      <c r="G276" s="1129">
        <v>0</v>
      </c>
      <c r="H276" s="1129">
        <v>0</v>
      </c>
      <c r="I276" s="1129">
        <v>0</v>
      </c>
      <c r="J276" s="1129">
        <v>0</v>
      </c>
      <c r="K276" s="1136">
        <v>0</v>
      </c>
      <c r="L276" s="1129">
        <v>0</v>
      </c>
      <c r="M276" s="1136">
        <v>0</v>
      </c>
      <c r="N276" s="1129">
        <v>0</v>
      </c>
      <c r="O276" s="1129">
        <v>1220.2</v>
      </c>
      <c r="P276" s="1129">
        <v>3074652</v>
      </c>
      <c r="Q276" s="1129">
        <v>0</v>
      </c>
      <c r="R276" s="1129">
        <v>0</v>
      </c>
      <c r="S276" s="1129">
        <v>0</v>
      </c>
      <c r="T276" s="1129">
        <v>0</v>
      </c>
      <c r="U276" s="1129">
        <v>0</v>
      </c>
      <c r="V276" s="1129">
        <v>0</v>
      </c>
      <c r="W276" s="1129">
        <v>0</v>
      </c>
      <c r="X276" s="1129">
        <v>240819</v>
      </c>
      <c r="Y276" s="1129">
        <v>0</v>
      </c>
    </row>
    <row r="277" spans="1:25" s="1137" customFormat="1" ht="58.15" customHeight="1">
      <c r="A277" s="1280">
        <v>228</v>
      </c>
      <c r="B277" s="1135" t="s">
        <v>724</v>
      </c>
      <c r="C277" s="1129">
        <f t="shared" ref="C277:C280" si="103">D277+N277+P277+R277+T277+V277+X277</f>
        <v>2655049</v>
      </c>
      <c r="D277" s="1129">
        <f t="shared" ref="D277:D280" si="104">SUM(E277:J277)</f>
        <v>2462200</v>
      </c>
      <c r="E277" s="1129">
        <v>2462200</v>
      </c>
      <c r="F277" s="1129">
        <v>0</v>
      </c>
      <c r="G277" s="1129">
        <v>0</v>
      </c>
      <c r="H277" s="1129">
        <v>0</v>
      </c>
      <c r="I277" s="1129">
        <v>0</v>
      </c>
      <c r="J277" s="1129">
        <v>0</v>
      </c>
      <c r="K277" s="1136">
        <v>0</v>
      </c>
      <c r="L277" s="1129">
        <v>0</v>
      </c>
      <c r="M277" s="1136">
        <v>0</v>
      </c>
      <c r="N277" s="1129">
        <v>0</v>
      </c>
      <c r="O277" s="1129">
        <v>0</v>
      </c>
      <c r="P277" s="1129">
        <v>0</v>
      </c>
      <c r="Q277" s="1129">
        <v>0</v>
      </c>
      <c r="R277" s="1129">
        <v>0</v>
      </c>
      <c r="S277" s="1129">
        <v>0</v>
      </c>
      <c r="T277" s="1129">
        <v>0</v>
      </c>
      <c r="U277" s="1129">
        <v>0</v>
      </c>
      <c r="V277" s="1129">
        <v>0</v>
      </c>
      <c r="W277" s="1129">
        <v>0</v>
      </c>
      <c r="X277" s="1129">
        <v>192849</v>
      </c>
      <c r="Y277" s="1129">
        <v>0</v>
      </c>
    </row>
    <row r="278" spans="1:25" s="1137" customFormat="1" ht="59.45" customHeight="1">
      <c r="A278" s="1280">
        <v>229</v>
      </c>
      <c r="B278" s="1135" t="s">
        <v>1362</v>
      </c>
      <c r="C278" s="1129">
        <f t="shared" si="103"/>
        <v>4033887</v>
      </c>
      <c r="D278" s="1129">
        <f t="shared" si="104"/>
        <v>0</v>
      </c>
      <c r="E278" s="1129">
        <v>0</v>
      </c>
      <c r="F278" s="1129">
        <v>0</v>
      </c>
      <c r="G278" s="1129">
        <v>0</v>
      </c>
      <c r="H278" s="1129">
        <v>0</v>
      </c>
      <c r="I278" s="1129">
        <v>0</v>
      </c>
      <c r="J278" s="1129">
        <v>0</v>
      </c>
      <c r="K278" s="1136">
        <v>0</v>
      </c>
      <c r="L278" s="1129">
        <v>0</v>
      </c>
      <c r="M278" s="1136">
        <v>0</v>
      </c>
      <c r="N278" s="1129">
        <v>0</v>
      </c>
      <c r="O278" s="1129">
        <v>1484.6</v>
      </c>
      <c r="P278" s="1129">
        <v>3740886</v>
      </c>
      <c r="Q278" s="1129">
        <v>0</v>
      </c>
      <c r="R278" s="1129">
        <v>0</v>
      </c>
      <c r="S278" s="1129">
        <v>0</v>
      </c>
      <c r="T278" s="1129">
        <v>0</v>
      </c>
      <c r="U278" s="1129">
        <v>0</v>
      </c>
      <c r="V278" s="1129">
        <v>0</v>
      </c>
      <c r="W278" s="1129">
        <v>0</v>
      </c>
      <c r="X278" s="1129">
        <v>293001</v>
      </c>
      <c r="Y278" s="1129">
        <v>0</v>
      </c>
    </row>
    <row r="279" spans="1:25" s="1137" customFormat="1" ht="60.6" customHeight="1">
      <c r="A279" s="1280">
        <v>230</v>
      </c>
      <c r="B279" s="1135" t="s">
        <v>1363</v>
      </c>
      <c r="C279" s="1129">
        <f t="shared" si="103"/>
        <v>2403067</v>
      </c>
      <c r="D279" s="1129">
        <f t="shared" si="104"/>
        <v>0</v>
      </c>
      <c r="E279" s="1129">
        <v>0</v>
      </c>
      <c r="F279" s="1129">
        <v>0</v>
      </c>
      <c r="G279" s="1129">
        <v>0</v>
      </c>
      <c r="H279" s="1129">
        <v>0</v>
      </c>
      <c r="I279" s="1129">
        <v>0</v>
      </c>
      <c r="J279" s="1129">
        <v>0</v>
      </c>
      <c r="K279" s="1136">
        <v>0</v>
      </c>
      <c r="L279" s="1129">
        <v>0</v>
      </c>
      <c r="M279" s="1136">
        <v>0</v>
      </c>
      <c r="N279" s="1129">
        <v>0</v>
      </c>
      <c r="O279" s="1129">
        <v>710</v>
      </c>
      <c r="P279" s="1129">
        <v>2228521</v>
      </c>
      <c r="Q279" s="1129">
        <v>0</v>
      </c>
      <c r="R279" s="1129">
        <v>0</v>
      </c>
      <c r="S279" s="1129">
        <v>0</v>
      </c>
      <c r="T279" s="1129">
        <v>0</v>
      </c>
      <c r="U279" s="1129">
        <v>0</v>
      </c>
      <c r="V279" s="1129">
        <v>0</v>
      </c>
      <c r="W279" s="1129">
        <v>0</v>
      </c>
      <c r="X279" s="1129">
        <v>174546</v>
      </c>
      <c r="Y279" s="1129">
        <v>0</v>
      </c>
    </row>
    <row r="280" spans="1:25" s="1137" customFormat="1" ht="65.45" customHeight="1">
      <c r="A280" s="1280">
        <v>231</v>
      </c>
      <c r="B280" s="1135" t="s">
        <v>1134</v>
      </c>
      <c r="C280" s="1129">
        <f t="shared" si="103"/>
        <v>2418266</v>
      </c>
      <c r="D280" s="1129">
        <f t="shared" si="104"/>
        <v>0</v>
      </c>
      <c r="E280" s="1129">
        <v>0</v>
      </c>
      <c r="F280" s="1129">
        <v>0</v>
      </c>
      <c r="G280" s="1129">
        <v>0</v>
      </c>
      <c r="H280" s="1129">
        <v>0</v>
      </c>
      <c r="I280" s="1129">
        <v>0</v>
      </c>
      <c r="J280" s="1129">
        <v>0</v>
      </c>
      <c r="K280" s="1136">
        <v>0</v>
      </c>
      <c r="L280" s="1129">
        <v>0</v>
      </c>
      <c r="M280" s="1136">
        <v>0</v>
      </c>
      <c r="N280" s="1129">
        <v>0</v>
      </c>
      <c r="O280" s="1129">
        <v>890</v>
      </c>
      <c r="P280" s="1129">
        <v>2242616</v>
      </c>
      <c r="Q280" s="1129">
        <v>0</v>
      </c>
      <c r="R280" s="1129">
        <v>0</v>
      </c>
      <c r="S280" s="1129">
        <v>0</v>
      </c>
      <c r="T280" s="1129">
        <v>0</v>
      </c>
      <c r="U280" s="1129">
        <v>0</v>
      </c>
      <c r="V280" s="1129">
        <v>0</v>
      </c>
      <c r="W280" s="1129">
        <v>0</v>
      </c>
      <c r="X280" s="1129">
        <v>175650</v>
      </c>
      <c r="Y280" s="1129">
        <v>0</v>
      </c>
    </row>
    <row r="281" spans="1:25" s="1137" customFormat="1" ht="92.45" customHeight="1">
      <c r="A281" s="1280"/>
      <c r="B281" s="1135" t="s">
        <v>1652</v>
      </c>
      <c r="C281" s="1129">
        <f>C282+C283+C284</f>
        <v>6973264.0800000001</v>
      </c>
      <c r="D281" s="1129">
        <f t="shared" ref="D281:Y281" si="105">D282+D283+D284</f>
        <v>0</v>
      </c>
      <c r="E281" s="1129">
        <f t="shared" si="105"/>
        <v>0</v>
      </c>
      <c r="F281" s="1129">
        <f t="shared" si="105"/>
        <v>0</v>
      </c>
      <c r="G281" s="1129">
        <f t="shared" si="105"/>
        <v>0</v>
      </c>
      <c r="H281" s="1129">
        <f t="shared" si="105"/>
        <v>0</v>
      </c>
      <c r="I281" s="1129">
        <f t="shared" si="105"/>
        <v>0</v>
      </c>
      <c r="J281" s="1129">
        <f t="shared" si="105"/>
        <v>0</v>
      </c>
      <c r="K281" s="1136">
        <f t="shared" si="105"/>
        <v>0</v>
      </c>
      <c r="L281" s="1129">
        <f t="shared" si="105"/>
        <v>0</v>
      </c>
      <c r="M281" s="1136">
        <f t="shared" si="105"/>
        <v>0</v>
      </c>
      <c r="N281" s="1129">
        <f t="shared" si="105"/>
        <v>0</v>
      </c>
      <c r="O281" s="1129">
        <f t="shared" si="105"/>
        <v>1240.4000000000001</v>
      </c>
      <c r="P281" s="1129">
        <f t="shared" si="105"/>
        <v>6504109.4700000007</v>
      </c>
      <c r="Q281" s="1129">
        <f t="shared" si="105"/>
        <v>0</v>
      </c>
      <c r="R281" s="1129">
        <f t="shared" si="105"/>
        <v>0</v>
      </c>
      <c r="S281" s="1129">
        <f t="shared" si="105"/>
        <v>0</v>
      </c>
      <c r="T281" s="1129">
        <f t="shared" si="105"/>
        <v>0</v>
      </c>
      <c r="U281" s="1129">
        <f t="shared" si="105"/>
        <v>0</v>
      </c>
      <c r="V281" s="1129">
        <f t="shared" si="105"/>
        <v>0</v>
      </c>
      <c r="W281" s="1129">
        <v>0</v>
      </c>
      <c r="X281" s="1129">
        <f t="shared" si="105"/>
        <v>469154.61</v>
      </c>
      <c r="Y281" s="1129">
        <f t="shared" si="105"/>
        <v>0</v>
      </c>
    </row>
    <row r="282" spans="1:25" s="1137" customFormat="1" ht="136.15" customHeight="1">
      <c r="A282" s="1280">
        <v>232</v>
      </c>
      <c r="B282" s="1128" t="s">
        <v>2353</v>
      </c>
      <c r="C282" s="1129">
        <f>D282+N282+P282+R282+T282+V282+X282</f>
        <v>3588646.4600000004</v>
      </c>
      <c r="D282" s="1129">
        <f>SUM(E282:J282)</f>
        <v>0</v>
      </c>
      <c r="E282" s="1129">
        <v>0</v>
      </c>
      <c r="F282" s="1129">
        <v>0</v>
      </c>
      <c r="G282" s="1129">
        <v>0</v>
      </c>
      <c r="H282" s="1129">
        <v>0</v>
      </c>
      <c r="I282" s="1129">
        <v>0</v>
      </c>
      <c r="J282" s="1129">
        <v>0</v>
      </c>
      <c r="K282" s="1136">
        <v>0</v>
      </c>
      <c r="L282" s="1129">
        <v>0</v>
      </c>
      <c r="M282" s="1136">
        <v>0</v>
      </c>
      <c r="N282" s="1129">
        <v>0</v>
      </c>
      <c r="O282" s="1129">
        <v>467</v>
      </c>
      <c r="P282" s="1129">
        <v>3327985.74</v>
      </c>
      <c r="Q282" s="1129">
        <v>0</v>
      </c>
      <c r="R282" s="1129">
        <v>0</v>
      </c>
      <c r="S282" s="1129">
        <v>0</v>
      </c>
      <c r="T282" s="1129">
        <v>0</v>
      </c>
      <c r="U282" s="1129">
        <v>0</v>
      </c>
      <c r="V282" s="1129">
        <v>0</v>
      </c>
      <c r="W282" s="1129">
        <v>0</v>
      </c>
      <c r="X282" s="1129">
        <v>260660.72</v>
      </c>
      <c r="Y282" s="1129">
        <v>0</v>
      </c>
    </row>
    <row r="283" spans="1:25" s="1137" customFormat="1" ht="100.9" customHeight="1">
      <c r="A283" s="1280">
        <v>233</v>
      </c>
      <c r="B283" s="1128" t="s">
        <v>2354</v>
      </c>
      <c r="C283" s="1129">
        <f>D283+N283+P283+R283+T283+V283+X283</f>
        <v>904954.73</v>
      </c>
      <c r="D283" s="1129">
        <f>SUM(E283:J283)</f>
        <v>0</v>
      </c>
      <c r="E283" s="1129">
        <v>0</v>
      </c>
      <c r="F283" s="1129">
        <v>0</v>
      </c>
      <c r="G283" s="1129">
        <v>0</v>
      </c>
      <c r="H283" s="1129">
        <v>0</v>
      </c>
      <c r="I283" s="1129">
        <v>0</v>
      </c>
      <c r="J283" s="1129">
        <v>0</v>
      </c>
      <c r="K283" s="1136">
        <v>0</v>
      </c>
      <c r="L283" s="1129">
        <v>0</v>
      </c>
      <c r="M283" s="1136">
        <v>0</v>
      </c>
      <c r="N283" s="1129">
        <v>0</v>
      </c>
      <c r="O283" s="1129">
        <v>191.8</v>
      </c>
      <c r="P283" s="1129">
        <v>876570.73</v>
      </c>
      <c r="Q283" s="1129">
        <v>0</v>
      </c>
      <c r="R283" s="1129">
        <v>0</v>
      </c>
      <c r="S283" s="1129">
        <v>0</v>
      </c>
      <c r="T283" s="1129">
        <v>0</v>
      </c>
      <c r="U283" s="1129">
        <v>0</v>
      </c>
      <c r="V283" s="1129">
        <v>0</v>
      </c>
      <c r="W283" s="1129">
        <v>0</v>
      </c>
      <c r="X283" s="1129">
        <v>28384</v>
      </c>
      <c r="Y283" s="1129">
        <v>0</v>
      </c>
    </row>
    <row r="284" spans="1:25" s="1137" customFormat="1" ht="90" customHeight="1">
      <c r="A284" s="1280">
        <v>234</v>
      </c>
      <c r="B284" s="1135" t="s">
        <v>2355</v>
      </c>
      <c r="C284" s="1129">
        <f>D284+N284+P284+R284+T284+V284+X284</f>
        <v>2479662.89</v>
      </c>
      <c r="D284" s="1129">
        <f>SUM(E284:J284)</f>
        <v>0</v>
      </c>
      <c r="E284" s="1129">
        <v>0</v>
      </c>
      <c r="F284" s="1129">
        <v>0</v>
      </c>
      <c r="G284" s="1129">
        <v>0</v>
      </c>
      <c r="H284" s="1129">
        <v>0</v>
      </c>
      <c r="I284" s="1129">
        <v>0</v>
      </c>
      <c r="J284" s="1129">
        <v>0</v>
      </c>
      <c r="K284" s="1136">
        <v>0</v>
      </c>
      <c r="L284" s="1129">
        <v>0</v>
      </c>
      <c r="M284" s="1136">
        <v>0</v>
      </c>
      <c r="N284" s="1129">
        <v>0</v>
      </c>
      <c r="O284" s="1129">
        <v>581.6</v>
      </c>
      <c r="P284" s="1129">
        <v>2299553</v>
      </c>
      <c r="Q284" s="1129">
        <v>0</v>
      </c>
      <c r="R284" s="1129">
        <v>0</v>
      </c>
      <c r="S284" s="1129">
        <v>0</v>
      </c>
      <c r="T284" s="1129">
        <v>0</v>
      </c>
      <c r="U284" s="1129">
        <v>0</v>
      </c>
      <c r="V284" s="1129">
        <v>0</v>
      </c>
      <c r="W284" s="1129">
        <v>0</v>
      </c>
      <c r="X284" s="1129">
        <v>180109.89</v>
      </c>
      <c r="Y284" s="1129">
        <v>0</v>
      </c>
    </row>
    <row r="285" spans="1:25" s="1137" customFormat="1" ht="67.900000000000006" customHeight="1">
      <c r="A285" s="1280"/>
      <c r="B285" s="1135" t="s">
        <v>55</v>
      </c>
      <c r="C285" s="1129">
        <f>C286</f>
        <v>2914163</v>
      </c>
      <c r="D285" s="1129">
        <f t="shared" ref="D285:Y285" si="106">D286</f>
        <v>0</v>
      </c>
      <c r="E285" s="1129">
        <f t="shared" si="106"/>
        <v>0</v>
      </c>
      <c r="F285" s="1129">
        <f t="shared" si="106"/>
        <v>0</v>
      </c>
      <c r="G285" s="1129">
        <f t="shared" si="106"/>
        <v>0</v>
      </c>
      <c r="H285" s="1129">
        <f t="shared" si="106"/>
        <v>0</v>
      </c>
      <c r="I285" s="1129">
        <f t="shared" si="106"/>
        <v>0</v>
      </c>
      <c r="J285" s="1129">
        <f t="shared" si="106"/>
        <v>0</v>
      </c>
      <c r="K285" s="1136">
        <f t="shared" si="106"/>
        <v>0</v>
      </c>
      <c r="L285" s="1129">
        <f t="shared" si="106"/>
        <v>0</v>
      </c>
      <c r="M285" s="1136">
        <f t="shared" si="106"/>
        <v>0</v>
      </c>
      <c r="N285" s="1129">
        <f t="shared" si="106"/>
        <v>0</v>
      </c>
      <c r="O285" s="1129">
        <f t="shared" si="106"/>
        <v>730.5</v>
      </c>
      <c r="P285" s="1129">
        <f t="shared" si="106"/>
        <v>2702493</v>
      </c>
      <c r="Q285" s="1129">
        <f t="shared" si="106"/>
        <v>0</v>
      </c>
      <c r="R285" s="1129">
        <f t="shared" si="106"/>
        <v>0</v>
      </c>
      <c r="S285" s="1129">
        <f t="shared" si="106"/>
        <v>0</v>
      </c>
      <c r="T285" s="1129">
        <f t="shared" si="106"/>
        <v>0</v>
      </c>
      <c r="U285" s="1129">
        <f t="shared" si="106"/>
        <v>0</v>
      </c>
      <c r="V285" s="1129">
        <f t="shared" si="106"/>
        <v>0</v>
      </c>
      <c r="W285" s="1129">
        <v>0</v>
      </c>
      <c r="X285" s="1129">
        <f t="shared" si="106"/>
        <v>211670</v>
      </c>
      <c r="Y285" s="1129">
        <f t="shared" si="106"/>
        <v>0</v>
      </c>
    </row>
    <row r="286" spans="1:25" s="1137" customFormat="1" ht="133.9" customHeight="1">
      <c r="A286" s="1280"/>
      <c r="B286" s="1135" t="s">
        <v>1076</v>
      </c>
      <c r="C286" s="1129">
        <f>C287</f>
        <v>2914163</v>
      </c>
      <c r="D286" s="1129">
        <f t="shared" ref="D286:Y286" si="107">D287</f>
        <v>0</v>
      </c>
      <c r="E286" s="1129">
        <f t="shared" si="107"/>
        <v>0</v>
      </c>
      <c r="F286" s="1129">
        <f t="shared" si="107"/>
        <v>0</v>
      </c>
      <c r="G286" s="1129">
        <f t="shared" si="107"/>
        <v>0</v>
      </c>
      <c r="H286" s="1129">
        <f t="shared" si="107"/>
        <v>0</v>
      </c>
      <c r="I286" s="1129">
        <f t="shared" si="107"/>
        <v>0</v>
      </c>
      <c r="J286" s="1129">
        <f t="shared" si="107"/>
        <v>0</v>
      </c>
      <c r="K286" s="1136">
        <f t="shared" si="107"/>
        <v>0</v>
      </c>
      <c r="L286" s="1129">
        <f t="shared" si="107"/>
        <v>0</v>
      </c>
      <c r="M286" s="1136">
        <f t="shared" si="107"/>
        <v>0</v>
      </c>
      <c r="N286" s="1129">
        <f t="shared" si="107"/>
        <v>0</v>
      </c>
      <c r="O286" s="1129">
        <f t="shared" si="107"/>
        <v>730.5</v>
      </c>
      <c r="P286" s="1129">
        <f t="shared" si="107"/>
        <v>2702493</v>
      </c>
      <c r="Q286" s="1129">
        <f t="shared" si="107"/>
        <v>0</v>
      </c>
      <c r="R286" s="1129">
        <f t="shared" si="107"/>
        <v>0</v>
      </c>
      <c r="S286" s="1129">
        <f t="shared" si="107"/>
        <v>0</v>
      </c>
      <c r="T286" s="1129">
        <f t="shared" si="107"/>
        <v>0</v>
      </c>
      <c r="U286" s="1129">
        <f t="shared" si="107"/>
        <v>0</v>
      </c>
      <c r="V286" s="1129">
        <f t="shared" si="107"/>
        <v>0</v>
      </c>
      <c r="W286" s="1129">
        <v>0</v>
      </c>
      <c r="X286" s="1129">
        <f t="shared" si="107"/>
        <v>211670</v>
      </c>
      <c r="Y286" s="1129">
        <f t="shared" si="107"/>
        <v>0</v>
      </c>
    </row>
    <row r="287" spans="1:25" s="1137" customFormat="1" ht="66.599999999999994" customHeight="1">
      <c r="A287" s="1280">
        <v>235</v>
      </c>
      <c r="B287" s="1135" t="s">
        <v>1322</v>
      </c>
      <c r="C287" s="1129">
        <f>D287+N287+P287+R287+T287+V287+X287</f>
        <v>2914163</v>
      </c>
      <c r="D287" s="1129">
        <f>SUM(E287:J287)</f>
        <v>0</v>
      </c>
      <c r="E287" s="1129">
        <v>0</v>
      </c>
      <c r="F287" s="1129">
        <v>0</v>
      </c>
      <c r="G287" s="1129">
        <v>0</v>
      </c>
      <c r="H287" s="1129">
        <v>0</v>
      </c>
      <c r="I287" s="1129">
        <v>0</v>
      </c>
      <c r="J287" s="1129">
        <v>0</v>
      </c>
      <c r="K287" s="1136">
        <v>0</v>
      </c>
      <c r="L287" s="1129">
        <v>0</v>
      </c>
      <c r="M287" s="1136">
        <v>0</v>
      </c>
      <c r="N287" s="1129">
        <v>0</v>
      </c>
      <c r="O287" s="1129">
        <v>730.5</v>
      </c>
      <c r="P287" s="1129">
        <v>2702493</v>
      </c>
      <c r="Q287" s="1129">
        <v>0</v>
      </c>
      <c r="R287" s="1129">
        <v>0</v>
      </c>
      <c r="S287" s="1129">
        <v>0</v>
      </c>
      <c r="T287" s="1129">
        <v>0</v>
      </c>
      <c r="U287" s="1129">
        <v>0</v>
      </c>
      <c r="V287" s="1129">
        <v>0</v>
      </c>
      <c r="W287" s="1129">
        <v>0</v>
      </c>
      <c r="X287" s="1129">
        <v>211670</v>
      </c>
      <c r="Y287" s="1129">
        <v>0</v>
      </c>
    </row>
    <row r="288" spans="1:25" s="1137" customFormat="1" ht="90" customHeight="1">
      <c r="A288" s="1280"/>
      <c r="B288" s="1135" t="s">
        <v>1657</v>
      </c>
      <c r="C288" s="1129">
        <f>C289+C290</f>
        <v>2447067</v>
      </c>
      <c r="D288" s="1129">
        <f t="shared" ref="D288:Y288" si="108">D289+D290</f>
        <v>0</v>
      </c>
      <c r="E288" s="1129">
        <f t="shared" si="108"/>
        <v>0</v>
      </c>
      <c r="F288" s="1129">
        <f t="shared" si="108"/>
        <v>0</v>
      </c>
      <c r="G288" s="1129">
        <f t="shared" si="108"/>
        <v>0</v>
      </c>
      <c r="H288" s="1129">
        <f t="shared" si="108"/>
        <v>0</v>
      </c>
      <c r="I288" s="1129">
        <f t="shared" si="108"/>
        <v>0</v>
      </c>
      <c r="J288" s="1129">
        <f t="shared" si="108"/>
        <v>0</v>
      </c>
      <c r="K288" s="1136">
        <f t="shared" si="108"/>
        <v>0</v>
      </c>
      <c r="L288" s="1129">
        <f t="shared" si="108"/>
        <v>0</v>
      </c>
      <c r="M288" s="1136">
        <f t="shared" si="108"/>
        <v>0</v>
      </c>
      <c r="N288" s="1129">
        <f t="shared" si="108"/>
        <v>0</v>
      </c>
      <c r="O288" s="1129">
        <f t="shared" si="108"/>
        <v>723</v>
      </c>
      <c r="P288" s="1129">
        <f t="shared" si="108"/>
        <v>2269325</v>
      </c>
      <c r="Q288" s="1129">
        <f t="shared" si="108"/>
        <v>0</v>
      </c>
      <c r="R288" s="1129">
        <f t="shared" si="108"/>
        <v>0</v>
      </c>
      <c r="S288" s="1129">
        <f t="shared" si="108"/>
        <v>0</v>
      </c>
      <c r="T288" s="1129">
        <f t="shared" si="108"/>
        <v>0</v>
      </c>
      <c r="U288" s="1129">
        <f t="shared" si="108"/>
        <v>0</v>
      </c>
      <c r="V288" s="1129">
        <f t="shared" si="108"/>
        <v>0</v>
      </c>
      <c r="W288" s="1129">
        <v>0</v>
      </c>
      <c r="X288" s="1129">
        <f t="shared" si="108"/>
        <v>177742</v>
      </c>
      <c r="Y288" s="1129">
        <f t="shared" si="108"/>
        <v>0</v>
      </c>
    </row>
    <row r="289" spans="1:25" s="1137" customFormat="1" ht="81.599999999999994" customHeight="1">
      <c r="A289" s="1280">
        <v>236</v>
      </c>
      <c r="B289" s="1135" t="s">
        <v>1536</v>
      </c>
      <c r="C289" s="1129">
        <f>D289+N289+P289+R289+T289+V289+X289</f>
        <v>1198149</v>
      </c>
      <c r="D289" s="1129">
        <f>SUM(E289:J289)</f>
        <v>0</v>
      </c>
      <c r="E289" s="1129">
        <v>0</v>
      </c>
      <c r="F289" s="1129">
        <v>0</v>
      </c>
      <c r="G289" s="1129">
        <v>0</v>
      </c>
      <c r="H289" s="1129">
        <v>0</v>
      </c>
      <c r="I289" s="1129">
        <v>0</v>
      </c>
      <c r="J289" s="1129">
        <v>0</v>
      </c>
      <c r="K289" s="1136">
        <v>0</v>
      </c>
      <c r="L289" s="1129">
        <v>0</v>
      </c>
      <c r="M289" s="1136">
        <v>0</v>
      </c>
      <c r="N289" s="1129">
        <v>0</v>
      </c>
      <c r="O289" s="1129">
        <v>354</v>
      </c>
      <c r="P289" s="1129">
        <v>1111122</v>
      </c>
      <c r="Q289" s="1129">
        <v>0</v>
      </c>
      <c r="R289" s="1129">
        <v>0</v>
      </c>
      <c r="S289" s="1129">
        <v>0</v>
      </c>
      <c r="T289" s="1129">
        <v>0</v>
      </c>
      <c r="U289" s="1129">
        <v>0</v>
      </c>
      <c r="V289" s="1129">
        <v>0</v>
      </c>
      <c r="W289" s="1129">
        <v>0</v>
      </c>
      <c r="X289" s="1129">
        <v>87027</v>
      </c>
      <c r="Y289" s="1129">
        <v>0</v>
      </c>
    </row>
    <row r="290" spans="1:25" s="1137" customFormat="1" ht="88.9" customHeight="1">
      <c r="A290" s="1280">
        <v>237</v>
      </c>
      <c r="B290" s="1135" t="s">
        <v>1218</v>
      </c>
      <c r="C290" s="1129">
        <f>D290+N290+P290+R290+T290+V290+X290</f>
        <v>1248918</v>
      </c>
      <c r="D290" s="1129">
        <f>SUM(E290:J290)</f>
        <v>0</v>
      </c>
      <c r="E290" s="1129">
        <v>0</v>
      </c>
      <c r="F290" s="1129">
        <v>0</v>
      </c>
      <c r="G290" s="1129">
        <v>0</v>
      </c>
      <c r="H290" s="1129">
        <v>0</v>
      </c>
      <c r="I290" s="1129">
        <v>0</v>
      </c>
      <c r="J290" s="1129">
        <v>0</v>
      </c>
      <c r="K290" s="1136">
        <v>0</v>
      </c>
      <c r="L290" s="1129">
        <v>0</v>
      </c>
      <c r="M290" s="1136">
        <v>0</v>
      </c>
      <c r="N290" s="1129">
        <v>0</v>
      </c>
      <c r="O290" s="1129">
        <v>369</v>
      </c>
      <c r="P290" s="1129">
        <v>1158203</v>
      </c>
      <c r="Q290" s="1129">
        <v>0</v>
      </c>
      <c r="R290" s="1129">
        <v>0</v>
      </c>
      <c r="S290" s="1129">
        <v>0</v>
      </c>
      <c r="T290" s="1129">
        <v>0</v>
      </c>
      <c r="U290" s="1129">
        <v>0</v>
      </c>
      <c r="V290" s="1129">
        <v>0</v>
      </c>
      <c r="W290" s="1129">
        <v>0</v>
      </c>
      <c r="X290" s="1129">
        <v>90715</v>
      </c>
      <c r="Y290" s="1129">
        <v>0</v>
      </c>
    </row>
    <row r="291" spans="1:25" s="1137" customFormat="1" ht="92.45" customHeight="1">
      <c r="A291" s="1280"/>
      <c r="B291" s="1135" t="s">
        <v>1989</v>
      </c>
      <c r="C291" s="1129">
        <f>C306+C310+C292+C313</f>
        <v>54054963.459999993</v>
      </c>
      <c r="D291" s="1129">
        <f t="shared" ref="D291:Y291" si="109">D306+D310+D292+D313</f>
        <v>11618148.960000001</v>
      </c>
      <c r="E291" s="1129">
        <f t="shared" si="109"/>
        <v>1596921.82</v>
      </c>
      <c r="F291" s="1129">
        <f t="shared" si="109"/>
        <v>5118621.08</v>
      </c>
      <c r="G291" s="1129">
        <f t="shared" si="109"/>
        <v>487398.8</v>
      </c>
      <c r="H291" s="1129">
        <f t="shared" si="109"/>
        <v>2292427</v>
      </c>
      <c r="I291" s="1129">
        <f t="shared" si="109"/>
        <v>0</v>
      </c>
      <c r="J291" s="1129">
        <f t="shared" si="109"/>
        <v>2122780.2599999998</v>
      </c>
      <c r="K291" s="1136">
        <f t="shared" si="109"/>
        <v>2</v>
      </c>
      <c r="L291" s="1129">
        <f t="shared" si="109"/>
        <v>657563.02</v>
      </c>
      <c r="M291" s="1136">
        <f t="shared" si="109"/>
        <v>0</v>
      </c>
      <c r="N291" s="1129">
        <f t="shared" si="109"/>
        <v>0</v>
      </c>
      <c r="O291" s="1129">
        <f t="shared" si="109"/>
        <v>3350.28</v>
      </c>
      <c r="P291" s="1129">
        <f t="shared" si="109"/>
        <v>10065590.25</v>
      </c>
      <c r="Q291" s="1129">
        <f t="shared" si="109"/>
        <v>0</v>
      </c>
      <c r="R291" s="1129">
        <f t="shared" si="109"/>
        <v>0</v>
      </c>
      <c r="S291" s="1129">
        <f t="shared" si="109"/>
        <v>7881</v>
      </c>
      <c r="T291" s="1129">
        <f t="shared" si="109"/>
        <v>27904131.890000001</v>
      </c>
      <c r="U291" s="1129">
        <f t="shared" si="109"/>
        <v>0</v>
      </c>
      <c r="V291" s="1129">
        <f t="shared" si="109"/>
        <v>0</v>
      </c>
      <c r="W291" s="1129">
        <v>0</v>
      </c>
      <c r="X291" s="1129">
        <f t="shared" si="109"/>
        <v>3809529.34</v>
      </c>
      <c r="Y291" s="1129">
        <f t="shared" si="109"/>
        <v>0</v>
      </c>
    </row>
    <row r="292" spans="1:25" s="1137" customFormat="1" ht="133.9" customHeight="1">
      <c r="A292" s="1280"/>
      <c r="B292" s="1135" t="s">
        <v>2210</v>
      </c>
      <c r="C292" s="1129">
        <f>SUM(C293:C305)</f>
        <v>46056738.459999993</v>
      </c>
      <c r="D292" s="1129">
        <f t="shared" ref="D292:Y292" si="110">SUM(D293:D305)</f>
        <v>8877185.9600000009</v>
      </c>
      <c r="E292" s="1129">
        <f t="shared" si="110"/>
        <v>1596921.82</v>
      </c>
      <c r="F292" s="1129">
        <f t="shared" si="110"/>
        <v>5118621.08</v>
      </c>
      <c r="G292" s="1129">
        <f t="shared" si="110"/>
        <v>487398.8</v>
      </c>
      <c r="H292" s="1129">
        <f t="shared" si="110"/>
        <v>0</v>
      </c>
      <c r="I292" s="1129">
        <f t="shared" si="110"/>
        <v>0</v>
      </c>
      <c r="J292" s="1129">
        <f t="shared" si="110"/>
        <v>1674244.26</v>
      </c>
      <c r="K292" s="1136">
        <f t="shared" si="110"/>
        <v>2</v>
      </c>
      <c r="L292" s="1129">
        <f t="shared" si="110"/>
        <v>657563.02</v>
      </c>
      <c r="M292" s="1136">
        <f t="shared" si="110"/>
        <v>0</v>
      </c>
      <c r="N292" s="1129">
        <f t="shared" si="110"/>
        <v>0</v>
      </c>
      <c r="O292" s="1129">
        <f t="shared" si="110"/>
        <v>1582.88</v>
      </c>
      <c r="P292" s="1129">
        <f t="shared" si="110"/>
        <v>5389278.25</v>
      </c>
      <c r="Q292" s="1129">
        <f t="shared" si="110"/>
        <v>0</v>
      </c>
      <c r="R292" s="1129">
        <f t="shared" si="110"/>
        <v>0</v>
      </c>
      <c r="S292" s="1129">
        <f t="shared" si="110"/>
        <v>7881</v>
      </c>
      <c r="T292" s="1129">
        <f t="shared" si="110"/>
        <v>27904131.890000001</v>
      </c>
      <c r="U292" s="1129">
        <f t="shared" si="110"/>
        <v>0</v>
      </c>
      <c r="V292" s="1129">
        <f t="shared" si="110"/>
        <v>0</v>
      </c>
      <c r="W292" s="1129">
        <v>0</v>
      </c>
      <c r="X292" s="1129">
        <f t="shared" si="110"/>
        <v>3228579.34</v>
      </c>
      <c r="Y292" s="1129">
        <f t="shared" si="110"/>
        <v>0</v>
      </c>
    </row>
    <row r="293" spans="1:25" s="1137" customFormat="1" ht="67.900000000000006" customHeight="1">
      <c r="A293" s="1280">
        <v>238</v>
      </c>
      <c r="B293" s="1128" t="s">
        <v>1646</v>
      </c>
      <c r="C293" s="1129">
        <f>D293+P293+R293+T293+X293+L293</f>
        <v>2084014.67</v>
      </c>
      <c r="D293" s="1129">
        <f>E293+F293+G293+H293+I293+J293</f>
        <v>1620688.68</v>
      </c>
      <c r="E293" s="1129">
        <v>0</v>
      </c>
      <c r="F293" s="1129">
        <v>1133289.8799999999</v>
      </c>
      <c r="G293" s="1129">
        <v>487398.8</v>
      </c>
      <c r="H293" s="1129">
        <v>0</v>
      </c>
      <c r="I293" s="1129">
        <v>0</v>
      </c>
      <c r="J293" s="1129">
        <v>0</v>
      </c>
      <c r="K293" s="1136">
        <v>1</v>
      </c>
      <c r="L293" s="1129">
        <v>328781.51</v>
      </c>
      <c r="M293" s="1136">
        <v>0</v>
      </c>
      <c r="N293" s="1129">
        <v>0</v>
      </c>
      <c r="O293" s="1129">
        <v>0</v>
      </c>
      <c r="P293" s="1129">
        <v>0</v>
      </c>
      <c r="Q293" s="1129">
        <v>0</v>
      </c>
      <c r="R293" s="1129">
        <v>0</v>
      </c>
      <c r="S293" s="1129">
        <v>0</v>
      </c>
      <c r="T293" s="1129">
        <v>0</v>
      </c>
      <c r="U293" s="1129">
        <v>0</v>
      </c>
      <c r="V293" s="1129">
        <v>0</v>
      </c>
      <c r="W293" s="1129">
        <v>0</v>
      </c>
      <c r="X293" s="1129">
        <v>134544.48000000001</v>
      </c>
      <c r="Y293" s="1129">
        <v>0</v>
      </c>
    </row>
    <row r="294" spans="1:25" s="1137" customFormat="1" ht="90" customHeight="1">
      <c r="A294" s="1280">
        <v>239</v>
      </c>
      <c r="B294" s="1128" t="s">
        <v>2356</v>
      </c>
      <c r="C294" s="1129">
        <f>D294+P294+R294+T294+X294+L294</f>
        <v>5534580.9800000004</v>
      </c>
      <c r="D294" s="1129">
        <f>E294+F294+G294+H294+I294+J294</f>
        <v>959978.72</v>
      </c>
      <c r="E294" s="1129">
        <v>0</v>
      </c>
      <c r="F294" s="1129">
        <v>959978.72</v>
      </c>
      <c r="G294" s="1129">
        <v>0</v>
      </c>
      <c r="H294" s="1129">
        <v>0</v>
      </c>
      <c r="I294" s="1129">
        <v>0</v>
      </c>
      <c r="J294" s="1129">
        <v>0</v>
      </c>
      <c r="K294" s="1136">
        <v>1</v>
      </c>
      <c r="L294" s="1129">
        <v>328781.51</v>
      </c>
      <c r="M294" s="1158">
        <v>0</v>
      </c>
      <c r="N294" s="1157">
        <v>0</v>
      </c>
      <c r="O294" s="1157">
        <v>0</v>
      </c>
      <c r="P294" s="1157">
        <v>0</v>
      </c>
      <c r="Q294" s="1129">
        <v>0</v>
      </c>
      <c r="R294" s="1129">
        <v>0</v>
      </c>
      <c r="S294" s="1129">
        <v>805</v>
      </c>
      <c r="T294" s="1129">
        <v>3858711.31</v>
      </c>
      <c r="U294" s="1157">
        <v>0</v>
      </c>
      <c r="V294" s="1157">
        <v>0</v>
      </c>
      <c r="W294" s="1129">
        <v>0</v>
      </c>
      <c r="X294" s="1129">
        <v>387109.44</v>
      </c>
      <c r="Y294" s="1157">
        <v>0</v>
      </c>
    </row>
    <row r="295" spans="1:25" s="1137" customFormat="1" ht="98.45" customHeight="1">
      <c r="A295" s="1280">
        <v>240</v>
      </c>
      <c r="B295" s="1128" t="s">
        <v>2357</v>
      </c>
      <c r="C295" s="1129">
        <f t="shared" ref="C295" si="111">D295+P295+R295+T295+X295</f>
        <v>10334122.189999999</v>
      </c>
      <c r="D295" s="1129">
        <f t="shared" ref="D295:D304" si="112">E295+F295+G295+H295+I295+J295</f>
        <v>0</v>
      </c>
      <c r="E295" s="1129">
        <v>0</v>
      </c>
      <c r="F295" s="1129">
        <v>0</v>
      </c>
      <c r="G295" s="1129">
        <v>0</v>
      </c>
      <c r="H295" s="1129">
        <v>0</v>
      </c>
      <c r="I295" s="1129">
        <v>0</v>
      </c>
      <c r="J295" s="1129">
        <v>0</v>
      </c>
      <c r="K295" s="1136">
        <v>0</v>
      </c>
      <c r="L295" s="1129">
        <v>0</v>
      </c>
      <c r="M295" s="1158">
        <v>0</v>
      </c>
      <c r="N295" s="1157">
        <v>0</v>
      </c>
      <c r="O295" s="1129">
        <v>0</v>
      </c>
      <c r="P295" s="1129">
        <v>0</v>
      </c>
      <c r="Q295" s="1129">
        <v>0</v>
      </c>
      <c r="R295" s="1129">
        <v>0</v>
      </c>
      <c r="S295" s="1129">
        <v>1999.3</v>
      </c>
      <c r="T295" s="1129">
        <v>9583505</v>
      </c>
      <c r="U295" s="1157">
        <v>0</v>
      </c>
      <c r="V295" s="1157">
        <v>0</v>
      </c>
      <c r="W295" s="1129">
        <v>0</v>
      </c>
      <c r="X295" s="1129">
        <v>750617.19</v>
      </c>
      <c r="Y295" s="1157">
        <v>0</v>
      </c>
    </row>
    <row r="296" spans="1:25" s="1137" customFormat="1" ht="97.15" customHeight="1">
      <c r="A296" s="1280">
        <v>241</v>
      </c>
      <c r="B296" s="1128" t="s">
        <v>2358</v>
      </c>
      <c r="C296" s="1129">
        <f t="shared" ref="C296:C304" si="113">D296+P296+T296+X296</f>
        <v>3827101.1900000004</v>
      </c>
      <c r="D296" s="1129">
        <f t="shared" si="112"/>
        <v>0</v>
      </c>
      <c r="E296" s="1129">
        <v>0</v>
      </c>
      <c r="F296" s="1129">
        <v>0</v>
      </c>
      <c r="G296" s="1129">
        <v>0</v>
      </c>
      <c r="H296" s="1129">
        <v>0</v>
      </c>
      <c r="I296" s="1129">
        <v>0</v>
      </c>
      <c r="J296" s="1129">
        <v>0</v>
      </c>
      <c r="K296" s="1136">
        <v>0</v>
      </c>
      <c r="L296" s="1129">
        <v>0</v>
      </c>
      <c r="M296" s="1158">
        <v>0</v>
      </c>
      <c r="N296" s="1157">
        <v>0</v>
      </c>
      <c r="O296" s="1129">
        <v>503.16</v>
      </c>
      <c r="P296" s="1129">
        <v>1989413.83</v>
      </c>
      <c r="Q296" s="1129">
        <v>0</v>
      </c>
      <c r="R296" s="1129">
        <v>0</v>
      </c>
      <c r="S296" s="1129">
        <v>609.5</v>
      </c>
      <c r="T296" s="1129">
        <v>1504064.61</v>
      </c>
      <c r="U296" s="1157">
        <v>0</v>
      </c>
      <c r="V296" s="1157">
        <v>0</v>
      </c>
      <c r="W296" s="1129">
        <v>0</v>
      </c>
      <c r="X296" s="1129">
        <v>333622.75</v>
      </c>
      <c r="Y296" s="1157">
        <v>0</v>
      </c>
    </row>
    <row r="297" spans="1:25" s="1137" customFormat="1" ht="98.45" customHeight="1">
      <c r="A297" s="1280">
        <v>242</v>
      </c>
      <c r="B297" s="1128" t="s">
        <v>2359</v>
      </c>
      <c r="C297" s="1129">
        <f t="shared" si="113"/>
        <v>1863219.88</v>
      </c>
      <c r="D297" s="1129">
        <f t="shared" si="112"/>
        <v>0</v>
      </c>
      <c r="E297" s="1129">
        <v>0</v>
      </c>
      <c r="F297" s="1129">
        <v>0</v>
      </c>
      <c r="G297" s="1129">
        <v>0</v>
      </c>
      <c r="H297" s="1129">
        <v>0</v>
      </c>
      <c r="I297" s="1129">
        <v>0</v>
      </c>
      <c r="J297" s="1129">
        <v>0</v>
      </c>
      <c r="K297" s="1136">
        <v>0</v>
      </c>
      <c r="L297" s="1129">
        <v>0</v>
      </c>
      <c r="M297" s="1158">
        <v>0</v>
      </c>
      <c r="N297" s="1157">
        <v>0</v>
      </c>
      <c r="O297" s="1157">
        <v>0</v>
      </c>
      <c r="P297" s="1157">
        <v>0</v>
      </c>
      <c r="Q297" s="1129">
        <v>0</v>
      </c>
      <c r="R297" s="1129">
        <v>0</v>
      </c>
      <c r="S297" s="1129">
        <v>700.2</v>
      </c>
      <c r="T297" s="1129">
        <v>1727885.22</v>
      </c>
      <c r="U297" s="1157">
        <v>0</v>
      </c>
      <c r="V297" s="1157">
        <v>0</v>
      </c>
      <c r="W297" s="1129">
        <v>0</v>
      </c>
      <c r="X297" s="1129">
        <v>135334.66</v>
      </c>
      <c r="Y297" s="1157">
        <v>0</v>
      </c>
    </row>
    <row r="298" spans="1:25" s="1137" customFormat="1" ht="86.45" customHeight="1">
      <c r="A298" s="1280">
        <v>243</v>
      </c>
      <c r="B298" s="1128" t="s">
        <v>2360</v>
      </c>
      <c r="C298" s="1129">
        <f t="shared" si="113"/>
        <v>2200898.5499999998</v>
      </c>
      <c r="D298" s="1129">
        <f t="shared" si="112"/>
        <v>0</v>
      </c>
      <c r="E298" s="1129">
        <v>0</v>
      </c>
      <c r="F298" s="1129">
        <v>0</v>
      </c>
      <c r="G298" s="1129">
        <v>0</v>
      </c>
      <c r="H298" s="1129">
        <v>0</v>
      </c>
      <c r="I298" s="1129">
        <v>0</v>
      </c>
      <c r="J298" s="1129">
        <v>0</v>
      </c>
      <c r="K298" s="1136">
        <v>0</v>
      </c>
      <c r="L298" s="1129">
        <v>0</v>
      </c>
      <c r="M298" s="1158">
        <v>0</v>
      </c>
      <c r="N298" s="1157">
        <v>0</v>
      </c>
      <c r="O298" s="1157">
        <v>0</v>
      </c>
      <c r="P298" s="1157">
        <v>0</v>
      </c>
      <c r="Q298" s="1129">
        <v>0</v>
      </c>
      <c r="R298" s="1129">
        <v>0</v>
      </c>
      <c r="S298" s="1129">
        <v>827.1</v>
      </c>
      <c r="T298" s="1129">
        <v>2041036.66</v>
      </c>
      <c r="U298" s="1157">
        <v>0</v>
      </c>
      <c r="V298" s="1157">
        <v>0</v>
      </c>
      <c r="W298" s="1129">
        <v>0</v>
      </c>
      <c r="X298" s="1129">
        <v>159861.89000000001</v>
      </c>
      <c r="Y298" s="1157">
        <v>0</v>
      </c>
    </row>
    <row r="299" spans="1:25" s="1137" customFormat="1" ht="84" customHeight="1">
      <c r="A299" s="1280">
        <v>244</v>
      </c>
      <c r="B299" s="1128" t="s">
        <v>2361</v>
      </c>
      <c r="C299" s="1129">
        <f t="shared" si="113"/>
        <v>2089137.2799999998</v>
      </c>
      <c r="D299" s="1129">
        <f t="shared" si="112"/>
        <v>0</v>
      </c>
      <c r="E299" s="1129">
        <v>0</v>
      </c>
      <c r="F299" s="1129">
        <v>0</v>
      </c>
      <c r="G299" s="1129">
        <v>0</v>
      </c>
      <c r="H299" s="1129">
        <v>0</v>
      </c>
      <c r="I299" s="1129">
        <v>0</v>
      </c>
      <c r="J299" s="1129">
        <v>0</v>
      </c>
      <c r="K299" s="1136">
        <v>0</v>
      </c>
      <c r="L299" s="1129">
        <v>0</v>
      </c>
      <c r="M299" s="1158">
        <v>0</v>
      </c>
      <c r="N299" s="1157">
        <v>0</v>
      </c>
      <c r="O299" s="1157">
        <v>0</v>
      </c>
      <c r="P299" s="1157">
        <v>0</v>
      </c>
      <c r="Q299" s="1129">
        <v>0</v>
      </c>
      <c r="R299" s="1129">
        <v>0</v>
      </c>
      <c r="S299" s="1129">
        <v>785.1</v>
      </c>
      <c r="T299" s="1129">
        <v>1937393.15</v>
      </c>
      <c r="U299" s="1157">
        <v>0</v>
      </c>
      <c r="V299" s="1157">
        <v>0</v>
      </c>
      <c r="W299" s="1129">
        <v>0</v>
      </c>
      <c r="X299" s="1129">
        <v>151744.13</v>
      </c>
      <c r="Y299" s="1157">
        <v>0</v>
      </c>
    </row>
    <row r="300" spans="1:25" s="1137" customFormat="1" ht="98.45" customHeight="1">
      <c r="A300" s="1280">
        <v>245</v>
      </c>
      <c r="B300" s="1128" t="s">
        <v>2362</v>
      </c>
      <c r="C300" s="1129">
        <f t="shared" si="113"/>
        <v>5109821.33</v>
      </c>
      <c r="D300" s="1129">
        <f t="shared" si="112"/>
        <v>0</v>
      </c>
      <c r="E300" s="1129">
        <v>0</v>
      </c>
      <c r="F300" s="1129">
        <v>0</v>
      </c>
      <c r="G300" s="1129">
        <v>0</v>
      </c>
      <c r="H300" s="1129">
        <v>0</v>
      </c>
      <c r="I300" s="1129">
        <v>0</v>
      </c>
      <c r="J300" s="1129">
        <v>0</v>
      </c>
      <c r="K300" s="1136">
        <v>0</v>
      </c>
      <c r="L300" s="1129">
        <v>0</v>
      </c>
      <c r="M300" s="1158">
        <v>0</v>
      </c>
      <c r="N300" s="1157">
        <v>0</v>
      </c>
      <c r="O300" s="1129">
        <v>473.62</v>
      </c>
      <c r="P300" s="1129">
        <v>1872617.42</v>
      </c>
      <c r="Q300" s="1129">
        <v>0</v>
      </c>
      <c r="R300" s="1129">
        <v>0</v>
      </c>
      <c r="S300" s="1129">
        <v>515.20000000000005</v>
      </c>
      <c r="T300" s="1129">
        <v>2990955.41</v>
      </c>
      <c r="U300" s="1157">
        <v>0</v>
      </c>
      <c r="V300" s="1157">
        <v>0</v>
      </c>
      <c r="W300" s="1129">
        <v>0</v>
      </c>
      <c r="X300" s="1129">
        <v>246248.5</v>
      </c>
      <c r="Y300" s="1157">
        <v>0</v>
      </c>
    </row>
    <row r="301" spans="1:25" s="1137" customFormat="1" ht="85.15" customHeight="1">
      <c r="A301" s="1280">
        <v>246</v>
      </c>
      <c r="B301" s="1128" t="s">
        <v>2363</v>
      </c>
      <c r="C301" s="1129">
        <f t="shared" si="113"/>
        <v>1462875.3399999999</v>
      </c>
      <c r="D301" s="1129">
        <f t="shared" si="112"/>
        <v>0</v>
      </c>
      <c r="E301" s="1129">
        <v>0</v>
      </c>
      <c r="F301" s="1129">
        <v>0</v>
      </c>
      <c r="G301" s="1129">
        <v>0</v>
      </c>
      <c r="H301" s="1129">
        <v>0</v>
      </c>
      <c r="I301" s="1129">
        <v>0</v>
      </c>
      <c r="J301" s="1129">
        <v>0</v>
      </c>
      <c r="K301" s="1136">
        <v>0</v>
      </c>
      <c r="L301" s="1129">
        <v>0</v>
      </c>
      <c r="M301" s="1158">
        <v>0</v>
      </c>
      <c r="N301" s="1157">
        <v>0</v>
      </c>
      <c r="O301" s="1157">
        <v>0</v>
      </c>
      <c r="P301" s="1157">
        <v>0</v>
      </c>
      <c r="Q301" s="1129">
        <v>0</v>
      </c>
      <c r="R301" s="1129">
        <v>0</v>
      </c>
      <c r="S301" s="1129">
        <v>468.2</v>
      </c>
      <c r="T301" s="1129">
        <v>1372381.64</v>
      </c>
      <c r="U301" s="1157">
        <v>0</v>
      </c>
      <c r="V301" s="1157">
        <v>0</v>
      </c>
      <c r="W301" s="1129">
        <v>0</v>
      </c>
      <c r="X301" s="1129">
        <v>90493.7</v>
      </c>
      <c r="Y301" s="1157">
        <v>0</v>
      </c>
    </row>
    <row r="302" spans="1:25" s="1137" customFormat="1" ht="90" customHeight="1">
      <c r="A302" s="1280">
        <v>247</v>
      </c>
      <c r="B302" s="1128" t="s">
        <v>2364</v>
      </c>
      <c r="C302" s="1129">
        <f t="shared" si="113"/>
        <v>3114413.8000000003</v>
      </c>
      <c r="D302" s="1129">
        <f t="shared" si="112"/>
        <v>0</v>
      </c>
      <c r="E302" s="1129">
        <v>0</v>
      </c>
      <c r="F302" s="1129">
        <v>0</v>
      </c>
      <c r="G302" s="1129">
        <v>0</v>
      </c>
      <c r="H302" s="1129">
        <v>0</v>
      </c>
      <c r="I302" s="1129">
        <v>0</v>
      </c>
      <c r="J302" s="1129">
        <v>0</v>
      </c>
      <c r="K302" s="1136">
        <v>0</v>
      </c>
      <c r="L302" s="1129">
        <v>0</v>
      </c>
      <c r="M302" s="1158">
        <v>0</v>
      </c>
      <c r="N302" s="1157">
        <v>0</v>
      </c>
      <c r="O302" s="1157">
        <v>0</v>
      </c>
      <c r="P302" s="1157">
        <v>0</v>
      </c>
      <c r="Q302" s="1129">
        <v>0</v>
      </c>
      <c r="R302" s="1129">
        <v>0</v>
      </c>
      <c r="S302" s="1129">
        <v>1171.4000000000001</v>
      </c>
      <c r="T302" s="1129">
        <v>2888198.89</v>
      </c>
      <c r="U302" s="1157">
        <v>0</v>
      </c>
      <c r="V302" s="1157">
        <v>0</v>
      </c>
      <c r="W302" s="1129">
        <v>0</v>
      </c>
      <c r="X302" s="1129">
        <v>226214.91</v>
      </c>
      <c r="Y302" s="1157">
        <v>0</v>
      </c>
    </row>
    <row r="303" spans="1:25" s="1137" customFormat="1" ht="91.5" customHeight="1">
      <c r="A303" s="1280">
        <v>248</v>
      </c>
      <c r="B303" s="1128" t="s">
        <v>2989</v>
      </c>
      <c r="C303" s="1129">
        <f>D303+P303+T303+X303</f>
        <v>1646867</v>
      </c>
      <c r="D303" s="1129">
        <f t="shared" si="112"/>
        <v>0</v>
      </c>
      <c r="E303" s="1129">
        <v>0</v>
      </c>
      <c r="F303" s="1129">
        <v>0</v>
      </c>
      <c r="G303" s="1129">
        <v>0</v>
      </c>
      <c r="H303" s="1129">
        <v>0</v>
      </c>
      <c r="I303" s="1129">
        <v>0</v>
      </c>
      <c r="J303" s="1129">
        <v>0</v>
      </c>
      <c r="K303" s="1136">
        <v>0</v>
      </c>
      <c r="L303" s="1129">
        <v>0</v>
      </c>
      <c r="M303" s="1158">
        <v>0</v>
      </c>
      <c r="N303" s="1157">
        <v>0</v>
      </c>
      <c r="O303" s="1129">
        <v>606.1</v>
      </c>
      <c r="P303" s="1129">
        <v>1527247</v>
      </c>
      <c r="Q303" s="1129">
        <v>0</v>
      </c>
      <c r="R303" s="1129">
        <v>0</v>
      </c>
      <c r="S303" s="1129">
        <v>0</v>
      </c>
      <c r="T303" s="1129">
        <v>0</v>
      </c>
      <c r="U303" s="1157">
        <v>0</v>
      </c>
      <c r="V303" s="1157">
        <v>0</v>
      </c>
      <c r="W303" s="1129">
        <v>0</v>
      </c>
      <c r="X303" s="1129">
        <v>119620</v>
      </c>
      <c r="Y303" s="1157">
        <v>0</v>
      </c>
    </row>
    <row r="304" spans="1:25" s="1137" customFormat="1" ht="135" customHeight="1">
      <c r="A304" s="1280">
        <v>249</v>
      </c>
      <c r="B304" s="1128" t="s">
        <v>2365</v>
      </c>
      <c r="C304" s="1129">
        <f t="shared" si="113"/>
        <v>6250068.7599999998</v>
      </c>
      <c r="D304" s="1129">
        <f t="shared" si="112"/>
        <v>5796096.0899999999</v>
      </c>
      <c r="E304" s="1129">
        <v>1596921.82</v>
      </c>
      <c r="F304" s="1129">
        <v>3025352.48</v>
      </c>
      <c r="G304" s="1129">
        <v>0</v>
      </c>
      <c r="H304" s="1129">
        <v>0</v>
      </c>
      <c r="I304" s="1129">
        <v>0</v>
      </c>
      <c r="J304" s="1129">
        <v>1173821.79</v>
      </c>
      <c r="K304" s="1136">
        <v>0</v>
      </c>
      <c r="L304" s="1129">
        <v>0</v>
      </c>
      <c r="M304" s="1158">
        <v>0</v>
      </c>
      <c r="N304" s="1157">
        <v>0</v>
      </c>
      <c r="O304" s="1157">
        <v>0</v>
      </c>
      <c r="P304" s="1157">
        <v>0</v>
      </c>
      <c r="Q304" s="1129">
        <v>0</v>
      </c>
      <c r="R304" s="1129">
        <v>0</v>
      </c>
      <c r="S304" s="1129">
        <v>0</v>
      </c>
      <c r="T304" s="1129">
        <v>0</v>
      </c>
      <c r="U304" s="1157">
        <v>0</v>
      </c>
      <c r="V304" s="1157">
        <v>0</v>
      </c>
      <c r="W304" s="1129">
        <v>0</v>
      </c>
      <c r="X304" s="1129">
        <v>453972.67</v>
      </c>
      <c r="Y304" s="1157">
        <v>0</v>
      </c>
    </row>
    <row r="305" spans="1:25" s="1137" customFormat="1" ht="84" customHeight="1">
      <c r="A305" s="1280">
        <v>250</v>
      </c>
      <c r="B305" s="1128" t="s">
        <v>2990</v>
      </c>
      <c r="C305" s="1129">
        <f>D305+P305+T305+X305</f>
        <v>539617.49</v>
      </c>
      <c r="D305" s="1129">
        <f>E305+F305+G305+H305+I305+J305</f>
        <v>500422.47</v>
      </c>
      <c r="E305" s="1129">
        <v>0</v>
      </c>
      <c r="F305" s="1129">
        <v>0</v>
      </c>
      <c r="G305" s="1129">
        <v>0</v>
      </c>
      <c r="H305" s="1129">
        <v>0</v>
      </c>
      <c r="I305" s="1129">
        <v>0</v>
      </c>
      <c r="J305" s="1129">
        <v>500422.47</v>
      </c>
      <c r="K305" s="1136">
        <v>0</v>
      </c>
      <c r="L305" s="1129">
        <v>0</v>
      </c>
      <c r="M305" s="1136">
        <v>0</v>
      </c>
      <c r="N305" s="1129">
        <v>0</v>
      </c>
      <c r="O305" s="1129">
        <v>0</v>
      </c>
      <c r="P305" s="1129">
        <v>0</v>
      </c>
      <c r="Q305" s="1129">
        <v>0</v>
      </c>
      <c r="R305" s="1129">
        <v>0</v>
      </c>
      <c r="S305" s="1129">
        <v>0</v>
      </c>
      <c r="T305" s="1129">
        <v>0</v>
      </c>
      <c r="U305" s="1129">
        <v>0</v>
      </c>
      <c r="V305" s="1129">
        <v>0</v>
      </c>
      <c r="W305" s="1129">
        <v>0</v>
      </c>
      <c r="X305" s="1129">
        <v>39195.019999999997</v>
      </c>
      <c r="Y305" s="1157">
        <v>0</v>
      </c>
    </row>
    <row r="306" spans="1:25" s="1137" customFormat="1" ht="126.6" customHeight="1">
      <c r="A306" s="1280"/>
      <c r="B306" s="1135" t="s">
        <v>2366</v>
      </c>
      <c r="C306" s="1129">
        <f>C309+C308+C307</f>
        <v>4455042</v>
      </c>
      <c r="D306" s="1129">
        <f t="shared" ref="D306:Y306" si="114">D309+D308+D307</f>
        <v>2292427</v>
      </c>
      <c r="E306" s="1129">
        <f t="shared" si="114"/>
        <v>0</v>
      </c>
      <c r="F306" s="1129">
        <f t="shared" si="114"/>
        <v>0</v>
      </c>
      <c r="G306" s="1129">
        <f t="shared" si="114"/>
        <v>0</v>
      </c>
      <c r="H306" s="1129">
        <f t="shared" si="114"/>
        <v>2292427</v>
      </c>
      <c r="I306" s="1129">
        <f t="shared" si="114"/>
        <v>0</v>
      </c>
      <c r="J306" s="1129">
        <f t="shared" si="114"/>
        <v>0</v>
      </c>
      <c r="K306" s="1136">
        <f t="shared" si="114"/>
        <v>0</v>
      </c>
      <c r="L306" s="1129">
        <f t="shared" si="114"/>
        <v>0</v>
      </c>
      <c r="M306" s="1136">
        <f t="shared" si="114"/>
        <v>0</v>
      </c>
      <c r="N306" s="1129">
        <f t="shared" si="114"/>
        <v>0</v>
      </c>
      <c r="O306" s="1129">
        <f t="shared" si="114"/>
        <v>641.4</v>
      </c>
      <c r="P306" s="1129">
        <f t="shared" si="114"/>
        <v>1839024</v>
      </c>
      <c r="Q306" s="1129">
        <f t="shared" si="114"/>
        <v>0</v>
      </c>
      <c r="R306" s="1129">
        <f t="shared" si="114"/>
        <v>0</v>
      </c>
      <c r="S306" s="1129">
        <f t="shared" si="114"/>
        <v>0</v>
      </c>
      <c r="T306" s="1129">
        <f t="shared" si="114"/>
        <v>0</v>
      </c>
      <c r="U306" s="1129">
        <f t="shared" si="114"/>
        <v>0</v>
      </c>
      <c r="V306" s="1129">
        <f t="shared" si="114"/>
        <v>0</v>
      </c>
      <c r="W306" s="1129">
        <v>0</v>
      </c>
      <c r="X306" s="1129">
        <f t="shared" si="114"/>
        <v>323591</v>
      </c>
      <c r="Y306" s="1129">
        <f t="shared" si="114"/>
        <v>0</v>
      </c>
    </row>
    <row r="307" spans="1:25" s="1137" customFormat="1" ht="85.15" customHeight="1">
      <c r="A307" s="1280">
        <v>251</v>
      </c>
      <c r="B307" s="1135" t="s">
        <v>2367</v>
      </c>
      <c r="C307" s="1129">
        <f>D307+N307+P307+R307+T307+V307+X307</f>
        <v>1218456</v>
      </c>
      <c r="D307" s="1129">
        <f>SUM(E307:J307)</f>
        <v>0</v>
      </c>
      <c r="E307" s="1129">
        <v>0</v>
      </c>
      <c r="F307" s="1129">
        <v>0</v>
      </c>
      <c r="G307" s="1129">
        <v>0</v>
      </c>
      <c r="H307" s="1129">
        <v>0</v>
      </c>
      <c r="I307" s="1129">
        <v>0</v>
      </c>
      <c r="J307" s="1129">
        <v>0</v>
      </c>
      <c r="K307" s="1136">
        <v>0</v>
      </c>
      <c r="L307" s="1129">
        <v>0</v>
      </c>
      <c r="M307" s="1136">
        <v>0</v>
      </c>
      <c r="N307" s="1129">
        <v>0</v>
      </c>
      <c r="O307" s="1129">
        <v>360</v>
      </c>
      <c r="P307" s="1129">
        <v>1129954</v>
      </c>
      <c r="Q307" s="1129">
        <v>0</v>
      </c>
      <c r="R307" s="1129">
        <v>0</v>
      </c>
      <c r="S307" s="1129">
        <v>0</v>
      </c>
      <c r="T307" s="1129">
        <v>0</v>
      </c>
      <c r="U307" s="1129">
        <v>0</v>
      </c>
      <c r="V307" s="1129">
        <v>0</v>
      </c>
      <c r="W307" s="1129">
        <v>0</v>
      </c>
      <c r="X307" s="1129">
        <v>88502</v>
      </c>
      <c r="Y307" s="1129">
        <v>0</v>
      </c>
    </row>
    <row r="308" spans="1:25" s="1137" customFormat="1" ht="93.6" customHeight="1">
      <c r="A308" s="1280">
        <v>252</v>
      </c>
      <c r="B308" s="1135" t="s">
        <v>2368</v>
      </c>
      <c r="C308" s="1129">
        <f>D308+N308+P308+R308+T308+V308+X308</f>
        <v>764607</v>
      </c>
      <c r="D308" s="1129">
        <f>SUM(E308:J308)</f>
        <v>0</v>
      </c>
      <c r="E308" s="1129">
        <v>0</v>
      </c>
      <c r="F308" s="1129">
        <v>0</v>
      </c>
      <c r="G308" s="1129">
        <v>0</v>
      </c>
      <c r="H308" s="1129">
        <v>0</v>
      </c>
      <c r="I308" s="1129">
        <v>0</v>
      </c>
      <c r="J308" s="1129">
        <v>0</v>
      </c>
      <c r="K308" s="1136">
        <v>0</v>
      </c>
      <c r="L308" s="1129">
        <v>0</v>
      </c>
      <c r="M308" s="1136">
        <v>0</v>
      </c>
      <c r="N308" s="1129">
        <v>0</v>
      </c>
      <c r="O308" s="1129">
        <v>281.39999999999998</v>
      </c>
      <c r="P308" s="1129">
        <v>709070</v>
      </c>
      <c r="Q308" s="1129">
        <v>0</v>
      </c>
      <c r="R308" s="1129">
        <v>0</v>
      </c>
      <c r="S308" s="1129">
        <v>0</v>
      </c>
      <c r="T308" s="1129">
        <v>0</v>
      </c>
      <c r="U308" s="1129">
        <v>0</v>
      </c>
      <c r="V308" s="1129">
        <v>0</v>
      </c>
      <c r="W308" s="1129">
        <v>0</v>
      </c>
      <c r="X308" s="1129">
        <v>55537</v>
      </c>
      <c r="Y308" s="1129">
        <v>0</v>
      </c>
    </row>
    <row r="309" spans="1:25" s="1137" customFormat="1" ht="102" customHeight="1">
      <c r="A309" s="1280">
        <v>253</v>
      </c>
      <c r="B309" s="1135" t="s">
        <v>2369</v>
      </c>
      <c r="C309" s="1129">
        <f>D309+N309+P309+R309+T309+V309+X309</f>
        <v>2471979</v>
      </c>
      <c r="D309" s="1129">
        <f>SUM(E309:J309)</f>
        <v>2292427</v>
      </c>
      <c r="E309" s="1129">
        <f>([1]база!E339-(([1]база!E339*8)/110.14))</f>
        <v>0</v>
      </c>
      <c r="F309" s="1129">
        <f>([1]база!F339-(([1]база!F339*8)/110.14))</f>
        <v>0</v>
      </c>
      <c r="G309" s="1129">
        <f>([1]база!G339-(([1]база!G339*8)/110.14))</f>
        <v>0</v>
      </c>
      <c r="H309" s="1129">
        <v>2292427</v>
      </c>
      <c r="I309" s="1129">
        <f>([1]база!I339-(([1]база!I339*8)/110.14))</f>
        <v>0</v>
      </c>
      <c r="J309" s="1129">
        <f>([1]база!J339-(([1]база!J339*8)/110.14))</f>
        <v>0</v>
      </c>
      <c r="K309" s="1136">
        <v>0</v>
      </c>
      <c r="L309" s="1129">
        <v>0</v>
      </c>
      <c r="M309" s="1136">
        <v>0</v>
      </c>
      <c r="N309" s="1129">
        <f>([1]база!L339-([1]база!L339*8)/110.14)</f>
        <v>0</v>
      </c>
      <c r="O309" s="1129">
        <v>0</v>
      </c>
      <c r="P309" s="1129">
        <v>0</v>
      </c>
      <c r="Q309" s="1129">
        <v>0</v>
      </c>
      <c r="R309" s="1129">
        <f>([1]база!P339-([1]база!P339*8)/110.14)</f>
        <v>0</v>
      </c>
      <c r="S309" s="1129">
        <v>0</v>
      </c>
      <c r="T309" s="1129">
        <f>([1]база!R339-([1]база!R339*8)/110.14)</f>
        <v>0</v>
      </c>
      <c r="U309" s="1129">
        <v>0</v>
      </c>
      <c r="V309" s="1129">
        <f>([1]база!T339-([1]база!T339*8)/110.14)</f>
        <v>0</v>
      </c>
      <c r="W309" s="1129">
        <v>0</v>
      </c>
      <c r="X309" s="1129">
        <v>179552</v>
      </c>
      <c r="Y309" s="1129">
        <v>0</v>
      </c>
    </row>
    <row r="310" spans="1:25" s="1137" customFormat="1" ht="91.9" customHeight="1">
      <c r="A310" s="1280"/>
      <c r="B310" s="1135" t="s">
        <v>2211</v>
      </c>
      <c r="C310" s="1129">
        <f>C311+C312</f>
        <v>3059516</v>
      </c>
      <c r="D310" s="1129">
        <f t="shared" ref="D310:Y310" si="115">D311+D312</f>
        <v>0</v>
      </c>
      <c r="E310" s="1129">
        <f t="shared" si="115"/>
        <v>0</v>
      </c>
      <c r="F310" s="1129">
        <f t="shared" si="115"/>
        <v>0</v>
      </c>
      <c r="G310" s="1129">
        <f t="shared" si="115"/>
        <v>0</v>
      </c>
      <c r="H310" s="1129">
        <f t="shared" si="115"/>
        <v>0</v>
      </c>
      <c r="I310" s="1129">
        <f t="shared" si="115"/>
        <v>0</v>
      </c>
      <c r="J310" s="1129">
        <f t="shared" si="115"/>
        <v>0</v>
      </c>
      <c r="K310" s="1136">
        <f t="shared" si="115"/>
        <v>0</v>
      </c>
      <c r="L310" s="1129">
        <f t="shared" si="115"/>
        <v>0</v>
      </c>
      <c r="M310" s="1136">
        <f t="shared" si="115"/>
        <v>0</v>
      </c>
      <c r="N310" s="1129">
        <f t="shared" si="115"/>
        <v>0</v>
      </c>
      <c r="O310" s="1129">
        <f t="shared" si="115"/>
        <v>1126</v>
      </c>
      <c r="P310" s="1129">
        <f t="shared" si="115"/>
        <v>2837288</v>
      </c>
      <c r="Q310" s="1129">
        <f t="shared" si="115"/>
        <v>0</v>
      </c>
      <c r="R310" s="1129">
        <f t="shared" si="115"/>
        <v>0</v>
      </c>
      <c r="S310" s="1129">
        <f t="shared" si="115"/>
        <v>0</v>
      </c>
      <c r="T310" s="1129">
        <f t="shared" si="115"/>
        <v>0</v>
      </c>
      <c r="U310" s="1129">
        <f t="shared" si="115"/>
        <v>0</v>
      </c>
      <c r="V310" s="1129">
        <f t="shared" si="115"/>
        <v>0</v>
      </c>
      <c r="W310" s="1129">
        <v>0</v>
      </c>
      <c r="X310" s="1129">
        <f t="shared" si="115"/>
        <v>222228</v>
      </c>
      <c r="Y310" s="1129">
        <f t="shared" si="115"/>
        <v>0</v>
      </c>
    </row>
    <row r="311" spans="1:25" s="1137" customFormat="1" ht="88.9" customHeight="1">
      <c r="A311" s="1280">
        <v>254</v>
      </c>
      <c r="B311" s="1135" t="s">
        <v>1204</v>
      </c>
      <c r="C311" s="1129">
        <f>D311+N311+P311+R311+T311+V311+X311</f>
        <v>1529758</v>
      </c>
      <c r="D311" s="1129">
        <f>SUM(E311:J311)</f>
        <v>0</v>
      </c>
      <c r="E311" s="1129">
        <v>0</v>
      </c>
      <c r="F311" s="1129">
        <v>0</v>
      </c>
      <c r="G311" s="1129">
        <v>0</v>
      </c>
      <c r="H311" s="1129">
        <v>0</v>
      </c>
      <c r="I311" s="1129">
        <v>0</v>
      </c>
      <c r="J311" s="1129">
        <v>0</v>
      </c>
      <c r="K311" s="1136">
        <v>0</v>
      </c>
      <c r="L311" s="1129">
        <v>0</v>
      </c>
      <c r="M311" s="1136">
        <v>0</v>
      </c>
      <c r="N311" s="1129">
        <v>0</v>
      </c>
      <c r="O311" s="1129">
        <v>563</v>
      </c>
      <c r="P311" s="1129">
        <v>1418644</v>
      </c>
      <c r="Q311" s="1129">
        <v>0</v>
      </c>
      <c r="R311" s="1129">
        <v>0</v>
      </c>
      <c r="S311" s="1129">
        <v>0</v>
      </c>
      <c r="T311" s="1129">
        <v>0</v>
      </c>
      <c r="U311" s="1129">
        <v>0</v>
      </c>
      <c r="V311" s="1129">
        <v>0</v>
      </c>
      <c r="W311" s="1129">
        <v>0</v>
      </c>
      <c r="X311" s="1129">
        <v>111114</v>
      </c>
      <c r="Y311" s="1129">
        <v>0</v>
      </c>
    </row>
    <row r="312" spans="1:25" s="1137" customFormat="1" ht="90" customHeight="1">
      <c r="A312" s="1280">
        <v>255</v>
      </c>
      <c r="B312" s="1135" t="s">
        <v>1206</v>
      </c>
      <c r="C312" s="1129">
        <f>D312+N312+P312+R312+T312+V312+X312</f>
        <v>1529758</v>
      </c>
      <c r="D312" s="1129">
        <f>SUM(E312:J312)</f>
        <v>0</v>
      </c>
      <c r="E312" s="1129">
        <v>0</v>
      </c>
      <c r="F312" s="1129">
        <v>0</v>
      </c>
      <c r="G312" s="1129">
        <v>0</v>
      </c>
      <c r="H312" s="1129">
        <v>0</v>
      </c>
      <c r="I312" s="1129">
        <v>0</v>
      </c>
      <c r="J312" s="1129">
        <v>0</v>
      </c>
      <c r="K312" s="1136">
        <v>0</v>
      </c>
      <c r="L312" s="1129">
        <v>0</v>
      </c>
      <c r="M312" s="1136">
        <v>0</v>
      </c>
      <c r="N312" s="1129">
        <v>0</v>
      </c>
      <c r="O312" s="1129">
        <v>563</v>
      </c>
      <c r="P312" s="1129">
        <v>1418644</v>
      </c>
      <c r="Q312" s="1129">
        <v>0</v>
      </c>
      <c r="R312" s="1129">
        <v>0</v>
      </c>
      <c r="S312" s="1129">
        <v>0</v>
      </c>
      <c r="T312" s="1129">
        <v>0</v>
      </c>
      <c r="U312" s="1129">
        <v>0</v>
      </c>
      <c r="V312" s="1129">
        <v>0</v>
      </c>
      <c r="W312" s="1129">
        <v>0</v>
      </c>
      <c r="X312" s="1129">
        <v>111114</v>
      </c>
      <c r="Y312" s="1129">
        <v>0</v>
      </c>
    </row>
    <row r="313" spans="1:25" s="1137" customFormat="1" ht="125.45" customHeight="1">
      <c r="A313" s="1280"/>
      <c r="B313" s="1135" t="s">
        <v>2213</v>
      </c>
      <c r="C313" s="1129">
        <f>C314</f>
        <v>483667</v>
      </c>
      <c r="D313" s="1129">
        <f t="shared" ref="D313:Y313" si="116">D314</f>
        <v>448536</v>
      </c>
      <c r="E313" s="1129">
        <f t="shared" si="116"/>
        <v>0</v>
      </c>
      <c r="F313" s="1129">
        <f t="shared" si="116"/>
        <v>0</v>
      </c>
      <c r="G313" s="1129">
        <f t="shared" si="116"/>
        <v>0</v>
      </c>
      <c r="H313" s="1129">
        <f t="shared" si="116"/>
        <v>0</v>
      </c>
      <c r="I313" s="1129">
        <f t="shared" si="116"/>
        <v>0</v>
      </c>
      <c r="J313" s="1129">
        <f t="shared" si="116"/>
        <v>448536</v>
      </c>
      <c r="K313" s="1136">
        <f t="shared" si="116"/>
        <v>0</v>
      </c>
      <c r="L313" s="1129">
        <f t="shared" si="116"/>
        <v>0</v>
      </c>
      <c r="M313" s="1136">
        <f t="shared" si="116"/>
        <v>0</v>
      </c>
      <c r="N313" s="1129">
        <f t="shared" si="116"/>
        <v>0</v>
      </c>
      <c r="O313" s="1129">
        <f t="shared" si="116"/>
        <v>0</v>
      </c>
      <c r="P313" s="1129">
        <f t="shared" si="116"/>
        <v>0</v>
      </c>
      <c r="Q313" s="1129">
        <f t="shared" si="116"/>
        <v>0</v>
      </c>
      <c r="R313" s="1129">
        <f t="shared" si="116"/>
        <v>0</v>
      </c>
      <c r="S313" s="1129">
        <f t="shared" si="116"/>
        <v>0</v>
      </c>
      <c r="T313" s="1129">
        <f t="shared" si="116"/>
        <v>0</v>
      </c>
      <c r="U313" s="1129">
        <f t="shared" si="116"/>
        <v>0</v>
      </c>
      <c r="V313" s="1129">
        <f t="shared" si="116"/>
        <v>0</v>
      </c>
      <c r="W313" s="1129">
        <v>0</v>
      </c>
      <c r="X313" s="1129">
        <f t="shared" si="116"/>
        <v>35131</v>
      </c>
      <c r="Y313" s="1129">
        <f t="shared" si="116"/>
        <v>0</v>
      </c>
    </row>
    <row r="314" spans="1:25" s="1137" customFormat="1" ht="94.15" customHeight="1">
      <c r="A314" s="1280">
        <v>256</v>
      </c>
      <c r="B314" s="1135" t="s">
        <v>1231</v>
      </c>
      <c r="C314" s="1129">
        <f>D314+N314+P314+R314+T314+V314+X314</f>
        <v>483667</v>
      </c>
      <c r="D314" s="1129">
        <f>SUM(E314:J314)</f>
        <v>448536</v>
      </c>
      <c r="E314" s="1129">
        <v>0</v>
      </c>
      <c r="F314" s="1129">
        <v>0</v>
      </c>
      <c r="G314" s="1129">
        <v>0</v>
      </c>
      <c r="H314" s="1129">
        <v>0</v>
      </c>
      <c r="I314" s="1129">
        <v>0</v>
      </c>
      <c r="J314" s="1129">
        <v>448536</v>
      </c>
      <c r="K314" s="1136">
        <v>0</v>
      </c>
      <c r="L314" s="1129">
        <v>0</v>
      </c>
      <c r="M314" s="1136">
        <v>0</v>
      </c>
      <c r="N314" s="1129">
        <v>0</v>
      </c>
      <c r="O314" s="1129">
        <v>0</v>
      </c>
      <c r="P314" s="1129">
        <v>0</v>
      </c>
      <c r="Q314" s="1129">
        <v>0</v>
      </c>
      <c r="R314" s="1129">
        <v>0</v>
      </c>
      <c r="S314" s="1129">
        <v>0</v>
      </c>
      <c r="T314" s="1129">
        <v>0</v>
      </c>
      <c r="U314" s="1129">
        <v>0</v>
      </c>
      <c r="V314" s="1129">
        <v>0</v>
      </c>
      <c r="W314" s="1129">
        <v>0</v>
      </c>
      <c r="X314" s="1129">
        <v>35131</v>
      </c>
      <c r="Y314" s="1129">
        <v>0</v>
      </c>
    </row>
    <row r="315" spans="1:25" s="1137" customFormat="1" ht="88.15" customHeight="1">
      <c r="A315" s="1280"/>
      <c r="B315" s="1135" t="s">
        <v>2676</v>
      </c>
      <c r="C315" s="1129">
        <f>C316+C317+C318+C319+C320+C321</f>
        <v>20227099</v>
      </c>
      <c r="D315" s="1129">
        <f t="shared" ref="D315:Y315" si="117">D316+D317+D318+D319+D320+D321</f>
        <v>2997586</v>
      </c>
      <c r="E315" s="1129">
        <f t="shared" si="117"/>
        <v>0</v>
      </c>
      <c r="F315" s="1129">
        <f t="shared" si="117"/>
        <v>0</v>
      </c>
      <c r="G315" s="1129">
        <f t="shared" si="117"/>
        <v>0</v>
      </c>
      <c r="H315" s="1129">
        <f t="shared" si="117"/>
        <v>0</v>
      </c>
      <c r="I315" s="1129">
        <f t="shared" si="117"/>
        <v>0</v>
      </c>
      <c r="J315" s="1129">
        <f t="shared" si="117"/>
        <v>2997586</v>
      </c>
      <c r="K315" s="1129">
        <f t="shared" si="117"/>
        <v>0</v>
      </c>
      <c r="L315" s="1129">
        <f t="shared" si="117"/>
        <v>0</v>
      </c>
      <c r="M315" s="1129">
        <f t="shared" si="117"/>
        <v>0</v>
      </c>
      <c r="N315" s="1129">
        <f t="shared" si="117"/>
        <v>0</v>
      </c>
      <c r="O315" s="1129">
        <f t="shared" si="117"/>
        <v>4500.5</v>
      </c>
      <c r="P315" s="1129">
        <f t="shared" si="117"/>
        <v>15760321</v>
      </c>
      <c r="Q315" s="1129">
        <f t="shared" si="117"/>
        <v>0</v>
      </c>
      <c r="R315" s="1129">
        <f t="shared" si="117"/>
        <v>0</v>
      </c>
      <c r="S315" s="1129">
        <f t="shared" si="117"/>
        <v>0</v>
      </c>
      <c r="T315" s="1129">
        <f t="shared" si="117"/>
        <v>0</v>
      </c>
      <c r="U315" s="1129">
        <f t="shared" si="117"/>
        <v>0</v>
      </c>
      <c r="V315" s="1129">
        <f t="shared" si="117"/>
        <v>0</v>
      </c>
      <c r="W315" s="1129">
        <f t="shared" si="117"/>
        <v>0</v>
      </c>
      <c r="X315" s="1129">
        <f t="shared" si="117"/>
        <v>1469192</v>
      </c>
      <c r="Y315" s="1129">
        <f t="shared" si="117"/>
        <v>0</v>
      </c>
    </row>
    <row r="316" spans="1:25" s="1137" customFormat="1" ht="99.75" customHeight="1">
      <c r="A316" s="1280">
        <v>257</v>
      </c>
      <c r="B316" s="1128" t="s">
        <v>2818</v>
      </c>
      <c r="C316" s="1129">
        <f t="shared" ref="C316" si="118">D316+N316+P316+R316+T316+V316+X316</f>
        <v>2881978</v>
      </c>
      <c r="D316" s="1129">
        <f t="shared" ref="D316" si="119">SUM(E316:J316)</f>
        <v>0</v>
      </c>
      <c r="E316" s="1129">
        <v>0</v>
      </c>
      <c r="F316" s="1129">
        <v>0</v>
      </c>
      <c r="G316" s="1129">
        <v>0</v>
      </c>
      <c r="H316" s="1129">
        <v>0</v>
      </c>
      <c r="I316" s="1129">
        <v>0</v>
      </c>
      <c r="J316" s="1129">
        <v>0</v>
      </c>
      <c r="K316" s="1136">
        <v>0</v>
      </c>
      <c r="L316" s="1129">
        <v>0</v>
      </c>
      <c r="M316" s="1136">
        <v>0</v>
      </c>
      <c r="N316" s="1129">
        <v>0</v>
      </c>
      <c r="O316" s="1129">
        <v>590</v>
      </c>
      <c r="P316" s="1129">
        <v>2672646</v>
      </c>
      <c r="Q316" s="1129">
        <v>0</v>
      </c>
      <c r="R316" s="1129">
        <v>0</v>
      </c>
      <c r="S316" s="1129">
        <v>0</v>
      </c>
      <c r="T316" s="1129">
        <v>0</v>
      </c>
      <c r="U316" s="1129">
        <v>0</v>
      </c>
      <c r="V316" s="1129">
        <v>0</v>
      </c>
      <c r="W316" s="1129">
        <v>0</v>
      </c>
      <c r="X316" s="1129">
        <v>209332</v>
      </c>
      <c r="Y316" s="1129">
        <v>0</v>
      </c>
    </row>
    <row r="317" spans="1:25" s="1137" customFormat="1" ht="101.25" customHeight="1">
      <c r="A317" s="1280">
        <v>258</v>
      </c>
      <c r="B317" s="1135" t="s">
        <v>2820</v>
      </c>
      <c r="C317" s="1129">
        <f t="shared" ref="C317:C319" si="120">D317+N317+P317+R317+T317+V317+X317</f>
        <v>9314012</v>
      </c>
      <c r="D317" s="1129">
        <f t="shared" ref="D317:D319" si="121">SUM(E317:J317)</f>
        <v>2997586</v>
      </c>
      <c r="E317" s="1129">
        <v>0</v>
      </c>
      <c r="F317" s="1129">
        <v>0</v>
      </c>
      <c r="G317" s="1129">
        <v>0</v>
      </c>
      <c r="H317" s="1129">
        <v>0</v>
      </c>
      <c r="I317" s="1129">
        <v>0</v>
      </c>
      <c r="J317" s="1129">
        <v>2997586</v>
      </c>
      <c r="K317" s="1136">
        <v>0</v>
      </c>
      <c r="L317" s="1129">
        <v>0</v>
      </c>
      <c r="M317" s="1136">
        <v>0</v>
      </c>
      <c r="N317" s="1129">
        <v>0</v>
      </c>
      <c r="O317" s="1129">
        <v>1525</v>
      </c>
      <c r="P317" s="1129">
        <v>5639904</v>
      </c>
      <c r="Q317" s="1129">
        <v>0</v>
      </c>
      <c r="R317" s="1129">
        <v>0</v>
      </c>
      <c r="S317" s="1129">
        <v>0</v>
      </c>
      <c r="T317" s="1129">
        <v>0</v>
      </c>
      <c r="U317" s="1129">
        <v>0</v>
      </c>
      <c r="V317" s="1129">
        <v>0</v>
      </c>
      <c r="W317" s="1129">
        <v>0</v>
      </c>
      <c r="X317" s="1129">
        <f>441739+234783</f>
        <v>676522</v>
      </c>
      <c r="Y317" s="1129">
        <v>0</v>
      </c>
    </row>
    <row r="318" spans="1:25" s="1137" customFormat="1" ht="93.75" customHeight="1">
      <c r="A318" s="1280">
        <v>259</v>
      </c>
      <c r="B318" s="1135" t="s">
        <v>2819</v>
      </c>
      <c r="C318" s="1129">
        <f t="shared" ref="C318" si="122">D318+N318+P318+R318+T318+V318+X318</f>
        <v>2470759</v>
      </c>
      <c r="D318" s="1129">
        <f t="shared" ref="D318" si="123">SUM(E318:J318)</f>
        <v>0</v>
      </c>
      <c r="E318" s="1129">
        <v>0</v>
      </c>
      <c r="F318" s="1129">
        <v>0</v>
      </c>
      <c r="G318" s="1129">
        <v>0</v>
      </c>
      <c r="H318" s="1129">
        <v>0</v>
      </c>
      <c r="I318" s="1129">
        <v>0</v>
      </c>
      <c r="J318" s="1129">
        <v>0</v>
      </c>
      <c r="K318" s="1136">
        <v>0</v>
      </c>
      <c r="L318" s="1129">
        <v>0</v>
      </c>
      <c r="M318" s="1136">
        <v>0</v>
      </c>
      <c r="N318" s="1129">
        <v>0</v>
      </c>
      <c r="O318" s="1129">
        <v>730</v>
      </c>
      <c r="P318" s="1129">
        <v>2291296</v>
      </c>
      <c r="Q318" s="1129">
        <v>0</v>
      </c>
      <c r="R318" s="1129">
        <v>0</v>
      </c>
      <c r="S318" s="1129">
        <v>0</v>
      </c>
      <c r="T318" s="1129">
        <v>0</v>
      </c>
      <c r="U318" s="1129">
        <v>0</v>
      </c>
      <c r="V318" s="1129">
        <v>0</v>
      </c>
      <c r="W318" s="1129">
        <v>0</v>
      </c>
      <c r="X318" s="1129">
        <v>179463</v>
      </c>
      <c r="Y318" s="1129">
        <v>0</v>
      </c>
    </row>
    <row r="319" spans="1:25" s="1137" customFormat="1" ht="94.5" customHeight="1">
      <c r="A319" s="1280">
        <v>260</v>
      </c>
      <c r="B319" s="1135" t="s">
        <v>2821</v>
      </c>
      <c r="C319" s="1129">
        <f t="shared" si="120"/>
        <v>2393507</v>
      </c>
      <c r="D319" s="1129">
        <f t="shared" si="121"/>
        <v>0</v>
      </c>
      <c r="E319" s="1129">
        <v>0</v>
      </c>
      <c r="F319" s="1129">
        <v>0</v>
      </c>
      <c r="G319" s="1129">
        <v>0</v>
      </c>
      <c r="H319" s="1129">
        <v>0</v>
      </c>
      <c r="I319" s="1129">
        <v>0</v>
      </c>
      <c r="J319" s="1129">
        <v>0</v>
      </c>
      <c r="K319" s="1136">
        <v>0</v>
      </c>
      <c r="L319" s="1129">
        <v>0</v>
      </c>
      <c r="M319" s="1136">
        <v>0</v>
      </c>
      <c r="N319" s="1129">
        <v>0</v>
      </c>
      <c r="O319" s="1129">
        <v>490</v>
      </c>
      <c r="P319" s="1129">
        <v>2219655</v>
      </c>
      <c r="Q319" s="1129">
        <v>0</v>
      </c>
      <c r="R319" s="1129">
        <v>0</v>
      </c>
      <c r="S319" s="1129">
        <v>0</v>
      </c>
      <c r="T319" s="1129">
        <v>0</v>
      </c>
      <c r="U319" s="1129">
        <v>0</v>
      </c>
      <c r="V319" s="1129">
        <v>0</v>
      </c>
      <c r="W319" s="1129">
        <v>0</v>
      </c>
      <c r="X319" s="1129">
        <v>173852</v>
      </c>
      <c r="Y319" s="1129">
        <v>0</v>
      </c>
    </row>
    <row r="320" spans="1:25" s="1137" customFormat="1" ht="98.45" customHeight="1">
      <c r="A320" s="1280">
        <v>261</v>
      </c>
      <c r="B320" s="1128" t="s">
        <v>2370</v>
      </c>
      <c r="C320" s="1129">
        <f t="shared" ref="C320" si="124">D320+N320+P320+R320+T320+V320+X320</f>
        <v>1630292</v>
      </c>
      <c r="D320" s="1129">
        <f t="shared" ref="D320" si="125">SUM(E320:J320)</f>
        <v>0</v>
      </c>
      <c r="E320" s="1129">
        <v>0</v>
      </c>
      <c r="F320" s="1129">
        <v>0</v>
      </c>
      <c r="G320" s="1129">
        <v>0</v>
      </c>
      <c r="H320" s="1129">
        <v>0</v>
      </c>
      <c r="I320" s="1129">
        <v>0</v>
      </c>
      <c r="J320" s="1129">
        <v>0</v>
      </c>
      <c r="K320" s="1136">
        <v>0</v>
      </c>
      <c r="L320" s="1129">
        <v>0</v>
      </c>
      <c r="M320" s="1136">
        <v>0</v>
      </c>
      <c r="N320" s="1129">
        <v>0</v>
      </c>
      <c r="O320" s="1129">
        <v>600</v>
      </c>
      <c r="P320" s="1129">
        <v>1511876</v>
      </c>
      <c r="Q320" s="1129">
        <v>0</v>
      </c>
      <c r="R320" s="1129">
        <v>0</v>
      </c>
      <c r="S320" s="1129">
        <v>0</v>
      </c>
      <c r="T320" s="1129">
        <v>0</v>
      </c>
      <c r="U320" s="1129">
        <v>0</v>
      </c>
      <c r="V320" s="1129">
        <v>0</v>
      </c>
      <c r="W320" s="1129">
        <v>0</v>
      </c>
      <c r="X320" s="1129">
        <v>118416</v>
      </c>
      <c r="Y320" s="1129">
        <v>0</v>
      </c>
    </row>
    <row r="321" spans="1:25" s="1137" customFormat="1" ht="99.6" customHeight="1">
      <c r="A321" s="1280">
        <v>262</v>
      </c>
      <c r="B321" s="1128" t="s">
        <v>2274</v>
      </c>
      <c r="C321" s="1129">
        <f t="shared" ref="C321" si="126">D321+N321+P321+R321+T321+V321+X321</f>
        <v>1536551</v>
      </c>
      <c r="D321" s="1129">
        <f t="shared" ref="D321" si="127">SUM(E321:J321)</f>
        <v>0</v>
      </c>
      <c r="E321" s="1129">
        <v>0</v>
      </c>
      <c r="F321" s="1129">
        <v>0</v>
      </c>
      <c r="G321" s="1129">
        <v>0</v>
      </c>
      <c r="H321" s="1129">
        <v>0</v>
      </c>
      <c r="I321" s="1129">
        <v>0</v>
      </c>
      <c r="J321" s="1129">
        <v>0</v>
      </c>
      <c r="K321" s="1136">
        <v>0</v>
      </c>
      <c r="L321" s="1129">
        <v>0</v>
      </c>
      <c r="M321" s="1136">
        <v>0</v>
      </c>
      <c r="N321" s="1129">
        <v>0</v>
      </c>
      <c r="O321" s="1129">
        <v>565.5</v>
      </c>
      <c r="P321" s="1129">
        <v>1424944</v>
      </c>
      <c r="Q321" s="1129">
        <v>0</v>
      </c>
      <c r="R321" s="1129">
        <v>0</v>
      </c>
      <c r="S321" s="1129">
        <v>0</v>
      </c>
      <c r="T321" s="1129">
        <v>0</v>
      </c>
      <c r="U321" s="1129">
        <v>0</v>
      </c>
      <c r="V321" s="1129">
        <v>0</v>
      </c>
      <c r="W321" s="1129">
        <v>0</v>
      </c>
      <c r="X321" s="1129">
        <v>111607</v>
      </c>
      <c r="Y321" s="1129">
        <v>0</v>
      </c>
    </row>
    <row r="322" spans="1:25" s="1137" customFormat="1" ht="94.9" customHeight="1">
      <c r="A322" s="1280"/>
      <c r="B322" s="1135" t="s">
        <v>1990</v>
      </c>
      <c r="C322" s="1129">
        <f>C323</f>
        <v>2106783.25</v>
      </c>
      <c r="D322" s="1129">
        <f t="shared" ref="D322:Y322" si="128">D323</f>
        <v>0</v>
      </c>
      <c r="E322" s="1129">
        <f t="shared" si="128"/>
        <v>0</v>
      </c>
      <c r="F322" s="1129">
        <f t="shared" si="128"/>
        <v>0</v>
      </c>
      <c r="G322" s="1129">
        <f t="shared" si="128"/>
        <v>0</v>
      </c>
      <c r="H322" s="1129">
        <f t="shared" si="128"/>
        <v>0</v>
      </c>
      <c r="I322" s="1129">
        <f t="shared" si="128"/>
        <v>0</v>
      </c>
      <c r="J322" s="1129">
        <f t="shared" si="128"/>
        <v>0</v>
      </c>
      <c r="K322" s="1136">
        <f t="shared" si="128"/>
        <v>0</v>
      </c>
      <c r="L322" s="1129">
        <f t="shared" si="128"/>
        <v>0</v>
      </c>
      <c r="M322" s="1136">
        <f t="shared" si="128"/>
        <v>0</v>
      </c>
      <c r="N322" s="1129">
        <f t="shared" si="128"/>
        <v>0</v>
      </c>
      <c r="O322" s="1129">
        <f t="shared" si="128"/>
        <v>583</v>
      </c>
      <c r="P322" s="1129">
        <f t="shared" si="128"/>
        <v>1953757.41</v>
      </c>
      <c r="Q322" s="1129">
        <f t="shared" si="128"/>
        <v>0</v>
      </c>
      <c r="R322" s="1129">
        <f t="shared" si="128"/>
        <v>0</v>
      </c>
      <c r="S322" s="1129">
        <f t="shared" si="128"/>
        <v>0</v>
      </c>
      <c r="T322" s="1129">
        <f t="shared" si="128"/>
        <v>0</v>
      </c>
      <c r="U322" s="1129">
        <f t="shared" si="128"/>
        <v>0</v>
      </c>
      <c r="V322" s="1129">
        <f t="shared" si="128"/>
        <v>0</v>
      </c>
      <c r="W322" s="1129">
        <v>0</v>
      </c>
      <c r="X322" s="1129">
        <f t="shared" si="128"/>
        <v>153025.84</v>
      </c>
      <c r="Y322" s="1129">
        <f t="shared" si="128"/>
        <v>0</v>
      </c>
    </row>
    <row r="323" spans="1:25" s="1137" customFormat="1" ht="81.599999999999994" customHeight="1">
      <c r="A323" s="1280"/>
      <c r="B323" s="1135" t="s">
        <v>2029</v>
      </c>
      <c r="C323" s="1129">
        <f>C324</f>
        <v>2106783.25</v>
      </c>
      <c r="D323" s="1129">
        <f t="shared" ref="D323:Y323" si="129">D324</f>
        <v>0</v>
      </c>
      <c r="E323" s="1129">
        <f t="shared" si="129"/>
        <v>0</v>
      </c>
      <c r="F323" s="1129">
        <f t="shared" si="129"/>
        <v>0</v>
      </c>
      <c r="G323" s="1129">
        <f t="shared" si="129"/>
        <v>0</v>
      </c>
      <c r="H323" s="1129">
        <f t="shared" si="129"/>
        <v>0</v>
      </c>
      <c r="I323" s="1129">
        <f t="shared" si="129"/>
        <v>0</v>
      </c>
      <c r="J323" s="1129">
        <f t="shared" si="129"/>
        <v>0</v>
      </c>
      <c r="K323" s="1136">
        <f t="shared" si="129"/>
        <v>0</v>
      </c>
      <c r="L323" s="1129">
        <f t="shared" si="129"/>
        <v>0</v>
      </c>
      <c r="M323" s="1136">
        <f t="shared" si="129"/>
        <v>0</v>
      </c>
      <c r="N323" s="1129">
        <f t="shared" si="129"/>
        <v>0</v>
      </c>
      <c r="O323" s="1129">
        <f t="shared" si="129"/>
        <v>583</v>
      </c>
      <c r="P323" s="1129">
        <f t="shared" si="129"/>
        <v>1953757.41</v>
      </c>
      <c r="Q323" s="1129">
        <f t="shared" si="129"/>
        <v>0</v>
      </c>
      <c r="R323" s="1129">
        <f t="shared" si="129"/>
        <v>0</v>
      </c>
      <c r="S323" s="1129">
        <f t="shared" si="129"/>
        <v>0</v>
      </c>
      <c r="T323" s="1129">
        <f t="shared" si="129"/>
        <v>0</v>
      </c>
      <c r="U323" s="1129">
        <f t="shared" si="129"/>
        <v>0</v>
      </c>
      <c r="V323" s="1129">
        <f t="shared" si="129"/>
        <v>0</v>
      </c>
      <c r="W323" s="1129">
        <v>0</v>
      </c>
      <c r="X323" s="1129">
        <f t="shared" si="129"/>
        <v>153025.84</v>
      </c>
      <c r="Y323" s="1129">
        <f t="shared" si="129"/>
        <v>0</v>
      </c>
    </row>
    <row r="324" spans="1:25" s="1137" customFormat="1" ht="91.15" customHeight="1">
      <c r="A324" s="1280">
        <v>263</v>
      </c>
      <c r="B324" s="1135" t="s">
        <v>1959</v>
      </c>
      <c r="C324" s="1129">
        <f>D324+N324+P324+R324+T324+V324+X324</f>
        <v>2106783.25</v>
      </c>
      <c r="D324" s="1129">
        <f>SUM(E324:J324)</f>
        <v>0</v>
      </c>
      <c r="E324" s="1129">
        <v>0</v>
      </c>
      <c r="F324" s="1129">
        <v>0</v>
      </c>
      <c r="G324" s="1129">
        <v>0</v>
      </c>
      <c r="H324" s="1129">
        <v>0</v>
      </c>
      <c r="I324" s="1129">
        <v>0</v>
      </c>
      <c r="J324" s="1129">
        <v>0</v>
      </c>
      <c r="K324" s="1136">
        <v>0</v>
      </c>
      <c r="L324" s="1129">
        <v>0</v>
      </c>
      <c r="M324" s="1136">
        <v>0</v>
      </c>
      <c r="N324" s="1129">
        <v>0</v>
      </c>
      <c r="O324" s="1129">
        <v>583</v>
      </c>
      <c r="P324" s="1129">
        <v>1953757.41</v>
      </c>
      <c r="Q324" s="1129">
        <v>0</v>
      </c>
      <c r="R324" s="1129">
        <v>0</v>
      </c>
      <c r="S324" s="1129">
        <v>0</v>
      </c>
      <c r="T324" s="1129">
        <v>0</v>
      </c>
      <c r="U324" s="1129">
        <v>0</v>
      </c>
      <c r="V324" s="1129">
        <v>0</v>
      </c>
      <c r="W324" s="1129">
        <v>0</v>
      </c>
      <c r="X324" s="1129">
        <v>153025.84</v>
      </c>
      <c r="Y324" s="1129">
        <v>0</v>
      </c>
    </row>
    <row r="325" spans="1:25" s="1137" customFormat="1" ht="132.6" customHeight="1">
      <c r="A325" s="1280"/>
      <c r="B325" s="1135" t="s">
        <v>1168</v>
      </c>
      <c r="C325" s="1129">
        <f>C326+C327+C328</f>
        <v>6684613</v>
      </c>
      <c r="D325" s="1129">
        <f t="shared" ref="D325:Y325" si="130">D326+D327+D328</f>
        <v>468327</v>
      </c>
      <c r="E325" s="1129">
        <f t="shared" si="130"/>
        <v>468327</v>
      </c>
      <c r="F325" s="1129">
        <f t="shared" si="130"/>
        <v>0</v>
      </c>
      <c r="G325" s="1129">
        <f t="shared" si="130"/>
        <v>0</v>
      </c>
      <c r="H325" s="1129">
        <f t="shared" si="130"/>
        <v>0</v>
      </c>
      <c r="I325" s="1129">
        <f t="shared" si="130"/>
        <v>0</v>
      </c>
      <c r="J325" s="1129">
        <f t="shared" si="130"/>
        <v>0</v>
      </c>
      <c r="K325" s="1136">
        <f t="shared" si="130"/>
        <v>0</v>
      </c>
      <c r="L325" s="1129">
        <f t="shared" si="130"/>
        <v>0</v>
      </c>
      <c r="M325" s="1136">
        <f t="shared" si="130"/>
        <v>0</v>
      </c>
      <c r="N325" s="1129">
        <f t="shared" si="130"/>
        <v>0</v>
      </c>
      <c r="O325" s="1129">
        <f t="shared" si="130"/>
        <v>1874</v>
      </c>
      <c r="P325" s="1129">
        <f t="shared" si="130"/>
        <v>5730751</v>
      </c>
      <c r="Q325" s="1129">
        <f t="shared" si="130"/>
        <v>0</v>
      </c>
      <c r="R325" s="1129">
        <f t="shared" si="130"/>
        <v>0</v>
      </c>
      <c r="S325" s="1129">
        <f t="shared" si="130"/>
        <v>0</v>
      </c>
      <c r="T325" s="1129">
        <f t="shared" si="130"/>
        <v>0</v>
      </c>
      <c r="U325" s="1129">
        <f t="shared" si="130"/>
        <v>0</v>
      </c>
      <c r="V325" s="1129">
        <f t="shared" si="130"/>
        <v>0</v>
      </c>
      <c r="W325" s="1129">
        <v>0</v>
      </c>
      <c r="X325" s="1129">
        <f t="shared" si="130"/>
        <v>485535</v>
      </c>
      <c r="Y325" s="1129">
        <f t="shared" si="130"/>
        <v>0</v>
      </c>
    </row>
    <row r="326" spans="1:25" s="1137" customFormat="1" ht="90" customHeight="1">
      <c r="A326" s="1280">
        <v>264</v>
      </c>
      <c r="B326" s="1135" t="s">
        <v>2095</v>
      </c>
      <c r="C326" s="1129">
        <f t="shared" ref="C326" si="131">D326+N326+P326+R326+T326+V326+X326</f>
        <v>2416606</v>
      </c>
      <c r="D326" s="1129">
        <f t="shared" ref="D326" si="132">SUM(E326:J326)</f>
        <v>0</v>
      </c>
      <c r="E326" s="1129">
        <f>([1]база!E351-(([1]база!E351*8)/110.14))</f>
        <v>0</v>
      </c>
      <c r="F326" s="1129">
        <f>([1]база!F351-(([1]база!F351*8)/110.14))</f>
        <v>0</v>
      </c>
      <c r="G326" s="1129">
        <f>([1]база!G351-(([1]база!G351*8)/110.14))</f>
        <v>0</v>
      </c>
      <c r="H326" s="1129">
        <f>([1]база!H351-(([1]база!H351*8)/110.14))</f>
        <v>0</v>
      </c>
      <c r="I326" s="1129">
        <f>([1]база!I351-(([1]база!I351*8)/110.14))</f>
        <v>0</v>
      </c>
      <c r="J326" s="1129">
        <f>([1]база!J351-(([1]база!J351*8)/110.14))</f>
        <v>0</v>
      </c>
      <c r="K326" s="1136">
        <v>0</v>
      </c>
      <c r="L326" s="1129">
        <v>0</v>
      </c>
      <c r="M326" s="1136">
        <v>0</v>
      </c>
      <c r="N326" s="1129">
        <f>([1]база!L351-([1]база!L351*8)/110.14)</f>
        <v>0</v>
      </c>
      <c r="O326" s="1129">
        <v>714</v>
      </c>
      <c r="P326" s="1129">
        <v>2241076</v>
      </c>
      <c r="Q326" s="1129">
        <v>0</v>
      </c>
      <c r="R326" s="1129">
        <f>([1]база!P351-([1]база!P351*8)/110.14)</f>
        <v>0</v>
      </c>
      <c r="S326" s="1129">
        <v>0</v>
      </c>
      <c r="T326" s="1129">
        <f>([1]база!R351-([1]база!R351*8)/110.14)</f>
        <v>0</v>
      </c>
      <c r="U326" s="1129">
        <v>0</v>
      </c>
      <c r="V326" s="1129">
        <f>([1]база!T351-([1]база!T351*8)/110.14)</f>
        <v>0</v>
      </c>
      <c r="W326" s="1129">
        <v>0</v>
      </c>
      <c r="X326" s="1129">
        <v>175530</v>
      </c>
      <c r="Y326" s="1129">
        <v>0</v>
      </c>
    </row>
    <row r="327" spans="1:25" s="1137" customFormat="1" ht="93.6" customHeight="1">
      <c r="A327" s="1280">
        <v>265</v>
      </c>
      <c r="B327" s="1135" t="s">
        <v>2371</v>
      </c>
      <c r="C327" s="1129">
        <f t="shared" ref="C327:C328" si="133">D327+N327+P327+R327+T327+V327+X327</f>
        <v>2064607</v>
      </c>
      <c r="D327" s="1129">
        <f t="shared" ref="D327:D328" si="134">SUM(E327:J327)</f>
        <v>0</v>
      </c>
      <c r="E327" s="1129">
        <f>([1]база!E352-(([1]база!E352*8)/110.14))</f>
        <v>0</v>
      </c>
      <c r="F327" s="1129">
        <f>([1]база!F352-(([1]база!F352*8)/110.14))</f>
        <v>0</v>
      </c>
      <c r="G327" s="1129">
        <f>([1]база!G352-(([1]база!G352*8)/110.14))</f>
        <v>0</v>
      </c>
      <c r="H327" s="1129">
        <f>([1]база!H352-(([1]база!H352*8)/110.14))</f>
        <v>0</v>
      </c>
      <c r="I327" s="1129">
        <f>([1]база!I352-(([1]база!I352*8)/110.14))</f>
        <v>0</v>
      </c>
      <c r="J327" s="1129">
        <f>([1]база!J352-(([1]база!J352*8)/110.14))</f>
        <v>0</v>
      </c>
      <c r="K327" s="1136">
        <v>0</v>
      </c>
      <c r="L327" s="1129">
        <v>0</v>
      </c>
      <c r="M327" s="1136">
        <v>0</v>
      </c>
      <c r="N327" s="1129">
        <f>([1]база!L352-([1]база!L352*8)/110.14)</f>
        <v>0</v>
      </c>
      <c r="O327" s="1129">
        <v>610</v>
      </c>
      <c r="P327" s="1129">
        <v>1914645</v>
      </c>
      <c r="Q327" s="1129">
        <v>0</v>
      </c>
      <c r="R327" s="1129">
        <f>([1]база!P352-([1]база!P352*8)/110.14)</f>
        <v>0</v>
      </c>
      <c r="S327" s="1129">
        <v>0</v>
      </c>
      <c r="T327" s="1129">
        <f>([1]база!R352-([1]база!R352*8)/110.14)</f>
        <v>0</v>
      </c>
      <c r="U327" s="1129">
        <v>0</v>
      </c>
      <c r="V327" s="1129">
        <f>([1]база!T352-([1]база!T352*8)/110.14)</f>
        <v>0</v>
      </c>
      <c r="W327" s="1129">
        <v>0</v>
      </c>
      <c r="X327" s="1129">
        <v>149962</v>
      </c>
      <c r="Y327" s="1129">
        <v>0</v>
      </c>
    </row>
    <row r="328" spans="1:25" s="1137" customFormat="1" ht="85.15" customHeight="1">
      <c r="A328" s="1280">
        <v>266</v>
      </c>
      <c r="B328" s="1135" t="s">
        <v>2097</v>
      </c>
      <c r="C328" s="1129">
        <f t="shared" si="133"/>
        <v>2203400</v>
      </c>
      <c r="D328" s="1129">
        <f t="shared" si="134"/>
        <v>468327</v>
      </c>
      <c r="E328" s="1129">
        <v>468327</v>
      </c>
      <c r="F328" s="1129">
        <f>([1]база!F353-(([1]база!F353*8)/110.14))</f>
        <v>0</v>
      </c>
      <c r="G328" s="1129">
        <f>([1]база!G353-(([1]база!G353*8)/110.14))</f>
        <v>0</v>
      </c>
      <c r="H328" s="1129">
        <f>([1]база!H353-(([1]база!H353*8)/110.14))</f>
        <v>0</v>
      </c>
      <c r="I328" s="1129">
        <f>([1]база!I353-(([1]база!I353*8)/110.14))</f>
        <v>0</v>
      </c>
      <c r="J328" s="1129">
        <f>([1]база!J353-(([1]база!J353*8)/110.14))</f>
        <v>0</v>
      </c>
      <c r="K328" s="1136">
        <v>0</v>
      </c>
      <c r="L328" s="1129">
        <v>0</v>
      </c>
      <c r="M328" s="1136">
        <v>0</v>
      </c>
      <c r="N328" s="1129">
        <f>([1]база!L353-([1]база!L353*8)/110.14)</f>
        <v>0</v>
      </c>
      <c r="O328" s="1129">
        <v>550</v>
      </c>
      <c r="P328" s="1129">
        <v>1575030</v>
      </c>
      <c r="Q328" s="1129">
        <v>0</v>
      </c>
      <c r="R328" s="1129">
        <f>([1]база!P353-([1]база!P353*8)/110.14)</f>
        <v>0</v>
      </c>
      <c r="S328" s="1129">
        <v>0</v>
      </c>
      <c r="T328" s="1129">
        <f>([1]база!R353-([1]база!R353*8)/110.14)</f>
        <v>0</v>
      </c>
      <c r="U328" s="1129">
        <v>0</v>
      </c>
      <c r="V328" s="1129">
        <f>([1]база!T353-([1]база!T353*8)/110.14)</f>
        <v>0</v>
      </c>
      <c r="W328" s="1129">
        <v>0</v>
      </c>
      <c r="X328" s="1129">
        <v>160043</v>
      </c>
      <c r="Y328" s="1129">
        <v>0</v>
      </c>
    </row>
    <row r="329" spans="1:25" s="1137" customFormat="1" ht="94.9" customHeight="1">
      <c r="A329" s="1280"/>
      <c r="B329" s="1135" t="s">
        <v>1658</v>
      </c>
      <c r="C329" s="1129">
        <f>SUM(C330:C345)</f>
        <v>2744879</v>
      </c>
      <c r="D329" s="1129">
        <f t="shared" ref="D329:Y329" si="135">SUM(D330:D345)</f>
        <v>2047898</v>
      </c>
      <c r="E329" s="1129">
        <f t="shared" si="135"/>
        <v>323439</v>
      </c>
      <c r="F329" s="1129">
        <f t="shared" si="135"/>
        <v>936717</v>
      </c>
      <c r="G329" s="1129">
        <f t="shared" si="135"/>
        <v>0</v>
      </c>
      <c r="H329" s="1129">
        <f t="shared" si="135"/>
        <v>356721</v>
      </c>
      <c r="I329" s="1129">
        <f t="shared" si="135"/>
        <v>0</v>
      </c>
      <c r="J329" s="1129">
        <f t="shared" si="135"/>
        <v>431021</v>
      </c>
      <c r="K329" s="1136">
        <f t="shared" si="135"/>
        <v>0</v>
      </c>
      <c r="L329" s="1129">
        <f t="shared" si="135"/>
        <v>0</v>
      </c>
      <c r="M329" s="1136">
        <f t="shared" si="135"/>
        <v>0</v>
      </c>
      <c r="N329" s="1129">
        <f t="shared" si="135"/>
        <v>0</v>
      </c>
      <c r="O329" s="1129">
        <f t="shared" si="135"/>
        <v>0</v>
      </c>
      <c r="P329" s="1129">
        <f t="shared" si="135"/>
        <v>0</v>
      </c>
      <c r="Q329" s="1129">
        <f t="shared" si="135"/>
        <v>0</v>
      </c>
      <c r="R329" s="1129">
        <f t="shared" si="135"/>
        <v>0</v>
      </c>
      <c r="S329" s="1129">
        <f t="shared" si="135"/>
        <v>0</v>
      </c>
      <c r="T329" s="1129">
        <f t="shared" si="135"/>
        <v>0</v>
      </c>
      <c r="U329" s="1129">
        <f t="shared" si="135"/>
        <v>56.92</v>
      </c>
      <c r="V329" s="1129">
        <f t="shared" si="135"/>
        <v>696981</v>
      </c>
      <c r="W329" s="1129">
        <v>0</v>
      </c>
      <c r="X329" s="1129">
        <f t="shared" si="135"/>
        <v>0</v>
      </c>
      <c r="Y329" s="1129">
        <f t="shared" si="135"/>
        <v>0</v>
      </c>
    </row>
    <row r="330" spans="1:25" s="1137" customFormat="1" ht="96" customHeight="1">
      <c r="A330" s="1280">
        <v>267</v>
      </c>
      <c r="B330" s="1128" t="s">
        <v>2275</v>
      </c>
      <c r="C330" s="1129">
        <f t="shared" ref="C330" si="136">D330+N330+P330+R330+T330+V330+X330</f>
        <v>96439</v>
      </c>
      <c r="D330" s="1129">
        <f t="shared" ref="D330" si="137">SUM(E330:J330)</f>
        <v>96439</v>
      </c>
      <c r="E330" s="1145">
        <v>0</v>
      </c>
      <c r="F330" s="1145">
        <v>0</v>
      </c>
      <c r="G330" s="1145">
        <v>0</v>
      </c>
      <c r="H330" s="1145">
        <v>96439</v>
      </c>
      <c r="I330" s="1145">
        <v>0</v>
      </c>
      <c r="J330" s="1145">
        <v>0</v>
      </c>
      <c r="K330" s="1136">
        <v>0</v>
      </c>
      <c r="L330" s="1145">
        <v>0</v>
      </c>
      <c r="M330" s="1136">
        <v>0</v>
      </c>
      <c r="N330" s="1145">
        <v>0</v>
      </c>
      <c r="O330" s="1145">
        <v>0</v>
      </c>
      <c r="P330" s="1145">
        <v>0</v>
      </c>
      <c r="Q330" s="1145">
        <v>0</v>
      </c>
      <c r="R330" s="1159">
        <v>0</v>
      </c>
      <c r="S330" s="1159">
        <v>0</v>
      </c>
      <c r="T330" s="1159">
        <v>0</v>
      </c>
      <c r="U330" s="1159">
        <v>0</v>
      </c>
      <c r="V330" s="1159">
        <v>0</v>
      </c>
      <c r="W330" s="1129">
        <v>0</v>
      </c>
      <c r="X330" s="1145">
        <v>0</v>
      </c>
      <c r="Y330" s="1159">
        <v>0</v>
      </c>
    </row>
    <row r="331" spans="1:25" s="1137" customFormat="1" ht="99.6" customHeight="1">
      <c r="A331" s="1280">
        <v>268</v>
      </c>
      <c r="B331" s="1128" t="s">
        <v>2372</v>
      </c>
      <c r="C331" s="1129">
        <f t="shared" ref="C331:C337" si="138">D331+N331+P331+R331+T331+V331+X331</f>
        <v>139050</v>
      </c>
      <c r="D331" s="1129">
        <f t="shared" ref="D331:D337" si="139">SUM(E331:J331)</f>
        <v>139050</v>
      </c>
      <c r="E331" s="1145">
        <v>0</v>
      </c>
      <c r="F331" s="1145">
        <v>0</v>
      </c>
      <c r="G331" s="1145">
        <v>0</v>
      </c>
      <c r="H331" s="1145">
        <v>0</v>
      </c>
      <c r="I331" s="1145">
        <v>0</v>
      </c>
      <c r="J331" s="1145">
        <v>139050</v>
      </c>
      <c r="K331" s="1136">
        <v>0</v>
      </c>
      <c r="L331" s="1145">
        <v>0</v>
      </c>
      <c r="M331" s="1136">
        <v>0</v>
      </c>
      <c r="N331" s="1145">
        <v>0</v>
      </c>
      <c r="O331" s="1145">
        <v>0</v>
      </c>
      <c r="P331" s="1145">
        <v>0</v>
      </c>
      <c r="Q331" s="1145">
        <v>0</v>
      </c>
      <c r="R331" s="1159">
        <v>0</v>
      </c>
      <c r="S331" s="1159">
        <v>0</v>
      </c>
      <c r="T331" s="1159">
        <v>0</v>
      </c>
      <c r="U331" s="1159">
        <v>0</v>
      </c>
      <c r="V331" s="1159">
        <v>0</v>
      </c>
      <c r="W331" s="1129">
        <v>0</v>
      </c>
      <c r="X331" s="1145">
        <v>0</v>
      </c>
      <c r="Y331" s="1159">
        <v>0</v>
      </c>
    </row>
    <row r="332" spans="1:25" s="1137" customFormat="1" ht="91.15" customHeight="1">
      <c r="A332" s="1280">
        <v>269</v>
      </c>
      <c r="B332" s="1128" t="s">
        <v>1846</v>
      </c>
      <c r="C332" s="1129">
        <f t="shared" si="138"/>
        <v>171392</v>
      </c>
      <c r="D332" s="1129">
        <f t="shared" si="139"/>
        <v>0</v>
      </c>
      <c r="E332" s="1145">
        <v>0</v>
      </c>
      <c r="F332" s="1145">
        <v>0</v>
      </c>
      <c r="G332" s="1145">
        <v>0</v>
      </c>
      <c r="H332" s="1145">
        <v>0</v>
      </c>
      <c r="I332" s="1145">
        <v>0</v>
      </c>
      <c r="J332" s="1145">
        <v>0</v>
      </c>
      <c r="K332" s="1136">
        <v>0</v>
      </c>
      <c r="L332" s="1145">
        <v>0</v>
      </c>
      <c r="M332" s="1136">
        <v>0</v>
      </c>
      <c r="N332" s="1145">
        <v>0</v>
      </c>
      <c r="O332" s="1145">
        <v>0</v>
      </c>
      <c r="P332" s="1145">
        <v>0</v>
      </c>
      <c r="Q332" s="1145">
        <v>0</v>
      </c>
      <c r="R332" s="1145">
        <v>0</v>
      </c>
      <c r="S332" s="1145">
        <v>0</v>
      </c>
      <c r="T332" s="1145">
        <v>0</v>
      </c>
      <c r="U332" s="1159">
        <v>10.28</v>
      </c>
      <c r="V332" s="1145">
        <v>171392</v>
      </c>
      <c r="W332" s="1129">
        <v>0</v>
      </c>
      <c r="X332" s="1145">
        <v>0</v>
      </c>
      <c r="Y332" s="1159">
        <v>0</v>
      </c>
    </row>
    <row r="333" spans="1:25" s="1137" customFormat="1" ht="87.6" customHeight="1">
      <c r="A333" s="1280">
        <v>270</v>
      </c>
      <c r="B333" s="1128" t="s">
        <v>1847</v>
      </c>
      <c r="C333" s="1129">
        <f t="shared" si="138"/>
        <v>193859</v>
      </c>
      <c r="D333" s="1129">
        <f t="shared" si="139"/>
        <v>193859</v>
      </c>
      <c r="E333" s="1145">
        <v>193859</v>
      </c>
      <c r="F333" s="1145">
        <v>0</v>
      </c>
      <c r="G333" s="1145">
        <v>0</v>
      </c>
      <c r="H333" s="1145">
        <v>0</v>
      </c>
      <c r="I333" s="1145">
        <v>0</v>
      </c>
      <c r="J333" s="1145">
        <v>0</v>
      </c>
      <c r="K333" s="1136">
        <v>0</v>
      </c>
      <c r="L333" s="1145">
        <v>0</v>
      </c>
      <c r="M333" s="1136">
        <v>0</v>
      </c>
      <c r="N333" s="1145">
        <v>0</v>
      </c>
      <c r="O333" s="1145">
        <v>0</v>
      </c>
      <c r="P333" s="1145">
        <v>0</v>
      </c>
      <c r="Q333" s="1145">
        <v>0</v>
      </c>
      <c r="R333" s="1145">
        <v>0</v>
      </c>
      <c r="S333" s="1145">
        <v>0</v>
      </c>
      <c r="T333" s="1145">
        <v>0</v>
      </c>
      <c r="U333" s="1159">
        <v>0</v>
      </c>
      <c r="V333" s="1159">
        <v>0</v>
      </c>
      <c r="W333" s="1129">
        <v>0</v>
      </c>
      <c r="X333" s="1145">
        <v>0</v>
      </c>
      <c r="Y333" s="1159">
        <v>0</v>
      </c>
    </row>
    <row r="334" spans="1:25" s="1137" customFormat="1" ht="94.9" customHeight="1">
      <c r="A334" s="1280">
        <v>271</v>
      </c>
      <c r="B334" s="1128" t="s">
        <v>1960</v>
      </c>
      <c r="C334" s="1129">
        <f t="shared" si="138"/>
        <v>89206</v>
      </c>
      <c r="D334" s="1129">
        <f t="shared" si="139"/>
        <v>0</v>
      </c>
      <c r="E334" s="1145">
        <v>0</v>
      </c>
      <c r="F334" s="1145">
        <v>0</v>
      </c>
      <c r="G334" s="1145">
        <v>0</v>
      </c>
      <c r="H334" s="1145">
        <v>0</v>
      </c>
      <c r="I334" s="1145">
        <v>0</v>
      </c>
      <c r="J334" s="1145">
        <v>0</v>
      </c>
      <c r="K334" s="1136">
        <v>0</v>
      </c>
      <c r="L334" s="1145">
        <v>0</v>
      </c>
      <c r="M334" s="1136">
        <v>0</v>
      </c>
      <c r="N334" s="1145">
        <v>0</v>
      </c>
      <c r="O334" s="1145">
        <v>0</v>
      </c>
      <c r="P334" s="1145">
        <v>0</v>
      </c>
      <c r="Q334" s="1145">
        <v>0</v>
      </c>
      <c r="R334" s="1145">
        <v>0</v>
      </c>
      <c r="S334" s="1145">
        <v>0</v>
      </c>
      <c r="T334" s="1145">
        <v>0</v>
      </c>
      <c r="U334" s="1159">
        <v>5.14</v>
      </c>
      <c r="V334" s="1159">
        <v>89206</v>
      </c>
      <c r="W334" s="1129">
        <v>0</v>
      </c>
      <c r="X334" s="1145">
        <v>0</v>
      </c>
      <c r="Y334" s="1159">
        <v>0</v>
      </c>
    </row>
    <row r="335" spans="1:25" s="1137" customFormat="1" ht="85.15" customHeight="1">
      <c r="A335" s="1280">
        <v>272</v>
      </c>
      <c r="B335" s="1128" t="s">
        <v>2373</v>
      </c>
      <c r="C335" s="1129">
        <f t="shared" si="138"/>
        <v>129580</v>
      </c>
      <c r="D335" s="1129">
        <f t="shared" si="139"/>
        <v>129580</v>
      </c>
      <c r="E335" s="1145">
        <v>129580</v>
      </c>
      <c r="F335" s="1145">
        <v>0</v>
      </c>
      <c r="G335" s="1145">
        <v>0</v>
      </c>
      <c r="H335" s="1145">
        <v>0</v>
      </c>
      <c r="I335" s="1145">
        <v>0</v>
      </c>
      <c r="J335" s="1145">
        <v>0</v>
      </c>
      <c r="K335" s="1136">
        <v>0</v>
      </c>
      <c r="L335" s="1145">
        <v>0</v>
      </c>
      <c r="M335" s="1136">
        <v>0</v>
      </c>
      <c r="N335" s="1145">
        <v>0</v>
      </c>
      <c r="O335" s="1145">
        <v>0</v>
      </c>
      <c r="P335" s="1145">
        <v>0</v>
      </c>
      <c r="Q335" s="1145">
        <v>0</v>
      </c>
      <c r="R335" s="1159">
        <v>0</v>
      </c>
      <c r="S335" s="1159">
        <v>0</v>
      </c>
      <c r="T335" s="1159">
        <v>0</v>
      </c>
      <c r="U335" s="1159">
        <v>0</v>
      </c>
      <c r="V335" s="1159">
        <v>0</v>
      </c>
      <c r="W335" s="1129">
        <v>0</v>
      </c>
      <c r="X335" s="1145">
        <v>0</v>
      </c>
      <c r="Y335" s="1159">
        <v>0</v>
      </c>
    </row>
    <row r="336" spans="1:25" s="1137" customFormat="1" ht="87.6" customHeight="1">
      <c r="A336" s="1280">
        <v>273</v>
      </c>
      <c r="B336" s="1128" t="s">
        <v>2374</v>
      </c>
      <c r="C336" s="1129">
        <f t="shared" si="138"/>
        <v>267023</v>
      </c>
      <c r="D336" s="1129">
        <f t="shared" si="139"/>
        <v>267023</v>
      </c>
      <c r="E336" s="1145">
        <v>0</v>
      </c>
      <c r="F336" s="1145">
        <v>267023</v>
      </c>
      <c r="G336" s="1145">
        <v>0</v>
      </c>
      <c r="H336" s="1145">
        <v>0</v>
      </c>
      <c r="I336" s="1145">
        <v>0</v>
      </c>
      <c r="J336" s="1145">
        <v>0</v>
      </c>
      <c r="K336" s="1136">
        <v>0</v>
      </c>
      <c r="L336" s="1145">
        <v>0</v>
      </c>
      <c r="M336" s="1136">
        <v>0</v>
      </c>
      <c r="N336" s="1145">
        <v>0</v>
      </c>
      <c r="O336" s="1145">
        <v>0</v>
      </c>
      <c r="P336" s="1145">
        <v>0</v>
      </c>
      <c r="Q336" s="1145">
        <v>0</v>
      </c>
      <c r="R336" s="1159">
        <v>0</v>
      </c>
      <c r="S336" s="1159">
        <v>0</v>
      </c>
      <c r="T336" s="1159">
        <v>0</v>
      </c>
      <c r="U336" s="1159">
        <v>0</v>
      </c>
      <c r="V336" s="1159">
        <v>0</v>
      </c>
      <c r="W336" s="1129">
        <v>0</v>
      </c>
      <c r="X336" s="1145">
        <v>0</v>
      </c>
      <c r="Y336" s="1159">
        <v>0</v>
      </c>
    </row>
    <row r="337" spans="1:25" s="1137" customFormat="1" ht="85.15" customHeight="1">
      <c r="A337" s="1280">
        <v>274</v>
      </c>
      <c r="B337" s="1128" t="s">
        <v>2375</v>
      </c>
      <c r="C337" s="1129">
        <f t="shared" si="138"/>
        <v>183424</v>
      </c>
      <c r="D337" s="1129">
        <f t="shared" si="139"/>
        <v>183424</v>
      </c>
      <c r="E337" s="1145">
        <v>0</v>
      </c>
      <c r="F337" s="1145">
        <v>183424</v>
      </c>
      <c r="G337" s="1145">
        <v>0</v>
      </c>
      <c r="H337" s="1145">
        <v>0</v>
      </c>
      <c r="I337" s="1145">
        <v>0</v>
      </c>
      <c r="J337" s="1145">
        <v>0</v>
      </c>
      <c r="K337" s="1136">
        <v>0</v>
      </c>
      <c r="L337" s="1145">
        <v>0</v>
      </c>
      <c r="M337" s="1136">
        <v>0</v>
      </c>
      <c r="N337" s="1145">
        <v>0</v>
      </c>
      <c r="O337" s="1145">
        <v>0</v>
      </c>
      <c r="P337" s="1145">
        <v>0</v>
      </c>
      <c r="Q337" s="1145">
        <v>0</v>
      </c>
      <c r="R337" s="1159">
        <v>0</v>
      </c>
      <c r="S337" s="1159">
        <v>0</v>
      </c>
      <c r="T337" s="1159">
        <v>0</v>
      </c>
      <c r="U337" s="1159">
        <v>0</v>
      </c>
      <c r="V337" s="1159">
        <v>0</v>
      </c>
      <c r="W337" s="1129">
        <v>0</v>
      </c>
      <c r="X337" s="1145">
        <v>0</v>
      </c>
      <c r="Y337" s="1159">
        <v>0</v>
      </c>
    </row>
    <row r="338" spans="1:25" s="1137" customFormat="1" ht="88.9" customHeight="1">
      <c r="A338" s="1280">
        <v>275</v>
      </c>
      <c r="B338" s="1128" t="s">
        <v>3010</v>
      </c>
      <c r="C338" s="1129">
        <f t="shared" ref="C338" si="140">D338+N338+P338+R338+T338+V338+X338</f>
        <v>162090</v>
      </c>
      <c r="D338" s="1129">
        <f t="shared" ref="D338" si="141">SUM(E338:J338)</f>
        <v>162090</v>
      </c>
      <c r="E338" s="1160">
        <v>0</v>
      </c>
      <c r="F338" s="1160">
        <v>162090</v>
      </c>
      <c r="G338" s="1160">
        <v>0</v>
      </c>
      <c r="H338" s="1160">
        <v>0</v>
      </c>
      <c r="I338" s="1160">
        <v>0</v>
      </c>
      <c r="J338" s="1160">
        <v>0</v>
      </c>
      <c r="K338" s="1136">
        <v>0</v>
      </c>
      <c r="L338" s="1160">
        <v>0</v>
      </c>
      <c r="M338" s="1136">
        <v>0</v>
      </c>
      <c r="N338" s="1160">
        <v>0</v>
      </c>
      <c r="O338" s="1160">
        <v>0</v>
      </c>
      <c r="P338" s="1160">
        <v>0</v>
      </c>
      <c r="Q338" s="1160">
        <v>0</v>
      </c>
      <c r="R338" s="1160">
        <v>0</v>
      </c>
      <c r="S338" s="1160">
        <v>0</v>
      </c>
      <c r="T338" s="1160">
        <v>0</v>
      </c>
      <c r="U338" s="1160">
        <v>0</v>
      </c>
      <c r="V338" s="1160">
        <v>0</v>
      </c>
      <c r="W338" s="1129">
        <v>0</v>
      </c>
      <c r="X338" s="1160">
        <v>0</v>
      </c>
      <c r="Y338" s="1160">
        <v>0</v>
      </c>
    </row>
    <row r="339" spans="1:25" s="1137" customFormat="1" ht="84" customHeight="1">
      <c r="A339" s="1280">
        <v>276</v>
      </c>
      <c r="B339" s="1128" t="s">
        <v>1848</v>
      </c>
      <c r="C339" s="1129">
        <f t="shared" ref="C339:C345" si="142">D339+N339+P339+R339+T339+V339+X339</f>
        <v>162090</v>
      </c>
      <c r="D339" s="1129">
        <f t="shared" ref="D339:D345" si="143">SUM(E339:J339)</f>
        <v>162090</v>
      </c>
      <c r="E339" s="1160">
        <v>0</v>
      </c>
      <c r="F339" s="1160">
        <v>162090</v>
      </c>
      <c r="G339" s="1160">
        <v>0</v>
      </c>
      <c r="H339" s="1160">
        <v>0</v>
      </c>
      <c r="I339" s="1160">
        <v>0</v>
      </c>
      <c r="J339" s="1160">
        <v>0</v>
      </c>
      <c r="K339" s="1136">
        <v>0</v>
      </c>
      <c r="L339" s="1160">
        <v>0</v>
      </c>
      <c r="M339" s="1136">
        <v>0</v>
      </c>
      <c r="N339" s="1160">
        <v>0</v>
      </c>
      <c r="O339" s="1160">
        <v>0</v>
      </c>
      <c r="P339" s="1160">
        <v>0</v>
      </c>
      <c r="Q339" s="1160">
        <v>0</v>
      </c>
      <c r="R339" s="1160">
        <v>0</v>
      </c>
      <c r="S339" s="1160">
        <v>0</v>
      </c>
      <c r="T339" s="1160">
        <v>0</v>
      </c>
      <c r="U339" s="1160">
        <v>0</v>
      </c>
      <c r="V339" s="1160">
        <v>0</v>
      </c>
      <c r="W339" s="1129">
        <v>0</v>
      </c>
      <c r="X339" s="1160">
        <v>0</v>
      </c>
      <c r="Y339" s="1160">
        <v>0</v>
      </c>
    </row>
    <row r="340" spans="1:25" s="1137" customFormat="1" ht="87.6" customHeight="1">
      <c r="A340" s="1280">
        <v>277</v>
      </c>
      <c r="B340" s="1128" t="s">
        <v>1849</v>
      </c>
      <c r="C340" s="1129">
        <f t="shared" si="142"/>
        <v>245114</v>
      </c>
      <c r="D340" s="1129">
        <f t="shared" si="143"/>
        <v>245114</v>
      </c>
      <c r="E340" s="1160">
        <v>0</v>
      </c>
      <c r="F340" s="1160">
        <v>0</v>
      </c>
      <c r="G340" s="1160">
        <v>0</v>
      </c>
      <c r="H340" s="1160">
        <v>106217</v>
      </c>
      <c r="I340" s="1160">
        <v>0</v>
      </c>
      <c r="J340" s="1160">
        <v>138897</v>
      </c>
      <c r="K340" s="1136">
        <v>0</v>
      </c>
      <c r="L340" s="1160">
        <v>0</v>
      </c>
      <c r="M340" s="1136">
        <v>0</v>
      </c>
      <c r="N340" s="1160">
        <v>0</v>
      </c>
      <c r="O340" s="1160">
        <v>0</v>
      </c>
      <c r="P340" s="1160">
        <v>0</v>
      </c>
      <c r="Q340" s="1160">
        <v>0</v>
      </c>
      <c r="R340" s="1160">
        <v>0</v>
      </c>
      <c r="S340" s="1160">
        <v>0</v>
      </c>
      <c r="T340" s="1160">
        <v>0</v>
      </c>
      <c r="U340" s="1160">
        <v>0</v>
      </c>
      <c r="V340" s="1160">
        <v>0</v>
      </c>
      <c r="W340" s="1129">
        <v>0</v>
      </c>
      <c r="X340" s="1160">
        <v>0</v>
      </c>
      <c r="Y340" s="1160">
        <v>0</v>
      </c>
    </row>
    <row r="341" spans="1:25" s="1137" customFormat="1" ht="85.15" customHeight="1">
      <c r="A341" s="1280">
        <v>278</v>
      </c>
      <c r="B341" s="1128" t="s">
        <v>1851</v>
      </c>
      <c r="C341" s="1129">
        <f t="shared" si="142"/>
        <v>162090</v>
      </c>
      <c r="D341" s="1129">
        <f t="shared" si="143"/>
        <v>162090</v>
      </c>
      <c r="E341" s="1160">
        <v>0</v>
      </c>
      <c r="F341" s="1160">
        <v>162090</v>
      </c>
      <c r="G341" s="1149">
        <v>0</v>
      </c>
      <c r="H341" s="1160">
        <v>0</v>
      </c>
      <c r="I341" s="1160">
        <v>0</v>
      </c>
      <c r="J341" s="1160">
        <v>0</v>
      </c>
      <c r="K341" s="1136">
        <v>0</v>
      </c>
      <c r="L341" s="1160">
        <v>0</v>
      </c>
      <c r="M341" s="1136">
        <v>0</v>
      </c>
      <c r="N341" s="1160">
        <v>0</v>
      </c>
      <c r="O341" s="1160">
        <v>0</v>
      </c>
      <c r="P341" s="1160">
        <v>0</v>
      </c>
      <c r="Q341" s="1160">
        <v>0</v>
      </c>
      <c r="R341" s="1160">
        <v>0</v>
      </c>
      <c r="S341" s="1160">
        <v>0</v>
      </c>
      <c r="T341" s="1160">
        <v>0</v>
      </c>
      <c r="U341" s="1160">
        <v>0</v>
      </c>
      <c r="V341" s="1160">
        <v>0</v>
      </c>
      <c r="W341" s="1129">
        <v>0</v>
      </c>
      <c r="X341" s="1160">
        <v>0</v>
      </c>
      <c r="Y341" s="1160">
        <v>0</v>
      </c>
    </row>
    <row r="342" spans="1:25" s="1137" customFormat="1" ht="81.599999999999994" customHeight="1">
      <c r="A342" s="1280">
        <v>279</v>
      </c>
      <c r="B342" s="1128" t="s">
        <v>1850</v>
      </c>
      <c r="C342" s="1129">
        <f t="shared" si="142"/>
        <v>158909</v>
      </c>
      <c r="D342" s="1129">
        <f t="shared" si="143"/>
        <v>0</v>
      </c>
      <c r="E342" s="1160">
        <v>0</v>
      </c>
      <c r="F342" s="1160">
        <v>0</v>
      </c>
      <c r="G342" s="1160">
        <v>0</v>
      </c>
      <c r="H342" s="1160">
        <v>0</v>
      </c>
      <c r="I342" s="1160">
        <v>0</v>
      </c>
      <c r="J342" s="1160">
        <v>0</v>
      </c>
      <c r="K342" s="1136">
        <v>0</v>
      </c>
      <c r="L342" s="1160">
        <v>0</v>
      </c>
      <c r="M342" s="1136">
        <v>0</v>
      </c>
      <c r="N342" s="1160">
        <v>0</v>
      </c>
      <c r="O342" s="1160">
        <v>0</v>
      </c>
      <c r="P342" s="1160">
        <v>0</v>
      </c>
      <c r="Q342" s="1160">
        <v>0</v>
      </c>
      <c r="R342" s="1160">
        <v>0</v>
      </c>
      <c r="S342" s="1160">
        <v>0</v>
      </c>
      <c r="T342" s="1160">
        <v>0</v>
      </c>
      <c r="U342" s="1145">
        <v>15.5</v>
      </c>
      <c r="V342" s="1145">
        <v>158909</v>
      </c>
      <c r="W342" s="1129">
        <v>0</v>
      </c>
      <c r="X342" s="1145">
        <v>0</v>
      </c>
      <c r="Y342" s="1145">
        <v>0</v>
      </c>
    </row>
    <row r="343" spans="1:25" s="1137" customFormat="1" ht="92.45" customHeight="1">
      <c r="A343" s="1280">
        <v>280</v>
      </c>
      <c r="B343" s="1128" t="s">
        <v>2286</v>
      </c>
      <c r="C343" s="1129">
        <f t="shared" si="142"/>
        <v>307139</v>
      </c>
      <c r="D343" s="1129">
        <f t="shared" si="143"/>
        <v>307139</v>
      </c>
      <c r="E343" s="1160">
        <v>0</v>
      </c>
      <c r="F343" s="1160">
        <v>0</v>
      </c>
      <c r="G343" s="1160">
        <v>0</v>
      </c>
      <c r="H343" s="1160">
        <v>154065</v>
      </c>
      <c r="I343" s="1160">
        <v>0</v>
      </c>
      <c r="J343" s="1160">
        <v>153074</v>
      </c>
      <c r="K343" s="1136">
        <v>0</v>
      </c>
      <c r="L343" s="1160">
        <v>0</v>
      </c>
      <c r="M343" s="1136">
        <v>0</v>
      </c>
      <c r="N343" s="1160">
        <v>0</v>
      </c>
      <c r="O343" s="1160">
        <v>0</v>
      </c>
      <c r="P343" s="1160">
        <v>0</v>
      </c>
      <c r="Q343" s="1160">
        <v>0</v>
      </c>
      <c r="R343" s="1160">
        <v>0</v>
      </c>
      <c r="S343" s="1160">
        <v>0</v>
      </c>
      <c r="T343" s="1160">
        <v>0</v>
      </c>
      <c r="U343" s="1145">
        <v>0</v>
      </c>
      <c r="V343" s="1145">
        <v>0</v>
      </c>
      <c r="W343" s="1129">
        <v>0</v>
      </c>
      <c r="X343" s="1145">
        <v>0</v>
      </c>
      <c r="Y343" s="1145">
        <v>0</v>
      </c>
    </row>
    <row r="344" spans="1:25" s="1137" customFormat="1" ht="91.15" customHeight="1">
      <c r="A344" s="1280">
        <v>281</v>
      </c>
      <c r="B344" s="1128" t="s">
        <v>2376</v>
      </c>
      <c r="C344" s="1129">
        <f t="shared" si="142"/>
        <v>118565</v>
      </c>
      <c r="D344" s="1129">
        <f t="shared" si="143"/>
        <v>0</v>
      </c>
      <c r="E344" s="1160">
        <v>0</v>
      </c>
      <c r="F344" s="1160">
        <v>0</v>
      </c>
      <c r="G344" s="1161" t="s">
        <v>1181</v>
      </c>
      <c r="H344" s="1160">
        <v>0</v>
      </c>
      <c r="I344" s="1160">
        <v>0</v>
      </c>
      <c r="J344" s="1160">
        <v>0</v>
      </c>
      <c r="K344" s="1136">
        <v>0</v>
      </c>
      <c r="L344" s="1160">
        <v>0</v>
      </c>
      <c r="M344" s="1136">
        <v>0</v>
      </c>
      <c r="N344" s="1160">
        <v>0</v>
      </c>
      <c r="O344" s="1160">
        <v>0</v>
      </c>
      <c r="P344" s="1160">
        <v>0</v>
      </c>
      <c r="Q344" s="1160">
        <v>0</v>
      </c>
      <c r="R344" s="1160">
        <v>0</v>
      </c>
      <c r="S344" s="1160">
        <v>0</v>
      </c>
      <c r="T344" s="1160">
        <v>0</v>
      </c>
      <c r="U344" s="1145">
        <v>10.5</v>
      </c>
      <c r="V344" s="1145">
        <v>118565</v>
      </c>
      <c r="W344" s="1129">
        <v>0</v>
      </c>
      <c r="X344" s="1145">
        <v>0</v>
      </c>
      <c r="Y344" s="1145">
        <v>0</v>
      </c>
    </row>
    <row r="345" spans="1:25" s="1152" customFormat="1" ht="86.45" customHeight="1">
      <c r="A345" s="1280">
        <v>282</v>
      </c>
      <c r="B345" s="1128" t="s">
        <v>2377</v>
      </c>
      <c r="C345" s="1129">
        <f t="shared" si="142"/>
        <v>158909</v>
      </c>
      <c r="D345" s="1129">
        <f t="shared" si="143"/>
        <v>0</v>
      </c>
      <c r="E345" s="1160">
        <v>0</v>
      </c>
      <c r="F345" s="1160">
        <v>0</v>
      </c>
      <c r="G345" s="1160">
        <v>0</v>
      </c>
      <c r="H345" s="1160">
        <v>0</v>
      </c>
      <c r="I345" s="1160">
        <v>0</v>
      </c>
      <c r="J345" s="1160">
        <v>0</v>
      </c>
      <c r="K345" s="1136">
        <v>0</v>
      </c>
      <c r="L345" s="1160">
        <v>0</v>
      </c>
      <c r="M345" s="1136">
        <v>0</v>
      </c>
      <c r="N345" s="1160">
        <v>0</v>
      </c>
      <c r="O345" s="1160">
        <v>0</v>
      </c>
      <c r="P345" s="1160">
        <v>0</v>
      </c>
      <c r="Q345" s="1160">
        <v>0</v>
      </c>
      <c r="R345" s="1160">
        <v>0</v>
      </c>
      <c r="S345" s="1160">
        <v>0</v>
      </c>
      <c r="T345" s="1160">
        <v>0</v>
      </c>
      <c r="U345" s="1145">
        <v>15.5</v>
      </c>
      <c r="V345" s="1145">
        <v>158909</v>
      </c>
      <c r="W345" s="1129">
        <v>0</v>
      </c>
      <c r="X345" s="1145">
        <v>0</v>
      </c>
      <c r="Y345" s="1145">
        <v>0</v>
      </c>
    </row>
    <row r="346" spans="1:25" s="1152" customFormat="1" ht="126.6" customHeight="1">
      <c r="A346" s="1280"/>
      <c r="B346" s="1135" t="s">
        <v>1119</v>
      </c>
      <c r="C346" s="1145">
        <f>SUM(C347:C354)</f>
        <v>33753455</v>
      </c>
      <c r="D346" s="1145">
        <f t="shared" ref="D346:Y346" si="144">SUM(D347:D354)</f>
        <v>12534441</v>
      </c>
      <c r="E346" s="1145">
        <f t="shared" si="144"/>
        <v>0</v>
      </c>
      <c r="F346" s="1145">
        <f t="shared" si="144"/>
        <v>12534441</v>
      </c>
      <c r="G346" s="1145">
        <f t="shared" si="144"/>
        <v>0</v>
      </c>
      <c r="H346" s="1145">
        <f t="shared" si="144"/>
        <v>0</v>
      </c>
      <c r="I346" s="1145">
        <f t="shared" si="144"/>
        <v>0</v>
      </c>
      <c r="J346" s="1145">
        <f t="shared" si="144"/>
        <v>0</v>
      </c>
      <c r="K346" s="1136">
        <f t="shared" si="144"/>
        <v>1</v>
      </c>
      <c r="L346" s="1145">
        <f t="shared" si="144"/>
        <v>276639</v>
      </c>
      <c r="M346" s="1136">
        <f t="shared" si="144"/>
        <v>0</v>
      </c>
      <c r="N346" s="1145">
        <f t="shared" si="144"/>
        <v>0</v>
      </c>
      <c r="O346" s="1145">
        <f t="shared" si="144"/>
        <v>5223.5</v>
      </c>
      <c r="P346" s="1145">
        <f t="shared" si="144"/>
        <v>13774921</v>
      </c>
      <c r="Q346" s="1145">
        <f t="shared" si="144"/>
        <v>0</v>
      </c>
      <c r="R346" s="1145">
        <f t="shared" si="144"/>
        <v>0</v>
      </c>
      <c r="S346" s="1145">
        <f t="shared" si="144"/>
        <v>1739.95</v>
      </c>
      <c r="T346" s="1145">
        <f t="shared" si="144"/>
        <v>4715779</v>
      </c>
      <c r="U346" s="1145">
        <f t="shared" si="144"/>
        <v>0</v>
      </c>
      <c r="V346" s="1145">
        <f t="shared" si="144"/>
        <v>0</v>
      </c>
      <c r="W346" s="1129">
        <v>0</v>
      </c>
      <c r="X346" s="1145">
        <f t="shared" si="144"/>
        <v>2451675</v>
      </c>
      <c r="Y346" s="1145">
        <f t="shared" si="144"/>
        <v>0</v>
      </c>
    </row>
    <row r="347" spans="1:25" s="1152" customFormat="1" ht="94.9" customHeight="1">
      <c r="A347" s="1280">
        <v>283</v>
      </c>
      <c r="B347" s="1128" t="s">
        <v>2378</v>
      </c>
      <c r="C347" s="1129">
        <f>D347+N347+P347+R347+T347+V347+X347+L347</f>
        <v>5976862</v>
      </c>
      <c r="D347" s="1129">
        <f>SUM(E347:J347)</f>
        <v>0</v>
      </c>
      <c r="E347" s="1129">
        <v>0</v>
      </c>
      <c r="F347" s="1145">
        <v>0</v>
      </c>
      <c r="G347" s="1129">
        <v>0</v>
      </c>
      <c r="H347" s="1129">
        <v>0</v>
      </c>
      <c r="I347" s="1129">
        <v>0</v>
      </c>
      <c r="J347" s="1129">
        <v>0</v>
      </c>
      <c r="K347" s="1136">
        <v>0</v>
      </c>
      <c r="L347" s="1129">
        <v>0</v>
      </c>
      <c r="M347" s="1136">
        <v>0</v>
      </c>
      <c r="N347" s="1129">
        <v>0</v>
      </c>
      <c r="O347" s="1129">
        <v>780</v>
      </c>
      <c r="P347" s="1129">
        <v>2448235</v>
      </c>
      <c r="Q347" s="1129">
        <v>0</v>
      </c>
      <c r="R347" s="1129">
        <v>0</v>
      </c>
      <c r="S347" s="1129">
        <v>1254</v>
      </c>
      <c r="T347" s="1129">
        <v>3094499</v>
      </c>
      <c r="U347" s="1129">
        <v>0</v>
      </c>
      <c r="V347" s="1129">
        <v>0</v>
      </c>
      <c r="W347" s="1129">
        <v>0</v>
      </c>
      <c r="X347" s="1145">
        <v>434128</v>
      </c>
      <c r="Y347" s="1145">
        <v>0</v>
      </c>
    </row>
    <row r="348" spans="1:25" s="1152" customFormat="1" ht="123" customHeight="1">
      <c r="A348" s="1280">
        <v>284</v>
      </c>
      <c r="B348" s="1128" t="s">
        <v>3009</v>
      </c>
      <c r="C348" s="1129">
        <f t="shared" ref="C348:C352" si="145">D348+N348+P348+R348+T348+V348+X348+L348</f>
        <v>13814493</v>
      </c>
      <c r="D348" s="1129">
        <f t="shared" ref="D348:D352" si="146">SUM(E348:J348)</f>
        <v>12534441</v>
      </c>
      <c r="E348" s="1129">
        <v>0</v>
      </c>
      <c r="F348" s="1145">
        <v>12534441</v>
      </c>
      <c r="G348" s="1129">
        <v>0</v>
      </c>
      <c r="H348" s="1129">
        <v>0</v>
      </c>
      <c r="I348" s="1129">
        <v>0</v>
      </c>
      <c r="J348" s="1129">
        <v>0</v>
      </c>
      <c r="K348" s="1136">
        <v>1</v>
      </c>
      <c r="L348" s="1129">
        <v>276639</v>
      </c>
      <c r="M348" s="1136">
        <v>0</v>
      </c>
      <c r="N348" s="1129">
        <v>0</v>
      </c>
      <c r="O348" s="1129">
        <v>0</v>
      </c>
      <c r="P348" s="1129">
        <v>0</v>
      </c>
      <c r="Q348" s="1129">
        <v>0</v>
      </c>
      <c r="R348" s="1129">
        <v>0</v>
      </c>
      <c r="S348" s="1129">
        <v>0</v>
      </c>
      <c r="T348" s="1129">
        <v>0</v>
      </c>
      <c r="U348" s="1129">
        <v>0</v>
      </c>
      <c r="V348" s="1129">
        <v>0</v>
      </c>
      <c r="W348" s="1129">
        <v>0</v>
      </c>
      <c r="X348" s="1129">
        <v>1003413</v>
      </c>
      <c r="Y348" s="1145">
        <v>0</v>
      </c>
    </row>
    <row r="349" spans="1:25" s="1152" customFormat="1" ht="99.6" customHeight="1">
      <c r="A349" s="1280">
        <v>285</v>
      </c>
      <c r="B349" s="1128" t="s">
        <v>2379</v>
      </c>
      <c r="C349" s="1129">
        <f t="shared" si="145"/>
        <v>1543343</v>
      </c>
      <c r="D349" s="1129">
        <f t="shared" si="146"/>
        <v>0</v>
      </c>
      <c r="E349" s="1129">
        <v>0</v>
      </c>
      <c r="F349" s="1145">
        <v>0</v>
      </c>
      <c r="G349" s="1129">
        <v>0</v>
      </c>
      <c r="H349" s="1129">
        <v>0</v>
      </c>
      <c r="I349" s="1129">
        <v>0</v>
      </c>
      <c r="J349" s="1129">
        <v>0</v>
      </c>
      <c r="K349" s="1136">
        <v>0</v>
      </c>
      <c r="L349" s="1129">
        <v>0</v>
      </c>
      <c r="M349" s="1136">
        <v>0</v>
      </c>
      <c r="N349" s="1129">
        <v>0</v>
      </c>
      <c r="O349" s="1129">
        <v>568</v>
      </c>
      <c r="P349" s="1162">
        <v>1431243</v>
      </c>
      <c r="Q349" s="1129">
        <v>0</v>
      </c>
      <c r="R349" s="1129">
        <v>0</v>
      </c>
      <c r="S349" s="1129">
        <v>0</v>
      </c>
      <c r="T349" s="1129">
        <v>0</v>
      </c>
      <c r="U349" s="1129">
        <v>0</v>
      </c>
      <c r="V349" s="1129">
        <v>0</v>
      </c>
      <c r="W349" s="1129">
        <v>0</v>
      </c>
      <c r="X349" s="1145">
        <v>112100</v>
      </c>
      <c r="Y349" s="1145">
        <v>0</v>
      </c>
    </row>
    <row r="350" spans="1:25" s="1152" customFormat="1" ht="91.15" customHeight="1">
      <c r="A350" s="1280">
        <v>286</v>
      </c>
      <c r="B350" s="1128" t="s">
        <v>2380</v>
      </c>
      <c r="C350" s="1129">
        <f t="shared" si="145"/>
        <v>2445438</v>
      </c>
      <c r="D350" s="1129">
        <f t="shared" si="146"/>
        <v>0</v>
      </c>
      <c r="E350" s="1129">
        <v>0</v>
      </c>
      <c r="F350" s="1145">
        <v>0</v>
      </c>
      <c r="G350" s="1129">
        <v>0</v>
      </c>
      <c r="H350" s="1129">
        <v>0</v>
      </c>
      <c r="I350" s="1129">
        <v>0</v>
      </c>
      <c r="J350" s="1129">
        <v>0</v>
      </c>
      <c r="K350" s="1136">
        <v>0</v>
      </c>
      <c r="L350" s="1129">
        <v>0</v>
      </c>
      <c r="M350" s="1136">
        <v>0</v>
      </c>
      <c r="N350" s="1129">
        <v>0</v>
      </c>
      <c r="O350" s="1129">
        <v>900</v>
      </c>
      <c r="P350" s="1129">
        <v>2267814</v>
      </c>
      <c r="Q350" s="1129">
        <v>0</v>
      </c>
      <c r="R350" s="1129">
        <v>0</v>
      </c>
      <c r="S350" s="1129">
        <v>0</v>
      </c>
      <c r="T350" s="1129">
        <v>0</v>
      </c>
      <c r="U350" s="1129">
        <v>0</v>
      </c>
      <c r="V350" s="1129">
        <v>0</v>
      </c>
      <c r="W350" s="1129">
        <v>0</v>
      </c>
      <c r="X350" s="1145">
        <v>177624</v>
      </c>
      <c r="Y350" s="1145">
        <v>0</v>
      </c>
    </row>
    <row r="351" spans="1:25" s="1152" customFormat="1" ht="92.45" customHeight="1">
      <c r="A351" s="1280">
        <v>287</v>
      </c>
      <c r="B351" s="1128" t="s">
        <v>2053</v>
      </c>
      <c r="C351" s="1129">
        <f t="shared" si="145"/>
        <v>710766</v>
      </c>
      <c r="D351" s="1129">
        <f t="shared" si="146"/>
        <v>0</v>
      </c>
      <c r="E351" s="1129">
        <v>0</v>
      </c>
      <c r="F351" s="1145">
        <v>0</v>
      </c>
      <c r="G351" s="1129">
        <v>0</v>
      </c>
      <c r="H351" s="1129">
        <v>0</v>
      </c>
      <c r="I351" s="1129">
        <v>0</v>
      </c>
      <c r="J351" s="1129">
        <v>0</v>
      </c>
      <c r="K351" s="1136">
        <v>0</v>
      </c>
      <c r="L351" s="1129">
        <v>0</v>
      </c>
      <c r="M351" s="1136">
        <v>0</v>
      </c>
      <c r="N351" s="1129">
        <v>0</v>
      </c>
      <c r="O351" s="1129">
        <v>210</v>
      </c>
      <c r="P351" s="1129">
        <v>659140</v>
      </c>
      <c r="Q351" s="1129">
        <v>0</v>
      </c>
      <c r="R351" s="1129">
        <v>0</v>
      </c>
      <c r="S351" s="1129">
        <v>0</v>
      </c>
      <c r="T351" s="1129">
        <v>0</v>
      </c>
      <c r="U351" s="1129">
        <v>0</v>
      </c>
      <c r="V351" s="1129">
        <v>0</v>
      </c>
      <c r="W351" s="1129">
        <v>0</v>
      </c>
      <c r="X351" s="1145">
        <v>51626</v>
      </c>
      <c r="Y351" s="1145">
        <v>0</v>
      </c>
    </row>
    <row r="352" spans="1:25" s="1152" customFormat="1" ht="104.45" customHeight="1">
      <c r="A352" s="1280">
        <v>288</v>
      </c>
      <c r="B352" s="1128" t="s">
        <v>2381</v>
      </c>
      <c r="C352" s="1129">
        <f t="shared" si="145"/>
        <v>5434850</v>
      </c>
      <c r="D352" s="1129">
        <f t="shared" si="146"/>
        <v>0</v>
      </c>
      <c r="E352" s="1129">
        <v>0</v>
      </c>
      <c r="F352" s="1129">
        <v>0</v>
      </c>
      <c r="G352" s="1129">
        <v>0</v>
      </c>
      <c r="H352" s="1129">
        <v>0</v>
      </c>
      <c r="I352" s="1129">
        <v>0</v>
      </c>
      <c r="J352" s="1129">
        <v>0</v>
      </c>
      <c r="K352" s="1136">
        <v>0</v>
      </c>
      <c r="L352" s="1129">
        <v>0</v>
      </c>
      <c r="M352" s="1136">
        <v>0</v>
      </c>
      <c r="N352" s="1129">
        <v>0</v>
      </c>
      <c r="O352" s="1145">
        <v>2000.2</v>
      </c>
      <c r="P352" s="1129">
        <v>5040091</v>
      </c>
      <c r="Q352" s="1129">
        <v>0</v>
      </c>
      <c r="R352" s="1129">
        <v>0</v>
      </c>
      <c r="S352" s="1145">
        <v>0</v>
      </c>
      <c r="T352" s="1145">
        <v>0</v>
      </c>
      <c r="U352" s="1145">
        <v>0</v>
      </c>
      <c r="V352" s="1145">
        <v>0</v>
      </c>
      <c r="W352" s="1129">
        <v>0</v>
      </c>
      <c r="X352" s="1145">
        <v>394759</v>
      </c>
      <c r="Y352" s="1145">
        <v>0</v>
      </c>
    </row>
    <row r="353" spans="1:25" s="1152" customFormat="1" ht="87.6" customHeight="1">
      <c r="A353" s="1280">
        <v>289</v>
      </c>
      <c r="B353" s="1128" t="s">
        <v>2382</v>
      </c>
      <c r="C353" s="1129">
        <f t="shared" ref="C353:C354" si="147">D353+N353+P353+R353+T353+V353+X353+L353</f>
        <v>2079438</v>
      </c>
      <c r="D353" s="1129">
        <f t="shared" ref="D353:D354" si="148">SUM(E353:J353)</f>
        <v>0</v>
      </c>
      <c r="E353" s="1129">
        <v>0</v>
      </c>
      <c r="F353" s="1129">
        <v>0</v>
      </c>
      <c r="G353" s="1129">
        <v>0</v>
      </c>
      <c r="H353" s="1129">
        <v>0</v>
      </c>
      <c r="I353" s="1129">
        <v>0</v>
      </c>
      <c r="J353" s="1129">
        <v>0</v>
      </c>
      <c r="K353" s="1136">
        <v>0</v>
      </c>
      <c r="L353" s="1129">
        <v>0</v>
      </c>
      <c r="M353" s="1136">
        <v>0</v>
      </c>
      <c r="N353" s="1129">
        <v>0</v>
      </c>
      <c r="O353" s="1145">
        <v>765.3</v>
      </c>
      <c r="P353" s="1129">
        <v>1928398</v>
      </c>
      <c r="Q353" s="1129">
        <v>0</v>
      </c>
      <c r="R353" s="1129">
        <v>0</v>
      </c>
      <c r="S353" s="1145">
        <v>0</v>
      </c>
      <c r="T353" s="1145">
        <v>0</v>
      </c>
      <c r="U353" s="1145">
        <v>0</v>
      </c>
      <c r="V353" s="1145">
        <v>0</v>
      </c>
      <c r="W353" s="1129">
        <v>0</v>
      </c>
      <c r="X353" s="1145">
        <v>151040</v>
      </c>
      <c r="Y353" s="1145">
        <v>0</v>
      </c>
    </row>
    <row r="354" spans="1:25" s="1152" customFormat="1" ht="91.15" customHeight="1">
      <c r="A354" s="1280">
        <v>290</v>
      </c>
      <c r="B354" s="1128" t="s">
        <v>2383</v>
      </c>
      <c r="C354" s="1129">
        <f t="shared" si="147"/>
        <v>1748265</v>
      </c>
      <c r="D354" s="1129">
        <f t="shared" si="148"/>
        <v>0</v>
      </c>
      <c r="E354" s="1129">
        <v>0</v>
      </c>
      <c r="F354" s="1129">
        <v>0</v>
      </c>
      <c r="G354" s="1129">
        <v>0</v>
      </c>
      <c r="H354" s="1129">
        <v>0</v>
      </c>
      <c r="I354" s="1129">
        <v>0</v>
      </c>
      <c r="J354" s="1129">
        <v>0</v>
      </c>
      <c r="K354" s="1136">
        <v>0</v>
      </c>
      <c r="L354" s="1129">
        <v>0</v>
      </c>
      <c r="M354" s="1136">
        <v>0</v>
      </c>
      <c r="N354" s="1129">
        <v>0</v>
      </c>
      <c r="O354" s="1145">
        <v>0</v>
      </c>
      <c r="P354" s="1129">
        <v>0</v>
      </c>
      <c r="Q354" s="1129">
        <v>0</v>
      </c>
      <c r="R354" s="1129">
        <v>0</v>
      </c>
      <c r="S354" s="1145">
        <v>485.95</v>
      </c>
      <c r="T354" s="1145">
        <v>1621280</v>
      </c>
      <c r="U354" s="1145">
        <v>0</v>
      </c>
      <c r="V354" s="1145">
        <v>0</v>
      </c>
      <c r="W354" s="1129">
        <v>0</v>
      </c>
      <c r="X354" s="1145">
        <v>126985</v>
      </c>
      <c r="Y354" s="1145">
        <v>0</v>
      </c>
    </row>
    <row r="355" spans="1:25" s="1152" customFormat="1" ht="87.6" customHeight="1">
      <c r="A355" s="1280"/>
      <c r="B355" s="1128" t="s">
        <v>1650</v>
      </c>
      <c r="C355" s="1129">
        <f>C356</f>
        <v>4069317</v>
      </c>
      <c r="D355" s="1129">
        <f t="shared" ref="D355:Y355" si="149">D356</f>
        <v>0</v>
      </c>
      <c r="E355" s="1129">
        <f t="shared" si="149"/>
        <v>0</v>
      </c>
      <c r="F355" s="1129">
        <f t="shared" si="149"/>
        <v>0</v>
      </c>
      <c r="G355" s="1129">
        <f t="shared" si="149"/>
        <v>0</v>
      </c>
      <c r="H355" s="1129">
        <f t="shared" si="149"/>
        <v>0</v>
      </c>
      <c r="I355" s="1129">
        <f t="shared" si="149"/>
        <v>0</v>
      </c>
      <c r="J355" s="1129">
        <f t="shared" si="149"/>
        <v>0</v>
      </c>
      <c r="K355" s="1136">
        <f t="shared" si="149"/>
        <v>0</v>
      </c>
      <c r="L355" s="1129">
        <f t="shared" si="149"/>
        <v>0</v>
      </c>
      <c r="M355" s="1136">
        <f t="shared" si="149"/>
        <v>0</v>
      </c>
      <c r="N355" s="1129">
        <f t="shared" si="149"/>
        <v>0</v>
      </c>
      <c r="O355" s="1129">
        <f t="shared" si="149"/>
        <v>351.54</v>
      </c>
      <c r="P355" s="1129">
        <f t="shared" si="149"/>
        <v>1592444</v>
      </c>
      <c r="Q355" s="1129">
        <f t="shared" si="149"/>
        <v>0</v>
      </c>
      <c r="R355" s="1129">
        <f t="shared" si="149"/>
        <v>0</v>
      </c>
      <c r="S355" s="1129">
        <f t="shared" si="149"/>
        <v>455.06</v>
      </c>
      <c r="T355" s="1129">
        <f t="shared" si="149"/>
        <v>2181299</v>
      </c>
      <c r="U355" s="1129">
        <f t="shared" si="149"/>
        <v>0</v>
      </c>
      <c r="V355" s="1129">
        <f t="shared" si="149"/>
        <v>0</v>
      </c>
      <c r="W355" s="1129">
        <v>0</v>
      </c>
      <c r="X355" s="1129">
        <f t="shared" si="149"/>
        <v>295574</v>
      </c>
      <c r="Y355" s="1129">
        <f t="shared" si="149"/>
        <v>0</v>
      </c>
    </row>
    <row r="356" spans="1:25" s="1152" customFormat="1" ht="93.6" customHeight="1">
      <c r="A356" s="1280">
        <v>291</v>
      </c>
      <c r="B356" s="1128" t="s">
        <v>2991</v>
      </c>
      <c r="C356" s="1129">
        <f t="shared" ref="C356" si="150">D356+N356+P356+R356+T356+V356+X356+L356</f>
        <v>4069317</v>
      </c>
      <c r="D356" s="1129">
        <f t="shared" ref="D356" si="151">SUM(E356:J356)</f>
        <v>0</v>
      </c>
      <c r="E356" s="1129">
        <v>0</v>
      </c>
      <c r="F356" s="1129">
        <v>0</v>
      </c>
      <c r="G356" s="1129">
        <v>0</v>
      </c>
      <c r="H356" s="1129">
        <v>0</v>
      </c>
      <c r="I356" s="1129">
        <v>0</v>
      </c>
      <c r="J356" s="1129">
        <v>0</v>
      </c>
      <c r="K356" s="1136">
        <v>0</v>
      </c>
      <c r="L356" s="1129">
        <v>0</v>
      </c>
      <c r="M356" s="1136">
        <v>0</v>
      </c>
      <c r="N356" s="1129">
        <v>0</v>
      </c>
      <c r="O356" s="1145">
        <v>351.54</v>
      </c>
      <c r="P356" s="1129">
        <v>1592444</v>
      </c>
      <c r="Q356" s="1129">
        <v>0</v>
      </c>
      <c r="R356" s="1129">
        <v>0</v>
      </c>
      <c r="S356" s="1145">
        <v>455.06</v>
      </c>
      <c r="T356" s="1145">
        <v>2181299</v>
      </c>
      <c r="U356" s="1145">
        <v>0</v>
      </c>
      <c r="V356" s="1145">
        <v>0</v>
      </c>
      <c r="W356" s="1129">
        <v>0</v>
      </c>
      <c r="X356" s="1145">
        <v>295574</v>
      </c>
      <c r="Y356" s="1145">
        <v>0</v>
      </c>
    </row>
    <row r="357" spans="1:25" s="1152" customFormat="1" ht="96" customHeight="1">
      <c r="A357" s="1280"/>
      <c r="B357" s="1135" t="s">
        <v>1988</v>
      </c>
      <c r="C357" s="1129">
        <f>C358</f>
        <v>4302891.0199999996</v>
      </c>
      <c r="D357" s="1129">
        <f t="shared" ref="D357:V357" si="152">D358</f>
        <v>0</v>
      </c>
      <c r="E357" s="1129">
        <f t="shared" si="152"/>
        <v>0</v>
      </c>
      <c r="F357" s="1129">
        <f t="shared" si="152"/>
        <v>0</v>
      </c>
      <c r="G357" s="1129">
        <f t="shared" si="152"/>
        <v>0</v>
      </c>
      <c r="H357" s="1129">
        <f t="shared" si="152"/>
        <v>0</v>
      </c>
      <c r="I357" s="1129">
        <f t="shared" si="152"/>
        <v>0</v>
      </c>
      <c r="J357" s="1129">
        <f t="shared" si="152"/>
        <v>0</v>
      </c>
      <c r="K357" s="1136">
        <v>0</v>
      </c>
      <c r="L357" s="1129">
        <v>0</v>
      </c>
      <c r="M357" s="1136">
        <f t="shared" si="152"/>
        <v>0</v>
      </c>
      <c r="N357" s="1129">
        <f t="shared" si="152"/>
        <v>0</v>
      </c>
      <c r="O357" s="1129">
        <f t="shared" si="152"/>
        <v>1013.64</v>
      </c>
      <c r="P357" s="1129">
        <f t="shared" si="152"/>
        <v>4058140.02</v>
      </c>
      <c r="Q357" s="1129">
        <f t="shared" si="152"/>
        <v>0</v>
      </c>
      <c r="R357" s="1129">
        <f t="shared" si="152"/>
        <v>0</v>
      </c>
      <c r="S357" s="1129">
        <f t="shared" si="152"/>
        <v>0</v>
      </c>
      <c r="T357" s="1129">
        <f t="shared" si="152"/>
        <v>0</v>
      </c>
      <c r="U357" s="1129">
        <f t="shared" si="152"/>
        <v>0</v>
      </c>
      <c r="V357" s="1129">
        <f t="shared" si="152"/>
        <v>0</v>
      </c>
      <c r="W357" s="1129">
        <v>0</v>
      </c>
      <c r="X357" s="1129">
        <v>266292.35518431087</v>
      </c>
      <c r="Y357" s="1129">
        <v>0</v>
      </c>
    </row>
    <row r="358" spans="1:25" s="1152" customFormat="1" ht="57" customHeight="1">
      <c r="A358" s="1280"/>
      <c r="B358" s="1135" t="s">
        <v>2027</v>
      </c>
      <c r="C358" s="1129">
        <f>C359+C360</f>
        <v>4302891.0199999996</v>
      </c>
      <c r="D358" s="1129">
        <f t="shared" ref="D358:U358" si="153">D359+D360</f>
        <v>0</v>
      </c>
      <c r="E358" s="1129">
        <f t="shared" si="153"/>
        <v>0</v>
      </c>
      <c r="F358" s="1129">
        <f t="shared" si="153"/>
        <v>0</v>
      </c>
      <c r="G358" s="1129">
        <f t="shared" si="153"/>
        <v>0</v>
      </c>
      <c r="H358" s="1129">
        <f t="shared" si="153"/>
        <v>0</v>
      </c>
      <c r="I358" s="1129">
        <f t="shared" si="153"/>
        <v>0</v>
      </c>
      <c r="J358" s="1129">
        <f t="shared" si="153"/>
        <v>0</v>
      </c>
      <c r="K358" s="1136">
        <v>0</v>
      </c>
      <c r="L358" s="1129">
        <v>0</v>
      </c>
      <c r="M358" s="1136">
        <f t="shared" si="153"/>
        <v>0</v>
      </c>
      <c r="N358" s="1129">
        <f t="shared" si="153"/>
        <v>0</v>
      </c>
      <c r="O358" s="1129">
        <f t="shared" si="153"/>
        <v>1013.64</v>
      </c>
      <c r="P358" s="1129">
        <f t="shared" ref="P358" si="154">P359+P360</f>
        <v>4058140.02</v>
      </c>
      <c r="Q358" s="1129">
        <f t="shared" si="153"/>
        <v>0</v>
      </c>
      <c r="R358" s="1129">
        <f t="shared" ref="R358" si="155">R359+R360</f>
        <v>0</v>
      </c>
      <c r="S358" s="1129">
        <f t="shared" si="153"/>
        <v>0</v>
      </c>
      <c r="T358" s="1129">
        <f t="shared" ref="T358" si="156">T359+T360</f>
        <v>0</v>
      </c>
      <c r="U358" s="1129">
        <f t="shared" si="153"/>
        <v>0</v>
      </c>
      <c r="V358" s="1129">
        <f t="shared" ref="V358" si="157">V359+V360</f>
        <v>0</v>
      </c>
      <c r="W358" s="1129">
        <v>0</v>
      </c>
      <c r="X358" s="1129">
        <v>266292.35518431087</v>
      </c>
      <c r="Y358" s="1129">
        <v>0</v>
      </c>
    </row>
    <row r="359" spans="1:25" s="1152" customFormat="1" ht="92.45" customHeight="1">
      <c r="A359" s="1280">
        <v>292</v>
      </c>
      <c r="B359" s="1135" t="s">
        <v>2384</v>
      </c>
      <c r="C359" s="1129">
        <f>D359+N359+P359+R359+T359+V359+X359</f>
        <v>1299688</v>
      </c>
      <c r="D359" s="1129">
        <f>SUM(E359:J359)</f>
        <v>0</v>
      </c>
      <c r="E359" s="1129">
        <v>0</v>
      </c>
      <c r="F359" s="1129">
        <v>0</v>
      </c>
      <c r="G359" s="1129">
        <v>0</v>
      </c>
      <c r="H359" s="1129">
        <v>0</v>
      </c>
      <c r="I359" s="1129">
        <v>0</v>
      </c>
      <c r="J359" s="1129">
        <v>0</v>
      </c>
      <c r="K359" s="1136">
        <v>0</v>
      </c>
      <c r="L359" s="1129">
        <v>0</v>
      </c>
      <c r="M359" s="1136">
        <v>0</v>
      </c>
      <c r="N359" s="1129">
        <v>0</v>
      </c>
      <c r="O359" s="1129">
        <v>384</v>
      </c>
      <c r="P359" s="1129">
        <v>1205285</v>
      </c>
      <c r="Q359" s="1129">
        <v>0</v>
      </c>
      <c r="R359" s="1129">
        <v>0</v>
      </c>
      <c r="S359" s="1129">
        <v>0</v>
      </c>
      <c r="T359" s="1129">
        <v>0</v>
      </c>
      <c r="U359" s="1129">
        <v>0</v>
      </c>
      <c r="V359" s="1129">
        <v>0</v>
      </c>
      <c r="W359" s="1129">
        <v>0</v>
      </c>
      <c r="X359" s="1129">
        <v>94403</v>
      </c>
      <c r="Y359" s="1129">
        <v>0</v>
      </c>
    </row>
    <row r="360" spans="1:25" s="1152" customFormat="1" ht="92.45" customHeight="1">
      <c r="A360" s="1280">
        <v>293</v>
      </c>
      <c r="B360" s="1135" t="s">
        <v>2385</v>
      </c>
      <c r="C360" s="1129">
        <f>D360+N360+P360+R360+T360+V360+X360</f>
        <v>3003203.02</v>
      </c>
      <c r="D360" s="1129">
        <f>SUM(E360:J360)</f>
        <v>0</v>
      </c>
      <c r="E360" s="1129">
        <v>0</v>
      </c>
      <c r="F360" s="1129">
        <v>0</v>
      </c>
      <c r="G360" s="1129">
        <v>0</v>
      </c>
      <c r="H360" s="1129">
        <v>0</v>
      </c>
      <c r="I360" s="1129">
        <v>0</v>
      </c>
      <c r="J360" s="1129">
        <v>0</v>
      </c>
      <c r="K360" s="1136">
        <v>0</v>
      </c>
      <c r="L360" s="1129">
        <v>0</v>
      </c>
      <c r="M360" s="1136">
        <v>0</v>
      </c>
      <c r="N360" s="1129">
        <v>0</v>
      </c>
      <c r="O360" s="1129">
        <v>629.64</v>
      </c>
      <c r="P360" s="1129">
        <v>2852855.02</v>
      </c>
      <c r="Q360" s="1129">
        <v>0</v>
      </c>
      <c r="R360" s="1129">
        <v>0</v>
      </c>
      <c r="S360" s="1129">
        <v>0</v>
      </c>
      <c r="T360" s="1129">
        <v>0</v>
      </c>
      <c r="U360" s="1129">
        <v>0</v>
      </c>
      <c r="V360" s="1129">
        <v>0</v>
      </c>
      <c r="W360" s="1129">
        <v>0</v>
      </c>
      <c r="X360" s="1129">
        <v>150348</v>
      </c>
      <c r="Y360" s="1129">
        <v>0</v>
      </c>
    </row>
    <row r="361" spans="1:25" s="1152" customFormat="1" ht="100.15" customHeight="1">
      <c r="A361" s="1280"/>
      <c r="B361" s="1135" t="s">
        <v>2703</v>
      </c>
      <c r="C361" s="1129">
        <f>C362+C384+C386</f>
        <v>78205882.540000007</v>
      </c>
      <c r="D361" s="1129">
        <f t="shared" ref="D361:Y361" si="158">D362+D384+D386</f>
        <v>14258281.810000001</v>
      </c>
      <c r="E361" s="1129">
        <f t="shared" si="158"/>
        <v>0</v>
      </c>
      <c r="F361" s="1129">
        <f t="shared" si="158"/>
        <v>0</v>
      </c>
      <c r="G361" s="1129">
        <f t="shared" si="158"/>
        <v>0</v>
      </c>
      <c r="H361" s="1129">
        <f t="shared" si="158"/>
        <v>0</v>
      </c>
      <c r="I361" s="1129">
        <f t="shared" si="158"/>
        <v>8183022</v>
      </c>
      <c r="J361" s="1129">
        <f t="shared" si="158"/>
        <v>6075259.8100000005</v>
      </c>
      <c r="K361" s="1129">
        <f t="shared" si="158"/>
        <v>2</v>
      </c>
      <c r="L361" s="1129">
        <f t="shared" si="158"/>
        <v>553278</v>
      </c>
      <c r="M361" s="1129">
        <f t="shared" si="158"/>
        <v>0</v>
      </c>
      <c r="N361" s="1129">
        <f t="shared" si="158"/>
        <v>0</v>
      </c>
      <c r="O361" s="1129">
        <f t="shared" si="158"/>
        <v>7543</v>
      </c>
      <c r="P361" s="1129">
        <f t="shared" si="158"/>
        <v>22833885.350000001</v>
      </c>
      <c r="Q361" s="1129">
        <f t="shared" si="158"/>
        <v>0</v>
      </c>
      <c r="R361" s="1129">
        <f t="shared" si="158"/>
        <v>0</v>
      </c>
      <c r="S361" s="1129">
        <f t="shared" si="158"/>
        <v>13026.8</v>
      </c>
      <c r="T361" s="1129">
        <f t="shared" si="158"/>
        <v>34879964.780000001</v>
      </c>
      <c r="U361" s="1129">
        <f t="shared" si="158"/>
        <v>0</v>
      </c>
      <c r="V361" s="1129">
        <f t="shared" si="158"/>
        <v>0</v>
      </c>
      <c r="W361" s="1129">
        <f t="shared" si="158"/>
        <v>0</v>
      </c>
      <c r="X361" s="1129">
        <f t="shared" si="158"/>
        <v>5680472.5999999996</v>
      </c>
      <c r="Y361" s="1129">
        <f t="shared" si="158"/>
        <v>0</v>
      </c>
    </row>
    <row r="362" spans="1:25" s="1148" customFormat="1" ht="100.5" customHeight="1">
      <c r="A362" s="1280"/>
      <c r="B362" s="1128" t="s">
        <v>1061</v>
      </c>
      <c r="C362" s="1129">
        <f>SUM(C363:C383)</f>
        <v>70617731.540000007</v>
      </c>
      <c r="D362" s="1129">
        <f t="shared" ref="D362:Y362" si="159">SUM(D363:D383)</f>
        <v>14258281.810000001</v>
      </c>
      <c r="E362" s="1129">
        <f t="shared" si="159"/>
        <v>0</v>
      </c>
      <c r="F362" s="1129">
        <f t="shared" si="159"/>
        <v>0</v>
      </c>
      <c r="G362" s="1129">
        <f t="shared" si="159"/>
        <v>0</v>
      </c>
      <c r="H362" s="1129">
        <f t="shared" si="159"/>
        <v>0</v>
      </c>
      <c r="I362" s="1129">
        <f t="shared" si="159"/>
        <v>8183022</v>
      </c>
      <c r="J362" s="1129">
        <f t="shared" si="159"/>
        <v>6075259.8100000005</v>
      </c>
      <c r="K362" s="1136">
        <f t="shared" si="159"/>
        <v>0</v>
      </c>
      <c r="L362" s="1129">
        <f t="shared" si="159"/>
        <v>0</v>
      </c>
      <c r="M362" s="1136">
        <f t="shared" si="159"/>
        <v>0</v>
      </c>
      <c r="N362" s="1129">
        <f t="shared" si="159"/>
        <v>0</v>
      </c>
      <c r="O362" s="1129">
        <f t="shared" si="159"/>
        <v>7020.2</v>
      </c>
      <c r="P362" s="1129">
        <f t="shared" si="159"/>
        <v>21516536.350000001</v>
      </c>
      <c r="Q362" s="1129">
        <f t="shared" si="159"/>
        <v>0</v>
      </c>
      <c r="R362" s="1129">
        <f t="shared" si="159"/>
        <v>0</v>
      </c>
      <c r="S362" s="1129">
        <f t="shared" si="159"/>
        <v>11949</v>
      </c>
      <c r="T362" s="1129">
        <f t="shared" si="159"/>
        <v>29713604.780000001</v>
      </c>
      <c r="U362" s="1129">
        <f t="shared" si="159"/>
        <v>0</v>
      </c>
      <c r="V362" s="1129">
        <f t="shared" si="159"/>
        <v>0</v>
      </c>
      <c r="W362" s="1129">
        <v>0</v>
      </c>
      <c r="X362" s="1129">
        <f t="shared" si="159"/>
        <v>5129308.5999999996</v>
      </c>
      <c r="Y362" s="1129">
        <f t="shared" si="159"/>
        <v>0</v>
      </c>
    </row>
    <row r="363" spans="1:25" s="1148" customFormat="1" ht="58.15" customHeight="1">
      <c r="A363" s="1280">
        <v>294</v>
      </c>
      <c r="B363" s="1150" t="s">
        <v>1395</v>
      </c>
      <c r="C363" s="1129">
        <f t="shared" ref="C363" si="160">D363+N363+P363+R363+T363+V363+X363</f>
        <v>6254362.6799999988</v>
      </c>
      <c r="D363" s="1129">
        <f t="shared" ref="D363" si="161">SUM(E363:J363)</f>
        <v>1540777.81</v>
      </c>
      <c r="E363" s="1129">
        <v>0</v>
      </c>
      <c r="F363" s="1129">
        <v>0</v>
      </c>
      <c r="G363" s="1129">
        <v>0</v>
      </c>
      <c r="H363" s="1129">
        <v>0</v>
      </c>
      <c r="I363" s="1129">
        <v>0</v>
      </c>
      <c r="J363" s="1129">
        <v>1540777.81</v>
      </c>
      <c r="K363" s="1136">
        <v>0</v>
      </c>
      <c r="L363" s="1129">
        <v>0</v>
      </c>
      <c r="M363" s="1136">
        <v>0</v>
      </c>
      <c r="N363" s="1149">
        <v>0</v>
      </c>
      <c r="O363" s="1129">
        <v>1357</v>
      </c>
      <c r="P363" s="1129">
        <v>4259300.3099999996</v>
      </c>
      <c r="Q363" s="1129">
        <v>0</v>
      </c>
      <c r="R363" s="1129">
        <v>0</v>
      </c>
      <c r="S363" s="1129">
        <v>0</v>
      </c>
      <c r="T363" s="1129">
        <v>0</v>
      </c>
      <c r="U363" s="1149">
        <v>0</v>
      </c>
      <c r="V363" s="1149">
        <v>0</v>
      </c>
      <c r="W363" s="1129">
        <v>0</v>
      </c>
      <c r="X363" s="1129">
        <v>454284.56</v>
      </c>
      <c r="Y363" s="1129">
        <v>0</v>
      </c>
    </row>
    <row r="364" spans="1:25" s="1148" customFormat="1" ht="60.6" customHeight="1">
      <c r="A364" s="1280">
        <v>295</v>
      </c>
      <c r="B364" s="1150" t="s">
        <v>1396</v>
      </c>
      <c r="C364" s="1129">
        <f t="shared" ref="C364:C383" si="162">D364+N364+P364+R364+T364+V364+X364</f>
        <v>3709524.0100000002</v>
      </c>
      <c r="D364" s="1129">
        <f t="shared" ref="D364:D383" si="163">SUM(E364:J364)</f>
        <v>0</v>
      </c>
      <c r="E364" s="1129">
        <v>0</v>
      </c>
      <c r="F364" s="1129">
        <v>0</v>
      </c>
      <c r="G364" s="1129">
        <v>0</v>
      </c>
      <c r="H364" s="1129">
        <v>0</v>
      </c>
      <c r="I364" s="1129">
        <v>0</v>
      </c>
      <c r="J364" s="1129">
        <v>0</v>
      </c>
      <c r="K364" s="1136">
        <v>0</v>
      </c>
      <c r="L364" s="1129">
        <v>0</v>
      </c>
      <c r="M364" s="1136">
        <v>0</v>
      </c>
      <c r="N364" s="1149">
        <v>0</v>
      </c>
      <c r="O364" s="1129">
        <v>1096</v>
      </c>
      <c r="P364" s="1129">
        <v>3440083.37</v>
      </c>
      <c r="Q364" s="1129">
        <v>0</v>
      </c>
      <c r="R364" s="1129">
        <v>0</v>
      </c>
      <c r="S364" s="1129">
        <v>0</v>
      </c>
      <c r="T364" s="1129">
        <v>0</v>
      </c>
      <c r="U364" s="1149">
        <v>0</v>
      </c>
      <c r="V364" s="1149">
        <v>0</v>
      </c>
      <c r="W364" s="1129">
        <v>0</v>
      </c>
      <c r="X364" s="1129">
        <v>269440.64000000001</v>
      </c>
      <c r="Y364" s="1129">
        <v>0</v>
      </c>
    </row>
    <row r="365" spans="1:25" s="1148" customFormat="1" ht="60.6" customHeight="1">
      <c r="A365" s="1280">
        <v>296</v>
      </c>
      <c r="B365" s="1150" t="s">
        <v>1397</v>
      </c>
      <c r="C365" s="1129">
        <f t="shared" si="162"/>
        <v>2903988.6900000004</v>
      </c>
      <c r="D365" s="1129">
        <f t="shared" si="163"/>
        <v>0</v>
      </c>
      <c r="E365" s="1129">
        <v>0</v>
      </c>
      <c r="F365" s="1129">
        <v>0</v>
      </c>
      <c r="G365" s="1129">
        <v>0</v>
      </c>
      <c r="H365" s="1129">
        <v>0</v>
      </c>
      <c r="I365" s="1129">
        <v>0</v>
      </c>
      <c r="J365" s="1129">
        <v>0</v>
      </c>
      <c r="K365" s="1136">
        <v>0</v>
      </c>
      <c r="L365" s="1129">
        <v>0</v>
      </c>
      <c r="M365" s="1136">
        <v>0</v>
      </c>
      <c r="N365" s="1149">
        <v>0</v>
      </c>
      <c r="O365" s="1129">
        <v>858</v>
      </c>
      <c r="P365" s="1129">
        <v>2693057.97</v>
      </c>
      <c r="Q365" s="1129">
        <v>0</v>
      </c>
      <c r="R365" s="1129">
        <v>0</v>
      </c>
      <c r="S365" s="1129">
        <v>0</v>
      </c>
      <c r="T365" s="1129">
        <v>0</v>
      </c>
      <c r="U365" s="1149">
        <v>0</v>
      </c>
      <c r="V365" s="1149">
        <v>0</v>
      </c>
      <c r="W365" s="1129">
        <v>0</v>
      </c>
      <c r="X365" s="1129">
        <v>210930.72</v>
      </c>
      <c r="Y365" s="1129">
        <v>0</v>
      </c>
    </row>
    <row r="366" spans="1:25" s="1148" customFormat="1" ht="59.45" customHeight="1">
      <c r="A366" s="1280">
        <v>297</v>
      </c>
      <c r="B366" s="1150" t="s">
        <v>1398</v>
      </c>
      <c r="C366" s="1129">
        <f t="shared" si="162"/>
        <v>1868300.41</v>
      </c>
      <c r="D366" s="1129">
        <f t="shared" si="163"/>
        <v>0</v>
      </c>
      <c r="E366" s="1129">
        <v>0</v>
      </c>
      <c r="F366" s="1129">
        <v>0</v>
      </c>
      <c r="G366" s="1129">
        <v>0</v>
      </c>
      <c r="H366" s="1129">
        <v>0</v>
      </c>
      <c r="I366" s="1129">
        <v>0</v>
      </c>
      <c r="J366" s="1129">
        <v>0</v>
      </c>
      <c r="K366" s="1136">
        <v>0</v>
      </c>
      <c r="L366" s="1129">
        <v>0</v>
      </c>
      <c r="M366" s="1136">
        <v>0</v>
      </c>
      <c r="N366" s="1149">
        <v>0</v>
      </c>
      <c r="O366" s="1129">
        <v>552</v>
      </c>
      <c r="P366" s="1129">
        <v>1732596.73</v>
      </c>
      <c r="Q366" s="1129">
        <v>0</v>
      </c>
      <c r="R366" s="1129">
        <v>0</v>
      </c>
      <c r="S366" s="1129">
        <v>0</v>
      </c>
      <c r="T366" s="1129">
        <v>0</v>
      </c>
      <c r="U366" s="1149">
        <v>0</v>
      </c>
      <c r="V366" s="1149">
        <v>0</v>
      </c>
      <c r="W366" s="1129">
        <v>0</v>
      </c>
      <c r="X366" s="1129">
        <v>135703.67999999999</v>
      </c>
      <c r="Y366" s="1129">
        <v>0</v>
      </c>
    </row>
    <row r="367" spans="1:25" s="1148" customFormat="1" ht="61.9" customHeight="1">
      <c r="A367" s="1280">
        <v>298</v>
      </c>
      <c r="B367" s="1150" t="s">
        <v>1399</v>
      </c>
      <c r="C367" s="1129">
        <f t="shared" si="162"/>
        <v>2903988.6900000004</v>
      </c>
      <c r="D367" s="1129">
        <f t="shared" si="163"/>
        <v>0</v>
      </c>
      <c r="E367" s="1129">
        <v>0</v>
      </c>
      <c r="F367" s="1129">
        <v>0</v>
      </c>
      <c r="G367" s="1129">
        <v>0</v>
      </c>
      <c r="H367" s="1129">
        <v>0</v>
      </c>
      <c r="I367" s="1129">
        <v>0</v>
      </c>
      <c r="J367" s="1129">
        <v>0</v>
      </c>
      <c r="K367" s="1136">
        <v>0</v>
      </c>
      <c r="L367" s="1129">
        <v>0</v>
      </c>
      <c r="M367" s="1136">
        <v>0</v>
      </c>
      <c r="N367" s="1149">
        <v>0</v>
      </c>
      <c r="O367" s="1129">
        <v>858</v>
      </c>
      <c r="P367" s="1129">
        <v>2693057.97</v>
      </c>
      <c r="Q367" s="1129">
        <v>0</v>
      </c>
      <c r="R367" s="1129">
        <v>0</v>
      </c>
      <c r="S367" s="1129">
        <v>0</v>
      </c>
      <c r="T367" s="1129">
        <v>0</v>
      </c>
      <c r="U367" s="1149">
        <v>0</v>
      </c>
      <c r="V367" s="1149">
        <v>0</v>
      </c>
      <c r="W367" s="1129">
        <v>0</v>
      </c>
      <c r="X367" s="1129">
        <v>210930.72</v>
      </c>
      <c r="Y367" s="1129">
        <v>0</v>
      </c>
    </row>
    <row r="368" spans="1:25" s="1148" customFormat="1" ht="61.15" customHeight="1">
      <c r="A368" s="1280">
        <v>299</v>
      </c>
      <c r="B368" s="1150" t="s">
        <v>1504</v>
      </c>
      <c r="C368" s="1129">
        <f t="shared" si="162"/>
        <v>3937669</v>
      </c>
      <c r="D368" s="1129">
        <f t="shared" si="163"/>
        <v>3651657</v>
      </c>
      <c r="E368" s="1129">
        <v>0</v>
      </c>
      <c r="F368" s="1129">
        <v>0</v>
      </c>
      <c r="G368" s="1129">
        <v>0</v>
      </c>
      <c r="H368" s="1129">
        <v>0</v>
      </c>
      <c r="I368" s="1129">
        <v>2237075</v>
      </c>
      <c r="J368" s="1129">
        <v>1414582</v>
      </c>
      <c r="K368" s="1136">
        <v>0</v>
      </c>
      <c r="L368" s="1129">
        <v>0</v>
      </c>
      <c r="M368" s="1136">
        <v>0</v>
      </c>
      <c r="N368" s="1149">
        <v>0</v>
      </c>
      <c r="O368" s="1129">
        <v>0</v>
      </c>
      <c r="P368" s="1129">
        <v>0</v>
      </c>
      <c r="Q368" s="1129">
        <v>0</v>
      </c>
      <c r="R368" s="1129">
        <v>0</v>
      </c>
      <c r="S368" s="1129">
        <v>0</v>
      </c>
      <c r="T368" s="1129">
        <v>0</v>
      </c>
      <c r="U368" s="1149">
        <v>0</v>
      </c>
      <c r="V368" s="1149">
        <v>0</v>
      </c>
      <c r="W368" s="1129">
        <v>0</v>
      </c>
      <c r="X368" s="1129">
        <v>286012</v>
      </c>
      <c r="Y368" s="1129">
        <v>0</v>
      </c>
    </row>
    <row r="369" spans="1:25" s="1148" customFormat="1" ht="66" customHeight="1">
      <c r="A369" s="1280">
        <v>300</v>
      </c>
      <c r="B369" s="1150" t="s">
        <v>1400</v>
      </c>
      <c r="C369" s="1129">
        <f t="shared" si="162"/>
        <v>3519584</v>
      </c>
      <c r="D369" s="1129">
        <f t="shared" si="163"/>
        <v>3263939</v>
      </c>
      <c r="E369" s="1129">
        <v>0</v>
      </c>
      <c r="F369" s="1129">
        <v>0</v>
      </c>
      <c r="G369" s="1129">
        <v>0</v>
      </c>
      <c r="H369" s="1129">
        <v>0</v>
      </c>
      <c r="I369" s="1129">
        <v>1999552</v>
      </c>
      <c r="J369" s="1129">
        <v>1264387</v>
      </c>
      <c r="K369" s="1136">
        <v>0</v>
      </c>
      <c r="L369" s="1129">
        <v>0</v>
      </c>
      <c r="M369" s="1136">
        <v>0</v>
      </c>
      <c r="N369" s="1149">
        <v>0</v>
      </c>
      <c r="O369" s="1129">
        <v>0</v>
      </c>
      <c r="P369" s="1129">
        <v>0</v>
      </c>
      <c r="Q369" s="1129">
        <v>0</v>
      </c>
      <c r="R369" s="1129">
        <v>0</v>
      </c>
      <c r="S369" s="1129">
        <v>0</v>
      </c>
      <c r="T369" s="1129">
        <v>0</v>
      </c>
      <c r="U369" s="1149">
        <v>0</v>
      </c>
      <c r="V369" s="1149">
        <v>0</v>
      </c>
      <c r="W369" s="1129">
        <v>0</v>
      </c>
      <c r="X369" s="1129">
        <v>255645</v>
      </c>
      <c r="Y369" s="1129">
        <v>0</v>
      </c>
    </row>
    <row r="370" spans="1:25" s="1148" customFormat="1" ht="59.45" customHeight="1">
      <c r="A370" s="1280">
        <v>301</v>
      </c>
      <c r="B370" s="1150" t="s">
        <v>1401</v>
      </c>
      <c r="C370" s="1129">
        <f t="shared" si="162"/>
        <v>2274801</v>
      </c>
      <c r="D370" s="1129">
        <f t="shared" si="163"/>
        <v>0</v>
      </c>
      <c r="E370" s="1129">
        <v>0</v>
      </c>
      <c r="F370" s="1129">
        <v>0</v>
      </c>
      <c r="G370" s="1129">
        <v>0</v>
      </c>
      <c r="H370" s="1129">
        <v>0</v>
      </c>
      <c r="I370" s="1129">
        <v>0</v>
      </c>
      <c r="J370" s="1129">
        <v>0</v>
      </c>
      <c r="K370" s="1136">
        <v>0</v>
      </c>
      <c r="L370" s="1129">
        <v>0</v>
      </c>
      <c r="M370" s="1136">
        <v>0</v>
      </c>
      <c r="N370" s="1149">
        <v>0</v>
      </c>
      <c r="O370" s="1129">
        <v>837.2</v>
      </c>
      <c r="P370" s="1129">
        <v>2109571</v>
      </c>
      <c r="Q370" s="1129">
        <v>0</v>
      </c>
      <c r="R370" s="1129">
        <v>0</v>
      </c>
      <c r="S370" s="1129">
        <v>0</v>
      </c>
      <c r="T370" s="1129">
        <v>0</v>
      </c>
      <c r="U370" s="1149">
        <v>0</v>
      </c>
      <c r="V370" s="1149">
        <v>0</v>
      </c>
      <c r="W370" s="1129">
        <v>0</v>
      </c>
      <c r="X370" s="1129">
        <v>165230</v>
      </c>
      <c r="Y370" s="1129">
        <v>0</v>
      </c>
    </row>
    <row r="371" spans="1:25" s="1148" customFormat="1" ht="63" customHeight="1">
      <c r="A371" s="1280">
        <v>302</v>
      </c>
      <c r="B371" s="1150" t="s">
        <v>1402</v>
      </c>
      <c r="C371" s="1129">
        <f t="shared" si="162"/>
        <v>2000844</v>
      </c>
      <c r="D371" s="1129">
        <f t="shared" si="163"/>
        <v>1855513</v>
      </c>
      <c r="E371" s="1129">
        <v>0</v>
      </c>
      <c r="F371" s="1129">
        <v>0</v>
      </c>
      <c r="G371" s="1129">
        <v>0</v>
      </c>
      <c r="H371" s="1129">
        <v>0</v>
      </c>
      <c r="I371" s="1129">
        <v>0</v>
      </c>
      <c r="J371" s="1129">
        <v>1855513</v>
      </c>
      <c r="K371" s="1136">
        <v>0</v>
      </c>
      <c r="L371" s="1129">
        <v>0</v>
      </c>
      <c r="M371" s="1136">
        <v>0</v>
      </c>
      <c r="N371" s="1149">
        <v>0</v>
      </c>
      <c r="O371" s="1129">
        <v>0</v>
      </c>
      <c r="P371" s="1129">
        <v>0</v>
      </c>
      <c r="Q371" s="1129">
        <v>0</v>
      </c>
      <c r="R371" s="1129">
        <v>0</v>
      </c>
      <c r="S371" s="1129">
        <v>0</v>
      </c>
      <c r="T371" s="1129">
        <v>0</v>
      </c>
      <c r="U371" s="1149">
        <v>0</v>
      </c>
      <c r="V371" s="1149">
        <v>0</v>
      </c>
      <c r="W371" s="1129">
        <v>0</v>
      </c>
      <c r="X371" s="1129">
        <v>145331</v>
      </c>
      <c r="Y371" s="1129">
        <v>0</v>
      </c>
    </row>
    <row r="372" spans="1:25" s="1148" customFormat="1" ht="82.9" customHeight="1">
      <c r="A372" s="1280">
        <v>303</v>
      </c>
      <c r="B372" s="1150" t="s">
        <v>1833</v>
      </c>
      <c r="C372" s="1129">
        <f t="shared" si="162"/>
        <v>4255492</v>
      </c>
      <c r="D372" s="1129">
        <f t="shared" si="163"/>
        <v>3946395</v>
      </c>
      <c r="E372" s="1129">
        <v>0</v>
      </c>
      <c r="F372" s="1129">
        <v>0</v>
      </c>
      <c r="G372" s="1129">
        <v>0</v>
      </c>
      <c r="H372" s="1129">
        <v>0</v>
      </c>
      <c r="I372" s="1129">
        <v>3946395</v>
      </c>
      <c r="J372" s="1129">
        <v>0</v>
      </c>
      <c r="K372" s="1136">
        <v>0</v>
      </c>
      <c r="L372" s="1129">
        <v>0</v>
      </c>
      <c r="M372" s="1136">
        <v>0</v>
      </c>
      <c r="N372" s="1149">
        <v>0</v>
      </c>
      <c r="O372" s="1129">
        <v>0</v>
      </c>
      <c r="P372" s="1129">
        <v>0</v>
      </c>
      <c r="Q372" s="1129">
        <v>0</v>
      </c>
      <c r="R372" s="1129">
        <v>0</v>
      </c>
      <c r="S372" s="1129">
        <v>0</v>
      </c>
      <c r="T372" s="1129">
        <v>0</v>
      </c>
      <c r="U372" s="1149">
        <v>0</v>
      </c>
      <c r="V372" s="1149">
        <v>0</v>
      </c>
      <c r="W372" s="1129">
        <v>0</v>
      </c>
      <c r="X372" s="1129">
        <v>309097</v>
      </c>
      <c r="Y372" s="1129">
        <v>0</v>
      </c>
    </row>
    <row r="373" spans="1:25" s="1148" customFormat="1" ht="57" customHeight="1">
      <c r="A373" s="1280">
        <v>304</v>
      </c>
      <c r="B373" s="1150" t="s">
        <v>1505</v>
      </c>
      <c r="C373" s="1129">
        <f t="shared" si="162"/>
        <v>1245533</v>
      </c>
      <c r="D373" s="1129">
        <f t="shared" si="163"/>
        <v>0</v>
      </c>
      <c r="E373" s="1129">
        <v>0</v>
      </c>
      <c r="F373" s="1129">
        <v>0</v>
      </c>
      <c r="G373" s="1129">
        <v>0</v>
      </c>
      <c r="H373" s="1129">
        <v>0</v>
      </c>
      <c r="I373" s="1129">
        <v>0</v>
      </c>
      <c r="J373" s="1129">
        <v>0</v>
      </c>
      <c r="K373" s="1136">
        <v>0</v>
      </c>
      <c r="L373" s="1129">
        <v>0</v>
      </c>
      <c r="M373" s="1136">
        <v>0</v>
      </c>
      <c r="N373" s="1149">
        <v>0</v>
      </c>
      <c r="O373" s="1129">
        <v>368</v>
      </c>
      <c r="P373" s="1129">
        <v>1155064</v>
      </c>
      <c r="Q373" s="1129">
        <v>0</v>
      </c>
      <c r="R373" s="1129">
        <v>0</v>
      </c>
      <c r="S373" s="1129">
        <v>0</v>
      </c>
      <c r="T373" s="1129">
        <v>0</v>
      </c>
      <c r="U373" s="1149">
        <v>0</v>
      </c>
      <c r="V373" s="1149">
        <v>0</v>
      </c>
      <c r="W373" s="1129">
        <v>0</v>
      </c>
      <c r="X373" s="1129">
        <v>90469</v>
      </c>
      <c r="Y373" s="1129">
        <v>0</v>
      </c>
    </row>
    <row r="374" spans="1:25" s="1137" customFormat="1" ht="59.45" customHeight="1">
      <c r="A374" s="1280">
        <v>305</v>
      </c>
      <c r="B374" s="1150" t="s">
        <v>1101</v>
      </c>
      <c r="C374" s="1129">
        <f t="shared" si="162"/>
        <v>2910757</v>
      </c>
      <c r="D374" s="1129">
        <f t="shared" si="163"/>
        <v>0</v>
      </c>
      <c r="E374" s="1129">
        <v>0</v>
      </c>
      <c r="F374" s="1129">
        <v>0</v>
      </c>
      <c r="G374" s="1129">
        <v>0</v>
      </c>
      <c r="H374" s="1129">
        <v>0</v>
      </c>
      <c r="I374" s="1129">
        <v>0</v>
      </c>
      <c r="J374" s="1129">
        <v>0</v>
      </c>
      <c r="K374" s="1136">
        <v>0</v>
      </c>
      <c r="L374" s="1129">
        <v>0</v>
      </c>
      <c r="M374" s="1136">
        <v>0</v>
      </c>
      <c r="N374" s="1149">
        <v>0</v>
      </c>
      <c r="O374" s="1129">
        <v>860</v>
      </c>
      <c r="P374" s="1129">
        <v>2699335</v>
      </c>
      <c r="Q374" s="1129">
        <v>0</v>
      </c>
      <c r="R374" s="1129">
        <v>0</v>
      </c>
      <c r="S374" s="1129">
        <v>0</v>
      </c>
      <c r="T374" s="1129">
        <v>0</v>
      </c>
      <c r="U374" s="1149">
        <v>0</v>
      </c>
      <c r="V374" s="1149">
        <v>0</v>
      </c>
      <c r="W374" s="1129">
        <v>0</v>
      </c>
      <c r="X374" s="1129">
        <v>211422</v>
      </c>
      <c r="Y374" s="1129">
        <v>0</v>
      </c>
    </row>
    <row r="375" spans="1:25" s="1137" customFormat="1" ht="57" customHeight="1">
      <c r="A375" s="1280">
        <v>306</v>
      </c>
      <c r="B375" s="1150" t="s">
        <v>1506</v>
      </c>
      <c r="C375" s="1129">
        <f t="shared" si="162"/>
        <v>2014364</v>
      </c>
      <c r="D375" s="1129">
        <f t="shared" si="163"/>
        <v>0</v>
      </c>
      <c r="E375" s="1129">
        <v>0</v>
      </c>
      <c r="F375" s="1129">
        <v>0</v>
      </c>
      <c r="G375" s="1129">
        <v>0</v>
      </c>
      <c r="H375" s="1129">
        <v>0</v>
      </c>
      <c r="I375" s="1129">
        <v>0</v>
      </c>
      <c r="J375" s="1129">
        <v>0</v>
      </c>
      <c r="K375" s="1136">
        <v>0</v>
      </c>
      <c r="L375" s="1129">
        <v>0</v>
      </c>
      <c r="M375" s="1136">
        <v>0</v>
      </c>
      <c r="N375" s="1149">
        <v>0</v>
      </c>
      <c r="O375" s="1129">
        <v>0</v>
      </c>
      <c r="P375" s="1129">
        <v>0</v>
      </c>
      <c r="Q375" s="1129">
        <v>0</v>
      </c>
      <c r="R375" s="1129">
        <v>0</v>
      </c>
      <c r="S375" s="1129">
        <v>665</v>
      </c>
      <c r="T375" s="1129">
        <v>1868051</v>
      </c>
      <c r="U375" s="1149">
        <v>0</v>
      </c>
      <c r="V375" s="1149">
        <v>0</v>
      </c>
      <c r="W375" s="1129">
        <v>0</v>
      </c>
      <c r="X375" s="1129">
        <v>146313</v>
      </c>
      <c r="Y375" s="1129">
        <v>0</v>
      </c>
    </row>
    <row r="376" spans="1:25" s="1137" customFormat="1" ht="69" customHeight="1">
      <c r="A376" s="1280">
        <v>307</v>
      </c>
      <c r="B376" s="1150" t="s">
        <v>1404</v>
      </c>
      <c r="C376" s="1129">
        <f t="shared" si="162"/>
        <v>791997</v>
      </c>
      <c r="D376" s="1129">
        <f t="shared" si="163"/>
        <v>0</v>
      </c>
      <c r="E376" s="1129">
        <v>0</v>
      </c>
      <c r="F376" s="1129">
        <v>0</v>
      </c>
      <c r="G376" s="1129">
        <v>0</v>
      </c>
      <c r="H376" s="1129">
        <v>0</v>
      </c>
      <c r="I376" s="1129">
        <v>0</v>
      </c>
      <c r="J376" s="1129">
        <v>0</v>
      </c>
      <c r="K376" s="1136">
        <v>0</v>
      </c>
      <c r="L376" s="1129">
        <v>0</v>
      </c>
      <c r="M376" s="1136">
        <v>0</v>
      </c>
      <c r="N376" s="1149">
        <v>0</v>
      </c>
      <c r="O376" s="1129">
        <v>234</v>
      </c>
      <c r="P376" s="1129">
        <v>734470</v>
      </c>
      <c r="Q376" s="1129">
        <v>0</v>
      </c>
      <c r="R376" s="1129">
        <v>0</v>
      </c>
      <c r="S376" s="1129">
        <v>0</v>
      </c>
      <c r="T376" s="1129">
        <v>0</v>
      </c>
      <c r="U376" s="1149">
        <v>0</v>
      </c>
      <c r="V376" s="1149">
        <v>0</v>
      </c>
      <c r="W376" s="1129">
        <v>0</v>
      </c>
      <c r="X376" s="1129">
        <v>57527</v>
      </c>
      <c r="Y376" s="1129">
        <v>0</v>
      </c>
    </row>
    <row r="377" spans="1:25" s="1137" customFormat="1" ht="86.45" customHeight="1">
      <c r="A377" s="1280">
        <v>308</v>
      </c>
      <c r="B377" s="1150" t="s">
        <v>1832</v>
      </c>
      <c r="C377" s="1129">
        <f t="shared" si="162"/>
        <v>1200103.06</v>
      </c>
      <c r="D377" s="1129">
        <f t="shared" si="163"/>
        <v>0</v>
      </c>
      <c r="E377" s="1129">
        <v>0</v>
      </c>
      <c r="F377" s="1129">
        <v>0</v>
      </c>
      <c r="G377" s="1129">
        <v>0</v>
      </c>
      <c r="H377" s="1129">
        <v>0</v>
      </c>
      <c r="I377" s="1129">
        <v>0</v>
      </c>
      <c r="J377" s="1129">
        <v>0</v>
      </c>
      <c r="K377" s="1136">
        <v>0</v>
      </c>
      <c r="L377" s="1129">
        <v>0</v>
      </c>
      <c r="M377" s="1136">
        <v>0</v>
      </c>
      <c r="N377" s="1149">
        <v>0</v>
      </c>
      <c r="O377" s="1129">
        <v>0</v>
      </c>
      <c r="P377" s="1129">
        <v>0</v>
      </c>
      <c r="Q377" s="1129">
        <v>0</v>
      </c>
      <c r="R377" s="1129">
        <v>0</v>
      </c>
      <c r="S377" s="1129">
        <v>451</v>
      </c>
      <c r="T377" s="1129">
        <v>1112933.78</v>
      </c>
      <c r="U377" s="1149">
        <v>0</v>
      </c>
      <c r="V377" s="1149">
        <v>0</v>
      </c>
      <c r="W377" s="1129">
        <v>0</v>
      </c>
      <c r="X377" s="1129">
        <v>87169.279999999999</v>
      </c>
      <c r="Y377" s="1129">
        <v>0</v>
      </c>
    </row>
    <row r="378" spans="1:25" s="1137" customFormat="1" ht="60.6" customHeight="1">
      <c r="A378" s="1280">
        <v>309</v>
      </c>
      <c r="B378" s="1150" t="s">
        <v>1654</v>
      </c>
      <c r="C378" s="1129">
        <f t="shared" si="162"/>
        <v>4257572</v>
      </c>
      <c r="D378" s="1129">
        <f t="shared" si="163"/>
        <v>0</v>
      </c>
      <c r="E378" s="1129">
        <v>0</v>
      </c>
      <c r="F378" s="1129">
        <v>0</v>
      </c>
      <c r="G378" s="1129">
        <v>0</v>
      </c>
      <c r="H378" s="1129">
        <v>0</v>
      </c>
      <c r="I378" s="1129">
        <v>0</v>
      </c>
      <c r="J378" s="1129">
        <v>0</v>
      </c>
      <c r="K378" s="1136">
        <v>0</v>
      </c>
      <c r="L378" s="1129">
        <v>0</v>
      </c>
      <c r="M378" s="1136">
        <v>0</v>
      </c>
      <c r="N378" s="1149">
        <v>0</v>
      </c>
      <c r="O378" s="1129">
        <v>0</v>
      </c>
      <c r="P378" s="1129">
        <v>0</v>
      </c>
      <c r="Q378" s="1129">
        <v>0</v>
      </c>
      <c r="R378" s="1129">
        <v>0</v>
      </c>
      <c r="S378" s="1129">
        <v>1600</v>
      </c>
      <c r="T378" s="1129">
        <v>3948324</v>
      </c>
      <c r="U378" s="1149">
        <v>0</v>
      </c>
      <c r="V378" s="1149">
        <v>0</v>
      </c>
      <c r="W378" s="1129">
        <v>0</v>
      </c>
      <c r="X378" s="1129">
        <v>309248</v>
      </c>
      <c r="Y378" s="1129">
        <v>0</v>
      </c>
    </row>
    <row r="379" spans="1:25" s="1137" customFormat="1" ht="59.45" customHeight="1">
      <c r="A379" s="1280">
        <v>310</v>
      </c>
      <c r="B379" s="1150" t="s">
        <v>990</v>
      </c>
      <c r="C379" s="1129">
        <f t="shared" si="162"/>
        <v>6854690</v>
      </c>
      <c r="D379" s="1129">
        <f t="shared" si="163"/>
        <v>0</v>
      </c>
      <c r="E379" s="1129">
        <v>0</v>
      </c>
      <c r="F379" s="1129">
        <v>0</v>
      </c>
      <c r="G379" s="1129">
        <v>0</v>
      </c>
      <c r="H379" s="1129">
        <v>0</v>
      </c>
      <c r="I379" s="1129">
        <v>0</v>
      </c>
      <c r="J379" s="1129">
        <v>0</v>
      </c>
      <c r="K379" s="1136">
        <v>0</v>
      </c>
      <c r="L379" s="1129">
        <v>0</v>
      </c>
      <c r="M379" s="1136">
        <v>0</v>
      </c>
      <c r="N379" s="1149">
        <v>0</v>
      </c>
      <c r="O379" s="1129">
        <v>0</v>
      </c>
      <c r="P379" s="1129">
        <v>0</v>
      </c>
      <c r="Q379" s="1129">
        <v>0</v>
      </c>
      <c r="R379" s="1129">
        <v>0</v>
      </c>
      <c r="S379" s="1129">
        <v>2576</v>
      </c>
      <c r="T379" s="1129">
        <v>6356801</v>
      </c>
      <c r="U379" s="1149">
        <v>0</v>
      </c>
      <c r="V379" s="1149">
        <v>0</v>
      </c>
      <c r="W379" s="1129">
        <v>0</v>
      </c>
      <c r="X379" s="1129">
        <v>497889</v>
      </c>
      <c r="Y379" s="1129">
        <v>0</v>
      </c>
    </row>
    <row r="380" spans="1:25" s="1137" customFormat="1" ht="69" customHeight="1">
      <c r="A380" s="1280">
        <v>311</v>
      </c>
      <c r="B380" s="1150" t="s">
        <v>892</v>
      </c>
      <c r="C380" s="1129">
        <f t="shared" ref="C380:C381" si="164">D380+N380+P380+R380+T380+V380+X380</f>
        <v>5577419</v>
      </c>
      <c r="D380" s="1129">
        <f t="shared" ref="D380:D381" si="165">SUM(E380:J380)</f>
        <v>0</v>
      </c>
      <c r="E380" s="1129">
        <v>0</v>
      </c>
      <c r="F380" s="1129">
        <v>0</v>
      </c>
      <c r="G380" s="1129">
        <v>0</v>
      </c>
      <c r="H380" s="1129">
        <v>0</v>
      </c>
      <c r="I380" s="1129">
        <v>0</v>
      </c>
      <c r="J380" s="1129">
        <v>0</v>
      </c>
      <c r="K380" s="1136">
        <v>0</v>
      </c>
      <c r="L380" s="1129">
        <v>0</v>
      </c>
      <c r="M380" s="1136">
        <v>0</v>
      </c>
      <c r="N380" s="1149">
        <v>0</v>
      </c>
      <c r="O380" s="1129">
        <v>0</v>
      </c>
      <c r="P380" s="1129">
        <v>0</v>
      </c>
      <c r="Q380" s="1129">
        <v>0</v>
      </c>
      <c r="R380" s="1129">
        <v>0</v>
      </c>
      <c r="S380" s="1129">
        <v>2096</v>
      </c>
      <c r="T380" s="1129">
        <v>5172304</v>
      </c>
      <c r="U380" s="1149">
        <v>0</v>
      </c>
      <c r="V380" s="1149">
        <v>0</v>
      </c>
      <c r="W380" s="1129">
        <v>0</v>
      </c>
      <c r="X380" s="1129">
        <v>405115</v>
      </c>
      <c r="Y380" s="1129">
        <v>0</v>
      </c>
    </row>
    <row r="381" spans="1:25" s="1137" customFormat="1" ht="61.9" customHeight="1">
      <c r="A381" s="1280">
        <v>312</v>
      </c>
      <c r="B381" s="1150" t="s">
        <v>1161</v>
      </c>
      <c r="C381" s="1129">
        <f t="shared" si="164"/>
        <v>1995737</v>
      </c>
      <c r="D381" s="1129">
        <f t="shared" si="165"/>
        <v>0</v>
      </c>
      <c r="E381" s="1129">
        <v>0</v>
      </c>
      <c r="F381" s="1129">
        <v>0</v>
      </c>
      <c r="G381" s="1129">
        <v>0</v>
      </c>
      <c r="H381" s="1129">
        <v>0</v>
      </c>
      <c r="I381" s="1129">
        <v>0</v>
      </c>
      <c r="J381" s="1129">
        <v>0</v>
      </c>
      <c r="K381" s="1136">
        <v>0</v>
      </c>
      <c r="L381" s="1129">
        <v>0</v>
      </c>
      <c r="M381" s="1136">
        <v>0</v>
      </c>
      <c r="N381" s="1149">
        <v>0</v>
      </c>
      <c r="O381" s="1129">
        <v>0</v>
      </c>
      <c r="P381" s="1129">
        <v>0</v>
      </c>
      <c r="Q381" s="1129">
        <v>0</v>
      </c>
      <c r="R381" s="1129">
        <v>0</v>
      </c>
      <c r="S381" s="1129">
        <v>750</v>
      </c>
      <c r="T381" s="1129">
        <v>1850777</v>
      </c>
      <c r="U381" s="1149">
        <v>0</v>
      </c>
      <c r="V381" s="1149">
        <v>0</v>
      </c>
      <c r="W381" s="1129">
        <v>0</v>
      </c>
      <c r="X381" s="1129">
        <v>144960</v>
      </c>
      <c r="Y381" s="1129">
        <v>0</v>
      </c>
    </row>
    <row r="382" spans="1:25" s="1137" customFormat="1" ht="63" customHeight="1">
      <c r="A382" s="1280">
        <v>313</v>
      </c>
      <c r="B382" s="1150" t="s">
        <v>894</v>
      </c>
      <c r="C382" s="1129">
        <f t="shared" si="162"/>
        <v>3531124</v>
      </c>
      <c r="D382" s="1129">
        <f t="shared" si="163"/>
        <v>0</v>
      </c>
      <c r="E382" s="1129">
        <v>0</v>
      </c>
      <c r="F382" s="1129">
        <v>0</v>
      </c>
      <c r="G382" s="1129">
        <v>0</v>
      </c>
      <c r="H382" s="1129">
        <v>0</v>
      </c>
      <c r="I382" s="1129">
        <v>0</v>
      </c>
      <c r="J382" s="1129">
        <v>0</v>
      </c>
      <c r="K382" s="1136">
        <v>0</v>
      </c>
      <c r="L382" s="1129">
        <v>0</v>
      </c>
      <c r="M382" s="1136">
        <v>0</v>
      </c>
      <c r="N382" s="1149">
        <v>0</v>
      </c>
      <c r="O382" s="1129">
        <v>0</v>
      </c>
      <c r="P382" s="1129">
        <v>0</v>
      </c>
      <c r="Q382" s="1129">
        <v>0</v>
      </c>
      <c r="R382" s="1129">
        <v>0</v>
      </c>
      <c r="S382" s="1129">
        <v>1327</v>
      </c>
      <c r="T382" s="1129">
        <v>3274641</v>
      </c>
      <c r="U382" s="1149">
        <v>0</v>
      </c>
      <c r="V382" s="1149">
        <v>0</v>
      </c>
      <c r="W382" s="1129">
        <v>0</v>
      </c>
      <c r="X382" s="1129">
        <v>256483</v>
      </c>
      <c r="Y382" s="1129">
        <v>0</v>
      </c>
    </row>
    <row r="383" spans="1:25" s="1137" customFormat="1" ht="94.9" customHeight="1">
      <c r="A383" s="1280">
        <v>314</v>
      </c>
      <c r="B383" s="1150" t="s">
        <v>1834</v>
      </c>
      <c r="C383" s="1129">
        <f t="shared" si="162"/>
        <v>6609881</v>
      </c>
      <c r="D383" s="1129">
        <f t="shared" si="163"/>
        <v>0</v>
      </c>
      <c r="E383" s="1129">
        <v>0</v>
      </c>
      <c r="F383" s="1129">
        <v>0</v>
      </c>
      <c r="G383" s="1129">
        <v>0</v>
      </c>
      <c r="H383" s="1129">
        <v>0</v>
      </c>
      <c r="I383" s="1129">
        <v>0</v>
      </c>
      <c r="J383" s="1129">
        <v>0</v>
      </c>
      <c r="K383" s="1136">
        <v>0</v>
      </c>
      <c r="L383" s="1129">
        <v>0</v>
      </c>
      <c r="M383" s="1136">
        <v>0</v>
      </c>
      <c r="N383" s="1149">
        <v>0</v>
      </c>
      <c r="O383" s="1129">
        <v>0</v>
      </c>
      <c r="P383" s="1129">
        <v>0</v>
      </c>
      <c r="Q383" s="1129">
        <v>0</v>
      </c>
      <c r="R383" s="1129">
        <v>0</v>
      </c>
      <c r="S383" s="1129">
        <v>2484</v>
      </c>
      <c r="T383" s="1129">
        <v>6129773</v>
      </c>
      <c r="U383" s="1149">
        <v>0</v>
      </c>
      <c r="V383" s="1149">
        <v>0</v>
      </c>
      <c r="W383" s="1129">
        <v>0</v>
      </c>
      <c r="X383" s="1129">
        <v>480108</v>
      </c>
      <c r="Y383" s="1129">
        <v>0</v>
      </c>
    </row>
    <row r="384" spans="1:25" s="1152" customFormat="1" ht="91.15" customHeight="1">
      <c r="A384" s="1280"/>
      <c r="B384" s="1135" t="s">
        <v>1118</v>
      </c>
      <c r="C384" s="1129">
        <f>C385</f>
        <v>1420529</v>
      </c>
      <c r="D384" s="1129">
        <f t="shared" ref="D384:Y384" si="166">D385</f>
        <v>0</v>
      </c>
      <c r="E384" s="1129">
        <f t="shared" si="166"/>
        <v>0</v>
      </c>
      <c r="F384" s="1129">
        <f t="shared" si="166"/>
        <v>0</v>
      </c>
      <c r="G384" s="1129">
        <f t="shared" si="166"/>
        <v>0</v>
      </c>
      <c r="H384" s="1129">
        <f t="shared" si="166"/>
        <v>0</v>
      </c>
      <c r="I384" s="1129">
        <f t="shared" si="166"/>
        <v>0</v>
      </c>
      <c r="J384" s="1129">
        <f t="shared" si="166"/>
        <v>0</v>
      </c>
      <c r="K384" s="1136">
        <f t="shared" si="166"/>
        <v>0</v>
      </c>
      <c r="L384" s="1129">
        <f t="shared" si="166"/>
        <v>0</v>
      </c>
      <c r="M384" s="1136">
        <f t="shared" si="166"/>
        <v>0</v>
      </c>
      <c r="N384" s="1129">
        <f t="shared" si="166"/>
        <v>0</v>
      </c>
      <c r="O384" s="1129">
        <f t="shared" si="166"/>
        <v>522.79999999999995</v>
      </c>
      <c r="P384" s="1129">
        <f t="shared" si="166"/>
        <v>1317349</v>
      </c>
      <c r="Q384" s="1129">
        <f t="shared" si="166"/>
        <v>0</v>
      </c>
      <c r="R384" s="1129">
        <f t="shared" si="166"/>
        <v>0</v>
      </c>
      <c r="S384" s="1129">
        <f t="shared" si="166"/>
        <v>0</v>
      </c>
      <c r="T384" s="1129">
        <f t="shared" si="166"/>
        <v>0</v>
      </c>
      <c r="U384" s="1129">
        <f t="shared" si="166"/>
        <v>0</v>
      </c>
      <c r="V384" s="1129">
        <f t="shared" si="166"/>
        <v>0</v>
      </c>
      <c r="W384" s="1129">
        <v>0</v>
      </c>
      <c r="X384" s="1129">
        <f t="shared" si="166"/>
        <v>103180</v>
      </c>
      <c r="Y384" s="1129">
        <f t="shared" si="166"/>
        <v>0</v>
      </c>
    </row>
    <row r="385" spans="1:25" s="1137" customFormat="1" ht="96.6" customHeight="1">
      <c r="A385" s="1280">
        <v>315</v>
      </c>
      <c r="B385" s="1135" t="s">
        <v>1182</v>
      </c>
      <c r="C385" s="1129">
        <f>D385+N385+P385+R385+T385+V385+X385</f>
        <v>1420529</v>
      </c>
      <c r="D385" s="1129">
        <v>0</v>
      </c>
      <c r="E385" s="1129">
        <v>0</v>
      </c>
      <c r="F385" s="1129">
        <v>0</v>
      </c>
      <c r="G385" s="1129">
        <v>0</v>
      </c>
      <c r="H385" s="1129">
        <v>0</v>
      </c>
      <c r="I385" s="1129">
        <v>0</v>
      </c>
      <c r="J385" s="1129">
        <v>0</v>
      </c>
      <c r="K385" s="1136">
        <v>0</v>
      </c>
      <c r="L385" s="1129">
        <v>0</v>
      </c>
      <c r="M385" s="1136">
        <v>0</v>
      </c>
      <c r="N385" s="1129">
        <v>0</v>
      </c>
      <c r="O385" s="1129">
        <v>522.79999999999995</v>
      </c>
      <c r="P385" s="1129">
        <v>1317349</v>
      </c>
      <c r="Q385" s="1129">
        <v>0</v>
      </c>
      <c r="R385" s="1129">
        <v>0</v>
      </c>
      <c r="S385" s="1129">
        <v>0</v>
      </c>
      <c r="T385" s="1129">
        <v>0</v>
      </c>
      <c r="U385" s="1129">
        <v>0</v>
      </c>
      <c r="V385" s="1129">
        <v>0</v>
      </c>
      <c r="W385" s="1129">
        <v>0</v>
      </c>
      <c r="X385" s="1129">
        <v>103180</v>
      </c>
      <c r="Y385" s="1129">
        <v>0</v>
      </c>
    </row>
    <row r="386" spans="1:25" s="1137" customFormat="1" ht="90" customHeight="1">
      <c r="A386" s="1280"/>
      <c r="B386" s="1135" t="s">
        <v>1241</v>
      </c>
      <c r="C386" s="1129">
        <f>C387+C388</f>
        <v>6167622</v>
      </c>
      <c r="D386" s="1129">
        <f t="shared" ref="D386:Y386" si="167">D387+D388</f>
        <v>0</v>
      </c>
      <c r="E386" s="1129">
        <f t="shared" si="167"/>
        <v>0</v>
      </c>
      <c r="F386" s="1129">
        <f t="shared" si="167"/>
        <v>0</v>
      </c>
      <c r="G386" s="1129">
        <f t="shared" si="167"/>
        <v>0</v>
      </c>
      <c r="H386" s="1129">
        <f t="shared" si="167"/>
        <v>0</v>
      </c>
      <c r="I386" s="1129">
        <f t="shared" si="167"/>
        <v>0</v>
      </c>
      <c r="J386" s="1129">
        <f t="shared" si="167"/>
        <v>0</v>
      </c>
      <c r="K386" s="1136">
        <f t="shared" si="167"/>
        <v>2</v>
      </c>
      <c r="L386" s="1129">
        <f t="shared" si="167"/>
        <v>553278</v>
      </c>
      <c r="M386" s="1136">
        <f t="shared" si="167"/>
        <v>0</v>
      </c>
      <c r="N386" s="1129">
        <f t="shared" si="167"/>
        <v>0</v>
      </c>
      <c r="O386" s="1129">
        <f t="shared" si="167"/>
        <v>0</v>
      </c>
      <c r="P386" s="1129">
        <f t="shared" si="167"/>
        <v>0</v>
      </c>
      <c r="Q386" s="1129">
        <f t="shared" si="167"/>
        <v>0</v>
      </c>
      <c r="R386" s="1129">
        <f t="shared" si="167"/>
        <v>0</v>
      </c>
      <c r="S386" s="1129">
        <f t="shared" si="167"/>
        <v>1077.8</v>
      </c>
      <c r="T386" s="1129">
        <f t="shared" si="167"/>
        <v>5166360</v>
      </c>
      <c r="U386" s="1129">
        <f t="shared" si="167"/>
        <v>0</v>
      </c>
      <c r="V386" s="1129">
        <f t="shared" si="167"/>
        <v>0</v>
      </c>
      <c r="W386" s="1129">
        <v>0</v>
      </c>
      <c r="X386" s="1129">
        <f t="shared" si="167"/>
        <v>447984</v>
      </c>
      <c r="Y386" s="1129">
        <f t="shared" si="167"/>
        <v>0</v>
      </c>
    </row>
    <row r="387" spans="1:25" s="1137" customFormat="1" ht="87" customHeight="1">
      <c r="A387" s="1280">
        <v>316</v>
      </c>
      <c r="B387" s="1135" t="s">
        <v>1242</v>
      </c>
      <c r="C387" s="1129">
        <f>D387+N387+P387+R387+T387+V387+X387+L387</f>
        <v>3083811</v>
      </c>
      <c r="D387" s="1129">
        <v>0</v>
      </c>
      <c r="E387" s="1129">
        <v>0</v>
      </c>
      <c r="F387" s="1129">
        <v>0</v>
      </c>
      <c r="G387" s="1129">
        <v>0</v>
      </c>
      <c r="H387" s="1129">
        <v>0</v>
      </c>
      <c r="I387" s="1129">
        <v>0</v>
      </c>
      <c r="J387" s="1129">
        <v>0</v>
      </c>
      <c r="K387" s="1136">
        <v>1</v>
      </c>
      <c r="L387" s="1129">
        <v>276639</v>
      </c>
      <c r="M387" s="1136">
        <v>0</v>
      </c>
      <c r="N387" s="1129">
        <v>0</v>
      </c>
      <c r="O387" s="1129">
        <v>0</v>
      </c>
      <c r="P387" s="1129">
        <v>0</v>
      </c>
      <c r="Q387" s="1129">
        <v>0</v>
      </c>
      <c r="R387" s="1129">
        <v>0</v>
      </c>
      <c r="S387" s="1129">
        <v>538.9</v>
      </c>
      <c r="T387" s="1129">
        <v>2583180</v>
      </c>
      <c r="U387" s="1129">
        <v>0</v>
      </c>
      <c r="V387" s="1129">
        <v>0</v>
      </c>
      <c r="W387" s="1129">
        <v>0</v>
      </c>
      <c r="X387" s="1129">
        <v>223992</v>
      </c>
      <c r="Y387" s="1129">
        <v>0</v>
      </c>
    </row>
    <row r="388" spans="1:25" s="1137" customFormat="1" ht="87" customHeight="1">
      <c r="A388" s="1280">
        <v>317</v>
      </c>
      <c r="B388" s="1135" t="s">
        <v>1243</v>
      </c>
      <c r="C388" s="1129">
        <f>D388+N388+P388+R388+T388+V388+X388+L388</f>
        <v>3083811</v>
      </c>
      <c r="D388" s="1129">
        <v>0</v>
      </c>
      <c r="E388" s="1129">
        <v>0</v>
      </c>
      <c r="F388" s="1129">
        <v>0</v>
      </c>
      <c r="G388" s="1129">
        <v>0</v>
      </c>
      <c r="H388" s="1129">
        <v>0</v>
      </c>
      <c r="I388" s="1129">
        <v>0</v>
      </c>
      <c r="J388" s="1129">
        <v>0</v>
      </c>
      <c r="K388" s="1136">
        <v>1</v>
      </c>
      <c r="L388" s="1129">
        <v>276639</v>
      </c>
      <c r="M388" s="1136">
        <v>0</v>
      </c>
      <c r="N388" s="1129">
        <v>0</v>
      </c>
      <c r="O388" s="1129">
        <v>0</v>
      </c>
      <c r="P388" s="1129">
        <v>0</v>
      </c>
      <c r="Q388" s="1129">
        <v>0</v>
      </c>
      <c r="R388" s="1129">
        <v>0</v>
      </c>
      <c r="S388" s="1129">
        <v>538.9</v>
      </c>
      <c r="T388" s="1129">
        <v>2583180</v>
      </c>
      <c r="U388" s="1129">
        <v>0</v>
      </c>
      <c r="V388" s="1129">
        <v>0</v>
      </c>
      <c r="W388" s="1129">
        <v>0</v>
      </c>
      <c r="X388" s="1129">
        <v>223992</v>
      </c>
      <c r="Y388" s="1129">
        <v>0</v>
      </c>
    </row>
    <row r="389" spans="1:25" s="1137" customFormat="1" ht="88.9" customHeight="1">
      <c r="A389" s="1280"/>
      <c r="B389" s="1135" t="s">
        <v>1651</v>
      </c>
      <c r="C389" s="1129">
        <f>C390</f>
        <v>1252303</v>
      </c>
      <c r="D389" s="1129">
        <f t="shared" ref="D389:Y389" si="168">D390</f>
        <v>0</v>
      </c>
      <c r="E389" s="1129">
        <f t="shared" si="168"/>
        <v>0</v>
      </c>
      <c r="F389" s="1129">
        <f t="shared" si="168"/>
        <v>0</v>
      </c>
      <c r="G389" s="1129">
        <f t="shared" si="168"/>
        <v>0</v>
      </c>
      <c r="H389" s="1129">
        <f t="shared" si="168"/>
        <v>0</v>
      </c>
      <c r="I389" s="1129">
        <f t="shared" si="168"/>
        <v>0</v>
      </c>
      <c r="J389" s="1129">
        <f t="shared" si="168"/>
        <v>0</v>
      </c>
      <c r="K389" s="1136">
        <f t="shared" si="168"/>
        <v>0</v>
      </c>
      <c r="L389" s="1129">
        <f t="shared" si="168"/>
        <v>0</v>
      </c>
      <c r="M389" s="1136">
        <f t="shared" si="168"/>
        <v>0</v>
      </c>
      <c r="N389" s="1129">
        <f t="shared" si="168"/>
        <v>0</v>
      </c>
      <c r="O389" s="1129">
        <f t="shared" si="168"/>
        <v>370</v>
      </c>
      <c r="P389" s="1129">
        <f t="shared" si="168"/>
        <v>1161342</v>
      </c>
      <c r="Q389" s="1129">
        <f t="shared" si="168"/>
        <v>0</v>
      </c>
      <c r="R389" s="1129">
        <f t="shared" si="168"/>
        <v>0</v>
      </c>
      <c r="S389" s="1129">
        <f t="shared" si="168"/>
        <v>0</v>
      </c>
      <c r="T389" s="1129">
        <f t="shared" si="168"/>
        <v>0</v>
      </c>
      <c r="U389" s="1129">
        <f t="shared" si="168"/>
        <v>0</v>
      </c>
      <c r="V389" s="1129">
        <f t="shared" si="168"/>
        <v>0</v>
      </c>
      <c r="W389" s="1129">
        <v>0</v>
      </c>
      <c r="X389" s="1129">
        <f t="shared" si="168"/>
        <v>90961</v>
      </c>
      <c r="Y389" s="1129">
        <f t="shared" si="168"/>
        <v>0</v>
      </c>
    </row>
    <row r="390" spans="1:25" s="1137" customFormat="1" ht="98.45" customHeight="1">
      <c r="A390" s="1280">
        <v>318</v>
      </c>
      <c r="B390" s="1135" t="s">
        <v>2386</v>
      </c>
      <c r="C390" s="1129">
        <f>D390+N390+P390+R390+T390+V390+X390</f>
        <v>1252303</v>
      </c>
      <c r="D390" s="1129">
        <f>SUM(E390:J390)</f>
        <v>0</v>
      </c>
      <c r="E390" s="1129">
        <v>0</v>
      </c>
      <c r="F390" s="1129">
        <v>0</v>
      </c>
      <c r="G390" s="1129">
        <v>0</v>
      </c>
      <c r="H390" s="1129">
        <v>0</v>
      </c>
      <c r="I390" s="1129">
        <v>0</v>
      </c>
      <c r="J390" s="1129">
        <v>0</v>
      </c>
      <c r="K390" s="1136">
        <v>0</v>
      </c>
      <c r="L390" s="1129">
        <v>0</v>
      </c>
      <c r="M390" s="1136">
        <v>0</v>
      </c>
      <c r="N390" s="1129">
        <v>0</v>
      </c>
      <c r="O390" s="1129">
        <v>370</v>
      </c>
      <c r="P390" s="1129">
        <v>1161342</v>
      </c>
      <c r="Q390" s="1129">
        <v>0</v>
      </c>
      <c r="R390" s="1129">
        <v>0</v>
      </c>
      <c r="S390" s="1129">
        <v>0</v>
      </c>
      <c r="T390" s="1129">
        <v>0</v>
      </c>
      <c r="U390" s="1129">
        <v>0</v>
      </c>
      <c r="V390" s="1129">
        <v>0</v>
      </c>
      <c r="W390" s="1129">
        <v>0</v>
      </c>
      <c r="X390" s="1129">
        <v>90961</v>
      </c>
      <c r="Y390" s="1129">
        <v>0</v>
      </c>
    </row>
    <row r="391" spans="1:25" s="1137" customFormat="1" ht="90" customHeight="1">
      <c r="A391" s="1280"/>
      <c r="B391" s="1135" t="s">
        <v>1653</v>
      </c>
      <c r="C391" s="1129">
        <f>C392+C393</f>
        <v>4399305</v>
      </c>
      <c r="D391" s="1129">
        <f t="shared" ref="D391:Y391" si="169">D392+D393</f>
        <v>0</v>
      </c>
      <c r="E391" s="1129">
        <f t="shared" si="169"/>
        <v>0</v>
      </c>
      <c r="F391" s="1129">
        <f t="shared" si="169"/>
        <v>0</v>
      </c>
      <c r="G391" s="1129">
        <f t="shared" si="169"/>
        <v>0</v>
      </c>
      <c r="H391" s="1129">
        <f t="shared" si="169"/>
        <v>0</v>
      </c>
      <c r="I391" s="1129">
        <f t="shared" si="169"/>
        <v>0</v>
      </c>
      <c r="J391" s="1129">
        <f t="shared" si="169"/>
        <v>0</v>
      </c>
      <c r="K391" s="1136">
        <f t="shared" si="169"/>
        <v>0</v>
      </c>
      <c r="L391" s="1129">
        <f t="shared" si="169"/>
        <v>0</v>
      </c>
      <c r="M391" s="1136">
        <f t="shared" si="169"/>
        <v>0</v>
      </c>
      <c r="N391" s="1129">
        <f t="shared" si="169"/>
        <v>0</v>
      </c>
      <c r="O391" s="1129">
        <f t="shared" si="169"/>
        <v>1299.8</v>
      </c>
      <c r="P391" s="1129">
        <f t="shared" si="169"/>
        <v>4079762</v>
      </c>
      <c r="Q391" s="1129">
        <f t="shared" si="169"/>
        <v>0</v>
      </c>
      <c r="R391" s="1129">
        <f t="shared" si="169"/>
        <v>0</v>
      </c>
      <c r="S391" s="1129">
        <f t="shared" si="169"/>
        <v>0</v>
      </c>
      <c r="T391" s="1129">
        <f t="shared" si="169"/>
        <v>0</v>
      </c>
      <c r="U391" s="1129">
        <f t="shared" si="169"/>
        <v>0</v>
      </c>
      <c r="V391" s="1129">
        <f t="shared" si="169"/>
        <v>0</v>
      </c>
      <c r="W391" s="1129">
        <v>0</v>
      </c>
      <c r="X391" s="1129">
        <f t="shared" si="169"/>
        <v>319543</v>
      </c>
      <c r="Y391" s="1129">
        <f t="shared" si="169"/>
        <v>0</v>
      </c>
    </row>
    <row r="392" spans="1:25" s="1137" customFormat="1" ht="94.9" customHeight="1">
      <c r="A392" s="1280">
        <v>319</v>
      </c>
      <c r="B392" s="1163" t="s">
        <v>2387</v>
      </c>
      <c r="C392" s="1129">
        <f>D392+N392+P392+R392+T392+V392+X392</f>
        <v>2625774</v>
      </c>
      <c r="D392" s="1129">
        <f>SUM(E392:J392)</f>
        <v>0</v>
      </c>
      <c r="E392" s="1129">
        <v>0</v>
      </c>
      <c r="F392" s="1129">
        <v>0</v>
      </c>
      <c r="G392" s="1129">
        <v>0</v>
      </c>
      <c r="H392" s="1129">
        <v>0</v>
      </c>
      <c r="I392" s="1129">
        <v>0</v>
      </c>
      <c r="J392" s="1129">
        <v>0</v>
      </c>
      <c r="K392" s="1136">
        <v>0</v>
      </c>
      <c r="L392" s="1129">
        <v>0</v>
      </c>
      <c r="M392" s="1136">
        <v>0</v>
      </c>
      <c r="N392" s="1129">
        <v>0</v>
      </c>
      <c r="O392" s="1129">
        <v>775.8</v>
      </c>
      <c r="P392" s="1129">
        <v>2435051</v>
      </c>
      <c r="Q392" s="1129">
        <v>0</v>
      </c>
      <c r="R392" s="1129">
        <v>0</v>
      </c>
      <c r="S392" s="1129">
        <v>0</v>
      </c>
      <c r="T392" s="1129">
        <v>0</v>
      </c>
      <c r="U392" s="1129">
        <v>0</v>
      </c>
      <c r="V392" s="1129">
        <v>0</v>
      </c>
      <c r="W392" s="1129">
        <v>0</v>
      </c>
      <c r="X392" s="1129">
        <v>190723</v>
      </c>
      <c r="Y392" s="1129">
        <v>0</v>
      </c>
    </row>
    <row r="393" spans="1:25" s="1137" customFormat="1" ht="103.15" customHeight="1">
      <c r="A393" s="1280">
        <v>320</v>
      </c>
      <c r="B393" s="1135" t="s">
        <v>2388</v>
      </c>
      <c r="C393" s="1129">
        <f>D393+N393+P393+R393+T393+V393+X393</f>
        <v>1773531</v>
      </c>
      <c r="D393" s="1129">
        <f>SUM(E393:J393)</f>
        <v>0</v>
      </c>
      <c r="E393" s="1129">
        <v>0</v>
      </c>
      <c r="F393" s="1129">
        <v>0</v>
      </c>
      <c r="G393" s="1129">
        <v>0</v>
      </c>
      <c r="H393" s="1129">
        <v>0</v>
      </c>
      <c r="I393" s="1129">
        <v>0</v>
      </c>
      <c r="J393" s="1129">
        <v>0</v>
      </c>
      <c r="K393" s="1136">
        <v>0</v>
      </c>
      <c r="L393" s="1129">
        <v>0</v>
      </c>
      <c r="M393" s="1136">
        <v>0</v>
      </c>
      <c r="N393" s="1129">
        <v>0</v>
      </c>
      <c r="O393" s="1129">
        <v>524</v>
      </c>
      <c r="P393" s="1129">
        <v>1644711</v>
      </c>
      <c r="Q393" s="1129">
        <v>0</v>
      </c>
      <c r="R393" s="1129">
        <v>0</v>
      </c>
      <c r="S393" s="1129">
        <v>0</v>
      </c>
      <c r="T393" s="1129">
        <v>0</v>
      </c>
      <c r="U393" s="1129">
        <v>0</v>
      </c>
      <c r="V393" s="1129">
        <v>0</v>
      </c>
      <c r="W393" s="1129">
        <v>0</v>
      </c>
      <c r="X393" s="1129">
        <v>128820</v>
      </c>
      <c r="Y393" s="1129">
        <v>0</v>
      </c>
    </row>
    <row r="394" spans="1:25" s="1164" customFormat="1" ht="106.9" customHeight="1">
      <c r="A394" s="1280"/>
      <c r="B394" s="1135" t="s">
        <v>2704</v>
      </c>
      <c r="C394" s="1129">
        <f>C395+C401</f>
        <v>28620753.960000001</v>
      </c>
      <c r="D394" s="1129">
        <f t="shared" ref="D394:Y394" si="170">D395+D401</f>
        <v>944906</v>
      </c>
      <c r="E394" s="1129">
        <f t="shared" si="170"/>
        <v>0</v>
      </c>
      <c r="F394" s="1129">
        <f t="shared" si="170"/>
        <v>0</v>
      </c>
      <c r="G394" s="1129">
        <f t="shared" si="170"/>
        <v>0</v>
      </c>
      <c r="H394" s="1129">
        <f t="shared" si="170"/>
        <v>0</v>
      </c>
      <c r="I394" s="1129">
        <f t="shared" si="170"/>
        <v>0</v>
      </c>
      <c r="J394" s="1129">
        <f t="shared" si="170"/>
        <v>944906</v>
      </c>
      <c r="K394" s="1136">
        <f t="shared" si="170"/>
        <v>0</v>
      </c>
      <c r="L394" s="1129">
        <f t="shared" si="170"/>
        <v>0</v>
      </c>
      <c r="M394" s="1136">
        <f t="shared" si="170"/>
        <v>0</v>
      </c>
      <c r="N394" s="1129">
        <f t="shared" si="170"/>
        <v>0</v>
      </c>
      <c r="O394" s="1129">
        <f t="shared" si="170"/>
        <v>3100</v>
      </c>
      <c r="P394" s="1129">
        <f t="shared" si="170"/>
        <v>8971307</v>
      </c>
      <c r="Q394" s="1129">
        <f t="shared" si="170"/>
        <v>893.4</v>
      </c>
      <c r="R394" s="1129">
        <f t="shared" si="170"/>
        <v>1207262</v>
      </c>
      <c r="S394" s="1129">
        <f t="shared" si="170"/>
        <v>3790</v>
      </c>
      <c r="T394" s="1129">
        <f t="shared" si="170"/>
        <v>15418415.219999999</v>
      </c>
      <c r="U394" s="1129">
        <f t="shared" si="170"/>
        <v>0</v>
      </c>
      <c r="V394" s="1129">
        <f t="shared" si="170"/>
        <v>0</v>
      </c>
      <c r="W394" s="1129">
        <v>0</v>
      </c>
      <c r="X394" s="1129">
        <f t="shared" si="170"/>
        <v>2078863.74</v>
      </c>
      <c r="Y394" s="1129">
        <f t="shared" si="170"/>
        <v>0</v>
      </c>
    </row>
    <row r="395" spans="1:25" s="1148" customFormat="1" ht="123" customHeight="1">
      <c r="A395" s="1280"/>
      <c r="B395" s="1135" t="s">
        <v>1077</v>
      </c>
      <c r="C395" s="1129">
        <f>C396+C397+C398+C399+C400</f>
        <v>18050502.960000001</v>
      </c>
      <c r="D395" s="1129">
        <f t="shared" ref="D395:Y395" si="171">D396+D397+D398+D399+D400</f>
        <v>0</v>
      </c>
      <c r="E395" s="1129">
        <f t="shared" si="171"/>
        <v>0</v>
      </c>
      <c r="F395" s="1129">
        <f t="shared" si="171"/>
        <v>0</v>
      </c>
      <c r="G395" s="1129">
        <f t="shared" si="171"/>
        <v>0</v>
      </c>
      <c r="H395" s="1129">
        <f t="shared" si="171"/>
        <v>0</v>
      </c>
      <c r="I395" s="1129">
        <f t="shared" si="171"/>
        <v>0</v>
      </c>
      <c r="J395" s="1129">
        <f t="shared" si="171"/>
        <v>0</v>
      </c>
      <c r="K395" s="1136">
        <f t="shared" si="171"/>
        <v>0</v>
      </c>
      <c r="L395" s="1129">
        <f t="shared" si="171"/>
        <v>0</v>
      </c>
      <c r="M395" s="1136">
        <f t="shared" si="171"/>
        <v>0</v>
      </c>
      <c r="N395" s="1129">
        <f t="shared" si="171"/>
        <v>0</v>
      </c>
      <c r="O395" s="1129">
        <f t="shared" si="171"/>
        <v>3100</v>
      </c>
      <c r="P395" s="1129">
        <f t="shared" si="171"/>
        <v>8971307</v>
      </c>
      <c r="Q395" s="1129">
        <f t="shared" si="171"/>
        <v>0</v>
      </c>
      <c r="R395" s="1129">
        <f t="shared" si="171"/>
        <v>0</v>
      </c>
      <c r="S395" s="1129">
        <f t="shared" si="171"/>
        <v>2194</v>
      </c>
      <c r="T395" s="1129">
        <f t="shared" si="171"/>
        <v>7768101.2199999997</v>
      </c>
      <c r="U395" s="1129">
        <f t="shared" si="171"/>
        <v>0</v>
      </c>
      <c r="V395" s="1129">
        <f t="shared" si="171"/>
        <v>0</v>
      </c>
      <c r="W395" s="1129">
        <v>0</v>
      </c>
      <c r="X395" s="1129">
        <f t="shared" si="171"/>
        <v>1311094.74</v>
      </c>
      <c r="Y395" s="1129">
        <f t="shared" si="171"/>
        <v>0</v>
      </c>
    </row>
    <row r="396" spans="1:25" s="1148" customFormat="1" ht="58.15" customHeight="1">
      <c r="A396" s="1280">
        <v>321</v>
      </c>
      <c r="B396" s="1128" t="s">
        <v>1221</v>
      </c>
      <c r="C396" s="1129">
        <f>D396+N396+P396+R396+T396+V396+X396</f>
        <v>1032303</v>
      </c>
      <c r="D396" s="1129">
        <f t="shared" ref="D396:D397" si="172">SUM(E396:J396)</f>
        <v>0</v>
      </c>
      <c r="E396" s="1129">
        <v>0</v>
      </c>
      <c r="F396" s="1129">
        <v>0</v>
      </c>
      <c r="G396" s="1129">
        <v>0</v>
      </c>
      <c r="H396" s="1129">
        <v>0</v>
      </c>
      <c r="I396" s="1129">
        <v>0</v>
      </c>
      <c r="J396" s="1129">
        <v>0</v>
      </c>
      <c r="K396" s="1136">
        <v>0</v>
      </c>
      <c r="L396" s="1129">
        <v>0</v>
      </c>
      <c r="M396" s="1136">
        <v>0</v>
      </c>
      <c r="N396" s="1129">
        <v>0</v>
      </c>
      <c r="O396" s="1129">
        <v>305</v>
      </c>
      <c r="P396" s="1129">
        <v>957322</v>
      </c>
      <c r="Q396" s="1129">
        <v>0</v>
      </c>
      <c r="R396" s="1129">
        <v>0</v>
      </c>
      <c r="S396" s="1129">
        <v>0</v>
      </c>
      <c r="T396" s="1129">
        <v>0</v>
      </c>
      <c r="U396" s="1129">
        <v>0</v>
      </c>
      <c r="V396" s="1129">
        <v>0</v>
      </c>
      <c r="W396" s="1129">
        <v>0</v>
      </c>
      <c r="X396" s="1129">
        <v>74981</v>
      </c>
      <c r="Y396" s="1129">
        <v>0</v>
      </c>
    </row>
    <row r="397" spans="1:25" s="1148" customFormat="1" ht="60.6" customHeight="1">
      <c r="A397" s="1280">
        <v>322</v>
      </c>
      <c r="B397" s="1128" t="s">
        <v>1219</v>
      </c>
      <c r="C397" s="1129">
        <f>D397+N397+P397+R397+T397+V397+X397</f>
        <v>2226132.06</v>
      </c>
      <c r="D397" s="1129">
        <f t="shared" si="172"/>
        <v>0</v>
      </c>
      <c r="E397" s="1129">
        <v>0</v>
      </c>
      <c r="F397" s="1129">
        <v>0</v>
      </c>
      <c r="G397" s="1129">
        <v>0</v>
      </c>
      <c r="H397" s="1129">
        <v>0</v>
      </c>
      <c r="I397" s="1129">
        <v>0</v>
      </c>
      <c r="J397" s="1129">
        <v>0</v>
      </c>
      <c r="K397" s="1136">
        <v>0</v>
      </c>
      <c r="L397" s="1129">
        <v>0</v>
      </c>
      <c r="M397" s="1136">
        <v>0</v>
      </c>
      <c r="N397" s="1129">
        <v>0</v>
      </c>
      <c r="O397" s="1129">
        <v>0</v>
      </c>
      <c r="P397" s="1129">
        <v>0</v>
      </c>
      <c r="Q397" s="1129">
        <v>0</v>
      </c>
      <c r="R397" s="1129">
        <v>0</v>
      </c>
      <c r="S397" s="1129">
        <v>704</v>
      </c>
      <c r="T397" s="1129">
        <v>2064437.34</v>
      </c>
      <c r="U397" s="1129">
        <v>0</v>
      </c>
      <c r="V397" s="1129">
        <v>0</v>
      </c>
      <c r="W397" s="1129">
        <v>0</v>
      </c>
      <c r="X397" s="1129">
        <v>161694.72</v>
      </c>
      <c r="Y397" s="1129">
        <v>0</v>
      </c>
    </row>
    <row r="398" spans="1:25" s="1148" customFormat="1" ht="57" customHeight="1">
      <c r="A398" s="1280">
        <v>323</v>
      </c>
      <c r="B398" s="1128" t="s">
        <v>1220</v>
      </c>
      <c r="C398" s="1129">
        <f t="shared" ref="C398:C400" si="173">D398+N398+P398+R398+T398+V398+X398</f>
        <v>1001843</v>
      </c>
      <c r="D398" s="1129">
        <f t="shared" ref="D398:D400" si="174">SUM(E398:J398)</f>
        <v>0</v>
      </c>
      <c r="E398" s="1129">
        <v>0</v>
      </c>
      <c r="F398" s="1129">
        <v>0</v>
      </c>
      <c r="G398" s="1129">
        <v>0</v>
      </c>
      <c r="H398" s="1129">
        <v>0</v>
      </c>
      <c r="I398" s="1129">
        <v>0</v>
      </c>
      <c r="J398" s="1129">
        <v>0</v>
      </c>
      <c r="K398" s="1136">
        <v>0</v>
      </c>
      <c r="L398" s="1129">
        <v>0</v>
      </c>
      <c r="M398" s="1136">
        <v>0</v>
      </c>
      <c r="N398" s="1129">
        <v>0</v>
      </c>
      <c r="O398" s="1129">
        <v>296</v>
      </c>
      <c r="P398" s="1129">
        <v>929074</v>
      </c>
      <c r="Q398" s="1129">
        <v>0</v>
      </c>
      <c r="R398" s="1129">
        <v>0</v>
      </c>
      <c r="S398" s="1129">
        <v>0</v>
      </c>
      <c r="T398" s="1129">
        <v>0</v>
      </c>
      <c r="U398" s="1129">
        <v>0</v>
      </c>
      <c r="V398" s="1129">
        <v>0</v>
      </c>
      <c r="W398" s="1129">
        <v>0</v>
      </c>
      <c r="X398" s="1129">
        <v>72769</v>
      </c>
      <c r="Y398" s="1129">
        <v>0</v>
      </c>
    </row>
    <row r="399" spans="1:25" s="1148" customFormat="1" ht="57" customHeight="1">
      <c r="A399" s="1280">
        <v>324</v>
      </c>
      <c r="B399" s="1128" t="s">
        <v>1222</v>
      </c>
      <c r="C399" s="1129">
        <f t="shared" si="173"/>
        <v>10458994.899999999</v>
      </c>
      <c r="D399" s="1129">
        <f t="shared" si="174"/>
        <v>0</v>
      </c>
      <c r="E399" s="1129">
        <v>0</v>
      </c>
      <c r="F399" s="1129">
        <v>0</v>
      </c>
      <c r="G399" s="1129">
        <v>0</v>
      </c>
      <c r="H399" s="1129">
        <v>0</v>
      </c>
      <c r="I399" s="1129">
        <v>0</v>
      </c>
      <c r="J399" s="1129">
        <v>0</v>
      </c>
      <c r="K399" s="1136">
        <v>0</v>
      </c>
      <c r="L399" s="1129">
        <v>0</v>
      </c>
      <c r="M399" s="1136">
        <v>0</v>
      </c>
      <c r="N399" s="1129">
        <v>0</v>
      </c>
      <c r="O399" s="1129">
        <v>1273</v>
      </c>
      <c r="P399" s="1129">
        <v>3995644</v>
      </c>
      <c r="Q399" s="1129">
        <v>0</v>
      </c>
      <c r="R399" s="1129">
        <v>0</v>
      </c>
      <c r="S399" s="1129">
        <v>1490</v>
      </c>
      <c r="T399" s="1129">
        <v>5703663.8799999999</v>
      </c>
      <c r="U399" s="1129">
        <v>0</v>
      </c>
      <c r="V399" s="1129">
        <v>0</v>
      </c>
      <c r="W399" s="1129">
        <v>0</v>
      </c>
      <c r="X399" s="1129">
        <v>759687.02</v>
      </c>
      <c r="Y399" s="1129">
        <v>0</v>
      </c>
    </row>
    <row r="400" spans="1:25" s="1148" customFormat="1" ht="70.150000000000006" customHeight="1">
      <c r="A400" s="1280">
        <v>325</v>
      </c>
      <c r="B400" s="1128" t="s">
        <v>1223</v>
      </c>
      <c r="C400" s="1129">
        <f t="shared" si="173"/>
        <v>3331230</v>
      </c>
      <c r="D400" s="1129">
        <f t="shared" si="174"/>
        <v>0</v>
      </c>
      <c r="E400" s="1129">
        <v>0</v>
      </c>
      <c r="F400" s="1129">
        <v>0</v>
      </c>
      <c r="G400" s="1129">
        <v>0</v>
      </c>
      <c r="H400" s="1129">
        <v>0</v>
      </c>
      <c r="I400" s="1129">
        <v>0</v>
      </c>
      <c r="J400" s="1129">
        <v>0</v>
      </c>
      <c r="K400" s="1136">
        <v>0</v>
      </c>
      <c r="L400" s="1129">
        <v>0</v>
      </c>
      <c r="M400" s="1136">
        <v>0</v>
      </c>
      <c r="N400" s="1129">
        <v>0</v>
      </c>
      <c r="O400" s="1129">
        <v>1226</v>
      </c>
      <c r="P400" s="1129">
        <v>3089267</v>
      </c>
      <c r="Q400" s="1129">
        <v>0</v>
      </c>
      <c r="R400" s="1129">
        <v>0</v>
      </c>
      <c r="S400" s="1129">
        <v>0</v>
      </c>
      <c r="T400" s="1129">
        <v>0</v>
      </c>
      <c r="U400" s="1129">
        <v>0</v>
      </c>
      <c r="V400" s="1129">
        <v>0</v>
      </c>
      <c r="W400" s="1129">
        <v>0</v>
      </c>
      <c r="X400" s="1129">
        <v>241963</v>
      </c>
      <c r="Y400" s="1129">
        <v>0</v>
      </c>
    </row>
    <row r="401" spans="1:25" s="1148" customFormat="1" ht="100.15" customHeight="1">
      <c r="A401" s="1280"/>
      <c r="B401" s="1135" t="s">
        <v>1236</v>
      </c>
      <c r="C401" s="1129">
        <f>C402+C403+C404+C405</f>
        <v>10570251</v>
      </c>
      <c r="D401" s="1129">
        <f t="shared" ref="D401:Y401" si="175">D402+D403+D404+D405</f>
        <v>944906</v>
      </c>
      <c r="E401" s="1129">
        <f t="shared" si="175"/>
        <v>0</v>
      </c>
      <c r="F401" s="1129">
        <f t="shared" si="175"/>
        <v>0</v>
      </c>
      <c r="G401" s="1129">
        <f t="shared" si="175"/>
        <v>0</v>
      </c>
      <c r="H401" s="1129">
        <f t="shared" si="175"/>
        <v>0</v>
      </c>
      <c r="I401" s="1129">
        <f t="shared" si="175"/>
        <v>0</v>
      </c>
      <c r="J401" s="1129">
        <f t="shared" si="175"/>
        <v>944906</v>
      </c>
      <c r="K401" s="1136">
        <f t="shared" si="175"/>
        <v>0</v>
      </c>
      <c r="L401" s="1129">
        <f t="shared" si="175"/>
        <v>0</v>
      </c>
      <c r="M401" s="1136">
        <f t="shared" si="175"/>
        <v>0</v>
      </c>
      <c r="N401" s="1129">
        <f t="shared" si="175"/>
        <v>0</v>
      </c>
      <c r="O401" s="1129">
        <f t="shared" si="175"/>
        <v>0</v>
      </c>
      <c r="P401" s="1129">
        <f t="shared" si="175"/>
        <v>0</v>
      </c>
      <c r="Q401" s="1129">
        <f t="shared" si="175"/>
        <v>893.4</v>
      </c>
      <c r="R401" s="1129">
        <f t="shared" si="175"/>
        <v>1207262</v>
      </c>
      <c r="S401" s="1129">
        <f t="shared" si="175"/>
        <v>1596</v>
      </c>
      <c r="T401" s="1129">
        <f t="shared" si="175"/>
        <v>7650314</v>
      </c>
      <c r="U401" s="1129">
        <f t="shared" si="175"/>
        <v>0</v>
      </c>
      <c r="V401" s="1129">
        <f t="shared" si="175"/>
        <v>0</v>
      </c>
      <c r="W401" s="1129">
        <v>0</v>
      </c>
      <c r="X401" s="1129">
        <f t="shared" si="175"/>
        <v>767769</v>
      </c>
      <c r="Y401" s="1129">
        <f t="shared" si="175"/>
        <v>0</v>
      </c>
    </row>
    <row r="402" spans="1:25" s="1164" customFormat="1" ht="87.6" customHeight="1">
      <c r="A402" s="1280">
        <v>326</v>
      </c>
      <c r="B402" s="1135" t="s">
        <v>1852</v>
      </c>
      <c r="C402" s="1129">
        <f>D402+N402+P402+R402+T402+V402+X402</f>
        <v>4124758</v>
      </c>
      <c r="D402" s="1129">
        <f t="shared" ref="D402:D405" si="176">SUM(E402:J402)</f>
        <v>0</v>
      </c>
      <c r="E402" s="1129">
        <v>0</v>
      </c>
      <c r="F402" s="1129">
        <v>0</v>
      </c>
      <c r="G402" s="1129">
        <v>0</v>
      </c>
      <c r="H402" s="1129">
        <v>0</v>
      </c>
      <c r="I402" s="1129">
        <v>0</v>
      </c>
      <c r="J402" s="1129">
        <v>0</v>
      </c>
      <c r="K402" s="1136">
        <v>0</v>
      </c>
      <c r="L402" s="1129">
        <v>0</v>
      </c>
      <c r="M402" s="1136">
        <v>0</v>
      </c>
      <c r="N402" s="1129">
        <v>0</v>
      </c>
      <c r="O402" s="1129">
        <v>0</v>
      </c>
      <c r="P402" s="1129">
        <v>0</v>
      </c>
      <c r="Q402" s="1129">
        <v>0</v>
      </c>
      <c r="R402" s="1129">
        <v>0</v>
      </c>
      <c r="S402" s="1129">
        <v>798</v>
      </c>
      <c r="T402" s="1129">
        <v>3825157</v>
      </c>
      <c r="U402" s="1129">
        <v>0</v>
      </c>
      <c r="V402" s="1129">
        <v>0</v>
      </c>
      <c r="W402" s="1129">
        <v>0</v>
      </c>
      <c r="X402" s="1129">
        <v>299601</v>
      </c>
      <c r="Y402" s="1129">
        <v>0</v>
      </c>
    </row>
    <row r="403" spans="1:25" s="1148" customFormat="1" ht="88.9" customHeight="1">
      <c r="A403" s="1280">
        <v>327</v>
      </c>
      <c r="B403" s="1135" t="s">
        <v>1853</v>
      </c>
      <c r="C403" s="1129">
        <f>D403+N403+P403+R403+T403+V403+X403</f>
        <v>4124758</v>
      </c>
      <c r="D403" s="1129">
        <f t="shared" si="176"/>
        <v>0</v>
      </c>
      <c r="E403" s="1129">
        <v>0</v>
      </c>
      <c r="F403" s="1129">
        <v>0</v>
      </c>
      <c r="G403" s="1129">
        <v>0</v>
      </c>
      <c r="H403" s="1129">
        <v>0</v>
      </c>
      <c r="I403" s="1129">
        <v>0</v>
      </c>
      <c r="J403" s="1129">
        <v>0</v>
      </c>
      <c r="K403" s="1136">
        <v>0</v>
      </c>
      <c r="L403" s="1129">
        <v>0</v>
      </c>
      <c r="M403" s="1136">
        <v>0</v>
      </c>
      <c r="N403" s="1129">
        <v>0</v>
      </c>
      <c r="O403" s="1129">
        <v>0</v>
      </c>
      <c r="P403" s="1129">
        <v>0</v>
      </c>
      <c r="Q403" s="1129">
        <v>0</v>
      </c>
      <c r="R403" s="1129">
        <v>0</v>
      </c>
      <c r="S403" s="1129">
        <v>798</v>
      </c>
      <c r="T403" s="1129">
        <v>3825157</v>
      </c>
      <c r="U403" s="1129">
        <v>0</v>
      </c>
      <c r="V403" s="1129">
        <v>0</v>
      </c>
      <c r="W403" s="1129">
        <v>0</v>
      </c>
      <c r="X403" s="1129">
        <v>299601</v>
      </c>
      <c r="Y403" s="1129">
        <v>0</v>
      </c>
    </row>
    <row r="404" spans="1:25" s="1148" customFormat="1" ht="60.6" customHeight="1">
      <c r="A404" s="1280">
        <v>328</v>
      </c>
      <c r="B404" s="1135" t="s">
        <v>1239</v>
      </c>
      <c r="C404" s="1129">
        <f>D404+N404+P404+R404+T404+V404+X404</f>
        <v>1157140</v>
      </c>
      <c r="D404" s="1129">
        <f t="shared" si="176"/>
        <v>469460</v>
      </c>
      <c r="E404" s="1129">
        <v>0</v>
      </c>
      <c r="F404" s="1129">
        <v>0</v>
      </c>
      <c r="G404" s="1129">
        <v>0</v>
      </c>
      <c r="H404" s="1129">
        <v>0</v>
      </c>
      <c r="I404" s="1129">
        <v>0</v>
      </c>
      <c r="J404" s="1129">
        <v>469460</v>
      </c>
      <c r="K404" s="1136">
        <v>0</v>
      </c>
      <c r="L404" s="1129">
        <v>0</v>
      </c>
      <c r="M404" s="1136">
        <v>0</v>
      </c>
      <c r="N404" s="1129">
        <v>0</v>
      </c>
      <c r="O404" s="1129">
        <v>0</v>
      </c>
      <c r="P404" s="1129">
        <v>0</v>
      </c>
      <c r="Q404" s="1129">
        <v>446.7</v>
      </c>
      <c r="R404" s="1129">
        <v>603631</v>
      </c>
      <c r="S404" s="1129">
        <v>0</v>
      </c>
      <c r="T404" s="1129">
        <v>0</v>
      </c>
      <c r="U404" s="1129">
        <v>0</v>
      </c>
      <c r="V404" s="1129">
        <v>0</v>
      </c>
      <c r="W404" s="1129">
        <v>0</v>
      </c>
      <c r="X404" s="1129">
        <v>84049</v>
      </c>
      <c r="Y404" s="1129">
        <v>0</v>
      </c>
    </row>
    <row r="405" spans="1:25" s="1148" customFormat="1" ht="66.599999999999994" customHeight="1">
      <c r="A405" s="1280">
        <v>329</v>
      </c>
      <c r="B405" s="1135" t="s">
        <v>1240</v>
      </c>
      <c r="C405" s="1129">
        <f>D405+N405+P405+R405+T405+V405+X405</f>
        <v>1163595</v>
      </c>
      <c r="D405" s="1129">
        <f t="shared" si="176"/>
        <v>475446</v>
      </c>
      <c r="E405" s="1129">
        <v>0</v>
      </c>
      <c r="F405" s="1129">
        <v>0</v>
      </c>
      <c r="G405" s="1129">
        <v>0</v>
      </c>
      <c r="H405" s="1129">
        <v>0</v>
      </c>
      <c r="I405" s="1129">
        <v>0</v>
      </c>
      <c r="J405" s="1129">
        <v>475446</v>
      </c>
      <c r="K405" s="1136">
        <v>0</v>
      </c>
      <c r="L405" s="1129">
        <v>0</v>
      </c>
      <c r="M405" s="1136">
        <v>0</v>
      </c>
      <c r="N405" s="1129">
        <v>0</v>
      </c>
      <c r="O405" s="1129">
        <v>0</v>
      </c>
      <c r="P405" s="1129">
        <v>0</v>
      </c>
      <c r="Q405" s="1129">
        <v>446.7</v>
      </c>
      <c r="R405" s="1129">
        <v>603631</v>
      </c>
      <c r="S405" s="1129">
        <v>0</v>
      </c>
      <c r="T405" s="1129">
        <v>0</v>
      </c>
      <c r="U405" s="1129">
        <v>0</v>
      </c>
      <c r="V405" s="1129">
        <v>0</v>
      </c>
      <c r="W405" s="1129">
        <v>0</v>
      </c>
      <c r="X405" s="1129">
        <v>84518</v>
      </c>
      <c r="Y405" s="1129">
        <v>0</v>
      </c>
    </row>
    <row r="406" spans="1:25" s="1148" customFormat="1" ht="88.5" customHeight="1">
      <c r="A406" s="1280"/>
      <c r="B406" s="1135" t="s">
        <v>2675</v>
      </c>
      <c r="C406" s="1129">
        <f>C407</f>
        <v>1932241.86</v>
      </c>
      <c r="D406" s="1129">
        <f t="shared" ref="D406:Y406" si="177">D407</f>
        <v>0</v>
      </c>
      <c r="E406" s="1129">
        <f t="shared" si="177"/>
        <v>0</v>
      </c>
      <c r="F406" s="1129">
        <f t="shared" si="177"/>
        <v>0</v>
      </c>
      <c r="G406" s="1129">
        <f t="shared" si="177"/>
        <v>0</v>
      </c>
      <c r="H406" s="1129">
        <f t="shared" si="177"/>
        <v>0</v>
      </c>
      <c r="I406" s="1129">
        <f t="shared" si="177"/>
        <v>0</v>
      </c>
      <c r="J406" s="1129">
        <f t="shared" si="177"/>
        <v>0</v>
      </c>
      <c r="K406" s="1129">
        <f t="shared" si="177"/>
        <v>0</v>
      </c>
      <c r="L406" s="1129">
        <f t="shared" si="177"/>
        <v>0</v>
      </c>
      <c r="M406" s="1129">
        <f t="shared" si="177"/>
        <v>0</v>
      </c>
      <c r="N406" s="1129">
        <f t="shared" si="177"/>
        <v>0</v>
      </c>
      <c r="O406" s="1129">
        <f t="shared" si="177"/>
        <v>361.15</v>
      </c>
      <c r="P406" s="1129">
        <f t="shared" si="177"/>
        <v>1791893.8</v>
      </c>
      <c r="Q406" s="1129">
        <f t="shared" si="177"/>
        <v>0</v>
      </c>
      <c r="R406" s="1129">
        <f t="shared" si="177"/>
        <v>0</v>
      </c>
      <c r="S406" s="1129">
        <f t="shared" si="177"/>
        <v>0</v>
      </c>
      <c r="T406" s="1129">
        <f t="shared" si="177"/>
        <v>0</v>
      </c>
      <c r="U406" s="1129">
        <f t="shared" si="177"/>
        <v>0</v>
      </c>
      <c r="V406" s="1129">
        <f t="shared" si="177"/>
        <v>0</v>
      </c>
      <c r="W406" s="1129">
        <f t="shared" si="177"/>
        <v>0</v>
      </c>
      <c r="X406" s="1129">
        <f t="shared" si="177"/>
        <v>140348.06</v>
      </c>
      <c r="Y406" s="1129">
        <f t="shared" si="177"/>
        <v>0</v>
      </c>
    </row>
    <row r="407" spans="1:25" s="1148" customFormat="1" ht="96" customHeight="1">
      <c r="A407" s="1280">
        <v>330</v>
      </c>
      <c r="B407" s="1135" t="s">
        <v>2389</v>
      </c>
      <c r="C407" s="1129">
        <f>D407+N407+P407+R407+T407+V407+X407</f>
        <v>1932241.86</v>
      </c>
      <c r="D407" s="1129">
        <f t="shared" ref="D407" si="178">SUM(E407:J407)</f>
        <v>0</v>
      </c>
      <c r="E407" s="1129">
        <v>0</v>
      </c>
      <c r="F407" s="1129">
        <v>0</v>
      </c>
      <c r="G407" s="1129">
        <v>0</v>
      </c>
      <c r="H407" s="1129">
        <v>0</v>
      </c>
      <c r="I407" s="1129">
        <v>0</v>
      </c>
      <c r="J407" s="1129">
        <v>0</v>
      </c>
      <c r="K407" s="1136">
        <v>0</v>
      </c>
      <c r="L407" s="1129">
        <v>0</v>
      </c>
      <c r="M407" s="1136">
        <v>0</v>
      </c>
      <c r="N407" s="1129">
        <v>0</v>
      </c>
      <c r="O407" s="1129">
        <v>361.15</v>
      </c>
      <c r="P407" s="1129">
        <v>1791893.8</v>
      </c>
      <c r="Q407" s="1129">
        <v>0</v>
      </c>
      <c r="R407" s="1129">
        <v>0</v>
      </c>
      <c r="S407" s="1129">
        <v>0</v>
      </c>
      <c r="T407" s="1129">
        <v>0</v>
      </c>
      <c r="U407" s="1129">
        <v>0</v>
      </c>
      <c r="V407" s="1129">
        <v>0</v>
      </c>
      <c r="W407" s="1129">
        <v>0</v>
      </c>
      <c r="X407" s="1129">
        <v>140348.06</v>
      </c>
      <c r="Y407" s="1129">
        <v>0</v>
      </c>
    </row>
    <row r="408" spans="1:25" s="1148" customFormat="1" ht="94.9" customHeight="1">
      <c r="A408" s="1280"/>
      <c r="B408" s="1135" t="s">
        <v>1987</v>
      </c>
      <c r="C408" s="1129">
        <f>C409</f>
        <v>4151691</v>
      </c>
      <c r="D408" s="1129">
        <f t="shared" ref="D408:Y408" si="179">D409</f>
        <v>0</v>
      </c>
      <c r="E408" s="1129">
        <f t="shared" si="179"/>
        <v>0</v>
      </c>
      <c r="F408" s="1129">
        <f t="shared" si="179"/>
        <v>0</v>
      </c>
      <c r="G408" s="1129">
        <f t="shared" si="179"/>
        <v>0</v>
      </c>
      <c r="H408" s="1129">
        <f t="shared" si="179"/>
        <v>0</v>
      </c>
      <c r="I408" s="1129">
        <f t="shared" si="179"/>
        <v>0</v>
      </c>
      <c r="J408" s="1129">
        <f t="shared" si="179"/>
        <v>0</v>
      </c>
      <c r="K408" s="1136">
        <f t="shared" si="179"/>
        <v>0</v>
      </c>
      <c r="L408" s="1129">
        <f t="shared" si="179"/>
        <v>0</v>
      </c>
      <c r="M408" s="1136">
        <f t="shared" si="179"/>
        <v>0</v>
      </c>
      <c r="N408" s="1129">
        <f t="shared" si="179"/>
        <v>0</v>
      </c>
      <c r="O408" s="1129">
        <f t="shared" si="179"/>
        <v>1171.7</v>
      </c>
      <c r="P408" s="1129">
        <f t="shared" si="179"/>
        <v>3850134</v>
      </c>
      <c r="Q408" s="1129">
        <f t="shared" si="179"/>
        <v>0</v>
      </c>
      <c r="R408" s="1129">
        <f t="shared" si="179"/>
        <v>0</v>
      </c>
      <c r="S408" s="1129">
        <f t="shared" si="179"/>
        <v>0</v>
      </c>
      <c r="T408" s="1129">
        <f t="shared" si="179"/>
        <v>0</v>
      </c>
      <c r="U408" s="1129">
        <f t="shared" si="179"/>
        <v>0</v>
      </c>
      <c r="V408" s="1129">
        <f t="shared" si="179"/>
        <v>0</v>
      </c>
      <c r="W408" s="1129">
        <v>0</v>
      </c>
      <c r="X408" s="1129">
        <f t="shared" si="179"/>
        <v>301557</v>
      </c>
      <c r="Y408" s="1129">
        <f t="shared" si="179"/>
        <v>0</v>
      </c>
    </row>
    <row r="409" spans="1:25" s="1148" customFormat="1" ht="65.45" customHeight="1">
      <c r="A409" s="1280"/>
      <c r="B409" s="1135" t="s">
        <v>2028</v>
      </c>
      <c r="C409" s="1129">
        <f>C410+C411</f>
        <v>4151691</v>
      </c>
      <c r="D409" s="1129">
        <f t="shared" ref="D409:Y409" si="180">D410+D411</f>
        <v>0</v>
      </c>
      <c r="E409" s="1129">
        <f t="shared" si="180"/>
        <v>0</v>
      </c>
      <c r="F409" s="1129">
        <f t="shared" si="180"/>
        <v>0</v>
      </c>
      <c r="G409" s="1129">
        <f t="shared" si="180"/>
        <v>0</v>
      </c>
      <c r="H409" s="1129">
        <f t="shared" si="180"/>
        <v>0</v>
      </c>
      <c r="I409" s="1129">
        <f t="shared" si="180"/>
        <v>0</v>
      </c>
      <c r="J409" s="1129">
        <f t="shared" si="180"/>
        <v>0</v>
      </c>
      <c r="K409" s="1136">
        <f t="shared" si="180"/>
        <v>0</v>
      </c>
      <c r="L409" s="1129">
        <f t="shared" si="180"/>
        <v>0</v>
      </c>
      <c r="M409" s="1136">
        <f t="shared" si="180"/>
        <v>0</v>
      </c>
      <c r="N409" s="1129">
        <f t="shared" si="180"/>
        <v>0</v>
      </c>
      <c r="O409" s="1129">
        <f t="shared" si="180"/>
        <v>1171.7</v>
      </c>
      <c r="P409" s="1129">
        <f t="shared" si="180"/>
        <v>3850134</v>
      </c>
      <c r="Q409" s="1129">
        <f t="shared" si="180"/>
        <v>0</v>
      </c>
      <c r="R409" s="1129">
        <f t="shared" si="180"/>
        <v>0</v>
      </c>
      <c r="S409" s="1129">
        <f t="shared" si="180"/>
        <v>0</v>
      </c>
      <c r="T409" s="1129">
        <f t="shared" si="180"/>
        <v>0</v>
      </c>
      <c r="U409" s="1129">
        <f t="shared" si="180"/>
        <v>0</v>
      </c>
      <c r="V409" s="1129">
        <f t="shared" si="180"/>
        <v>0</v>
      </c>
      <c r="W409" s="1129">
        <v>0</v>
      </c>
      <c r="X409" s="1129">
        <f t="shared" si="180"/>
        <v>301557</v>
      </c>
      <c r="Y409" s="1129">
        <f t="shared" si="180"/>
        <v>0</v>
      </c>
    </row>
    <row r="410" spans="1:25" s="1148" customFormat="1" ht="90" customHeight="1">
      <c r="A410" s="1280">
        <v>331</v>
      </c>
      <c r="B410" s="1135" t="s">
        <v>2822</v>
      </c>
      <c r="C410" s="1129">
        <f>D410+N410+P410+R410+T410+V410+X410</f>
        <v>1218456</v>
      </c>
      <c r="D410" s="1129">
        <f t="shared" ref="D410" si="181">SUM(E410:J410)</f>
        <v>0</v>
      </c>
      <c r="E410" s="1129">
        <v>0</v>
      </c>
      <c r="F410" s="1129">
        <v>0</v>
      </c>
      <c r="G410" s="1129">
        <v>0</v>
      </c>
      <c r="H410" s="1129">
        <v>0</v>
      </c>
      <c r="I410" s="1129">
        <v>0</v>
      </c>
      <c r="J410" s="1129">
        <v>0</v>
      </c>
      <c r="K410" s="1136">
        <v>0</v>
      </c>
      <c r="L410" s="1129">
        <v>0</v>
      </c>
      <c r="M410" s="1136">
        <v>0</v>
      </c>
      <c r="N410" s="1129">
        <v>0</v>
      </c>
      <c r="O410" s="1129">
        <v>360</v>
      </c>
      <c r="P410" s="1129">
        <v>1129954</v>
      </c>
      <c r="Q410" s="1129">
        <v>0</v>
      </c>
      <c r="R410" s="1129">
        <v>0</v>
      </c>
      <c r="S410" s="1129">
        <v>0</v>
      </c>
      <c r="T410" s="1129">
        <v>0</v>
      </c>
      <c r="U410" s="1129">
        <v>0</v>
      </c>
      <c r="V410" s="1129">
        <v>0</v>
      </c>
      <c r="W410" s="1129">
        <v>0</v>
      </c>
      <c r="X410" s="1129">
        <v>88502</v>
      </c>
      <c r="Y410" s="1129">
        <v>0</v>
      </c>
    </row>
    <row r="411" spans="1:25" s="1148" customFormat="1" ht="86.45" customHeight="1">
      <c r="A411" s="1280">
        <v>332</v>
      </c>
      <c r="B411" s="1135" t="s">
        <v>2390</v>
      </c>
      <c r="C411" s="1129">
        <f>D411+N411+P411+R411+T411+V411+X411</f>
        <v>2933235</v>
      </c>
      <c r="D411" s="1129">
        <f t="shared" ref="D411" si="182">SUM(E411:J411)</f>
        <v>0</v>
      </c>
      <c r="E411" s="1129">
        <v>0</v>
      </c>
      <c r="F411" s="1129">
        <v>0</v>
      </c>
      <c r="G411" s="1129">
        <v>0</v>
      </c>
      <c r="H411" s="1129">
        <v>0</v>
      </c>
      <c r="I411" s="1129">
        <v>0</v>
      </c>
      <c r="J411" s="1129">
        <v>0</v>
      </c>
      <c r="K411" s="1136">
        <v>0</v>
      </c>
      <c r="L411" s="1129">
        <v>0</v>
      </c>
      <c r="M411" s="1136">
        <v>0</v>
      </c>
      <c r="N411" s="1129">
        <v>0</v>
      </c>
      <c r="O411" s="1129">
        <v>811.7</v>
      </c>
      <c r="P411" s="1129">
        <v>2720180</v>
      </c>
      <c r="Q411" s="1129">
        <v>0</v>
      </c>
      <c r="R411" s="1129">
        <v>0</v>
      </c>
      <c r="S411" s="1129">
        <v>0</v>
      </c>
      <c r="T411" s="1129">
        <v>0</v>
      </c>
      <c r="U411" s="1129">
        <v>0</v>
      </c>
      <c r="V411" s="1129">
        <v>0</v>
      </c>
      <c r="W411" s="1129">
        <v>0</v>
      </c>
      <c r="X411" s="1129">
        <v>213055</v>
      </c>
      <c r="Y411" s="1129">
        <v>0</v>
      </c>
    </row>
    <row r="412" spans="1:25" s="1148" customFormat="1" ht="58.15" customHeight="1">
      <c r="A412" s="1280"/>
      <c r="B412" s="1135" t="s">
        <v>211</v>
      </c>
      <c r="C412" s="1129">
        <f>C413</f>
        <v>3337271.52</v>
      </c>
      <c r="D412" s="1129">
        <f t="shared" ref="D412:Y412" si="183">D413</f>
        <v>0</v>
      </c>
      <c r="E412" s="1129">
        <f t="shared" si="183"/>
        <v>0</v>
      </c>
      <c r="F412" s="1129">
        <f t="shared" si="183"/>
        <v>0</v>
      </c>
      <c r="G412" s="1129">
        <f t="shared" si="183"/>
        <v>0</v>
      </c>
      <c r="H412" s="1129">
        <f t="shared" si="183"/>
        <v>0</v>
      </c>
      <c r="I412" s="1129">
        <f t="shared" si="183"/>
        <v>0</v>
      </c>
      <c r="J412" s="1129">
        <f t="shared" si="183"/>
        <v>0</v>
      </c>
      <c r="K412" s="1136">
        <f t="shared" si="183"/>
        <v>0</v>
      </c>
      <c r="L412" s="1129">
        <f t="shared" si="183"/>
        <v>0</v>
      </c>
      <c r="M412" s="1136">
        <f t="shared" si="183"/>
        <v>0</v>
      </c>
      <c r="N412" s="1129">
        <f t="shared" si="183"/>
        <v>0</v>
      </c>
      <c r="O412" s="1129">
        <f t="shared" si="183"/>
        <v>1070</v>
      </c>
      <c r="P412" s="1129">
        <f t="shared" si="183"/>
        <v>3141189.52</v>
      </c>
      <c r="Q412" s="1129">
        <f t="shared" si="183"/>
        <v>0</v>
      </c>
      <c r="R412" s="1129">
        <f t="shared" si="183"/>
        <v>0</v>
      </c>
      <c r="S412" s="1129">
        <f t="shared" si="183"/>
        <v>0</v>
      </c>
      <c r="T412" s="1129">
        <f t="shared" si="183"/>
        <v>0</v>
      </c>
      <c r="U412" s="1129">
        <f t="shared" si="183"/>
        <v>0</v>
      </c>
      <c r="V412" s="1129">
        <f t="shared" si="183"/>
        <v>0</v>
      </c>
      <c r="W412" s="1129">
        <v>0</v>
      </c>
      <c r="X412" s="1129">
        <f t="shared" si="183"/>
        <v>196082</v>
      </c>
      <c r="Y412" s="1129">
        <f t="shared" si="183"/>
        <v>0</v>
      </c>
    </row>
    <row r="413" spans="1:25" s="1148" customFormat="1" ht="91.15" customHeight="1">
      <c r="A413" s="1280"/>
      <c r="B413" s="1135" t="s">
        <v>1159</v>
      </c>
      <c r="C413" s="1129">
        <f>C414+C415</f>
        <v>3337271.52</v>
      </c>
      <c r="D413" s="1129">
        <f t="shared" ref="D413:Y413" si="184">D414+D415</f>
        <v>0</v>
      </c>
      <c r="E413" s="1129">
        <f t="shared" si="184"/>
        <v>0</v>
      </c>
      <c r="F413" s="1129">
        <f t="shared" si="184"/>
        <v>0</v>
      </c>
      <c r="G413" s="1129">
        <f t="shared" si="184"/>
        <v>0</v>
      </c>
      <c r="H413" s="1129">
        <f t="shared" si="184"/>
        <v>0</v>
      </c>
      <c r="I413" s="1129">
        <f t="shared" si="184"/>
        <v>0</v>
      </c>
      <c r="J413" s="1129">
        <f t="shared" si="184"/>
        <v>0</v>
      </c>
      <c r="K413" s="1136">
        <f t="shared" si="184"/>
        <v>0</v>
      </c>
      <c r="L413" s="1129">
        <f t="shared" si="184"/>
        <v>0</v>
      </c>
      <c r="M413" s="1136">
        <f t="shared" si="184"/>
        <v>0</v>
      </c>
      <c r="N413" s="1129">
        <f t="shared" si="184"/>
        <v>0</v>
      </c>
      <c r="O413" s="1129">
        <f t="shared" si="184"/>
        <v>1070</v>
      </c>
      <c r="P413" s="1129">
        <f t="shared" si="184"/>
        <v>3141189.52</v>
      </c>
      <c r="Q413" s="1129">
        <f t="shared" si="184"/>
        <v>0</v>
      </c>
      <c r="R413" s="1129">
        <f t="shared" si="184"/>
        <v>0</v>
      </c>
      <c r="S413" s="1129">
        <f t="shared" si="184"/>
        <v>0</v>
      </c>
      <c r="T413" s="1129">
        <f t="shared" si="184"/>
        <v>0</v>
      </c>
      <c r="U413" s="1129">
        <f t="shared" si="184"/>
        <v>0</v>
      </c>
      <c r="V413" s="1129">
        <f t="shared" si="184"/>
        <v>0</v>
      </c>
      <c r="W413" s="1129">
        <v>0</v>
      </c>
      <c r="X413" s="1129">
        <f t="shared" si="184"/>
        <v>196082</v>
      </c>
      <c r="Y413" s="1129">
        <f t="shared" si="184"/>
        <v>0</v>
      </c>
    </row>
    <row r="414" spans="1:25" s="1148" customFormat="1" ht="98.45" customHeight="1">
      <c r="A414" s="1280">
        <v>333</v>
      </c>
      <c r="B414" s="1135" t="s">
        <v>1854</v>
      </c>
      <c r="C414" s="1129">
        <f>D414+N414+P414+R414+T414+V414+X414</f>
        <v>1682254.56</v>
      </c>
      <c r="D414" s="1129">
        <f t="shared" ref="D414:D415" si="185">SUM(E414:J414)</f>
        <v>0</v>
      </c>
      <c r="E414" s="1129">
        <v>0</v>
      </c>
      <c r="F414" s="1129">
        <v>0</v>
      </c>
      <c r="G414" s="1129">
        <v>0</v>
      </c>
      <c r="H414" s="1129">
        <v>0</v>
      </c>
      <c r="I414" s="1129">
        <v>0</v>
      </c>
      <c r="J414" s="1129">
        <v>0</v>
      </c>
      <c r="K414" s="1136">
        <v>0</v>
      </c>
      <c r="L414" s="1129">
        <v>0</v>
      </c>
      <c r="M414" s="1136">
        <v>0</v>
      </c>
      <c r="N414" s="1129">
        <v>0</v>
      </c>
      <c r="O414" s="1129">
        <v>535</v>
      </c>
      <c r="P414" s="1129">
        <v>1584213.56</v>
      </c>
      <c r="Q414" s="1129">
        <v>0</v>
      </c>
      <c r="R414" s="1129">
        <v>0</v>
      </c>
      <c r="S414" s="1129">
        <v>0</v>
      </c>
      <c r="T414" s="1129">
        <v>0</v>
      </c>
      <c r="U414" s="1129">
        <v>0</v>
      </c>
      <c r="V414" s="1129">
        <v>0</v>
      </c>
      <c r="W414" s="1129">
        <v>0</v>
      </c>
      <c r="X414" s="1129">
        <v>98041</v>
      </c>
      <c r="Y414" s="1129">
        <v>0</v>
      </c>
    </row>
    <row r="415" spans="1:25" s="1137" customFormat="1" ht="88.9" customHeight="1">
      <c r="A415" s="1280">
        <v>334</v>
      </c>
      <c r="B415" s="1135" t="s">
        <v>1855</v>
      </c>
      <c r="C415" s="1129">
        <f>D415+N415+P415+R415+T415+V415+X415</f>
        <v>1655016.96</v>
      </c>
      <c r="D415" s="1129">
        <f t="shared" si="185"/>
        <v>0</v>
      </c>
      <c r="E415" s="1129">
        <v>0</v>
      </c>
      <c r="F415" s="1129">
        <v>0</v>
      </c>
      <c r="G415" s="1129">
        <v>0</v>
      </c>
      <c r="H415" s="1129">
        <v>0</v>
      </c>
      <c r="I415" s="1129">
        <v>0</v>
      </c>
      <c r="J415" s="1129">
        <v>0</v>
      </c>
      <c r="K415" s="1136">
        <v>0</v>
      </c>
      <c r="L415" s="1129">
        <v>0</v>
      </c>
      <c r="M415" s="1136">
        <v>0</v>
      </c>
      <c r="N415" s="1129">
        <v>0</v>
      </c>
      <c r="O415" s="1129">
        <v>535</v>
      </c>
      <c r="P415" s="1129">
        <v>1556975.96</v>
      </c>
      <c r="Q415" s="1129">
        <v>0</v>
      </c>
      <c r="R415" s="1129">
        <v>0</v>
      </c>
      <c r="S415" s="1129">
        <v>0</v>
      </c>
      <c r="T415" s="1129">
        <v>0</v>
      </c>
      <c r="U415" s="1129">
        <v>0</v>
      </c>
      <c r="V415" s="1129">
        <v>0</v>
      </c>
      <c r="W415" s="1129">
        <v>0</v>
      </c>
      <c r="X415" s="1129">
        <v>98041</v>
      </c>
      <c r="Y415" s="1129">
        <v>0</v>
      </c>
    </row>
    <row r="416" spans="1:25" s="1137" customFormat="1" ht="78.599999999999994" customHeight="1">
      <c r="A416" s="1280"/>
      <c r="B416" s="1135" t="s">
        <v>66</v>
      </c>
      <c r="C416" s="1129">
        <f>C417</f>
        <v>3342802</v>
      </c>
      <c r="D416" s="1129">
        <f t="shared" ref="D416:Y416" si="186">D417</f>
        <v>0</v>
      </c>
      <c r="E416" s="1129">
        <f t="shared" si="186"/>
        <v>0</v>
      </c>
      <c r="F416" s="1129">
        <f t="shared" si="186"/>
        <v>0</v>
      </c>
      <c r="G416" s="1129">
        <f t="shared" si="186"/>
        <v>0</v>
      </c>
      <c r="H416" s="1129">
        <f t="shared" si="186"/>
        <v>0</v>
      </c>
      <c r="I416" s="1129">
        <f t="shared" si="186"/>
        <v>0</v>
      </c>
      <c r="J416" s="1129">
        <f t="shared" si="186"/>
        <v>0</v>
      </c>
      <c r="K416" s="1136">
        <v>0</v>
      </c>
      <c r="L416" s="1129">
        <v>0</v>
      </c>
      <c r="M416" s="1136">
        <v>0</v>
      </c>
      <c r="N416" s="1129">
        <f t="shared" si="186"/>
        <v>0</v>
      </c>
      <c r="O416" s="1129">
        <f t="shared" si="186"/>
        <v>987.65</v>
      </c>
      <c r="P416" s="1129">
        <f t="shared" si="186"/>
        <v>3099998</v>
      </c>
      <c r="Q416" s="1129">
        <f t="shared" si="186"/>
        <v>0</v>
      </c>
      <c r="R416" s="1129">
        <f t="shared" si="186"/>
        <v>0</v>
      </c>
      <c r="S416" s="1129">
        <f t="shared" si="186"/>
        <v>0</v>
      </c>
      <c r="T416" s="1129">
        <f t="shared" si="186"/>
        <v>0</v>
      </c>
      <c r="U416" s="1129">
        <f t="shared" si="186"/>
        <v>0</v>
      </c>
      <c r="V416" s="1129">
        <f t="shared" si="186"/>
        <v>0</v>
      </c>
      <c r="W416" s="1129">
        <v>0</v>
      </c>
      <c r="X416" s="1129">
        <f t="shared" si="186"/>
        <v>242804</v>
      </c>
      <c r="Y416" s="1129">
        <f t="shared" si="186"/>
        <v>0</v>
      </c>
    </row>
    <row r="417" spans="1:25" s="1165" customFormat="1" ht="127.9" customHeight="1">
      <c r="A417" s="1280"/>
      <c r="B417" s="1135" t="s">
        <v>1081</v>
      </c>
      <c r="C417" s="1129">
        <f>C418+C419</f>
        <v>3342802</v>
      </c>
      <c r="D417" s="1129">
        <f t="shared" ref="D417:Y417" si="187">D418+D419</f>
        <v>0</v>
      </c>
      <c r="E417" s="1129">
        <f t="shared" si="187"/>
        <v>0</v>
      </c>
      <c r="F417" s="1129">
        <f t="shared" si="187"/>
        <v>0</v>
      </c>
      <c r="G417" s="1129">
        <f t="shared" si="187"/>
        <v>0</v>
      </c>
      <c r="H417" s="1129">
        <f t="shared" si="187"/>
        <v>0</v>
      </c>
      <c r="I417" s="1129">
        <f t="shared" si="187"/>
        <v>0</v>
      </c>
      <c r="J417" s="1129">
        <f t="shared" si="187"/>
        <v>0</v>
      </c>
      <c r="K417" s="1136">
        <f t="shared" si="187"/>
        <v>0</v>
      </c>
      <c r="L417" s="1129">
        <f t="shared" si="187"/>
        <v>0</v>
      </c>
      <c r="M417" s="1136">
        <f t="shared" si="187"/>
        <v>0</v>
      </c>
      <c r="N417" s="1129">
        <f t="shared" si="187"/>
        <v>0</v>
      </c>
      <c r="O417" s="1129">
        <f t="shared" si="187"/>
        <v>987.65</v>
      </c>
      <c r="P417" s="1129">
        <f t="shared" si="187"/>
        <v>3099998</v>
      </c>
      <c r="Q417" s="1129">
        <f t="shared" si="187"/>
        <v>0</v>
      </c>
      <c r="R417" s="1129">
        <f t="shared" si="187"/>
        <v>0</v>
      </c>
      <c r="S417" s="1129">
        <f t="shared" si="187"/>
        <v>0</v>
      </c>
      <c r="T417" s="1129">
        <f t="shared" si="187"/>
        <v>0</v>
      </c>
      <c r="U417" s="1129">
        <f t="shared" si="187"/>
        <v>0</v>
      </c>
      <c r="V417" s="1129">
        <f t="shared" si="187"/>
        <v>0</v>
      </c>
      <c r="W417" s="1129">
        <v>0</v>
      </c>
      <c r="X417" s="1129">
        <f t="shared" si="187"/>
        <v>242804</v>
      </c>
      <c r="Y417" s="1129">
        <f t="shared" si="187"/>
        <v>0</v>
      </c>
    </row>
    <row r="418" spans="1:25" s="1165" customFormat="1" ht="104.45" customHeight="1">
      <c r="A418" s="1280">
        <v>335</v>
      </c>
      <c r="B418" s="1135" t="s">
        <v>1195</v>
      </c>
      <c r="C418" s="1129">
        <f>D418+N418+P418+R418+T418+V418+X418</f>
        <v>824658</v>
      </c>
      <c r="D418" s="1129">
        <f>SUM(E418:J418)</f>
        <v>0</v>
      </c>
      <c r="E418" s="1129">
        <v>0</v>
      </c>
      <c r="F418" s="1129">
        <v>0</v>
      </c>
      <c r="G418" s="1129">
        <v>0</v>
      </c>
      <c r="H418" s="1129">
        <v>0</v>
      </c>
      <c r="I418" s="1129">
        <v>0</v>
      </c>
      <c r="J418" s="1129">
        <v>0</v>
      </c>
      <c r="K418" s="1136">
        <v>0</v>
      </c>
      <c r="L418" s="1129">
        <v>0</v>
      </c>
      <c r="M418" s="1136">
        <v>0</v>
      </c>
      <c r="N418" s="1129">
        <v>0</v>
      </c>
      <c r="O418" s="1129">
        <v>243.65</v>
      </c>
      <c r="P418" s="1129">
        <v>764759</v>
      </c>
      <c r="Q418" s="1129">
        <v>0</v>
      </c>
      <c r="R418" s="1129">
        <v>0</v>
      </c>
      <c r="S418" s="1129">
        <v>0</v>
      </c>
      <c r="T418" s="1129">
        <v>0</v>
      </c>
      <c r="U418" s="1129">
        <v>0</v>
      </c>
      <c r="V418" s="1129">
        <v>0</v>
      </c>
      <c r="W418" s="1129">
        <v>0</v>
      </c>
      <c r="X418" s="1129">
        <v>59899</v>
      </c>
      <c r="Y418" s="1129">
        <v>0</v>
      </c>
    </row>
    <row r="419" spans="1:25" s="1165" customFormat="1" ht="66.599999999999994" customHeight="1">
      <c r="A419" s="1280">
        <v>336</v>
      </c>
      <c r="B419" s="1135" t="s">
        <v>3011</v>
      </c>
      <c r="C419" s="1129">
        <f>D419+N419+P419+R419+T419+V419+X419</f>
        <v>2518144</v>
      </c>
      <c r="D419" s="1129">
        <f>SUM(E419:J419)</f>
        <v>0</v>
      </c>
      <c r="E419" s="1129">
        <v>0</v>
      </c>
      <c r="F419" s="1129">
        <v>0</v>
      </c>
      <c r="G419" s="1129">
        <v>0</v>
      </c>
      <c r="H419" s="1129">
        <v>0</v>
      </c>
      <c r="I419" s="1129">
        <v>0</v>
      </c>
      <c r="J419" s="1129">
        <v>0</v>
      </c>
      <c r="K419" s="1136">
        <v>0</v>
      </c>
      <c r="L419" s="1129">
        <v>0</v>
      </c>
      <c r="M419" s="1136">
        <v>0</v>
      </c>
      <c r="N419" s="1129">
        <v>0</v>
      </c>
      <c r="O419" s="1129">
        <v>744</v>
      </c>
      <c r="P419" s="1129">
        <v>2335239</v>
      </c>
      <c r="Q419" s="1129">
        <v>0</v>
      </c>
      <c r="R419" s="1129">
        <v>0</v>
      </c>
      <c r="S419" s="1129">
        <v>0</v>
      </c>
      <c r="T419" s="1129">
        <v>0</v>
      </c>
      <c r="U419" s="1129">
        <v>0</v>
      </c>
      <c r="V419" s="1129">
        <v>0</v>
      </c>
      <c r="W419" s="1129">
        <v>0</v>
      </c>
      <c r="X419" s="1129">
        <v>182905</v>
      </c>
      <c r="Y419" s="1129">
        <v>0</v>
      </c>
    </row>
    <row r="420" spans="1:25" s="1165" customFormat="1" ht="125.45" customHeight="1">
      <c r="A420" s="1280"/>
      <c r="B420" s="1135" t="s">
        <v>1122</v>
      </c>
      <c r="C420" s="1145">
        <f>SUM(C421:C426)</f>
        <v>30817012</v>
      </c>
      <c r="D420" s="1145">
        <f t="shared" ref="D420:Y420" si="188">SUM(D421:D426)</f>
        <v>0</v>
      </c>
      <c r="E420" s="1145">
        <f t="shared" si="188"/>
        <v>0</v>
      </c>
      <c r="F420" s="1145">
        <f t="shared" si="188"/>
        <v>0</v>
      </c>
      <c r="G420" s="1145">
        <f t="shared" si="188"/>
        <v>0</v>
      </c>
      <c r="H420" s="1145">
        <f t="shared" si="188"/>
        <v>0</v>
      </c>
      <c r="I420" s="1145">
        <f t="shared" si="188"/>
        <v>0</v>
      </c>
      <c r="J420" s="1145">
        <f t="shared" si="188"/>
        <v>0</v>
      </c>
      <c r="K420" s="1136">
        <f t="shared" si="188"/>
        <v>0</v>
      </c>
      <c r="L420" s="1145">
        <f t="shared" si="188"/>
        <v>0</v>
      </c>
      <c r="M420" s="1136">
        <f t="shared" si="188"/>
        <v>2</v>
      </c>
      <c r="N420" s="1145">
        <f t="shared" si="188"/>
        <v>4509822</v>
      </c>
      <c r="O420" s="1145">
        <f t="shared" si="188"/>
        <v>7844.3</v>
      </c>
      <c r="P420" s="1145">
        <f t="shared" si="188"/>
        <v>24068800</v>
      </c>
      <c r="Q420" s="1145">
        <f t="shared" si="188"/>
        <v>0</v>
      </c>
      <c r="R420" s="1145">
        <f t="shared" si="188"/>
        <v>0</v>
      </c>
      <c r="S420" s="1145">
        <f t="shared" si="188"/>
        <v>0</v>
      </c>
      <c r="T420" s="1145">
        <f t="shared" si="188"/>
        <v>0</v>
      </c>
      <c r="U420" s="1145">
        <f t="shared" si="188"/>
        <v>0</v>
      </c>
      <c r="V420" s="1145">
        <f t="shared" si="188"/>
        <v>0</v>
      </c>
      <c r="W420" s="1129">
        <v>0</v>
      </c>
      <c r="X420" s="1145">
        <f t="shared" si="188"/>
        <v>2238390</v>
      </c>
      <c r="Y420" s="1145">
        <f t="shared" si="188"/>
        <v>0</v>
      </c>
    </row>
    <row r="421" spans="1:25" s="1165" customFormat="1" ht="92.45" customHeight="1">
      <c r="A421" s="1280">
        <v>337</v>
      </c>
      <c r="B421" s="1135" t="s">
        <v>2391</v>
      </c>
      <c r="C421" s="1129">
        <f>D421+N421+P421+R421+T421+V421+X421</f>
        <v>2866597</v>
      </c>
      <c r="D421" s="1129">
        <f>SUM(E421:J421)</f>
        <v>0</v>
      </c>
      <c r="E421" s="1145">
        <v>0</v>
      </c>
      <c r="F421" s="1145">
        <v>0</v>
      </c>
      <c r="G421" s="1145">
        <v>0</v>
      </c>
      <c r="H421" s="1145">
        <v>0</v>
      </c>
      <c r="I421" s="1145">
        <v>0</v>
      </c>
      <c r="J421" s="1145">
        <v>0</v>
      </c>
      <c r="K421" s="1136">
        <v>0</v>
      </c>
      <c r="L421" s="1145">
        <v>0</v>
      </c>
      <c r="M421" s="1136">
        <v>0</v>
      </c>
      <c r="N421" s="1145">
        <v>0</v>
      </c>
      <c r="O421" s="1145">
        <v>1055</v>
      </c>
      <c r="P421" s="1145">
        <v>2658382</v>
      </c>
      <c r="Q421" s="1145">
        <v>0</v>
      </c>
      <c r="R421" s="1145">
        <v>0</v>
      </c>
      <c r="S421" s="1145">
        <v>0</v>
      </c>
      <c r="T421" s="1145">
        <v>0</v>
      </c>
      <c r="U421" s="1145">
        <v>0</v>
      </c>
      <c r="V421" s="1145">
        <v>0</v>
      </c>
      <c r="W421" s="1129">
        <v>0</v>
      </c>
      <c r="X421" s="1166">
        <v>208215</v>
      </c>
      <c r="Y421" s="1145">
        <v>0</v>
      </c>
    </row>
    <row r="422" spans="1:25" s="1165" customFormat="1" ht="86.45" customHeight="1">
      <c r="A422" s="1280">
        <v>338</v>
      </c>
      <c r="B422" s="1135" t="s">
        <v>2392</v>
      </c>
      <c r="C422" s="1129">
        <f t="shared" ref="C422:C426" si="189">D422+N422+P422+R422+T422+V422+X422</f>
        <v>10503750</v>
      </c>
      <c r="D422" s="1129">
        <f t="shared" ref="D422:D426" si="190">SUM(E422:J422)</f>
        <v>0</v>
      </c>
      <c r="E422" s="1145">
        <v>0</v>
      </c>
      <c r="F422" s="1145">
        <v>0</v>
      </c>
      <c r="G422" s="1145">
        <v>0</v>
      </c>
      <c r="H422" s="1145">
        <v>0</v>
      </c>
      <c r="I422" s="1145">
        <v>0</v>
      </c>
      <c r="J422" s="1145">
        <v>0</v>
      </c>
      <c r="K422" s="1136">
        <v>0</v>
      </c>
      <c r="L422" s="1145">
        <v>0</v>
      </c>
      <c r="M422" s="1136">
        <v>0</v>
      </c>
      <c r="N422" s="1145">
        <v>0</v>
      </c>
      <c r="O422" s="1145">
        <v>2633</v>
      </c>
      <c r="P422" s="1145">
        <v>9740812</v>
      </c>
      <c r="Q422" s="1145">
        <v>0</v>
      </c>
      <c r="R422" s="1145">
        <v>0</v>
      </c>
      <c r="S422" s="1145">
        <v>0</v>
      </c>
      <c r="T422" s="1145">
        <v>0</v>
      </c>
      <c r="U422" s="1145">
        <v>0</v>
      </c>
      <c r="V422" s="1145">
        <v>0</v>
      </c>
      <c r="W422" s="1129">
        <v>0</v>
      </c>
      <c r="X422" s="1166">
        <v>762938</v>
      </c>
      <c r="Y422" s="1145">
        <v>0</v>
      </c>
    </row>
    <row r="423" spans="1:25" s="1165" customFormat="1" ht="99.6" customHeight="1">
      <c r="A423" s="1280">
        <v>339</v>
      </c>
      <c r="B423" s="1135" t="s">
        <v>2393</v>
      </c>
      <c r="C423" s="1129">
        <f t="shared" si="189"/>
        <v>5665266</v>
      </c>
      <c r="D423" s="1129">
        <f t="shared" si="190"/>
        <v>0</v>
      </c>
      <c r="E423" s="1145">
        <v>0</v>
      </c>
      <c r="F423" s="1145">
        <v>0</v>
      </c>
      <c r="G423" s="1145">
        <v>0</v>
      </c>
      <c r="H423" s="1145">
        <v>0</v>
      </c>
      <c r="I423" s="1145">
        <v>0</v>
      </c>
      <c r="J423" s="1145">
        <v>0</v>
      </c>
      <c r="K423" s="1136">
        <v>0</v>
      </c>
      <c r="L423" s="1145">
        <v>0</v>
      </c>
      <c r="M423" s="1136">
        <v>0</v>
      </c>
      <c r="N423" s="1145">
        <v>0</v>
      </c>
      <c r="O423" s="1145">
        <v>2085</v>
      </c>
      <c r="P423" s="1145">
        <v>5253770</v>
      </c>
      <c r="Q423" s="1145">
        <v>0</v>
      </c>
      <c r="R423" s="1145">
        <v>0</v>
      </c>
      <c r="S423" s="1145">
        <v>0</v>
      </c>
      <c r="T423" s="1145">
        <v>0</v>
      </c>
      <c r="U423" s="1145">
        <v>0</v>
      </c>
      <c r="V423" s="1145">
        <v>0</v>
      </c>
      <c r="W423" s="1129">
        <v>0</v>
      </c>
      <c r="X423" s="1166">
        <v>411496</v>
      </c>
      <c r="Y423" s="1145">
        <v>0</v>
      </c>
    </row>
    <row r="424" spans="1:25" s="1165" customFormat="1" ht="94.9" customHeight="1">
      <c r="A424" s="1280">
        <v>340</v>
      </c>
      <c r="B424" s="1135" t="s">
        <v>2068</v>
      </c>
      <c r="C424" s="1129">
        <f t="shared" si="189"/>
        <v>4046318</v>
      </c>
      <c r="D424" s="1129">
        <f t="shared" si="190"/>
        <v>0</v>
      </c>
      <c r="E424" s="1145">
        <v>0</v>
      </c>
      <c r="F424" s="1145">
        <v>0</v>
      </c>
      <c r="G424" s="1145">
        <v>0</v>
      </c>
      <c r="H424" s="1145">
        <v>0</v>
      </c>
      <c r="I424" s="1145">
        <v>0</v>
      </c>
      <c r="J424" s="1145">
        <v>0</v>
      </c>
      <c r="K424" s="1136">
        <v>0</v>
      </c>
      <c r="L424" s="1145">
        <v>0</v>
      </c>
      <c r="M424" s="1136">
        <v>0</v>
      </c>
      <c r="N424" s="1145">
        <v>0</v>
      </c>
      <c r="O424" s="1145">
        <v>1014.3</v>
      </c>
      <c r="P424" s="1145">
        <v>3752414</v>
      </c>
      <c r="Q424" s="1145">
        <v>0</v>
      </c>
      <c r="R424" s="1145">
        <v>0</v>
      </c>
      <c r="S424" s="1145">
        <v>0</v>
      </c>
      <c r="T424" s="1145">
        <v>0</v>
      </c>
      <c r="U424" s="1145">
        <v>0</v>
      </c>
      <c r="V424" s="1145">
        <v>0</v>
      </c>
      <c r="W424" s="1129">
        <v>0</v>
      </c>
      <c r="X424" s="1166">
        <v>293904</v>
      </c>
      <c r="Y424" s="1145">
        <v>0</v>
      </c>
    </row>
    <row r="425" spans="1:25" s="1165" customFormat="1" ht="96.6" customHeight="1">
      <c r="A425" s="1280">
        <v>341</v>
      </c>
      <c r="B425" s="1135" t="s">
        <v>2394</v>
      </c>
      <c r="C425" s="1129">
        <f t="shared" si="189"/>
        <v>2872032</v>
      </c>
      <c r="D425" s="1129">
        <f t="shared" si="190"/>
        <v>0</v>
      </c>
      <c r="E425" s="1145">
        <v>0</v>
      </c>
      <c r="F425" s="1145">
        <v>0</v>
      </c>
      <c r="G425" s="1145">
        <v>0</v>
      </c>
      <c r="H425" s="1145">
        <v>0</v>
      </c>
      <c r="I425" s="1145">
        <v>0</v>
      </c>
      <c r="J425" s="1145">
        <v>0</v>
      </c>
      <c r="K425" s="1136">
        <v>0</v>
      </c>
      <c r="L425" s="1145">
        <v>0</v>
      </c>
      <c r="M425" s="1136">
        <v>0</v>
      </c>
      <c r="N425" s="1145">
        <v>0</v>
      </c>
      <c r="O425" s="1145">
        <v>1057</v>
      </c>
      <c r="P425" s="1145">
        <v>2663422</v>
      </c>
      <c r="Q425" s="1145">
        <v>0</v>
      </c>
      <c r="R425" s="1145">
        <v>0</v>
      </c>
      <c r="S425" s="1145">
        <v>0</v>
      </c>
      <c r="T425" s="1145">
        <v>0</v>
      </c>
      <c r="U425" s="1145">
        <v>0</v>
      </c>
      <c r="V425" s="1145">
        <v>0</v>
      </c>
      <c r="W425" s="1129">
        <v>0</v>
      </c>
      <c r="X425" s="1166">
        <v>208610</v>
      </c>
      <c r="Y425" s="1145">
        <v>0</v>
      </c>
    </row>
    <row r="426" spans="1:25" s="1165" customFormat="1" ht="97.15" customHeight="1">
      <c r="A426" s="1280">
        <v>342</v>
      </c>
      <c r="B426" s="1135" t="s">
        <v>2070</v>
      </c>
      <c r="C426" s="1129">
        <f t="shared" si="189"/>
        <v>4863049</v>
      </c>
      <c r="D426" s="1129">
        <f t="shared" si="190"/>
        <v>0</v>
      </c>
      <c r="E426" s="1145">
        <v>0</v>
      </c>
      <c r="F426" s="1145">
        <v>0</v>
      </c>
      <c r="G426" s="1145">
        <v>0</v>
      </c>
      <c r="H426" s="1145">
        <v>0</v>
      </c>
      <c r="I426" s="1145">
        <v>0</v>
      </c>
      <c r="J426" s="1145">
        <v>0</v>
      </c>
      <c r="K426" s="1136">
        <v>0</v>
      </c>
      <c r="L426" s="1145">
        <v>0</v>
      </c>
      <c r="M426" s="1136">
        <v>2</v>
      </c>
      <c r="N426" s="1145">
        <v>4509822</v>
      </c>
      <c r="O426" s="1145">
        <v>0</v>
      </c>
      <c r="P426" s="1145">
        <v>0</v>
      </c>
      <c r="Q426" s="1145">
        <v>0</v>
      </c>
      <c r="R426" s="1145">
        <v>0</v>
      </c>
      <c r="S426" s="1145">
        <v>0</v>
      </c>
      <c r="T426" s="1145">
        <v>0</v>
      </c>
      <c r="U426" s="1145">
        <v>0</v>
      </c>
      <c r="V426" s="1145">
        <v>0</v>
      </c>
      <c r="W426" s="1129">
        <v>0</v>
      </c>
      <c r="X426" s="1166">
        <v>353227</v>
      </c>
      <c r="Y426" s="1145">
        <v>0</v>
      </c>
    </row>
    <row r="427" spans="1:25" s="1165" customFormat="1" ht="75" customHeight="1">
      <c r="A427" s="1280"/>
      <c r="B427" s="1135" t="s">
        <v>67</v>
      </c>
      <c r="C427" s="1129">
        <f>C430+C433+C428</f>
        <v>6965293.8899999997</v>
      </c>
      <c r="D427" s="1129">
        <f t="shared" ref="D427:Y427" si="191">D430+D433+D428</f>
        <v>946094.92999999993</v>
      </c>
      <c r="E427" s="1129">
        <f t="shared" si="191"/>
        <v>946094.92999999993</v>
      </c>
      <c r="F427" s="1129">
        <f t="shared" si="191"/>
        <v>0</v>
      </c>
      <c r="G427" s="1129">
        <f t="shared" si="191"/>
        <v>0</v>
      </c>
      <c r="H427" s="1129">
        <f t="shared" si="191"/>
        <v>0</v>
      </c>
      <c r="I427" s="1129">
        <f t="shared" si="191"/>
        <v>0</v>
      </c>
      <c r="J427" s="1129">
        <f t="shared" si="191"/>
        <v>0</v>
      </c>
      <c r="K427" s="1136">
        <f t="shared" si="191"/>
        <v>0</v>
      </c>
      <c r="L427" s="1129">
        <f t="shared" si="191"/>
        <v>0</v>
      </c>
      <c r="M427" s="1136">
        <f t="shared" si="191"/>
        <v>0</v>
      </c>
      <c r="N427" s="1129">
        <f t="shared" si="191"/>
        <v>0</v>
      </c>
      <c r="O427" s="1129">
        <f t="shared" si="191"/>
        <v>2019.8899999999999</v>
      </c>
      <c r="P427" s="1129">
        <f t="shared" si="191"/>
        <v>5513275.5</v>
      </c>
      <c r="Q427" s="1129">
        <f t="shared" si="191"/>
        <v>0</v>
      </c>
      <c r="R427" s="1129">
        <f t="shared" si="191"/>
        <v>0</v>
      </c>
      <c r="S427" s="1129">
        <f t="shared" si="191"/>
        <v>0</v>
      </c>
      <c r="T427" s="1129">
        <f t="shared" si="191"/>
        <v>0</v>
      </c>
      <c r="U427" s="1129">
        <f t="shared" si="191"/>
        <v>0</v>
      </c>
      <c r="V427" s="1129">
        <f t="shared" si="191"/>
        <v>0</v>
      </c>
      <c r="W427" s="1129">
        <v>0</v>
      </c>
      <c r="X427" s="1129">
        <f t="shared" si="191"/>
        <v>505923.46</v>
      </c>
      <c r="Y427" s="1129">
        <f t="shared" si="191"/>
        <v>0</v>
      </c>
    </row>
    <row r="428" spans="1:25" s="1165" customFormat="1" ht="91.9" customHeight="1">
      <c r="A428" s="1280"/>
      <c r="B428" s="1135" t="s">
        <v>1082</v>
      </c>
      <c r="C428" s="1129">
        <f>C429</f>
        <v>1695504</v>
      </c>
      <c r="D428" s="1129">
        <f t="shared" ref="D428:Y428" si="192">D429</f>
        <v>0</v>
      </c>
      <c r="E428" s="1129">
        <f t="shared" si="192"/>
        <v>0</v>
      </c>
      <c r="F428" s="1129">
        <f t="shared" si="192"/>
        <v>0</v>
      </c>
      <c r="G428" s="1129">
        <f t="shared" si="192"/>
        <v>0</v>
      </c>
      <c r="H428" s="1129">
        <f t="shared" si="192"/>
        <v>0</v>
      </c>
      <c r="I428" s="1129">
        <f t="shared" si="192"/>
        <v>0</v>
      </c>
      <c r="J428" s="1129">
        <f t="shared" si="192"/>
        <v>0</v>
      </c>
      <c r="K428" s="1136">
        <f t="shared" si="192"/>
        <v>0</v>
      </c>
      <c r="L428" s="1129">
        <f t="shared" si="192"/>
        <v>0</v>
      </c>
      <c r="M428" s="1136">
        <f t="shared" si="192"/>
        <v>0</v>
      </c>
      <c r="N428" s="1129">
        <f t="shared" si="192"/>
        <v>0</v>
      </c>
      <c r="O428" s="1129">
        <f t="shared" si="192"/>
        <v>624</v>
      </c>
      <c r="P428" s="1129">
        <f t="shared" si="192"/>
        <v>1572351</v>
      </c>
      <c r="Q428" s="1129">
        <f t="shared" si="192"/>
        <v>0</v>
      </c>
      <c r="R428" s="1129">
        <f t="shared" si="192"/>
        <v>0</v>
      </c>
      <c r="S428" s="1129">
        <f t="shared" si="192"/>
        <v>0</v>
      </c>
      <c r="T428" s="1129">
        <f t="shared" si="192"/>
        <v>0</v>
      </c>
      <c r="U428" s="1129">
        <f t="shared" si="192"/>
        <v>0</v>
      </c>
      <c r="V428" s="1129">
        <f t="shared" si="192"/>
        <v>0</v>
      </c>
      <c r="W428" s="1129">
        <v>0</v>
      </c>
      <c r="X428" s="1129">
        <f t="shared" si="192"/>
        <v>123153</v>
      </c>
      <c r="Y428" s="1129">
        <f t="shared" si="192"/>
        <v>0</v>
      </c>
    </row>
    <row r="429" spans="1:25" s="1165" customFormat="1" ht="88.9" customHeight="1">
      <c r="A429" s="1280">
        <v>343</v>
      </c>
      <c r="B429" s="1135" t="s">
        <v>1321</v>
      </c>
      <c r="C429" s="1129">
        <f>D429+N429+P429+R429+T429+V429+X429</f>
        <v>1695504</v>
      </c>
      <c r="D429" s="1129">
        <f>SUM(E429:J429)</f>
        <v>0</v>
      </c>
      <c r="E429" s="1129">
        <v>0</v>
      </c>
      <c r="F429" s="1129">
        <v>0</v>
      </c>
      <c r="G429" s="1129">
        <v>0</v>
      </c>
      <c r="H429" s="1129">
        <v>0</v>
      </c>
      <c r="I429" s="1129">
        <v>0</v>
      </c>
      <c r="J429" s="1129">
        <v>0</v>
      </c>
      <c r="K429" s="1136">
        <v>0</v>
      </c>
      <c r="L429" s="1129">
        <v>0</v>
      </c>
      <c r="M429" s="1136">
        <v>0</v>
      </c>
      <c r="N429" s="1129">
        <v>0</v>
      </c>
      <c r="O429" s="1129">
        <v>624</v>
      </c>
      <c r="P429" s="1129">
        <v>1572351</v>
      </c>
      <c r="Q429" s="1129">
        <v>0</v>
      </c>
      <c r="R429" s="1129">
        <v>0</v>
      </c>
      <c r="S429" s="1129">
        <v>0</v>
      </c>
      <c r="T429" s="1129">
        <v>0</v>
      </c>
      <c r="U429" s="1129">
        <v>0</v>
      </c>
      <c r="V429" s="1129">
        <v>0</v>
      </c>
      <c r="W429" s="1129">
        <v>0</v>
      </c>
      <c r="X429" s="1129">
        <v>123153</v>
      </c>
      <c r="Y429" s="1129">
        <v>0</v>
      </c>
    </row>
    <row r="430" spans="1:25" s="1165" customFormat="1" ht="125.45" customHeight="1">
      <c r="A430" s="1280"/>
      <c r="B430" s="1135" t="s">
        <v>1233</v>
      </c>
      <c r="C430" s="1129">
        <f>C431+C432</f>
        <v>4249593.1399999997</v>
      </c>
      <c r="D430" s="1129">
        <f t="shared" ref="D430:Y430" si="193">D431+D432</f>
        <v>0</v>
      </c>
      <c r="E430" s="1129">
        <f t="shared" si="193"/>
        <v>0</v>
      </c>
      <c r="F430" s="1129">
        <f t="shared" si="193"/>
        <v>0</v>
      </c>
      <c r="G430" s="1129">
        <f t="shared" si="193"/>
        <v>0</v>
      </c>
      <c r="H430" s="1129">
        <f t="shared" si="193"/>
        <v>0</v>
      </c>
      <c r="I430" s="1129">
        <f t="shared" si="193"/>
        <v>0</v>
      </c>
      <c r="J430" s="1129">
        <f t="shared" si="193"/>
        <v>0</v>
      </c>
      <c r="K430" s="1136">
        <f t="shared" si="193"/>
        <v>0</v>
      </c>
      <c r="L430" s="1129">
        <f t="shared" si="193"/>
        <v>0</v>
      </c>
      <c r="M430" s="1136">
        <f t="shared" si="193"/>
        <v>0</v>
      </c>
      <c r="N430" s="1129">
        <f t="shared" si="193"/>
        <v>0</v>
      </c>
      <c r="O430" s="1129">
        <f t="shared" si="193"/>
        <v>1395.8899999999999</v>
      </c>
      <c r="P430" s="1129">
        <f t="shared" si="193"/>
        <v>3940924.5</v>
      </c>
      <c r="Q430" s="1129">
        <f t="shared" si="193"/>
        <v>0</v>
      </c>
      <c r="R430" s="1129">
        <f t="shared" si="193"/>
        <v>0</v>
      </c>
      <c r="S430" s="1129">
        <f t="shared" si="193"/>
        <v>0</v>
      </c>
      <c r="T430" s="1129">
        <f t="shared" si="193"/>
        <v>0</v>
      </c>
      <c r="U430" s="1129">
        <f t="shared" si="193"/>
        <v>0</v>
      </c>
      <c r="V430" s="1129">
        <f t="shared" si="193"/>
        <v>0</v>
      </c>
      <c r="W430" s="1129">
        <v>0</v>
      </c>
      <c r="X430" s="1129">
        <f t="shared" si="193"/>
        <v>308668.64</v>
      </c>
      <c r="Y430" s="1129">
        <f t="shared" si="193"/>
        <v>0</v>
      </c>
    </row>
    <row r="431" spans="1:25" s="1165" customFormat="1" ht="133.15" customHeight="1">
      <c r="A431" s="1280">
        <v>344</v>
      </c>
      <c r="B431" s="1135" t="s">
        <v>3065</v>
      </c>
      <c r="C431" s="1129">
        <f>D431+N431+P431+R431+T431+V431+X431</f>
        <v>2696748</v>
      </c>
      <c r="D431" s="1129">
        <f>SUM(E431:J431)</f>
        <v>0</v>
      </c>
      <c r="E431" s="1129">
        <v>0</v>
      </c>
      <c r="F431" s="1129">
        <v>0</v>
      </c>
      <c r="G431" s="1129">
        <v>0</v>
      </c>
      <c r="H431" s="1129">
        <v>0</v>
      </c>
      <c r="I431" s="1129">
        <v>0</v>
      </c>
      <c r="J431" s="1129">
        <v>0</v>
      </c>
      <c r="K431" s="1136">
        <v>0</v>
      </c>
      <c r="L431" s="1129">
        <v>0</v>
      </c>
      <c r="M431" s="1136">
        <v>0</v>
      </c>
      <c r="N431" s="1129">
        <v>0</v>
      </c>
      <c r="O431" s="1129">
        <v>992.49</v>
      </c>
      <c r="P431" s="1129">
        <v>2500870</v>
      </c>
      <c r="Q431" s="1129">
        <v>0</v>
      </c>
      <c r="R431" s="1129">
        <v>0</v>
      </c>
      <c r="S431" s="1129">
        <v>0</v>
      </c>
      <c r="T431" s="1129">
        <v>0</v>
      </c>
      <c r="U431" s="1129">
        <v>0</v>
      </c>
      <c r="V431" s="1129">
        <v>0</v>
      </c>
      <c r="W431" s="1129">
        <v>0</v>
      </c>
      <c r="X431" s="1129">
        <v>195878</v>
      </c>
      <c r="Y431" s="1129">
        <v>0</v>
      </c>
    </row>
    <row r="432" spans="1:25" s="1165" customFormat="1" ht="138" customHeight="1">
      <c r="A432" s="1280">
        <v>345</v>
      </c>
      <c r="B432" s="1135" t="s">
        <v>3066</v>
      </c>
      <c r="C432" s="1129">
        <f>D432+N432+P432+R432+T432+V432+X432</f>
        <v>1552845.14</v>
      </c>
      <c r="D432" s="1129">
        <f>SUM(E432:J432)</f>
        <v>0</v>
      </c>
      <c r="E432" s="1129">
        <v>0</v>
      </c>
      <c r="F432" s="1129">
        <v>0</v>
      </c>
      <c r="G432" s="1129">
        <v>0</v>
      </c>
      <c r="H432" s="1129">
        <v>0</v>
      </c>
      <c r="I432" s="1129">
        <v>0</v>
      </c>
      <c r="J432" s="1129">
        <v>0</v>
      </c>
      <c r="K432" s="1136">
        <v>0</v>
      </c>
      <c r="L432" s="1129">
        <v>0</v>
      </c>
      <c r="M432" s="1136">
        <v>0</v>
      </c>
      <c r="N432" s="1129">
        <v>0</v>
      </c>
      <c r="O432" s="1129">
        <v>403.4</v>
      </c>
      <c r="P432" s="1129">
        <v>1440054.5</v>
      </c>
      <c r="Q432" s="1129">
        <v>0</v>
      </c>
      <c r="R432" s="1129">
        <v>0</v>
      </c>
      <c r="S432" s="1129">
        <v>0</v>
      </c>
      <c r="T432" s="1129">
        <v>0</v>
      </c>
      <c r="U432" s="1129">
        <v>0</v>
      </c>
      <c r="V432" s="1129">
        <v>0</v>
      </c>
      <c r="W432" s="1129">
        <v>0</v>
      </c>
      <c r="X432" s="1129">
        <v>112790.64</v>
      </c>
      <c r="Y432" s="1129">
        <v>0</v>
      </c>
    </row>
    <row r="433" spans="1:25" s="1165" customFormat="1" ht="135" customHeight="1">
      <c r="A433" s="1280"/>
      <c r="B433" s="1135" t="s">
        <v>1167</v>
      </c>
      <c r="C433" s="1129">
        <f>C434+C435</f>
        <v>1020196.75</v>
      </c>
      <c r="D433" s="1129">
        <f t="shared" ref="D433:Y433" si="194">D434+D435</f>
        <v>946094.92999999993</v>
      </c>
      <c r="E433" s="1129">
        <f t="shared" si="194"/>
        <v>946094.92999999993</v>
      </c>
      <c r="F433" s="1129">
        <f t="shared" si="194"/>
        <v>0</v>
      </c>
      <c r="G433" s="1129">
        <f t="shared" si="194"/>
        <v>0</v>
      </c>
      <c r="H433" s="1129">
        <f t="shared" si="194"/>
        <v>0</v>
      </c>
      <c r="I433" s="1129">
        <f t="shared" si="194"/>
        <v>0</v>
      </c>
      <c r="J433" s="1129">
        <f t="shared" si="194"/>
        <v>0</v>
      </c>
      <c r="K433" s="1136">
        <f t="shared" si="194"/>
        <v>0</v>
      </c>
      <c r="L433" s="1129">
        <f t="shared" si="194"/>
        <v>0</v>
      </c>
      <c r="M433" s="1136">
        <f t="shared" si="194"/>
        <v>0</v>
      </c>
      <c r="N433" s="1129">
        <f t="shared" si="194"/>
        <v>0</v>
      </c>
      <c r="O433" s="1129">
        <f t="shared" si="194"/>
        <v>0</v>
      </c>
      <c r="P433" s="1129">
        <f t="shared" si="194"/>
        <v>0</v>
      </c>
      <c r="Q433" s="1129">
        <f t="shared" si="194"/>
        <v>0</v>
      </c>
      <c r="R433" s="1129">
        <f t="shared" si="194"/>
        <v>0</v>
      </c>
      <c r="S433" s="1129">
        <f t="shared" si="194"/>
        <v>0</v>
      </c>
      <c r="T433" s="1129">
        <f t="shared" si="194"/>
        <v>0</v>
      </c>
      <c r="U433" s="1129">
        <f t="shared" si="194"/>
        <v>0</v>
      </c>
      <c r="V433" s="1129">
        <f t="shared" si="194"/>
        <v>0</v>
      </c>
      <c r="W433" s="1129">
        <v>0</v>
      </c>
      <c r="X433" s="1129">
        <f t="shared" si="194"/>
        <v>74101.820000000007</v>
      </c>
      <c r="Y433" s="1129">
        <f t="shared" si="194"/>
        <v>0</v>
      </c>
    </row>
    <row r="434" spans="1:25" s="1165" customFormat="1" ht="82.9" customHeight="1">
      <c r="A434" s="1280">
        <v>346</v>
      </c>
      <c r="B434" s="1135" t="s">
        <v>1264</v>
      </c>
      <c r="C434" s="1129">
        <f>D434+N434+P434+R434+T434+V434+X434</f>
        <v>488724.88</v>
      </c>
      <c r="D434" s="1129">
        <f>SUM(E434:J434)</f>
        <v>453226.43</v>
      </c>
      <c r="E434" s="1129">
        <v>453226.43</v>
      </c>
      <c r="F434" s="1129">
        <v>0</v>
      </c>
      <c r="G434" s="1129">
        <v>0</v>
      </c>
      <c r="H434" s="1129">
        <v>0</v>
      </c>
      <c r="I434" s="1129">
        <v>0</v>
      </c>
      <c r="J434" s="1129">
        <v>0</v>
      </c>
      <c r="K434" s="1136">
        <v>0</v>
      </c>
      <c r="L434" s="1129">
        <v>0</v>
      </c>
      <c r="M434" s="1136">
        <v>0</v>
      </c>
      <c r="N434" s="1129">
        <v>0</v>
      </c>
      <c r="O434" s="1129">
        <v>0</v>
      </c>
      <c r="P434" s="1129">
        <v>0</v>
      </c>
      <c r="Q434" s="1129">
        <v>0</v>
      </c>
      <c r="R434" s="1129">
        <v>0</v>
      </c>
      <c r="S434" s="1129">
        <v>0</v>
      </c>
      <c r="T434" s="1129">
        <v>0</v>
      </c>
      <c r="U434" s="1129">
        <v>0</v>
      </c>
      <c r="V434" s="1129">
        <v>0</v>
      </c>
      <c r="W434" s="1129">
        <v>0</v>
      </c>
      <c r="X434" s="1129">
        <v>35498.449999999997</v>
      </c>
      <c r="Y434" s="1129">
        <v>0</v>
      </c>
    </row>
    <row r="435" spans="1:25" s="1165" customFormat="1" ht="91.15" customHeight="1">
      <c r="A435" s="1280">
        <v>347</v>
      </c>
      <c r="B435" s="1135" t="s">
        <v>2823</v>
      </c>
      <c r="C435" s="1129">
        <f>D435+N435+P435+R435+T435+V435+X435</f>
        <v>531471.87</v>
      </c>
      <c r="D435" s="1129">
        <f>SUM(E435:J435)</f>
        <v>492868.5</v>
      </c>
      <c r="E435" s="1129">
        <v>492868.5</v>
      </c>
      <c r="F435" s="1129">
        <v>0</v>
      </c>
      <c r="G435" s="1129">
        <v>0</v>
      </c>
      <c r="H435" s="1129">
        <v>0</v>
      </c>
      <c r="I435" s="1129">
        <v>0</v>
      </c>
      <c r="J435" s="1129">
        <v>0</v>
      </c>
      <c r="K435" s="1136">
        <v>0</v>
      </c>
      <c r="L435" s="1129">
        <v>0</v>
      </c>
      <c r="M435" s="1136">
        <v>0</v>
      </c>
      <c r="N435" s="1129">
        <v>0</v>
      </c>
      <c r="O435" s="1129">
        <v>0</v>
      </c>
      <c r="P435" s="1129">
        <v>0</v>
      </c>
      <c r="Q435" s="1129">
        <v>0</v>
      </c>
      <c r="R435" s="1129">
        <v>0</v>
      </c>
      <c r="S435" s="1129">
        <v>0</v>
      </c>
      <c r="T435" s="1129">
        <v>0</v>
      </c>
      <c r="U435" s="1129">
        <v>0</v>
      </c>
      <c r="V435" s="1129">
        <v>0</v>
      </c>
      <c r="W435" s="1129">
        <v>0</v>
      </c>
      <c r="X435" s="1129">
        <v>38603.370000000003</v>
      </c>
      <c r="Y435" s="1129">
        <v>0</v>
      </c>
    </row>
    <row r="436" spans="1:25" s="1165" customFormat="1" ht="79.900000000000006" customHeight="1">
      <c r="A436" s="1415" t="s">
        <v>2791</v>
      </c>
      <c r="B436" s="1415"/>
      <c r="C436" s="1415"/>
      <c r="D436" s="1415"/>
      <c r="E436" s="1415"/>
      <c r="F436" s="1415"/>
      <c r="G436" s="1415"/>
      <c r="H436" s="1415"/>
      <c r="I436" s="1415"/>
      <c r="J436" s="1415"/>
      <c r="K436" s="1415"/>
      <c r="L436" s="1415"/>
      <c r="M436" s="1415"/>
      <c r="N436" s="1415"/>
      <c r="O436" s="1415"/>
      <c r="P436" s="1415"/>
      <c r="Q436" s="1415"/>
      <c r="R436" s="1415"/>
      <c r="S436" s="1415"/>
      <c r="T436" s="1415"/>
      <c r="U436" s="1415"/>
      <c r="V436" s="1415"/>
      <c r="W436" s="1415"/>
      <c r="X436" s="1415"/>
      <c r="Y436" s="1415"/>
    </row>
    <row r="437" spans="1:25" s="1165" customFormat="1" ht="86.45" customHeight="1">
      <c r="A437" s="1280"/>
      <c r="B437" s="1135" t="s">
        <v>42</v>
      </c>
      <c r="C437" s="1129">
        <f>C438+C514+C535+C543+C558+C564+C567+C575+C577+C585+C588+C591+C596+C610+C616+C623+C628+C654+C657+C660+C668+C673+C698+C707+C709+C712+C715+C719+C722+C731+C734+C739+C677+C594</f>
        <v>889620559.30000007</v>
      </c>
      <c r="D437" s="1129">
        <f t="shared" ref="D437:Y437" si="195">D438+D514+D535+D543+D558+D564+D567+D575+D577+D585+D588+D591+D596+D610+D616+D623+D628+D654+D657+D660+D668+D673+D698+D707+D709+D712+D715+D719+D722+D731+D734+D739+D677+D594</f>
        <v>144591824.14999998</v>
      </c>
      <c r="E437" s="1129">
        <f t="shared" si="195"/>
        <v>24777261.059999999</v>
      </c>
      <c r="F437" s="1129">
        <f t="shared" si="195"/>
        <v>44591084.560000002</v>
      </c>
      <c r="G437" s="1129">
        <f t="shared" si="195"/>
        <v>1890477.19</v>
      </c>
      <c r="H437" s="1129">
        <f t="shared" si="195"/>
        <v>38755855.379999995</v>
      </c>
      <c r="I437" s="1129">
        <f t="shared" si="195"/>
        <v>18449095.299999997</v>
      </c>
      <c r="J437" s="1129">
        <f t="shared" si="195"/>
        <v>16128050.66</v>
      </c>
      <c r="K437" s="1129">
        <f t="shared" si="195"/>
        <v>7</v>
      </c>
      <c r="L437" s="1129">
        <f t="shared" si="195"/>
        <v>2008394.51</v>
      </c>
      <c r="M437" s="1129">
        <f t="shared" si="195"/>
        <v>42</v>
      </c>
      <c r="N437" s="1129">
        <f t="shared" si="195"/>
        <v>102900901.07000001</v>
      </c>
      <c r="O437" s="1129">
        <f t="shared" si="195"/>
        <v>101576.41</v>
      </c>
      <c r="P437" s="1129">
        <f t="shared" si="195"/>
        <v>309840928.19000006</v>
      </c>
      <c r="Q437" s="1129">
        <f t="shared" si="195"/>
        <v>1069</v>
      </c>
      <c r="R437" s="1129">
        <f t="shared" si="195"/>
        <v>1450000</v>
      </c>
      <c r="S437" s="1129">
        <f t="shared" si="195"/>
        <v>79320.400000000009</v>
      </c>
      <c r="T437" s="1129">
        <f t="shared" si="195"/>
        <v>264239207.10000002</v>
      </c>
      <c r="U437" s="1129">
        <f t="shared" si="195"/>
        <v>400.1</v>
      </c>
      <c r="V437" s="1129">
        <f t="shared" si="195"/>
        <v>1295974</v>
      </c>
      <c r="W437" s="1129">
        <f t="shared" si="195"/>
        <v>0</v>
      </c>
      <c r="X437" s="1129">
        <f t="shared" si="195"/>
        <v>63256103.08715453</v>
      </c>
      <c r="Y437" s="1129">
        <f t="shared" si="195"/>
        <v>129465</v>
      </c>
    </row>
    <row r="438" spans="1:25" s="1165" customFormat="1" ht="98.45" customHeight="1">
      <c r="A438" s="1280"/>
      <c r="B438" s="1128" t="s">
        <v>1083</v>
      </c>
      <c r="C438" s="1129">
        <f>SUM(C439:C513)</f>
        <v>417755998.95999998</v>
      </c>
      <c r="D438" s="1129">
        <f t="shared" ref="D438:Y438" si="196">SUM(D439:D513)</f>
        <v>81577646.799999997</v>
      </c>
      <c r="E438" s="1129">
        <f t="shared" si="196"/>
        <v>21112834</v>
      </c>
      <c r="F438" s="1129">
        <f t="shared" si="196"/>
        <v>25801217</v>
      </c>
      <c r="G438" s="1129">
        <f t="shared" si="196"/>
        <v>451250</v>
      </c>
      <c r="H438" s="1129">
        <f t="shared" si="196"/>
        <v>15331125</v>
      </c>
      <c r="I438" s="1129">
        <f t="shared" si="196"/>
        <v>8992738</v>
      </c>
      <c r="J438" s="1129">
        <f t="shared" si="196"/>
        <v>9888482.8000000007</v>
      </c>
      <c r="K438" s="1129">
        <f t="shared" si="196"/>
        <v>2</v>
      </c>
      <c r="L438" s="1129">
        <f t="shared" si="196"/>
        <v>702175</v>
      </c>
      <c r="M438" s="1129">
        <f t="shared" si="196"/>
        <v>31</v>
      </c>
      <c r="N438" s="1129">
        <f t="shared" si="196"/>
        <v>78096880.070000008</v>
      </c>
      <c r="O438" s="1129">
        <f t="shared" si="196"/>
        <v>15890.52</v>
      </c>
      <c r="P438" s="1129">
        <f t="shared" si="196"/>
        <v>39520718.329999998</v>
      </c>
      <c r="Q438" s="1129">
        <f t="shared" si="196"/>
        <v>1069</v>
      </c>
      <c r="R438" s="1129">
        <f t="shared" si="196"/>
        <v>1450000</v>
      </c>
      <c r="S438" s="1129">
        <f t="shared" si="196"/>
        <v>50727.94000000001</v>
      </c>
      <c r="T438" s="1129">
        <f t="shared" si="196"/>
        <v>186883029</v>
      </c>
      <c r="U438" s="1129">
        <f t="shared" si="196"/>
        <v>0</v>
      </c>
      <c r="V438" s="1129">
        <f t="shared" si="196"/>
        <v>0</v>
      </c>
      <c r="W438" s="1129">
        <f t="shared" si="196"/>
        <v>0</v>
      </c>
      <c r="X438" s="1129">
        <f t="shared" si="196"/>
        <v>29525549.760000005</v>
      </c>
      <c r="Y438" s="1129">
        <f t="shared" si="196"/>
        <v>0</v>
      </c>
    </row>
    <row r="439" spans="1:25" s="1165" customFormat="1" ht="88.15" customHeight="1">
      <c r="A439" s="1280">
        <v>1</v>
      </c>
      <c r="B439" s="1128" t="s">
        <v>1540</v>
      </c>
      <c r="C439" s="1145">
        <f>D439+N439+P439+R439+T439+V439+X439+L439</f>
        <v>1911448</v>
      </c>
      <c r="D439" s="1145">
        <f t="shared" ref="D439" si="197">SUM(E439:J439)</f>
        <v>0</v>
      </c>
      <c r="E439" s="1167">
        <v>0</v>
      </c>
      <c r="F439" s="1167">
        <v>0</v>
      </c>
      <c r="G439" s="1167">
        <v>0</v>
      </c>
      <c r="H439" s="1167">
        <v>0</v>
      </c>
      <c r="I439" s="1167">
        <v>0</v>
      </c>
      <c r="J439" s="1167">
        <v>0</v>
      </c>
      <c r="K439" s="1168">
        <v>0</v>
      </c>
      <c r="L439" s="1167">
        <v>0</v>
      </c>
      <c r="M439" s="1168">
        <v>0</v>
      </c>
      <c r="N439" s="1167">
        <v>0</v>
      </c>
      <c r="O439" s="1167">
        <v>0</v>
      </c>
      <c r="P439" s="1167">
        <v>0</v>
      </c>
      <c r="Q439" s="1167">
        <v>0</v>
      </c>
      <c r="R439" s="1167">
        <v>0</v>
      </c>
      <c r="S439" s="1167">
        <v>369.8</v>
      </c>
      <c r="T439" s="1167">
        <v>1772610</v>
      </c>
      <c r="U439" s="1167">
        <v>0</v>
      </c>
      <c r="V439" s="1167">
        <v>0</v>
      </c>
      <c r="W439" s="1167">
        <v>0</v>
      </c>
      <c r="X439" s="1145">
        <v>138838</v>
      </c>
      <c r="Y439" s="1145">
        <v>0</v>
      </c>
    </row>
    <row r="440" spans="1:25" s="1165" customFormat="1" ht="88.9" customHeight="1">
      <c r="A440" s="1280">
        <v>2</v>
      </c>
      <c r="B440" s="1128" t="s">
        <v>1961</v>
      </c>
      <c r="C440" s="1145">
        <f t="shared" ref="C440:C492" si="198">D440+N440+P440+R440+T440+V440+X440+L440</f>
        <v>3800009</v>
      </c>
      <c r="D440" s="1145">
        <f t="shared" ref="D440:D492" si="199">SUM(E440:J440)</f>
        <v>3523996</v>
      </c>
      <c r="E440" s="1167">
        <v>0</v>
      </c>
      <c r="F440" s="1167">
        <v>0</v>
      </c>
      <c r="G440" s="1167">
        <v>0</v>
      </c>
      <c r="H440" s="1167">
        <v>2158868</v>
      </c>
      <c r="I440" s="1167">
        <v>0</v>
      </c>
      <c r="J440" s="1167">
        <v>1365128</v>
      </c>
      <c r="K440" s="1168">
        <v>0</v>
      </c>
      <c r="L440" s="1167">
        <v>0</v>
      </c>
      <c r="M440" s="1168">
        <v>0</v>
      </c>
      <c r="N440" s="1167">
        <v>0</v>
      </c>
      <c r="O440" s="1167">
        <v>0</v>
      </c>
      <c r="P440" s="1167">
        <v>0</v>
      </c>
      <c r="Q440" s="1167">
        <v>0</v>
      </c>
      <c r="R440" s="1167">
        <v>0</v>
      </c>
      <c r="S440" s="1167">
        <v>0</v>
      </c>
      <c r="T440" s="1167">
        <v>0</v>
      </c>
      <c r="U440" s="1167">
        <v>0</v>
      </c>
      <c r="V440" s="1167">
        <v>0</v>
      </c>
      <c r="W440" s="1167">
        <v>0</v>
      </c>
      <c r="X440" s="1145">
        <v>276013</v>
      </c>
      <c r="Y440" s="1145">
        <v>0</v>
      </c>
    </row>
    <row r="441" spans="1:25" s="1165" customFormat="1" ht="71.45" customHeight="1">
      <c r="A441" s="1280">
        <v>3</v>
      </c>
      <c r="B441" s="1128" t="s">
        <v>292</v>
      </c>
      <c r="C441" s="1145">
        <f t="shared" si="198"/>
        <v>5793390</v>
      </c>
      <c r="D441" s="1145">
        <f t="shared" si="199"/>
        <v>3129570</v>
      </c>
      <c r="E441" s="1167">
        <v>0</v>
      </c>
      <c r="F441" s="1167">
        <v>1939050</v>
      </c>
      <c r="G441" s="1167">
        <v>0</v>
      </c>
      <c r="H441" s="1167">
        <v>0</v>
      </c>
      <c r="I441" s="1167">
        <v>1190520</v>
      </c>
      <c r="J441" s="1167">
        <v>0</v>
      </c>
      <c r="K441" s="1168">
        <v>0</v>
      </c>
      <c r="L441" s="1167">
        <v>0</v>
      </c>
      <c r="M441" s="1168">
        <v>0</v>
      </c>
      <c r="N441" s="1167">
        <v>0</v>
      </c>
      <c r="O441" s="1167">
        <v>0</v>
      </c>
      <c r="P441" s="1167">
        <v>0</v>
      </c>
      <c r="Q441" s="1167">
        <v>0</v>
      </c>
      <c r="R441" s="1167">
        <v>0</v>
      </c>
      <c r="S441" s="1167">
        <v>908.95</v>
      </c>
      <c r="T441" s="1167">
        <v>2243018</v>
      </c>
      <c r="U441" s="1167">
        <v>0</v>
      </c>
      <c r="V441" s="1167">
        <v>0</v>
      </c>
      <c r="W441" s="1129">
        <v>0</v>
      </c>
      <c r="X441" s="1145">
        <v>420802</v>
      </c>
      <c r="Y441" s="1145">
        <v>0</v>
      </c>
    </row>
    <row r="442" spans="1:25" s="1137" customFormat="1" ht="67.150000000000006" customHeight="1">
      <c r="A442" s="1280">
        <v>4</v>
      </c>
      <c r="B442" s="1128" t="s">
        <v>1542</v>
      </c>
      <c r="C442" s="1145">
        <f t="shared" si="198"/>
        <v>4332444</v>
      </c>
      <c r="D442" s="1145">
        <f t="shared" si="199"/>
        <v>0</v>
      </c>
      <c r="E442" s="1167">
        <v>0</v>
      </c>
      <c r="F442" s="1167">
        <v>0</v>
      </c>
      <c r="G442" s="1167">
        <v>0</v>
      </c>
      <c r="H442" s="1167">
        <v>0</v>
      </c>
      <c r="I442" s="1167">
        <v>0</v>
      </c>
      <c r="J442" s="1167">
        <v>0</v>
      </c>
      <c r="K442" s="1168">
        <v>0</v>
      </c>
      <c r="L442" s="1167">
        <v>0</v>
      </c>
      <c r="M442" s="1168">
        <v>0</v>
      </c>
      <c r="N442" s="1167">
        <v>0</v>
      </c>
      <c r="O442" s="1167">
        <v>0</v>
      </c>
      <c r="P442" s="1167">
        <v>0</v>
      </c>
      <c r="Q442" s="1167">
        <v>0</v>
      </c>
      <c r="R442" s="1167">
        <v>0</v>
      </c>
      <c r="S442" s="1167">
        <v>838.18</v>
      </c>
      <c r="T442" s="1167">
        <v>4017758</v>
      </c>
      <c r="U442" s="1167">
        <v>0</v>
      </c>
      <c r="V442" s="1167">
        <v>0</v>
      </c>
      <c r="W442" s="1167">
        <v>0</v>
      </c>
      <c r="X442" s="1145">
        <v>314686</v>
      </c>
      <c r="Y442" s="1145">
        <v>0</v>
      </c>
    </row>
    <row r="443" spans="1:25" s="1137" customFormat="1" ht="65.45" customHeight="1">
      <c r="A443" s="1280">
        <v>5</v>
      </c>
      <c r="B443" s="1128" t="s">
        <v>1543</v>
      </c>
      <c r="C443" s="1145">
        <f t="shared" si="198"/>
        <v>3062894</v>
      </c>
      <c r="D443" s="1145">
        <f t="shared" si="199"/>
        <v>2840422</v>
      </c>
      <c r="E443" s="1167">
        <v>0</v>
      </c>
      <c r="F443" s="1167">
        <v>0</v>
      </c>
      <c r="G443" s="1167">
        <v>0</v>
      </c>
      <c r="H443" s="1167">
        <v>1079050</v>
      </c>
      <c r="I443" s="1167">
        <v>1079050</v>
      </c>
      <c r="J443" s="1167">
        <v>682322</v>
      </c>
      <c r="K443" s="1168">
        <v>0</v>
      </c>
      <c r="L443" s="1167">
        <v>0</v>
      </c>
      <c r="M443" s="1168">
        <v>0</v>
      </c>
      <c r="N443" s="1167">
        <v>0</v>
      </c>
      <c r="O443" s="1167">
        <v>0</v>
      </c>
      <c r="P443" s="1167">
        <v>0</v>
      </c>
      <c r="Q443" s="1167">
        <v>0</v>
      </c>
      <c r="R443" s="1167">
        <v>0</v>
      </c>
      <c r="S443" s="1167">
        <v>0</v>
      </c>
      <c r="T443" s="1167">
        <v>0</v>
      </c>
      <c r="U443" s="1167">
        <v>0</v>
      </c>
      <c r="V443" s="1167">
        <v>0</v>
      </c>
      <c r="W443" s="1167">
        <v>0</v>
      </c>
      <c r="X443" s="1145">
        <v>222472</v>
      </c>
      <c r="Y443" s="1145">
        <v>0</v>
      </c>
    </row>
    <row r="444" spans="1:25" s="1137" customFormat="1" ht="86.45" customHeight="1">
      <c r="A444" s="1280">
        <v>6</v>
      </c>
      <c r="B444" s="1128" t="s">
        <v>1544</v>
      </c>
      <c r="C444" s="1145">
        <f t="shared" si="198"/>
        <v>8729014</v>
      </c>
      <c r="D444" s="1145">
        <f t="shared" si="199"/>
        <v>7882216</v>
      </c>
      <c r="E444" s="1167">
        <v>0</v>
      </c>
      <c r="F444" s="1167">
        <v>0</v>
      </c>
      <c r="G444" s="1167">
        <v>0</v>
      </c>
      <c r="H444" s="1167">
        <v>3941108</v>
      </c>
      <c r="I444" s="1167">
        <v>3941108</v>
      </c>
      <c r="J444" s="1167">
        <v>0</v>
      </c>
      <c r="K444" s="1168">
        <v>1</v>
      </c>
      <c r="L444" s="1167">
        <v>212768</v>
      </c>
      <c r="M444" s="1168">
        <v>0</v>
      </c>
      <c r="N444" s="1167">
        <v>0</v>
      </c>
      <c r="O444" s="1167">
        <v>0</v>
      </c>
      <c r="P444" s="1167">
        <v>0</v>
      </c>
      <c r="Q444" s="1167">
        <v>0</v>
      </c>
      <c r="R444" s="1167">
        <v>0</v>
      </c>
      <c r="S444" s="1167">
        <v>0</v>
      </c>
      <c r="T444" s="1167">
        <v>0</v>
      </c>
      <c r="U444" s="1167">
        <v>0</v>
      </c>
      <c r="V444" s="1167">
        <v>0</v>
      </c>
      <c r="W444" s="1129">
        <v>0</v>
      </c>
      <c r="X444" s="1145">
        <v>634030</v>
      </c>
      <c r="Y444" s="1145">
        <v>0</v>
      </c>
    </row>
    <row r="445" spans="1:25" s="1137" customFormat="1" ht="60.6" customHeight="1">
      <c r="A445" s="1280">
        <v>7</v>
      </c>
      <c r="B445" s="1128" t="s">
        <v>1545</v>
      </c>
      <c r="C445" s="1145">
        <f t="shared" si="198"/>
        <v>3370042</v>
      </c>
      <c r="D445" s="1145">
        <f t="shared" si="199"/>
        <v>0</v>
      </c>
      <c r="E445" s="1167">
        <v>0</v>
      </c>
      <c r="F445" s="1167">
        <v>0</v>
      </c>
      <c r="G445" s="1167">
        <v>0</v>
      </c>
      <c r="H445" s="1167">
        <v>0</v>
      </c>
      <c r="I445" s="1167">
        <v>0</v>
      </c>
      <c r="J445" s="1167">
        <v>0</v>
      </c>
      <c r="K445" s="1168">
        <v>0</v>
      </c>
      <c r="L445" s="1167">
        <v>0</v>
      </c>
      <c r="M445" s="1168">
        <v>0</v>
      </c>
      <c r="N445" s="1167">
        <v>0</v>
      </c>
      <c r="O445" s="1167">
        <v>499.4</v>
      </c>
      <c r="P445" s="1167">
        <v>1567498</v>
      </c>
      <c r="Q445" s="1167">
        <v>0</v>
      </c>
      <c r="R445" s="1167">
        <v>0</v>
      </c>
      <c r="S445" s="1167">
        <v>631.26</v>
      </c>
      <c r="T445" s="1167">
        <v>1557762</v>
      </c>
      <c r="U445" s="1167">
        <v>0</v>
      </c>
      <c r="V445" s="1167">
        <v>0</v>
      </c>
      <c r="W445" s="1167">
        <v>0</v>
      </c>
      <c r="X445" s="1145">
        <v>244782</v>
      </c>
      <c r="Y445" s="1145">
        <v>0</v>
      </c>
    </row>
    <row r="446" spans="1:25" s="1137" customFormat="1" ht="87.6" customHeight="1">
      <c r="A446" s="1280">
        <v>8</v>
      </c>
      <c r="B446" s="1128" t="s">
        <v>1856</v>
      </c>
      <c r="C446" s="1145">
        <f t="shared" si="198"/>
        <v>4939316</v>
      </c>
      <c r="D446" s="1145">
        <f t="shared" si="199"/>
        <v>4580550</v>
      </c>
      <c r="E446" s="1167">
        <v>0</v>
      </c>
      <c r="F446" s="1167">
        <v>0</v>
      </c>
      <c r="G446" s="1167">
        <v>0</v>
      </c>
      <c r="H446" s="1167">
        <v>1740109</v>
      </c>
      <c r="I446" s="1167">
        <v>1740109</v>
      </c>
      <c r="J446" s="1167">
        <v>1100332</v>
      </c>
      <c r="K446" s="1168">
        <v>0</v>
      </c>
      <c r="L446" s="1167">
        <v>0</v>
      </c>
      <c r="M446" s="1168">
        <v>0</v>
      </c>
      <c r="N446" s="1167">
        <v>0</v>
      </c>
      <c r="O446" s="1167">
        <v>0</v>
      </c>
      <c r="P446" s="1167">
        <v>0</v>
      </c>
      <c r="Q446" s="1167">
        <v>0</v>
      </c>
      <c r="R446" s="1167">
        <v>0</v>
      </c>
      <c r="S446" s="1167">
        <v>0</v>
      </c>
      <c r="T446" s="1167">
        <v>0</v>
      </c>
      <c r="U446" s="1167">
        <v>0</v>
      </c>
      <c r="V446" s="1167">
        <v>0</v>
      </c>
      <c r="W446" s="1167">
        <v>0</v>
      </c>
      <c r="X446" s="1145">
        <v>358766</v>
      </c>
      <c r="Y446" s="1145">
        <v>0</v>
      </c>
    </row>
    <row r="447" spans="1:25" s="1137" customFormat="1" ht="64.150000000000006" customHeight="1">
      <c r="A447" s="1280">
        <v>9</v>
      </c>
      <c r="B447" s="1128" t="s">
        <v>1547</v>
      </c>
      <c r="C447" s="1145">
        <f t="shared" si="198"/>
        <v>2207770</v>
      </c>
      <c r="D447" s="1145">
        <f t="shared" si="199"/>
        <v>2047409</v>
      </c>
      <c r="E447" s="1167">
        <v>2047409</v>
      </c>
      <c r="F447" s="1167">
        <v>0</v>
      </c>
      <c r="G447" s="1167">
        <v>0</v>
      </c>
      <c r="H447" s="1167">
        <v>0</v>
      </c>
      <c r="I447" s="1167">
        <v>0</v>
      </c>
      <c r="J447" s="1167">
        <v>0</v>
      </c>
      <c r="K447" s="1168">
        <v>0</v>
      </c>
      <c r="L447" s="1167">
        <v>0</v>
      </c>
      <c r="M447" s="1168">
        <v>0</v>
      </c>
      <c r="N447" s="1167">
        <v>0</v>
      </c>
      <c r="O447" s="1167">
        <v>0</v>
      </c>
      <c r="P447" s="1167">
        <v>0</v>
      </c>
      <c r="Q447" s="1167">
        <v>0</v>
      </c>
      <c r="R447" s="1167">
        <v>0</v>
      </c>
      <c r="S447" s="1167">
        <v>0</v>
      </c>
      <c r="T447" s="1167">
        <v>0</v>
      </c>
      <c r="U447" s="1167">
        <v>0</v>
      </c>
      <c r="V447" s="1167">
        <v>0</v>
      </c>
      <c r="W447" s="1129">
        <v>0</v>
      </c>
      <c r="X447" s="1145">
        <v>160361</v>
      </c>
      <c r="Y447" s="1145">
        <v>0</v>
      </c>
    </row>
    <row r="448" spans="1:25" s="1137" customFormat="1" ht="86.45" customHeight="1">
      <c r="A448" s="1280">
        <v>10</v>
      </c>
      <c r="B448" s="1128" t="s">
        <v>3012</v>
      </c>
      <c r="C448" s="1145">
        <f t="shared" si="198"/>
        <v>975050</v>
      </c>
      <c r="D448" s="1145">
        <f t="shared" si="199"/>
        <v>904228</v>
      </c>
      <c r="E448" s="1167">
        <v>0</v>
      </c>
      <c r="F448" s="1167">
        <v>651351</v>
      </c>
      <c r="G448" s="1167">
        <v>0</v>
      </c>
      <c r="H448" s="1167">
        <v>0</v>
      </c>
      <c r="I448" s="1167">
        <v>0</v>
      </c>
      <c r="J448" s="1167">
        <v>252877</v>
      </c>
      <c r="K448" s="1168">
        <v>0</v>
      </c>
      <c r="L448" s="1167">
        <v>0</v>
      </c>
      <c r="M448" s="1168">
        <v>0</v>
      </c>
      <c r="N448" s="1167">
        <v>0</v>
      </c>
      <c r="O448" s="1167">
        <v>0</v>
      </c>
      <c r="P448" s="1167">
        <v>0</v>
      </c>
      <c r="Q448" s="1167">
        <v>0</v>
      </c>
      <c r="R448" s="1167">
        <v>0</v>
      </c>
      <c r="S448" s="1167">
        <v>0</v>
      </c>
      <c r="T448" s="1167">
        <v>0</v>
      </c>
      <c r="U448" s="1167">
        <v>0</v>
      </c>
      <c r="V448" s="1167">
        <v>0</v>
      </c>
      <c r="W448" s="1167">
        <v>0</v>
      </c>
      <c r="X448" s="1145">
        <v>70822</v>
      </c>
      <c r="Y448" s="1145">
        <v>0</v>
      </c>
    </row>
    <row r="449" spans="1:25" s="1137" customFormat="1" ht="66.599999999999994" customHeight="1">
      <c r="A449" s="1280">
        <v>11</v>
      </c>
      <c r="B449" s="1128" t="s">
        <v>1549</v>
      </c>
      <c r="C449" s="1145">
        <f t="shared" si="198"/>
        <v>1727509</v>
      </c>
      <c r="D449" s="1145">
        <f t="shared" si="199"/>
        <v>0</v>
      </c>
      <c r="E449" s="1167">
        <v>0</v>
      </c>
      <c r="F449" s="1167">
        <v>0</v>
      </c>
      <c r="G449" s="1167">
        <v>0</v>
      </c>
      <c r="H449" s="1167">
        <v>0</v>
      </c>
      <c r="I449" s="1167">
        <v>0</v>
      </c>
      <c r="J449" s="1167">
        <v>0</v>
      </c>
      <c r="K449" s="1168">
        <v>0</v>
      </c>
      <c r="L449" s="1167">
        <v>0</v>
      </c>
      <c r="M449" s="1168">
        <v>0</v>
      </c>
      <c r="N449" s="1167">
        <v>0</v>
      </c>
      <c r="O449" s="1167">
        <v>0</v>
      </c>
      <c r="P449" s="1167">
        <v>0</v>
      </c>
      <c r="Q449" s="1167">
        <v>0</v>
      </c>
      <c r="R449" s="1167">
        <v>0</v>
      </c>
      <c r="S449" s="1167">
        <v>649.20000000000005</v>
      </c>
      <c r="T449" s="1167">
        <v>1602032</v>
      </c>
      <c r="U449" s="1167">
        <v>0</v>
      </c>
      <c r="V449" s="1167">
        <v>0</v>
      </c>
      <c r="W449" s="1167">
        <v>0</v>
      </c>
      <c r="X449" s="1145">
        <v>125477</v>
      </c>
      <c r="Y449" s="1145">
        <v>0</v>
      </c>
    </row>
    <row r="450" spans="1:25" s="1137" customFormat="1" ht="90" customHeight="1">
      <c r="A450" s="1280">
        <v>12</v>
      </c>
      <c r="B450" s="1128" t="s">
        <v>3013</v>
      </c>
      <c r="C450" s="1145">
        <f t="shared" si="198"/>
        <v>2302244</v>
      </c>
      <c r="D450" s="1145">
        <f t="shared" si="199"/>
        <v>0</v>
      </c>
      <c r="E450" s="1167">
        <v>0</v>
      </c>
      <c r="F450" s="1167">
        <v>0</v>
      </c>
      <c r="G450" s="1167">
        <v>0</v>
      </c>
      <c r="H450" s="1167">
        <v>0</v>
      </c>
      <c r="I450" s="1167">
        <v>0</v>
      </c>
      <c r="J450" s="1167">
        <v>0</v>
      </c>
      <c r="K450" s="1168">
        <v>0</v>
      </c>
      <c r="L450" s="1167">
        <v>0</v>
      </c>
      <c r="M450" s="1168">
        <v>0</v>
      </c>
      <c r="N450" s="1167">
        <v>0</v>
      </c>
      <c r="O450" s="1167">
        <v>847.3</v>
      </c>
      <c r="P450" s="1167">
        <v>2135021</v>
      </c>
      <c r="Q450" s="1167">
        <v>0</v>
      </c>
      <c r="R450" s="1167">
        <v>0</v>
      </c>
      <c r="S450" s="1167">
        <v>0</v>
      </c>
      <c r="T450" s="1167">
        <v>0</v>
      </c>
      <c r="U450" s="1167">
        <v>0</v>
      </c>
      <c r="V450" s="1167">
        <v>0</v>
      </c>
      <c r="W450" s="1129">
        <v>0</v>
      </c>
      <c r="X450" s="1145">
        <v>167223</v>
      </c>
      <c r="Y450" s="1145">
        <v>0</v>
      </c>
    </row>
    <row r="451" spans="1:25" s="1137" customFormat="1" ht="58.15" customHeight="1">
      <c r="A451" s="1280">
        <v>13</v>
      </c>
      <c r="B451" s="1128" t="s">
        <v>1551</v>
      </c>
      <c r="C451" s="1145">
        <f t="shared" si="198"/>
        <v>3343122</v>
      </c>
      <c r="D451" s="1145">
        <f t="shared" si="199"/>
        <v>3100295</v>
      </c>
      <c r="E451" s="1167">
        <v>1433362</v>
      </c>
      <c r="F451" s="1167">
        <v>0</v>
      </c>
      <c r="G451" s="1167">
        <v>0</v>
      </c>
      <c r="H451" s="1167">
        <v>1666933</v>
      </c>
      <c r="I451" s="1167">
        <v>0</v>
      </c>
      <c r="J451" s="1167">
        <v>0</v>
      </c>
      <c r="K451" s="1168">
        <v>0</v>
      </c>
      <c r="L451" s="1167">
        <v>0</v>
      </c>
      <c r="M451" s="1168">
        <v>0</v>
      </c>
      <c r="N451" s="1167">
        <v>0</v>
      </c>
      <c r="O451" s="1167">
        <v>0</v>
      </c>
      <c r="P451" s="1167">
        <v>0</v>
      </c>
      <c r="Q451" s="1167">
        <v>0</v>
      </c>
      <c r="R451" s="1167">
        <v>0</v>
      </c>
      <c r="S451" s="1167">
        <v>0</v>
      </c>
      <c r="T451" s="1167">
        <v>0</v>
      </c>
      <c r="U451" s="1167">
        <v>0</v>
      </c>
      <c r="V451" s="1167">
        <v>0</v>
      </c>
      <c r="W451" s="1167">
        <v>0</v>
      </c>
      <c r="X451" s="1145">
        <v>242827</v>
      </c>
      <c r="Y451" s="1145">
        <v>0</v>
      </c>
    </row>
    <row r="452" spans="1:25" s="1137" customFormat="1" ht="59.45" customHeight="1">
      <c r="A452" s="1280">
        <v>14</v>
      </c>
      <c r="B452" s="1128" t="s">
        <v>1552</v>
      </c>
      <c r="C452" s="1145">
        <f t="shared" si="198"/>
        <v>11865039</v>
      </c>
      <c r="D452" s="1145">
        <f t="shared" si="199"/>
        <v>0</v>
      </c>
      <c r="E452" s="1167">
        <v>0</v>
      </c>
      <c r="F452" s="1167">
        <v>0</v>
      </c>
      <c r="G452" s="1167">
        <v>0</v>
      </c>
      <c r="H452" s="1167">
        <v>0</v>
      </c>
      <c r="I452" s="1167">
        <v>0</v>
      </c>
      <c r="J452" s="1167">
        <v>0</v>
      </c>
      <c r="K452" s="1168">
        <v>0</v>
      </c>
      <c r="L452" s="1167">
        <v>0</v>
      </c>
      <c r="M452" s="1168">
        <v>0</v>
      </c>
      <c r="N452" s="1167">
        <v>0</v>
      </c>
      <c r="O452" s="1167">
        <v>0</v>
      </c>
      <c r="P452" s="1167">
        <v>0</v>
      </c>
      <c r="Q452" s="1167">
        <v>0</v>
      </c>
      <c r="R452" s="1167">
        <v>0</v>
      </c>
      <c r="S452" s="1167">
        <v>2295.48</v>
      </c>
      <c r="T452" s="1167">
        <v>11003224</v>
      </c>
      <c r="U452" s="1167">
        <v>0</v>
      </c>
      <c r="V452" s="1167">
        <v>0</v>
      </c>
      <c r="W452" s="1167">
        <v>0</v>
      </c>
      <c r="X452" s="1145">
        <v>861815</v>
      </c>
      <c r="Y452" s="1145">
        <v>0</v>
      </c>
    </row>
    <row r="453" spans="1:25" s="1137" customFormat="1" ht="61.9" customHeight="1">
      <c r="A453" s="1280">
        <v>15</v>
      </c>
      <c r="B453" s="1128" t="s">
        <v>1553</v>
      </c>
      <c r="C453" s="1145">
        <f t="shared" si="198"/>
        <v>1905334</v>
      </c>
      <c r="D453" s="1145">
        <f t="shared" si="199"/>
        <v>1766940</v>
      </c>
      <c r="E453" s="1167">
        <v>0</v>
      </c>
      <c r="F453" s="1167">
        <v>0</v>
      </c>
      <c r="G453" s="1167">
        <v>0</v>
      </c>
      <c r="H453" s="1167">
        <v>1082461</v>
      </c>
      <c r="I453" s="1167">
        <v>0</v>
      </c>
      <c r="J453" s="1167">
        <v>684479</v>
      </c>
      <c r="K453" s="1168">
        <v>0</v>
      </c>
      <c r="L453" s="1167">
        <v>0</v>
      </c>
      <c r="M453" s="1168">
        <v>0</v>
      </c>
      <c r="N453" s="1167">
        <v>0</v>
      </c>
      <c r="O453" s="1167">
        <v>0</v>
      </c>
      <c r="P453" s="1167">
        <v>0</v>
      </c>
      <c r="Q453" s="1167">
        <v>0</v>
      </c>
      <c r="R453" s="1167">
        <v>0</v>
      </c>
      <c r="S453" s="1167">
        <v>0</v>
      </c>
      <c r="T453" s="1167">
        <v>0</v>
      </c>
      <c r="U453" s="1167">
        <v>0</v>
      </c>
      <c r="V453" s="1167">
        <v>0</v>
      </c>
      <c r="W453" s="1129">
        <v>0</v>
      </c>
      <c r="X453" s="1145">
        <v>138394</v>
      </c>
      <c r="Y453" s="1145">
        <v>0</v>
      </c>
    </row>
    <row r="454" spans="1:25" s="1137" customFormat="1" ht="92.45" customHeight="1">
      <c r="A454" s="1280">
        <v>16</v>
      </c>
      <c r="B454" s="1128" t="s">
        <v>3014</v>
      </c>
      <c r="C454" s="1145">
        <f t="shared" si="198"/>
        <v>1410585</v>
      </c>
      <c r="D454" s="1145">
        <f t="shared" si="199"/>
        <v>0</v>
      </c>
      <c r="E454" s="1167">
        <v>0</v>
      </c>
      <c r="F454" s="1167">
        <v>0</v>
      </c>
      <c r="G454" s="1167">
        <v>0</v>
      </c>
      <c r="H454" s="1167">
        <v>0</v>
      </c>
      <c r="I454" s="1167">
        <v>0</v>
      </c>
      <c r="J454" s="1167">
        <v>0</v>
      </c>
      <c r="K454" s="1168">
        <v>0</v>
      </c>
      <c r="L454" s="1167">
        <v>0</v>
      </c>
      <c r="M454" s="1168">
        <v>0</v>
      </c>
      <c r="N454" s="1167">
        <v>0</v>
      </c>
      <c r="O454" s="1167">
        <v>0</v>
      </c>
      <c r="P454" s="1167">
        <v>0</v>
      </c>
      <c r="Q454" s="1167">
        <v>0</v>
      </c>
      <c r="R454" s="1167">
        <v>0</v>
      </c>
      <c r="S454" s="1167">
        <v>272.89999999999998</v>
      </c>
      <c r="T454" s="1167">
        <v>1308127</v>
      </c>
      <c r="U454" s="1167">
        <v>0</v>
      </c>
      <c r="V454" s="1167">
        <v>0</v>
      </c>
      <c r="W454" s="1167">
        <v>0</v>
      </c>
      <c r="X454" s="1145">
        <v>102458</v>
      </c>
      <c r="Y454" s="1145">
        <v>0</v>
      </c>
    </row>
    <row r="455" spans="1:25" s="1137" customFormat="1" ht="57" customHeight="1">
      <c r="A455" s="1280">
        <v>17</v>
      </c>
      <c r="B455" s="1128" t="s">
        <v>1555</v>
      </c>
      <c r="C455" s="1145">
        <f t="shared" si="198"/>
        <v>18458139</v>
      </c>
      <c r="D455" s="1145">
        <f t="shared" si="199"/>
        <v>0</v>
      </c>
      <c r="E455" s="1167">
        <v>0</v>
      </c>
      <c r="F455" s="1167">
        <v>0</v>
      </c>
      <c r="G455" s="1167">
        <v>0</v>
      </c>
      <c r="H455" s="1167">
        <v>0</v>
      </c>
      <c r="I455" s="1167">
        <v>0</v>
      </c>
      <c r="J455" s="1167">
        <v>0</v>
      </c>
      <c r="K455" s="1168">
        <v>0</v>
      </c>
      <c r="L455" s="1167">
        <v>0</v>
      </c>
      <c r="M455" s="1168">
        <v>0</v>
      </c>
      <c r="N455" s="1167">
        <v>0</v>
      </c>
      <c r="O455" s="1167">
        <v>0</v>
      </c>
      <c r="P455" s="1167">
        <v>0</v>
      </c>
      <c r="Q455" s="1167">
        <v>0</v>
      </c>
      <c r="R455" s="1167">
        <v>0</v>
      </c>
      <c r="S455" s="1167">
        <v>3571.02</v>
      </c>
      <c r="T455" s="1167">
        <v>17117435</v>
      </c>
      <c r="U455" s="1167">
        <v>0</v>
      </c>
      <c r="V455" s="1167">
        <v>0</v>
      </c>
      <c r="W455" s="1167">
        <v>0</v>
      </c>
      <c r="X455" s="1145">
        <v>1340704</v>
      </c>
      <c r="Y455" s="1145">
        <v>0</v>
      </c>
    </row>
    <row r="456" spans="1:25" s="1152" customFormat="1" ht="53.45" customHeight="1">
      <c r="A456" s="1280">
        <v>18</v>
      </c>
      <c r="B456" s="1128" t="s">
        <v>1556</v>
      </c>
      <c r="C456" s="1145">
        <f t="shared" si="198"/>
        <v>4360359</v>
      </c>
      <c r="D456" s="1145">
        <f t="shared" si="199"/>
        <v>705644</v>
      </c>
      <c r="E456" s="1167">
        <v>705644</v>
      </c>
      <c r="F456" s="1167">
        <v>0</v>
      </c>
      <c r="G456" s="1167">
        <v>0</v>
      </c>
      <c r="H456" s="1167">
        <v>0</v>
      </c>
      <c r="I456" s="1167">
        <v>0</v>
      </c>
      <c r="J456" s="1167">
        <v>0</v>
      </c>
      <c r="K456" s="1168">
        <v>0</v>
      </c>
      <c r="L456" s="1167">
        <v>0</v>
      </c>
      <c r="M456" s="1168">
        <v>0</v>
      </c>
      <c r="N456" s="1167">
        <v>0</v>
      </c>
      <c r="O456" s="1167">
        <v>0</v>
      </c>
      <c r="P456" s="1167">
        <v>0</v>
      </c>
      <c r="Q456" s="1167">
        <v>0</v>
      </c>
      <c r="R456" s="1167">
        <v>0</v>
      </c>
      <c r="S456" s="1167">
        <v>696.37</v>
      </c>
      <c r="T456" s="1167">
        <v>3338001</v>
      </c>
      <c r="U456" s="1167">
        <v>0</v>
      </c>
      <c r="V456" s="1167">
        <v>0</v>
      </c>
      <c r="W456" s="1129">
        <v>0</v>
      </c>
      <c r="X456" s="1145">
        <v>316714</v>
      </c>
      <c r="Y456" s="1145">
        <v>0</v>
      </c>
    </row>
    <row r="457" spans="1:25" s="1152" customFormat="1" ht="60.6" customHeight="1">
      <c r="A457" s="1280">
        <v>19</v>
      </c>
      <c r="B457" s="1128" t="s">
        <v>1557</v>
      </c>
      <c r="C457" s="1145">
        <f t="shared" si="198"/>
        <v>5781783</v>
      </c>
      <c r="D457" s="1145">
        <f t="shared" si="199"/>
        <v>0</v>
      </c>
      <c r="E457" s="1167">
        <v>0</v>
      </c>
      <c r="F457" s="1167">
        <v>0</v>
      </c>
      <c r="G457" s="1167">
        <v>0</v>
      </c>
      <c r="H457" s="1167">
        <v>0</v>
      </c>
      <c r="I457" s="1167">
        <v>0</v>
      </c>
      <c r="J457" s="1167">
        <v>0</v>
      </c>
      <c r="K457" s="1168">
        <v>0</v>
      </c>
      <c r="L457" s="1167">
        <v>0</v>
      </c>
      <c r="M457" s="1168">
        <v>0</v>
      </c>
      <c r="N457" s="1167">
        <v>0</v>
      </c>
      <c r="O457" s="1167">
        <v>0</v>
      </c>
      <c r="P457" s="1167">
        <v>0</v>
      </c>
      <c r="Q457" s="1167">
        <v>0</v>
      </c>
      <c r="R457" s="1167">
        <v>0</v>
      </c>
      <c r="S457" s="1167">
        <v>2172.8000000000002</v>
      </c>
      <c r="T457" s="1167">
        <v>5361824</v>
      </c>
      <c r="U457" s="1167">
        <v>0</v>
      </c>
      <c r="V457" s="1167">
        <v>0</v>
      </c>
      <c r="W457" s="1167">
        <v>0</v>
      </c>
      <c r="X457" s="1145">
        <v>419959</v>
      </c>
      <c r="Y457" s="1145">
        <v>0</v>
      </c>
    </row>
    <row r="458" spans="1:25" s="1152" customFormat="1" ht="90" customHeight="1">
      <c r="A458" s="1280">
        <v>20</v>
      </c>
      <c r="B458" s="1139" t="s">
        <v>3015</v>
      </c>
      <c r="C458" s="1145">
        <f t="shared" si="198"/>
        <v>5396300</v>
      </c>
      <c r="D458" s="1145">
        <f t="shared" si="199"/>
        <v>0</v>
      </c>
      <c r="E458" s="1167">
        <v>0</v>
      </c>
      <c r="F458" s="1167">
        <v>0</v>
      </c>
      <c r="G458" s="1167">
        <v>0</v>
      </c>
      <c r="H458" s="1167">
        <v>0</v>
      </c>
      <c r="I458" s="1167">
        <v>0</v>
      </c>
      <c r="J458" s="1167">
        <v>0</v>
      </c>
      <c r="K458" s="1168">
        <v>0</v>
      </c>
      <c r="L458" s="1167">
        <v>0</v>
      </c>
      <c r="M458" s="1168">
        <v>0</v>
      </c>
      <c r="N458" s="1167">
        <v>0</v>
      </c>
      <c r="O458" s="1167">
        <v>0</v>
      </c>
      <c r="P458" s="1167">
        <v>0</v>
      </c>
      <c r="Q458" s="1167">
        <v>0</v>
      </c>
      <c r="R458" s="1167">
        <v>0</v>
      </c>
      <c r="S458" s="1167">
        <v>1044</v>
      </c>
      <c r="T458" s="1167">
        <v>5004341</v>
      </c>
      <c r="U458" s="1167">
        <v>0</v>
      </c>
      <c r="V458" s="1167">
        <v>0</v>
      </c>
      <c r="W458" s="1167">
        <v>0</v>
      </c>
      <c r="X458" s="1145">
        <v>391959</v>
      </c>
      <c r="Y458" s="1145">
        <v>0</v>
      </c>
    </row>
    <row r="459" spans="1:25" s="1152" customFormat="1" ht="57" customHeight="1">
      <c r="A459" s="1280">
        <v>21</v>
      </c>
      <c r="B459" s="1128" t="s">
        <v>1558</v>
      </c>
      <c r="C459" s="1145">
        <f t="shared" si="198"/>
        <v>9804606</v>
      </c>
      <c r="D459" s="1145">
        <f t="shared" si="199"/>
        <v>0</v>
      </c>
      <c r="E459" s="1167">
        <v>0</v>
      </c>
      <c r="F459" s="1167">
        <v>0</v>
      </c>
      <c r="G459" s="1167">
        <v>0</v>
      </c>
      <c r="H459" s="1167">
        <v>0</v>
      </c>
      <c r="I459" s="1167">
        <v>0</v>
      </c>
      <c r="J459" s="1167">
        <v>0</v>
      </c>
      <c r="K459" s="1168">
        <v>0</v>
      </c>
      <c r="L459" s="1167">
        <v>0</v>
      </c>
      <c r="M459" s="1168">
        <v>0</v>
      </c>
      <c r="N459" s="1167">
        <v>0</v>
      </c>
      <c r="O459" s="1167">
        <v>1410.8</v>
      </c>
      <c r="P459" s="1167">
        <v>3554926</v>
      </c>
      <c r="Q459" s="1167">
        <v>0</v>
      </c>
      <c r="R459" s="1167">
        <v>0</v>
      </c>
      <c r="S459" s="1167">
        <v>2244</v>
      </c>
      <c r="T459" s="1167">
        <v>5537524</v>
      </c>
      <c r="U459" s="1167">
        <v>0</v>
      </c>
      <c r="V459" s="1167">
        <v>0</v>
      </c>
      <c r="W459" s="1167">
        <v>0</v>
      </c>
      <c r="X459" s="1145">
        <v>712156</v>
      </c>
      <c r="Y459" s="1145">
        <v>0</v>
      </c>
    </row>
    <row r="460" spans="1:25" s="1152" customFormat="1" ht="60.6" customHeight="1">
      <c r="A460" s="1280">
        <v>22</v>
      </c>
      <c r="B460" s="1128" t="s">
        <v>1559</v>
      </c>
      <c r="C460" s="1145">
        <f t="shared" si="198"/>
        <v>3487152</v>
      </c>
      <c r="D460" s="1145">
        <f t="shared" si="199"/>
        <v>879792</v>
      </c>
      <c r="E460" s="1167">
        <v>506975</v>
      </c>
      <c r="F460" s="1167">
        <v>0</v>
      </c>
      <c r="G460" s="1167">
        <v>0</v>
      </c>
      <c r="H460" s="1167">
        <v>0</v>
      </c>
      <c r="I460" s="1167">
        <v>0</v>
      </c>
      <c r="J460" s="1167">
        <v>372817</v>
      </c>
      <c r="K460" s="1168">
        <v>0</v>
      </c>
      <c r="L460" s="1167">
        <v>0</v>
      </c>
      <c r="M460" s="1168">
        <v>0</v>
      </c>
      <c r="N460" s="1167">
        <v>0</v>
      </c>
      <c r="O460" s="1167">
        <v>750</v>
      </c>
      <c r="P460" s="1167">
        <v>2354072</v>
      </c>
      <c r="Q460" s="1167">
        <v>0</v>
      </c>
      <c r="R460" s="1167">
        <v>0</v>
      </c>
      <c r="S460" s="1167">
        <v>0</v>
      </c>
      <c r="T460" s="1167">
        <v>0</v>
      </c>
      <c r="U460" s="1167">
        <v>0</v>
      </c>
      <c r="V460" s="1167">
        <v>0</v>
      </c>
      <c r="W460" s="1167">
        <v>0</v>
      </c>
      <c r="X460" s="1145">
        <v>253288</v>
      </c>
      <c r="Y460" s="1145">
        <v>0</v>
      </c>
    </row>
    <row r="461" spans="1:25" s="1152" customFormat="1" ht="59.45" customHeight="1">
      <c r="A461" s="1280">
        <v>23</v>
      </c>
      <c r="B461" s="1128" t="s">
        <v>1560</v>
      </c>
      <c r="C461" s="1145">
        <f t="shared" si="198"/>
        <v>12448294</v>
      </c>
      <c r="D461" s="1145">
        <f t="shared" si="199"/>
        <v>0</v>
      </c>
      <c r="E461" s="1167">
        <v>0</v>
      </c>
      <c r="F461" s="1167">
        <v>0</v>
      </c>
      <c r="G461" s="1167">
        <v>0</v>
      </c>
      <c r="H461" s="1167">
        <v>0</v>
      </c>
      <c r="I461" s="1167">
        <v>0</v>
      </c>
      <c r="J461" s="1167">
        <v>0</v>
      </c>
      <c r="K461" s="1168">
        <v>0</v>
      </c>
      <c r="L461" s="1167">
        <v>0</v>
      </c>
      <c r="M461" s="1168">
        <v>0</v>
      </c>
      <c r="N461" s="1167">
        <v>0</v>
      </c>
      <c r="O461" s="1167">
        <v>0</v>
      </c>
      <c r="P461" s="1167">
        <v>0</v>
      </c>
      <c r="Q461" s="1167">
        <v>0</v>
      </c>
      <c r="R461" s="1167">
        <v>0</v>
      </c>
      <c r="S461" s="1167">
        <v>2408.3200000000002</v>
      </c>
      <c r="T461" s="1167">
        <v>11544114</v>
      </c>
      <c r="U461" s="1167">
        <v>0</v>
      </c>
      <c r="V461" s="1167">
        <v>0</v>
      </c>
      <c r="W461" s="1129">
        <v>0</v>
      </c>
      <c r="X461" s="1145">
        <v>904180</v>
      </c>
      <c r="Y461" s="1145">
        <v>0</v>
      </c>
    </row>
    <row r="462" spans="1:25" s="1137" customFormat="1" ht="91.15" customHeight="1">
      <c r="A462" s="1280">
        <v>24</v>
      </c>
      <c r="B462" s="1128" t="s">
        <v>2395</v>
      </c>
      <c r="C462" s="1145">
        <f t="shared" si="198"/>
        <v>2070699</v>
      </c>
      <c r="D462" s="1145">
        <f t="shared" si="199"/>
        <v>0</v>
      </c>
      <c r="E462" s="1167">
        <v>0</v>
      </c>
      <c r="F462" s="1167">
        <v>0</v>
      </c>
      <c r="G462" s="1167">
        <v>0</v>
      </c>
      <c r="H462" s="1167">
        <v>0</v>
      </c>
      <c r="I462" s="1167">
        <v>0</v>
      </c>
      <c r="J462" s="1167">
        <v>0</v>
      </c>
      <c r="K462" s="1168">
        <v>0</v>
      </c>
      <c r="L462" s="1167">
        <v>0</v>
      </c>
      <c r="M462" s="1168">
        <v>0</v>
      </c>
      <c r="N462" s="1167">
        <v>0</v>
      </c>
      <c r="O462" s="1167">
        <v>611.79999999999995</v>
      </c>
      <c r="P462" s="1167">
        <v>1920294</v>
      </c>
      <c r="Q462" s="1167">
        <v>0</v>
      </c>
      <c r="R462" s="1167">
        <v>0</v>
      </c>
      <c r="S462" s="1167">
        <v>0</v>
      </c>
      <c r="T462" s="1167">
        <v>0</v>
      </c>
      <c r="U462" s="1167">
        <v>0</v>
      </c>
      <c r="V462" s="1167">
        <v>0</v>
      </c>
      <c r="W462" s="1167">
        <v>0</v>
      </c>
      <c r="X462" s="1145">
        <v>150405</v>
      </c>
      <c r="Y462" s="1145">
        <v>0</v>
      </c>
    </row>
    <row r="463" spans="1:25" s="1137" customFormat="1" ht="55.9" customHeight="1">
      <c r="A463" s="1280">
        <v>25</v>
      </c>
      <c r="B463" s="1128" t="s">
        <v>1561</v>
      </c>
      <c r="C463" s="1145">
        <f t="shared" si="198"/>
        <v>2137862</v>
      </c>
      <c r="D463" s="1145">
        <f t="shared" si="199"/>
        <v>799488</v>
      </c>
      <c r="E463" s="1167">
        <v>460700</v>
      </c>
      <c r="F463" s="1167">
        <v>0</v>
      </c>
      <c r="G463" s="1167">
        <v>0</v>
      </c>
      <c r="H463" s="1167">
        <v>0</v>
      </c>
      <c r="I463" s="1167">
        <v>0</v>
      </c>
      <c r="J463" s="1167">
        <v>338788</v>
      </c>
      <c r="K463" s="1168">
        <v>0</v>
      </c>
      <c r="L463" s="1167">
        <v>0</v>
      </c>
      <c r="M463" s="1168">
        <v>0</v>
      </c>
      <c r="N463" s="1167">
        <v>0</v>
      </c>
      <c r="O463" s="1167">
        <v>0</v>
      </c>
      <c r="P463" s="1167">
        <v>0</v>
      </c>
      <c r="Q463" s="1167">
        <v>0</v>
      </c>
      <c r="R463" s="1167">
        <v>0</v>
      </c>
      <c r="S463" s="1167">
        <v>479.43</v>
      </c>
      <c r="T463" s="1167">
        <v>1183091</v>
      </c>
      <c r="U463" s="1167">
        <v>0</v>
      </c>
      <c r="V463" s="1167">
        <v>0</v>
      </c>
      <c r="W463" s="1167">
        <v>0</v>
      </c>
      <c r="X463" s="1145">
        <v>155283</v>
      </c>
      <c r="Y463" s="1145">
        <v>0</v>
      </c>
    </row>
    <row r="464" spans="1:25" s="1137" customFormat="1" ht="58.15" customHeight="1">
      <c r="A464" s="1280">
        <v>26</v>
      </c>
      <c r="B464" s="1128" t="s">
        <v>1562</v>
      </c>
      <c r="C464" s="1145">
        <f t="shared" si="198"/>
        <v>1709415</v>
      </c>
      <c r="D464" s="1145">
        <f t="shared" si="199"/>
        <v>0</v>
      </c>
      <c r="E464" s="1167">
        <v>0</v>
      </c>
      <c r="F464" s="1167">
        <v>0</v>
      </c>
      <c r="G464" s="1167">
        <v>0</v>
      </c>
      <c r="H464" s="1167">
        <v>0</v>
      </c>
      <c r="I464" s="1167">
        <v>0</v>
      </c>
      <c r="J464" s="1167">
        <v>0</v>
      </c>
      <c r="K464" s="1168">
        <v>0</v>
      </c>
      <c r="L464" s="1167">
        <v>0</v>
      </c>
      <c r="M464" s="1168">
        <v>0</v>
      </c>
      <c r="N464" s="1167">
        <v>0</v>
      </c>
      <c r="O464" s="1167">
        <v>0</v>
      </c>
      <c r="P464" s="1167">
        <v>0</v>
      </c>
      <c r="Q464" s="1167">
        <v>0</v>
      </c>
      <c r="R464" s="1167">
        <v>0</v>
      </c>
      <c r="S464" s="1167">
        <v>642.4</v>
      </c>
      <c r="T464" s="1167">
        <v>1585252</v>
      </c>
      <c r="U464" s="1167">
        <v>0</v>
      </c>
      <c r="V464" s="1167">
        <v>0</v>
      </c>
      <c r="W464" s="1129">
        <v>0</v>
      </c>
      <c r="X464" s="1145">
        <v>124163</v>
      </c>
      <c r="Y464" s="1145">
        <v>0</v>
      </c>
    </row>
    <row r="465" spans="1:25" s="1137" customFormat="1" ht="58.15" customHeight="1">
      <c r="A465" s="1280">
        <v>27</v>
      </c>
      <c r="B465" s="1128" t="s">
        <v>1563</v>
      </c>
      <c r="C465" s="1145">
        <f t="shared" si="198"/>
        <v>9767666</v>
      </c>
      <c r="D465" s="1145">
        <f t="shared" si="199"/>
        <v>0</v>
      </c>
      <c r="E465" s="1167">
        <v>0</v>
      </c>
      <c r="F465" s="1167">
        <v>0</v>
      </c>
      <c r="G465" s="1167">
        <v>0</v>
      </c>
      <c r="H465" s="1167">
        <v>0</v>
      </c>
      <c r="I465" s="1167">
        <v>0</v>
      </c>
      <c r="J465" s="1167">
        <v>0</v>
      </c>
      <c r="K465" s="1168">
        <v>0</v>
      </c>
      <c r="L465" s="1167">
        <v>0</v>
      </c>
      <c r="M465" s="1168">
        <v>0</v>
      </c>
      <c r="N465" s="1167">
        <v>0</v>
      </c>
      <c r="O465" s="1167">
        <v>0</v>
      </c>
      <c r="P465" s="1167">
        <v>0</v>
      </c>
      <c r="Q465" s="1167">
        <v>0</v>
      </c>
      <c r="R465" s="1167">
        <v>0</v>
      </c>
      <c r="S465" s="1167">
        <v>1889.71</v>
      </c>
      <c r="T465" s="1167">
        <v>9058193</v>
      </c>
      <c r="U465" s="1167">
        <v>0</v>
      </c>
      <c r="V465" s="1167">
        <v>0</v>
      </c>
      <c r="W465" s="1167">
        <v>0</v>
      </c>
      <c r="X465" s="1145">
        <v>709473</v>
      </c>
      <c r="Y465" s="1145">
        <v>0</v>
      </c>
    </row>
    <row r="466" spans="1:25" s="1137" customFormat="1" ht="64.150000000000006" customHeight="1">
      <c r="A466" s="1280">
        <v>28</v>
      </c>
      <c r="B466" s="1128" t="s">
        <v>1564</v>
      </c>
      <c r="C466" s="1145">
        <f t="shared" si="198"/>
        <v>9801988</v>
      </c>
      <c r="D466" s="1145">
        <f t="shared" si="199"/>
        <v>0</v>
      </c>
      <c r="E466" s="1167">
        <v>0</v>
      </c>
      <c r="F466" s="1167">
        <v>0</v>
      </c>
      <c r="G466" s="1167">
        <v>0</v>
      </c>
      <c r="H466" s="1167">
        <v>0</v>
      </c>
      <c r="I466" s="1167">
        <v>0</v>
      </c>
      <c r="J466" s="1167">
        <v>0</v>
      </c>
      <c r="K466" s="1168">
        <v>0</v>
      </c>
      <c r="L466" s="1167">
        <v>0</v>
      </c>
      <c r="M466" s="1168">
        <v>0</v>
      </c>
      <c r="N466" s="1167">
        <v>0</v>
      </c>
      <c r="O466" s="1167">
        <v>0</v>
      </c>
      <c r="P466" s="1167">
        <v>0</v>
      </c>
      <c r="Q466" s="1167">
        <v>0</v>
      </c>
      <c r="R466" s="1167">
        <v>0</v>
      </c>
      <c r="S466" s="1167">
        <v>1896.35</v>
      </c>
      <c r="T466" s="1167">
        <v>9090022</v>
      </c>
      <c r="U466" s="1167">
        <v>0</v>
      </c>
      <c r="V466" s="1167">
        <v>0</v>
      </c>
      <c r="W466" s="1167">
        <v>0</v>
      </c>
      <c r="X466" s="1145">
        <v>711966</v>
      </c>
      <c r="Y466" s="1145">
        <v>0</v>
      </c>
    </row>
    <row r="467" spans="1:25" s="1137" customFormat="1" ht="57" customHeight="1">
      <c r="A467" s="1280">
        <v>29</v>
      </c>
      <c r="B467" s="1128" t="s">
        <v>1565</v>
      </c>
      <c r="C467" s="1145">
        <f t="shared" si="198"/>
        <v>2704640</v>
      </c>
      <c r="D467" s="1145">
        <f t="shared" si="199"/>
        <v>937021</v>
      </c>
      <c r="E467" s="1167">
        <v>937021</v>
      </c>
      <c r="F467" s="1167">
        <v>0</v>
      </c>
      <c r="G467" s="1167">
        <v>0</v>
      </c>
      <c r="H467" s="1167">
        <v>0</v>
      </c>
      <c r="I467" s="1167">
        <v>0</v>
      </c>
      <c r="J467" s="1167">
        <v>0</v>
      </c>
      <c r="K467" s="1168">
        <v>0</v>
      </c>
      <c r="L467" s="1167">
        <v>0</v>
      </c>
      <c r="M467" s="1168">
        <v>0</v>
      </c>
      <c r="N467" s="1167">
        <v>0</v>
      </c>
      <c r="O467" s="1167">
        <v>623.53</v>
      </c>
      <c r="P467" s="1167">
        <v>1571168</v>
      </c>
      <c r="Q467" s="1167">
        <v>0</v>
      </c>
      <c r="R467" s="1167">
        <v>0</v>
      </c>
      <c r="S467" s="1167">
        <v>0</v>
      </c>
      <c r="T467" s="1167">
        <v>0</v>
      </c>
      <c r="U467" s="1167">
        <v>0</v>
      </c>
      <c r="V467" s="1167">
        <v>0</v>
      </c>
      <c r="W467" s="1129">
        <v>0</v>
      </c>
      <c r="X467" s="1145">
        <v>196451</v>
      </c>
      <c r="Y467" s="1145">
        <v>0</v>
      </c>
    </row>
    <row r="468" spans="1:25" s="1137" customFormat="1" ht="63" customHeight="1">
      <c r="A468" s="1280">
        <v>30</v>
      </c>
      <c r="B468" s="1128" t="s">
        <v>1566</v>
      </c>
      <c r="C468" s="1145">
        <f t="shared" si="198"/>
        <v>6099267</v>
      </c>
      <c r="D468" s="1145">
        <f t="shared" si="199"/>
        <v>0</v>
      </c>
      <c r="E468" s="1167">
        <v>0</v>
      </c>
      <c r="F468" s="1167">
        <v>0</v>
      </c>
      <c r="G468" s="1167">
        <v>0</v>
      </c>
      <c r="H468" s="1167">
        <v>0</v>
      </c>
      <c r="I468" s="1167">
        <v>0</v>
      </c>
      <c r="J468" s="1167">
        <v>0</v>
      </c>
      <c r="K468" s="1168">
        <v>0</v>
      </c>
      <c r="L468" s="1167">
        <v>0</v>
      </c>
      <c r="M468" s="1168">
        <v>0</v>
      </c>
      <c r="N468" s="1167">
        <v>0</v>
      </c>
      <c r="O468" s="1167">
        <v>0</v>
      </c>
      <c r="P468" s="1167">
        <v>0</v>
      </c>
      <c r="Q468" s="1167">
        <v>0</v>
      </c>
      <c r="R468" s="1167">
        <v>0</v>
      </c>
      <c r="S468" s="1167">
        <v>1180</v>
      </c>
      <c r="T468" s="1167">
        <v>5656248</v>
      </c>
      <c r="U468" s="1167">
        <v>0</v>
      </c>
      <c r="V468" s="1167">
        <v>0</v>
      </c>
      <c r="W468" s="1167">
        <v>0</v>
      </c>
      <c r="X468" s="1145">
        <v>443019</v>
      </c>
      <c r="Y468" s="1145">
        <v>0</v>
      </c>
    </row>
    <row r="469" spans="1:25" s="1152" customFormat="1" ht="85.15" customHeight="1">
      <c r="A469" s="1280">
        <v>31</v>
      </c>
      <c r="B469" s="1128" t="s">
        <v>1857</v>
      </c>
      <c r="C469" s="1145">
        <f t="shared" si="198"/>
        <v>13068971</v>
      </c>
      <c r="D469" s="1145">
        <f t="shared" si="199"/>
        <v>0</v>
      </c>
      <c r="E469" s="1167">
        <v>0</v>
      </c>
      <c r="F469" s="1167">
        <v>0</v>
      </c>
      <c r="G469" s="1167">
        <v>0</v>
      </c>
      <c r="H469" s="1167">
        <v>0</v>
      </c>
      <c r="I469" s="1167">
        <v>0</v>
      </c>
      <c r="J469" s="1167">
        <v>0</v>
      </c>
      <c r="K469" s="1168">
        <v>0</v>
      </c>
      <c r="L469" s="1167">
        <v>0</v>
      </c>
      <c r="M469" s="1168">
        <v>0</v>
      </c>
      <c r="N469" s="1167">
        <v>0</v>
      </c>
      <c r="O469" s="1167">
        <v>0</v>
      </c>
      <c r="P469" s="1167">
        <v>0</v>
      </c>
      <c r="Q469" s="1167">
        <v>0</v>
      </c>
      <c r="R469" s="1167">
        <v>0</v>
      </c>
      <c r="S469" s="1167">
        <v>2528.4</v>
      </c>
      <c r="T469" s="1167">
        <v>12119709</v>
      </c>
      <c r="U469" s="1167">
        <v>0</v>
      </c>
      <c r="V469" s="1167">
        <v>0</v>
      </c>
      <c r="W469" s="1167">
        <v>0</v>
      </c>
      <c r="X469" s="1145">
        <v>949262</v>
      </c>
      <c r="Y469" s="1145">
        <v>0</v>
      </c>
    </row>
    <row r="470" spans="1:25" s="1152" customFormat="1" ht="57" customHeight="1">
      <c r="A470" s="1280">
        <v>32</v>
      </c>
      <c r="B470" s="1128" t="s">
        <v>1567</v>
      </c>
      <c r="C470" s="1145">
        <f t="shared" si="198"/>
        <v>4088256</v>
      </c>
      <c r="D470" s="1145">
        <f t="shared" si="199"/>
        <v>1504426</v>
      </c>
      <c r="E470" s="1167">
        <v>0</v>
      </c>
      <c r="F470" s="1167">
        <v>0</v>
      </c>
      <c r="G470" s="1167">
        <v>451250</v>
      </c>
      <c r="H470" s="1167">
        <v>645196</v>
      </c>
      <c r="I470" s="1167">
        <v>0</v>
      </c>
      <c r="J470" s="1167">
        <v>407980</v>
      </c>
      <c r="K470" s="1168">
        <v>1</v>
      </c>
      <c r="L470" s="1167">
        <v>489407</v>
      </c>
      <c r="M470" s="1168">
        <v>0</v>
      </c>
      <c r="N470" s="1167">
        <v>0</v>
      </c>
      <c r="O470" s="1167">
        <v>0</v>
      </c>
      <c r="P470" s="1167">
        <v>0</v>
      </c>
      <c r="Q470" s="1167">
        <v>0</v>
      </c>
      <c r="R470" s="1167">
        <v>0</v>
      </c>
      <c r="S470" s="1167">
        <v>728.4</v>
      </c>
      <c r="T470" s="1167">
        <v>1797474</v>
      </c>
      <c r="U470" s="1167">
        <v>0</v>
      </c>
      <c r="V470" s="1167">
        <v>0</v>
      </c>
      <c r="W470" s="1167">
        <v>0</v>
      </c>
      <c r="X470" s="1145">
        <v>296949</v>
      </c>
      <c r="Y470" s="1145">
        <v>0</v>
      </c>
    </row>
    <row r="471" spans="1:25" s="1137" customFormat="1" ht="57" customHeight="1">
      <c r="A471" s="1280">
        <v>33</v>
      </c>
      <c r="B471" s="1128" t="s">
        <v>1762</v>
      </c>
      <c r="C471" s="1145">
        <f t="shared" si="198"/>
        <v>13770490</v>
      </c>
      <c r="D471" s="1145">
        <f t="shared" si="199"/>
        <v>0</v>
      </c>
      <c r="E471" s="1167">
        <v>0</v>
      </c>
      <c r="F471" s="1167">
        <v>0</v>
      </c>
      <c r="G471" s="1167">
        <v>0</v>
      </c>
      <c r="H471" s="1167">
        <v>0</v>
      </c>
      <c r="I471" s="1167">
        <v>0</v>
      </c>
      <c r="J471" s="1167">
        <v>0</v>
      </c>
      <c r="K471" s="1168">
        <v>0</v>
      </c>
      <c r="L471" s="1167">
        <v>0</v>
      </c>
      <c r="M471" s="1168">
        <v>0</v>
      </c>
      <c r="N471" s="1167">
        <v>0</v>
      </c>
      <c r="O471" s="1167">
        <v>0</v>
      </c>
      <c r="P471" s="1167">
        <v>0</v>
      </c>
      <c r="Q471" s="1167">
        <v>0</v>
      </c>
      <c r="R471" s="1167">
        <v>0</v>
      </c>
      <c r="S471" s="1167">
        <v>2664.12</v>
      </c>
      <c r="T471" s="1167">
        <v>12770273</v>
      </c>
      <c r="U471" s="1167">
        <v>0</v>
      </c>
      <c r="V471" s="1167">
        <v>0</v>
      </c>
      <c r="W471" s="1167">
        <v>0</v>
      </c>
      <c r="X471" s="1145">
        <v>1000217</v>
      </c>
      <c r="Y471" s="1145">
        <v>0</v>
      </c>
    </row>
    <row r="472" spans="1:25" s="1137" customFormat="1" ht="57" customHeight="1">
      <c r="A472" s="1280">
        <v>34</v>
      </c>
      <c r="B472" s="1128" t="s">
        <v>1568</v>
      </c>
      <c r="C472" s="1145">
        <f t="shared" si="198"/>
        <v>4624233</v>
      </c>
      <c r="D472" s="1145">
        <f t="shared" si="199"/>
        <v>4288352</v>
      </c>
      <c r="E472" s="1167">
        <v>0</v>
      </c>
      <c r="F472" s="1167">
        <v>0</v>
      </c>
      <c r="G472" s="1167">
        <v>0</v>
      </c>
      <c r="H472" s="1167">
        <v>2627127</v>
      </c>
      <c r="I472" s="1167">
        <v>0</v>
      </c>
      <c r="J472" s="1167">
        <v>1661225</v>
      </c>
      <c r="K472" s="1168">
        <v>0</v>
      </c>
      <c r="L472" s="1167">
        <v>0</v>
      </c>
      <c r="M472" s="1168">
        <v>0</v>
      </c>
      <c r="N472" s="1167">
        <v>0</v>
      </c>
      <c r="O472" s="1167">
        <v>0</v>
      </c>
      <c r="P472" s="1167">
        <v>0</v>
      </c>
      <c r="Q472" s="1167">
        <v>0</v>
      </c>
      <c r="R472" s="1167">
        <v>0</v>
      </c>
      <c r="S472" s="1167">
        <v>0</v>
      </c>
      <c r="T472" s="1167">
        <v>0</v>
      </c>
      <c r="U472" s="1167">
        <v>0</v>
      </c>
      <c r="V472" s="1167">
        <v>0</v>
      </c>
      <c r="W472" s="1129">
        <v>0</v>
      </c>
      <c r="X472" s="1145">
        <v>335881</v>
      </c>
      <c r="Y472" s="1145">
        <v>0</v>
      </c>
    </row>
    <row r="473" spans="1:25" s="1137" customFormat="1" ht="64.150000000000006" customHeight="1">
      <c r="A473" s="1280">
        <v>35</v>
      </c>
      <c r="B473" s="1128" t="s">
        <v>1569</v>
      </c>
      <c r="C473" s="1145">
        <f t="shared" si="198"/>
        <v>2635698</v>
      </c>
      <c r="D473" s="1145">
        <f t="shared" si="199"/>
        <v>0</v>
      </c>
      <c r="E473" s="1167">
        <v>0</v>
      </c>
      <c r="F473" s="1167">
        <v>0</v>
      </c>
      <c r="G473" s="1167">
        <v>0</v>
      </c>
      <c r="H473" s="1167">
        <v>0</v>
      </c>
      <c r="I473" s="1167">
        <v>0</v>
      </c>
      <c r="J473" s="1167">
        <v>0</v>
      </c>
      <c r="K473" s="1168">
        <v>0</v>
      </c>
      <c r="L473" s="1167">
        <v>0</v>
      </c>
      <c r="M473" s="1168">
        <v>0</v>
      </c>
      <c r="N473" s="1167">
        <v>0</v>
      </c>
      <c r="O473" s="1167">
        <v>418.95</v>
      </c>
      <c r="P473" s="1167">
        <v>1314984</v>
      </c>
      <c r="Q473" s="1167">
        <v>0</v>
      </c>
      <c r="R473" s="1167">
        <v>0</v>
      </c>
      <c r="S473" s="1167">
        <v>457.62</v>
      </c>
      <c r="T473" s="1167">
        <v>1129270</v>
      </c>
      <c r="U473" s="1167">
        <v>0</v>
      </c>
      <c r="V473" s="1167">
        <v>0</v>
      </c>
      <c r="W473" s="1167">
        <v>0</v>
      </c>
      <c r="X473" s="1145">
        <v>191444</v>
      </c>
      <c r="Y473" s="1145">
        <v>0</v>
      </c>
    </row>
    <row r="474" spans="1:25" s="1152" customFormat="1" ht="85.15" customHeight="1">
      <c r="A474" s="1280">
        <v>36</v>
      </c>
      <c r="B474" s="1128" t="s">
        <v>2396</v>
      </c>
      <c r="C474" s="1145">
        <f t="shared" si="198"/>
        <v>12613056</v>
      </c>
      <c r="D474" s="1145">
        <f t="shared" si="199"/>
        <v>0</v>
      </c>
      <c r="E474" s="1167">
        <v>0</v>
      </c>
      <c r="F474" s="1167">
        <v>0</v>
      </c>
      <c r="G474" s="1167">
        <v>0</v>
      </c>
      <c r="H474" s="1167">
        <v>0</v>
      </c>
      <c r="I474" s="1167">
        <v>0</v>
      </c>
      <c r="J474" s="1167">
        <v>0</v>
      </c>
      <c r="K474" s="1168">
        <v>0</v>
      </c>
      <c r="L474" s="1167">
        <v>0</v>
      </c>
      <c r="M474" s="1168">
        <v>0</v>
      </c>
      <c r="N474" s="1167">
        <v>0</v>
      </c>
      <c r="O474" s="1167">
        <v>0</v>
      </c>
      <c r="P474" s="1167">
        <v>0</v>
      </c>
      <c r="Q474" s="1167">
        <v>0</v>
      </c>
      <c r="R474" s="1167">
        <v>0</v>
      </c>
      <c r="S474" s="1167">
        <v>4740</v>
      </c>
      <c r="T474" s="1167">
        <v>11696909</v>
      </c>
      <c r="U474" s="1167">
        <v>0</v>
      </c>
      <c r="V474" s="1167">
        <v>0</v>
      </c>
      <c r="W474" s="1167">
        <v>0</v>
      </c>
      <c r="X474" s="1145">
        <v>916147</v>
      </c>
      <c r="Y474" s="1145">
        <v>0</v>
      </c>
    </row>
    <row r="475" spans="1:25" s="1152" customFormat="1" ht="60.6" customHeight="1">
      <c r="A475" s="1280">
        <v>37</v>
      </c>
      <c r="B475" s="1128" t="s">
        <v>320</v>
      </c>
      <c r="C475" s="1145">
        <f t="shared" si="198"/>
        <v>15219000</v>
      </c>
      <c r="D475" s="1145">
        <f t="shared" si="199"/>
        <v>14113571</v>
      </c>
      <c r="E475" s="1167">
        <v>4876585</v>
      </c>
      <c r="F475" s="1167">
        <v>9236986</v>
      </c>
      <c r="G475" s="1167">
        <v>0</v>
      </c>
      <c r="H475" s="1167">
        <v>0</v>
      </c>
      <c r="I475" s="1167">
        <v>0</v>
      </c>
      <c r="J475" s="1167">
        <v>0</v>
      </c>
      <c r="K475" s="1168">
        <v>0</v>
      </c>
      <c r="L475" s="1167">
        <v>0</v>
      </c>
      <c r="M475" s="1168">
        <v>0</v>
      </c>
      <c r="N475" s="1167">
        <v>0</v>
      </c>
      <c r="O475" s="1167">
        <v>0</v>
      </c>
      <c r="P475" s="1167">
        <v>0</v>
      </c>
      <c r="Q475" s="1167">
        <v>0</v>
      </c>
      <c r="R475" s="1167">
        <v>0</v>
      </c>
      <c r="S475" s="1167">
        <v>0</v>
      </c>
      <c r="T475" s="1167">
        <v>0</v>
      </c>
      <c r="U475" s="1167">
        <v>0</v>
      </c>
      <c r="V475" s="1167">
        <v>0</v>
      </c>
      <c r="W475" s="1129">
        <v>0</v>
      </c>
      <c r="X475" s="1145">
        <v>1105429</v>
      </c>
      <c r="Y475" s="1145">
        <v>0</v>
      </c>
    </row>
    <row r="476" spans="1:25" s="1152" customFormat="1" ht="96.75" customHeight="1">
      <c r="A476" s="1280">
        <v>38</v>
      </c>
      <c r="B476" s="1139" t="s">
        <v>3016</v>
      </c>
      <c r="C476" s="1145">
        <f t="shared" si="198"/>
        <v>12929117</v>
      </c>
      <c r="D476" s="1145">
        <f t="shared" si="199"/>
        <v>2762660</v>
      </c>
      <c r="E476" s="1167">
        <v>2762660</v>
      </c>
      <c r="F476" s="1167">
        <v>0</v>
      </c>
      <c r="G476" s="1167">
        <v>0</v>
      </c>
      <c r="H476" s="1167">
        <v>0</v>
      </c>
      <c r="I476" s="1167">
        <v>0</v>
      </c>
      <c r="J476" s="1167">
        <v>0</v>
      </c>
      <c r="K476" s="1168">
        <v>0</v>
      </c>
      <c r="L476" s="1167">
        <v>0</v>
      </c>
      <c r="M476" s="1168">
        <v>0</v>
      </c>
      <c r="N476" s="1167">
        <v>0</v>
      </c>
      <c r="O476" s="1167">
        <v>0</v>
      </c>
      <c r="P476" s="1167">
        <v>0</v>
      </c>
      <c r="Q476" s="1167">
        <v>0</v>
      </c>
      <c r="R476" s="1167">
        <v>0</v>
      </c>
      <c r="S476" s="1167">
        <v>1925</v>
      </c>
      <c r="T476" s="1167">
        <v>9227353</v>
      </c>
      <c r="U476" s="1167">
        <v>0</v>
      </c>
      <c r="V476" s="1167">
        <v>0</v>
      </c>
      <c r="W476" s="1167">
        <v>0</v>
      </c>
      <c r="X476" s="1145">
        <v>939104</v>
      </c>
      <c r="Y476" s="1145">
        <v>0</v>
      </c>
    </row>
    <row r="477" spans="1:25" s="1152" customFormat="1" ht="61.9" customHeight="1">
      <c r="A477" s="1280">
        <v>39</v>
      </c>
      <c r="B477" s="1128" t="s">
        <v>1570</v>
      </c>
      <c r="C477" s="1145">
        <f t="shared" si="198"/>
        <v>2502998</v>
      </c>
      <c r="D477" s="1145">
        <f t="shared" si="199"/>
        <v>2321193</v>
      </c>
      <c r="E477" s="1167">
        <v>0</v>
      </c>
      <c r="F477" s="1167">
        <v>2321193</v>
      </c>
      <c r="G477" s="1167">
        <v>0</v>
      </c>
      <c r="H477" s="1167">
        <v>0</v>
      </c>
      <c r="I477" s="1167">
        <v>0</v>
      </c>
      <c r="J477" s="1167">
        <v>0</v>
      </c>
      <c r="K477" s="1168">
        <v>0</v>
      </c>
      <c r="L477" s="1167">
        <v>0</v>
      </c>
      <c r="M477" s="1168">
        <v>0</v>
      </c>
      <c r="N477" s="1167">
        <v>0</v>
      </c>
      <c r="O477" s="1167">
        <v>0</v>
      </c>
      <c r="P477" s="1167">
        <v>0</v>
      </c>
      <c r="Q477" s="1167">
        <v>0</v>
      </c>
      <c r="R477" s="1167">
        <v>0</v>
      </c>
      <c r="S477" s="1167">
        <v>0</v>
      </c>
      <c r="T477" s="1167">
        <v>0</v>
      </c>
      <c r="U477" s="1167">
        <v>0</v>
      </c>
      <c r="V477" s="1167">
        <v>0</v>
      </c>
      <c r="W477" s="1129">
        <v>0</v>
      </c>
      <c r="X477" s="1145">
        <v>181805</v>
      </c>
      <c r="Y477" s="1145">
        <v>0</v>
      </c>
    </row>
    <row r="478" spans="1:25" s="1152" customFormat="1" ht="58.15" customHeight="1">
      <c r="A478" s="1280">
        <v>40</v>
      </c>
      <c r="B478" s="1128" t="s">
        <v>1571</v>
      </c>
      <c r="C478" s="1145">
        <f t="shared" si="198"/>
        <v>3524831</v>
      </c>
      <c r="D478" s="1145">
        <f t="shared" si="199"/>
        <v>612565</v>
      </c>
      <c r="E478" s="1167">
        <v>612565</v>
      </c>
      <c r="F478" s="1167">
        <v>0</v>
      </c>
      <c r="G478" s="1167">
        <v>0</v>
      </c>
      <c r="H478" s="1167">
        <v>0</v>
      </c>
      <c r="I478" s="1167">
        <v>0</v>
      </c>
      <c r="J478" s="1167">
        <v>0</v>
      </c>
      <c r="K478" s="1168">
        <v>0</v>
      </c>
      <c r="L478" s="1167">
        <v>0</v>
      </c>
      <c r="M478" s="1168">
        <v>0</v>
      </c>
      <c r="N478" s="1167">
        <v>0</v>
      </c>
      <c r="O478" s="1167">
        <v>846.27</v>
      </c>
      <c r="P478" s="1167">
        <v>2656241</v>
      </c>
      <c r="Q478" s="1167">
        <v>0</v>
      </c>
      <c r="R478" s="1167">
        <v>0</v>
      </c>
      <c r="S478" s="1167">
        <v>0</v>
      </c>
      <c r="T478" s="1167">
        <v>0</v>
      </c>
      <c r="U478" s="1167">
        <v>0</v>
      </c>
      <c r="V478" s="1167">
        <v>0</v>
      </c>
      <c r="W478" s="1167">
        <v>0</v>
      </c>
      <c r="X478" s="1145">
        <v>256025</v>
      </c>
      <c r="Y478" s="1145">
        <v>0</v>
      </c>
    </row>
    <row r="479" spans="1:25" s="1152" customFormat="1" ht="59.45" customHeight="1">
      <c r="A479" s="1280">
        <v>41</v>
      </c>
      <c r="B479" s="1128" t="s">
        <v>1572</v>
      </c>
      <c r="C479" s="1145">
        <f t="shared" si="198"/>
        <v>2423166</v>
      </c>
      <c r="D479" s="1145">
        <f t="shared" si="199"/>
        <v>0</v>
      </c>
      <c r="E479" s="1167">
        <v>0</v>
      </c>
      <c r="F479" s="1167">
        <v>0</v>
      </c>
      <c r="G479" s="1167">
        <v>0</v>
      </c>
      <c r="H479" s="1167">
        <v>0</v>
      </c>
      <c r="I479" s="1167">
        <v>0</v>
      </c>
      <c r="J479" s="1167">
        <v>0</v>
      </c>
      <c r="K479" s="1168">
        <v>0</v>
      </c>
      <c r="L479" s="1167">
        <v>0</v>
      </c>
      <c r="M479" s="1168">
        <v>0</v>
      </c>
      <c r="N479" s="1167">
        <v>0</v>
      </c>
      <c r="O479" s="1167">
        <v>0</v>
      </c>
      <c r="P479" s="1167">
        <v>0</v>
      </c>
      <c r="Q479" s="1167">
        <v>0</v>
      </c>
      <c r="R479" s="1167">
        <v>0</v>
      </c>
      <c r="S479" s="1167">
        <v>486.8</v>
      </c>
      <c r="T479" s="1167">
        <v>2247160</v>
      </c>
      <c r="U479" s="1167">
        <v>0</v>
      </c>
      <c r="V479" s="1167">
        <v>0</v>
      </c>
      <c r="W479" s="1129">
        <v>0</v>
      </c>
      <c r="X479" s="1145">
        <v>176006</v>
      </c>
      <c r="Y479" s="1145">
        <v>0</v>
      </c>
    </row>
    <row r="480" spans="1:25" s="1152" customFormat="1" ht="59.45" customHeight="1">
      <c r="A480" s="1280">
        <v>42</v>
      </c>
      <c r="B480" s="1128" t="s">
        <v>2216</v>
      </c>
      <c r="C480" s="1145">
        <f t="shared" si="198"/>
        <v>5365249</v>
      </c>
      <c r="D480" s="1145">
        <f t="shared" si="199"/>
        <v>1534833</v>
      </c>
      <c r="E480" s="1167">
        <v>884438</v>
      </c>
      <c r="F480" s="1167">
        <v>0</v>
      </c>
      <c r="G480" s="1167">
        <v>0</v>
      </c>
      <c r="H480" s="1167">
        <v>0</v>
      </c>
      <c r="I480" s="1167">
        <v>0</v>
      </c>
      <c r="J480" s="1167">
        <v>650395</v>
      </c>
      <c r="K480" s="1168">
        <v>0</v>
      </c>
      <c r="L480" s="1167">
        <v>0</v>
      </c>
      <c r="M480" s="1168">
        <v>0</v>
      </c>
      <c r="N480" s="1167">
        <v>0</v>
      </c>
      <c r="O480" s="1167">
        <v>1096.2</v>
      </c>
      <c r="P480" s="1167">
        <v>3440712</v>
      </c>
      <c r="Q480" s="1167">
        <v>0</v>
      </c>
      <c r="R480" s="1167">
        <v>0</v>
      </c>
      <c r="S480" s="1167">
        <v>0</v>
      </c>
      <c r="T480" s="1167">
        <v>0</v>
      </c>
      <c r="U480" s="1167">
        <v>0</v>
      </c>
      <c r="V480" s="1167">
        <v>0</v>
      </c>
      <c r="W480" s="1167">
        <v>0</v>
      </c>
      <c r="X480" s="1145">
        <v>389704</v>
      </c>
      <c r="Y480" s="1145">
        <v>0</v>
      </c>
    </row>
    <row r="481" spans="1:25" s="1152" customFormat="1" ht="85.15" customHeight="1">
      <c r="A481" s="1280">
        <v>43</v>
      </c>
      <c r="B481" s="1128" t="s">
        <v>2397</v>
      </c>
      <c r="C481" s="1145">
        <f t="shared" si="198"/>
        <v>7579429</v>
      </c>
      <c r="D481" s="1145">
        <f t="shared" si="199"/>
        <v>2814325</v>
      </c>
      <c r="E481" s="1167">
        <v>0</v>
      </c>
      <c r="F481" s="1167">
        <v>2814325</v>
      </c>
      <c r="G481" s="1167">
        <v>0</v>
      </c>
      <c r="H481" s="1167">
        <v>0</v>
      </c>
      <c r="I481" s="1167">
        <v>0</v>
      </c>
      <c r="J481" s="1167">
        <v>0</v>
      </c>
      <c r="K481" s="1168">
        <v>0</v>
      </c>
      <c r="L481" s="1167">
        <v>0</v>
      </c>
      <c r="M481" s="1168">
        <v>0</v>
      </c>
      <c r="N481" s="1167">
        <v>0</v>
      </c>
      <c r="O481" s="1167">
        <v>1342.75</v>
      </c>
      <c r="P481" s="1167">
        <v>4214573</v>
      </c>
      <c r="Q481" s="1167">
        <v>0</v>
      </c>
      <c r="R481" s="1167">
        <v>0</v>
      </c>
      <c r="S481" s="1167">
        <v>0</v>
      </c>
      <c r="T481" s="1167">
        <v>0</v>
      </c>
      <c r="U481" s="1167">
        <v>0</v>
      </c>
      <c r="V481" s="1167">
        <v>0</v>
      </c>
      <c r="W481" s="1129">
        <v>0</v>
      </c>
      <c r="X481" s="1145">
        <v>550531</v>
      </c>
      <c r="Y481" s="1145">
        <v>0</v>
      </c>
    </row>
    <row r="482" spans="1:25" s="1152" customFormat="1" ht="64.150000000000006" customHeight="1">
      <c r="A482" s="1280">
        <v>44</v>
      </c>
      <c r="B482" s="1128" t="s">
        <v>1574</v>
      </c>
      <c r="C482" s="1145">
        <f t="shared" si="198"/>
        <v>16137541</v>
      </c>
      <c r="D482" s="1145">
        <f t="shared" si="199"/>
        <v>2193395</v>
      </c>
      <c r="E482" s="1167">
        <v>0</v>
      </c>
      <c r="F482" s="1167">
        <v>2193395</v>
      </c>
      <c r="G482" s="1167">
        <v>0</v>
      </c>
      <c r="H482" s="1167">
        <v>0</v>
      </c>
      <c r="I482" s="1167">
        <v>0</v>
      </c>
      <c r="J482" s="1167">
        <v>0</v>
      </c>
      <c r="K482" s="1168">
        <v>0</v>
      </c>
      <c r="L482" s="1167">
        <v>0</v>
      </c>
      <c r="M482" s="1168">
        <v>0</v>
      </c>
      <c r="N482" s="1167">
        <v>0</v>
      </c>
      <c r="O482" s="1167">
        <v>0</v>
      </c>
      <c r="P482" s="1167">
        <v>0</v>
      </c>
      <c r="Q482" s="1167">
        <v>0</v>
      </c>
      <c r="R482" s="1167">
        <v>0</v>
      </c>
      <c r="S482" s="1167">
        <v>2664.48</v>
      </c>
      <c r="T482" s="1167">
        <v>12771999</v>
      </c>
      <c r="U482" s="1167">
        <v>0</v>
      </c>
      <c r="V482" s="1167">
        <v>0</v>
      </c>
      <c r="W482" s="1167">
        <v>0</v>
      </c>
      <c r="X482" s="1145">
        <v>1172147</v>
      </c>
      <c r="Y482" s="1145">
        <v>0</v>
      </c>
    </row>
    <row r="483" spans="1:25" s="1152" customFormat="1" ht="58.15" customHeight="1">
      <c r="A483" s="1280">
        <v>45</v>
      </c>
      <c r="B483" s="1128" t="s">
        <v>470</v>
      </c>
      <c r="C483" s="1145">
        <f t="shared" si="198"/>
        <v>6386358</v>
      </c>
      <c r="D483" s="1145">
        <f t="shared" si="199"/>
        <v>0</v>
      </c>
      <c r="E483" s="1167">
        <v>0</v>
      </c>
      <c r="F483" s="1167">
        <v>0</v>
      </c>
      <c r="G483" s="1167">
        <v>0</v>
      </c>
      <c r="H483" s="1167">
        <v>0</v>
      </c>
      <c r="I483" s="1167">
        <v>0</v>
      </c>
      <c r="J483" s="1167">
        <v>0</v>
      </c>
      <c r="K483" s="1168">
        <v>0</v>
      </c>
      <c r="L483" s="1167">
        <v>0</v>
      </c>
      <c r="M483" s="1168">
        <v>0</v>
      </c>
      <c r="N483" s="1167">
        <v>0</v>
      </c>
      <c r="O483" s="1167">
        <v>0</v>
      </c>
      <c r="P483" s="1167">
        <v>0</v>
      </c>
      <c r="Q483" s="1167">
        <v>0</v>
      </c>
      <c r="R483" s="1167">
        <v>0</v>
      </c>
      <c r="S483" s="1167">
        <v>2400</v>
      </c>
      <c r="T483" s="1167">
        <v>5922486</v>
      </c>
      <c r="U483" s="1167">
        <v>0</v>
      </c>
      <c r="V483" s="1167">
        <v>0</v>
      </c>
      <c r="W483" s="1129">
        <v>0</v>
      </c>
      <c r="X483" s="1145">
        <v>463872</v>
      </c>
      <c r="Y483" s="1145">
        <v>0</v>
      </c>
    </row>
    <row r="484" spans="1:25" s="1152" customFormat="1" ht="90" customHeight="1">
      <c r="A484" s="1280">
        <v>46</v>
      </c>
      <c r="B484" s="1128" t="s">
        <v>1858</v>
      </c>
      <c r="C484" s="1145">
        <f t="shared" si="198"/>
        <v>5345250</v>
      </c>
      <c r="D484" s="1145">
        <f t="shared" si="199"/>
        <v>2607040</v>
      </c>
      <c r="E484" s="1167">
        <v>2607040</v>
      </c>
      <c r="F484" s="1167">
        <v>0</v>
      </c>
      <c r="G484" s="1167">
        <v>0</v>
      </c>
      <c r="H484" s="1167">
        <v>0</v>
      </c>
      <c r="I484" s="1167">
        <v>0</v>
      </c>
      <c r="J484" s="1167">
        <v>0</v>
      </c>
      <c r="K484" s="1168">
        <v>0</v>
      </c>
      <c r="L484" s="1167">
        <v>0</v>
      </c>
      <c r="M484" s="1168">
        <v>0</v>
      </c>
      <c r="N484" s="1167">
        <v>0</v>
      </c>
      <c r="O484" s="1167">
        <v>932.6</v>
      </c>
      <c r="P484" s="1167">
        <v>2349959</v>
      </c>
      <c r="Q484" s="1167">
        <v>0</v>
      </c>
      <c r="R484" s="1167">
        <v>0</v>
      </c>
      <c r="S484" s="1167">
        <v>0</v>
      </c>
      <c r="T484" s="1167">
        <v>0</v>
      </c>
      <c r="U484" s="1167">
        <v>0</v>
      </c>
      <c r="V484" s="1167">
        <v>0</v>
      </c>
      <c r="W484" s="1167">
        <v>0</v>
      </c>
      <c r="X484" s="1145">
        <v>388251</v>
      </c>
      <c r="Y484" s="1145">
        <v>0</v>
      </c>
    </row>
    <row r="485" spans="1:25" s="1152" customFormat="1" ht="60.6" customHeight="1">
      <c r="A485" s="1280">
        <v>47</v>
      </c>
      <c r="B485" s="1128" t="s">
        <v>315</v>
      </c>
      <c r="C485" s="1145">
        <f t="shared" si="198"/>
        <v>3334889</v>
      </c>
      <c r="D485" s="1145">
        <f t="shared" si="199"/>
        <v>595345</v>
      </c>
      <c r="E485" s="1167">
        <v>595345</v>
      </c>
      <c r="F485" s="1167">
        <v>0</v>
      </c>
      <c r="G485" s="1167">
        <v>0</v>
      </c>
      <c r="H485" s="1167">
        <v>0</v>
      </c>
      <c r="I485" s="1167">
        <v>0</v>
      </c>
      <c r="J485" s="1167">
        <v>0</v>
      </c>
      <c r="K485" s="1168">
        <v>0</v>
      </c>
      <c r="L485" s="1167">
        <v>0</v>
      </c>
      <c r="M485" s="1168">
        <v>0</v>
      </c>
      <c r="N485" s="1167">
        <v>0</v>
      </c>
      <c r="O485" s="1167">
        <v>0</v>
      </c>
      <c r="P485" s="1167">
        <v>0</v>
      </c>
      <c r="Q485" s="1167">
        <v>0</v>
      </c>
      <c r="R485" s="1167">
        <v>0</v>
      </c>
      <c r="S485" s="1167">
        <v>1012</v>
      </c>
      <c r="T485" s="1167">
        <v>2497315</v>
      </c>
      <c r="U485" s="1167">
        <v>0</v>
      </c>
      <c r="V485" s="1167">
        <v>0</v>
      </c>
      <c r="W485" s="1129">
        <v>0</v>
      </c>
      <c r="X485" s="1145">
        <v>242229</v>
      </c>
      <c r="Y485" s="1145">
        <v>0</v>
      </c>
    </row>
    <row r="486" spans="1:25" s="1152" customFormat="1" ht="55.9" customHeight="1">
      <c r="A486" s="1280">
        <v>48</v>
      </c>
      <c r="B486" s="1128" t="s">
        <v>1576</v>
      </c>
      <c r="C486" s="1145">
        <f t="shared" si="198"/>
        <v>3753928</v>
      </c>
      <c r="D486" s="1145">
        <f t="shared" si="199"/>
        <v>0</v>
      </c>
      <c r="E486" s="1167">
        <v>0</v>
      </c>
      <c r="F486" s="1167">
        <v>0</v>
      </c>
      <c r="G486" s="1167">
        <v>0</v>
      </c>
      <c r="H486" s="1167">
        <v>0</v>
      </c>
      <c r="I486" s="1167">
        <v>0</v>
      </c>
      <c r="J486" s="1167">
        <v>0</v>
      </c>
      <c r="K486" s="1168">
        <v>0</v>
      </c>
      <c r="L486" s="1167">
        <v>0</v>
      </c>
      <c r="M486" s="1168">
        <v>0</v>
      </c>
      <c r="N486" s="1167">
        <v>0</v>
      </c>
      <c r="O486" s="1167">
        <v>0</v>
      </c>
      <c r="P486" s="1167">
        <v>0</v>
      </c>
      <c r="Q486" s="1167">
        <v>0</v>
      </c>
      <c r="R486" s="1167">
        <v>0</v>
      </c>
      <c r="S486" s="1167">
        <v>1410.73</v>
      </c>
      <c r="T486" s="1167">
        <v>3481262</v>
      </c>
      <c r="U486" s="1167">
        <v>0</v>
      </c>
      <c r="V486" s="1167">
        <v>0</v>
      </c>
      <c r="W486" s="1167">
        <v>0</v>
      </c>
      <c r="X486" s="1145">
        <v>272666</v>
      </c>
      <c r="Y486" s="1145">
        <v>0</v>
      </c>
    </row>
    <row r="487" spans="1:25" s="1152" customFormat="1" ht="58.15" customHeight="1">
      <c r="A487" s="1280">
        <v>49</v>
      </c>
      <c r="B487" s="1128" t="s">
        <v>253</v>
      </c>
      <c r="C487" s="1145">
        <f t="shared" si="198"/>
        <v>1964050</v>
      </c>
      <c r="D487" s="1145">
        <f t="shared" si="199"/>
        <v>390273</v>
      </c>
      <c r="E487" s="1167">
        <v>0</v>
      </c>
      <c r="F487" s="1167">
        <v>0</v>
      </c>
      <c r="G487" s="1167">
        <v>0</v>
      </c>
      <c r="H487" s="1167">
        <v>390273</v>
      </c>
      <c r="I487" s="1167">
        <v>0</v>
      </c>
      <c r="J487" s="1167">
        <v>0</v>
      </c>
      <c r="K487" s="1168">
        <v>0</v>
      </c>
      <c r="L487" s="1167">
        <v>0</v>
      </c>
      <c r="M487" s="1168">
        <v>0</v>
      </c>
      <c r="N487" s="1167">
        <v>0</v>
      </c>
      <c r="O487" s="1167">
        <v>455.95</v>
      </c>
      <c r="P487" s="1167">
        <v>1431118</v>
      </c>
      <c r="Q487" s="1167">
        <v>0</v>
      </c>
      <c r="R487" s="1167">
        <v>0</v>
      </c>
      <c r="S487" s="1167">
        <v>0</v>
      </c>
      <c r="T487" s="1167">
        <v>0</v>
      </c>
      <c r="U487" s="1167">
        <v>0</v>
      </c>
      <c r="V487" s="1167">
        <v>0</v>
      </c>
      <c r="W487" s="1129">
        <v>0</v>
      </c>
      <c r="X487" s="1145">
        <v>142659</v>
      </c>
      <c r="Y487" s="1145">
        <v>0</v>
      </c>
    </row>
    <row r="488" spans="1:25" s="1152" customFormat="1" ht="96" customHeight="1">
      <c r="A488" s="1280">
        <v>50</v>
      </c>
      <c r="B488" s="1128" t="s">
        <v>3017</v>
      </c>
      <c r="C488" s="1145">
        <f t="shared" si="198"/>
        <v>8146211</v>
      </c>
      <c r="D488" s="1145">
        <f t="shared" si="199"/>
        <v>2388130</v>
      </c>
      <c r="E488" s="1167">
        <v>2388130</v>
      </c>
      <c r="F488" s="1167">
        <v>0</v>
      </c>
      <c r="G488" s="1167">
        <v>0</v>
      </c>
      <c r="H488" s="1167">
        <v>0</v>
      </c>
      <c r="I488" s="1167">
        <v>0</v>
      </c>
      <c r="J488" s="1167">
        <v>0</v>
      </c>
      <c r="K488" s="1168">
        <v>0</v>
      </c>
      <c r="L488" s="1167">
        <v>0</v>
      </c>
      <c r="M488" s="1168">
        <v>0</v>
      </c>
      <c r="N488" s="1167">
        <v>0</v>
      </c>
      <c r="O488" s="1167">
        <v>0</v>
      </c>
      <c r="P488" s="1167">
        <v>0</v>
      </c>
      <c r="Q488" s="1167">
        <v>0</v>
      </c>
      <c r="R488" s="1167">
        <v>0</v>
      </c>
      <c r="S488" s="1167">
        <v>2093.6</v>
      </c>
      <c r="T488" s="1167">
        <v>5166382</v>
      </c>
      <c r="U488" s="1167">
        <v>0</v>
      </c>
      <c r="V488" s="1167">
        <v>0</v>
      </c>
      <c r="W488" s="1167">
        <v>0</v>
      </c>
      <c r="X488" s="1145">
        <v>591699</v>
      </c>
      <c r="Y488" s="1145">
        <v>0</v>
      </c>
    </row>
    <row r="489" spans="1:25" s="1137" customFormat="1" ht="85.15" customHeight="1">
      <c r="A489" s="1280">
        <v>51</v>
      </c>
      <c r="B489" s="1128" t="s">
        <v>1578</v>
      </c>
      <c r="C489" s="1145">
        <f t="shared" si="198"/>
        <v>5436704</v>
      </c>
      <c r="D489" s="1145">
        <f t="shared" si="199"/>
        <v>5041810</v>
      </c>
      <c r="E489" s="1167">
        <v>0</v>
      </c>
      <c r="F489" s="1167">
        <v>3631812</v>
      </c>
      <c r="G489" s="1167">
        <v>0</v>
      </c>
      <c r="H489" s="1167">
        <v>0</v>
      </c>
      <c r="I489" s="1167">
        <v>0</v>
      </c>
      <c r="J489" s="1167">
        <v>1409998</v>
      </c>
      <c r="K489" s="1168">
        <v>0</v>
      </c>
      <c r="L489" s="1167">
        <v>0</v>
      </c>
      <c r="M489" s="1168">
        <v>0</v>
      </c>
      <c r="N489" s="1167">
        <v>0</v>
      </c>
      <c r="O489" s="1167">
        <v>0</v>
      </c>
      <c r="P489" s="1167">
        <v>0</v>
      </c>
      <c r="Q489" s="1167">
        <v>0</v>
      </c>
      <c r="R489" s="1167">
        <v>0</v>
      </c>
      <c r="S489" s="1167">
        <v>0</v>
      </c>
      <c r="T489" s="1167">
        <v>0</v>
      </c>
      <c r="U489" s="1167">
        <v>0</v>
      </c>
      <c r="V489" s="1167">
        <v>0</v>
      </c>
      <c r="W489" s="1129">
        <v>0</v>
      </c>
      <c r="X489" s="1145">
        <v>394894</v>
      </c>
      <c r="Y489" s="1145">
        <v>0</v>
      </c>
    </row>
    <row r="490" spans="1:25" s="1137" customFormat="1" ht="69" customHeight="1">
      <c r="A490" s="1280">
        <v>52</v>
      </c>
      <c r="B490" s="1128" t="s">
        <v>1579</v>
      </c>
      <c r="C490" s="1145">
        <f t="shared" si="198"/>
        <v>15288517</v>
      </c>
      <c r="D490" s="1145">
        <f t="shared" si="199"/>
        <v>3013105</v>
      </c>
      <c r="E490" s="1167">
        <v>0</v>
      </c>
      <c r="F490" s="1167">
        <v>3013105</v>
      </c>
      <c r="G490" s="1167">
        <v>0</v>
      </c>
      <c r="H490" s="1167">
        <v>0</v>
      </c>
      <c r="I490" s="1167">
        <v>0</v>
      </c>
      <c r="J490" s="1167">
        <v>0</v>
      </c>
      <c r="K490" s="1168">
        <v>0</v>
      </c>
      <c r="L490" s="1167">
        <v>0</v>
      </c>
      <c r="M490" s="1168">
        <v>0</v>
      </c>
      <c r="N490" s="1167">
        <v>0</v>
      </c>
      <c r="O490" s="1167">
        <v>855</v>
      </c>
      <c r="P490" s="1167">
        <v>3873072</v>
      </c>
      <c r="Q490" s="1167">
        <v>0</v>
      </c>
      <c r="R490" s="1167">
        <v>0</v>
      </c>
      <c r="S490" s="1167">
        <v>1521.22</v>
      </c>
      <c r="T490" s="1167">
        <v>7291861</v>
      </c>
      <c r="U490" s="1167">
        <v>0</v>
      </c>
      <c r="V490" s="1167">
        <v>0</v>
      </c>
      <c r="W490" s="1167">
        <v>0</v>
      </c>
      <c r="X490" s="1145">
        <v>1110479</v>
      </c>
      <c r="Y490" s="1145">
        <v>0</v>
      </c>
    </row>
    <row r="491" spans="1:25" s="1137" customFormat="1" ht="90" customHeight="1">
      <c r="A491" s="1280">
        <v>53</v>
      </c>
      <c r="B491" s="1128" t="s">
        <v>1859</v>
      </c>
      <c r="C491" s="1145">
        <f t="shared" si="198"/>
        <v>1834028</v>
      </c>
      <c r="D491" s="1145">
        <f t="shared" si="199"/>
        <v>1700813</v>
      </c>
      <c r="E491" s="1167">
        <v>0</v>
      </c>
      <c r="F491" s="1167">
        <v>0</v>
      </c>
      <c r="G491" s="1167">
        <v>0</v>
      </c>
      <c r="H491" s="1167">
        <v>0</v>
      </c>
      <c r="I491" s="1167">
        <v>1041951</v>
      </c>
      <c r="J491" s="1167">
        <v>658862</v>
      </c>
      <c r="K491" s="1168">
        <v>0</v>
      </c>
      <c r="L491" s="1167">
        <v>0</v>
      </c>
      <c r="M491" s="1168">
        <v>0</v>
      </c>
      <c r="N491" s="1167">
        <v>0</v>
      </c>
      <c r="O491" s="1167">
        <v>0</v>
      </c>
      <c r="P491" s="1167">
        <v>0</v>
      </c>
      <c r="Q491" s="1167">
        <v>0</v>
      </c>
      <c r="R491" s="1167">
        <v>0</v>
      </c>
      <c r="S491" s="1167">
        <v>0</v>
      </c>
      <c r="T491" s="1167">
        <v>0</v>
      </c>
      <c r="U491" s="1167">
        <v>0</v>
      </c>
      <c r="V491" s="1167">
        <v>0</v>
      </c>
      <c r="W491" s="1129">
        <v>0</v>
      </c>
      <c r="X491" s="1145">
        <v>133215</v>
      </c>
      <c r="Y491" s="1145">
        <v>0</v>
      </c>
    </row>
    <row r="492" spans="1:25" s="1137" customFormat="1" ht="96" customHeight="1">
      <c r="A492" s="1280">
        <v>54</v>
      </c>
      <c r="B492" s="1128" t="s">
        <v>347</v>
      </c>
      <c r="C492" s="1145">
        <f t="shared" si="198"/>
        <v>1702263</v>
      </c>
      <c r="D492" s="1145">
        <f t="shared" si="199"/>
        <v>294960</v>
      </c>
      <c r="E492" s="1167">
        <v>294960</v>
      </c>
      <c r="F492" s="1167">
        <v>0</v>
      </c>
      <c r="G492" s="1167">
        <v>0</v>
      </c>
      <c r="H492" s="1167">
        <v>0</v>
      </c>
      <c r="I492" s="1167">
        <v>0</v>
      </c>
      <c r="J492" s="1167">
        <v>0</v>
      </c>
      <c r="K492" s="1168">
        <v>0</v>
      </c>
      <c r="L492" s="1167">
        <v>0</v>
      </c>
      <c r="M492" s="1168">
        <v>0</v>
      </c>
      <c r="N492" s="1167">
        <v>0</v>
      </c>
      <c r="O492" s="1167">
        <v>408.97</v>
      </c>
      <c r="P492" s="1167">
        <v>1283660</v>
      </c>
      <c r="Q492" s="1167">
        <v>0</v>
      </c>
      <c r="R492" s="1167">
        <v>0</v>
      </c>
      <c r="S492" s="1167">
        <v>0</v>
      </c>
      <c r="T492" s="1167">
        <v>0</v>
      </c>
      <c r="U492" s="1167">
        <v>0</v>
      </c>
      <c r="V492" s="1167">
        <v>0</v>
      </c>
      <c r="W492" s="1167">
        <v>0</v>
      </c>
      <c r="X492" s="1145">
        <v>123643</v>
      </c>
      <c r="Y492" s="1145">
        <v>0</v>
      </c>
    </row>
    <row r="493" spans="1:25" s="1137" customFormat="1" ht="64.150000000000006" customHeight="1">
      <c r="A493" s="1280">
        <v>55</v>
      </c>
      <c r="B493" s="1128" t="s">
        <v>2004</v>
      </c>
      <c r="C493" s="1145">
        <f t="shared" ref="C493:C503" si="200">D493+N493+P493+R493+T493+V493+X493+L493</f>
        <v>13748049.279999999</v>
      </c>
      <c r="D493" s="1145">
        <f t="shared" ref="D493:D503" si="201">SUM(E493:J493)</f>
        <v>0</v>
      </c>
      <c r="E493" s="1167">
        <v>0</v>
      </c>
      <c r="F493" s="1167">
        <v>0</v>
      </c>
      <c r="G493" s="1167">
        <v>0</v>
      </c>
      <c r="H493" s="1167">
        <v>0</v>
      </c>
      <c r="I493" s="1167">
        <v>0</v>
      </c>
      <c r="J493" s="1167">
        <v>0</v>
      </c>
      <c r="K493" s="1168">
        <v>0</v>
      </c>
      <c r="L493" s="1167">
        <v>0</v>
      </c>
      <c r="M493" s="1204">
        <v>5</v>
      </c>
      <c r="N493" s="1205">
        <f>12482340+267122.08</f>
        <v>12749462.08</v>
      </c>
      <c r="O493" s="1167">
        <v>0</v>
      </c>
      <c r="P493" s="1167">
        <v>0</v>
      </c>
      <c r="Q493" s="1167">
        <v>0</v>
      </c>
      <c r="R493" s="1167">
        <v>0</v>
      </c>
      <c r="S493" s="1167">
        <v>0</v>
      </c>
      <c r="T493" s="1167">
        <v>0</v>
      </c>
      <c r="U493" s="1167">
        <v>0</v>
      </c>
      <c r="V493" s="1167">
        <v>0</v>
      </c>
      <c r="W493" s="1167">
        <v>0</v>
      </c>
      <c r="X493" s="1145">
        <v>998587.2</v>
      </c>
      <c r="Y493" s="1145">
        <v>0</v>
      </c>
    </row>
    <row r="494" spans="1:25" s="1137" customFormat="1" ht="69" customHeight="1">
      <c r="A494" s="1280">
        <v>56</v>
      </c>
      <c r="B494" s="1128" t="s">
        <v>2217</v>
      </c>
      <c r="C494" s="1145">
        <f t="shared" si="200"/>
        <v>5499219.71</v>
      </c>
      <c r="D494" s="1145">
        <f t="shared" si="201"/>
        <v>0</v>
      </c>
      <c r="E494" s="1167">
        <v>0</v>
      </c>
      <c r="F494" s="1167">
        <v>0</v>
      </c>
      <c r="G494" s="1167">
        <v>0</v>
      </c>
      <c r="H494" s="1167">
        <v>0</v>
      </c>
      <c r="I494" s="1167">
        <v>0</v>
      </c>
      <c r="J494" s="1167">
        <v>0</v>
      </c>
      <c r="K494" s="1168">
        <v>0</v>
      </c>
      <c r="L494" s="1167">
        <v>0</v>
      </c>
      <c r="M494" s="1204">
        <v>2</v>
      </c>
      <c r="N494" s="1205">
        <f>4992936+106848.83</f>
        <v>5099784.83</v>
      </c>
      <c r="O494" s="1167">
        <v>0</v>
      </c>
      <c r="P494" s="1167">
        <v>0</v>
      </c>
      <c r="Q494" s="1167">
        <v>0</v>
      </c>
      <c r="R494" s="1167">
        <v>0</v>
      </c>
      <c r="S494" s="1167">
        <v>0</v>
      </c>
      <c r="T494" s="1167">
        <v>0</v>
      </c>
      <c r="U494" s="1167">
        <v>0</v>
      </c>
      <c r="V494" s="1167">
        <v>0</v>
      </c>
      <c r="W494" s="1167">
        <v>0</v>
      </c>
      <c r="X494" s="1145">
        <v>399434.88</v>
      </c>
      <c r="Y494" s="1145">
        <v>0</v>
      </c>
    </row>
    <row r="495" spans="1:25" s="1137" customFormat="1" ht="61.9" customHeight="1">
      <c r="A495" s="1280">
        <v>57</v>
      </c>
      <c r="B495" s="1128" t="s">
        <v>2005</v>
      </c>
      <c r="C495" s="1145">
        <f t="shared" si="200"/>
        <v>13748049.279999999</v>
      </c>
      <c r="D495" s="1145">
        <f t="shared" si="201"/>
        <v>0</v>
      </c>
      <c r="E495" s="1167">
        <v>0</v>
      </c>
      <c r="F495" s="1167">
        <v>0</v>
      </c>
      <c r="G495" s="1167">
        <v>0</v>
      </c>
      <c r="H495" s="1167">
        <v>0</v>
      </c>
      <c r="I495" s="1167">
        <v>0</v>
      </c>
      <c r="J495" s="1167">
        <v>0</v>
      </c>
      <c r="K495" s="1168">
        <v>0</v>
      </c>
      <c r="L495" s="1167">
        <v>0</v>
      </c>
      <c r="M495" s="1204">
        <v>5</v>
      </c>
      <c r="N495" s="1205">
        <f>12482340+267122.08</f>
        <v>12749462.08</v>
      </c>
      <c r="O495" s="1167">
        <v>0</v>
      </c>
      <c r="P495" s="1167">
        <v>0</v>
      </c>
      <c r="Q495" s="1167">
        <v>0</v>
      </c>
      <c r="R495" s="1167">
        <v>0</v>
      </c>
      <c r="S495" s="1167">
        <v>0</v>
      </c>
      <c r="T495" s="1167">
        <v>0</v>
      </c>
      <c r="U495" s="1167">
        <v>0</v>
      </c>
      <c r="V495" s="1167">
        <v>0</v>
      </c>
      <c r="W495" s="1167">
        <v>0</v>
      </c>
      <c r="X495" s="1145">
        <v>998587.2</v>
      </c>
      <c r="Y495" s="1145">
        <v>0</v>
      </c>
    </row>
    <row r="496" spans="1:25" s="1137" customFormat="1" ht="90" customHeight="1">
      <c r="A496" s="1280">
        <v>58</v>
      </c>
      <c r="B496" s="1128" t="s">
        <v>2398</v>
      </c>
      <c r="C496" s="1145">
        <f t="shared" si="200"/>
        <v>2749609.86</v>
      </c>
      <c r="D496" s="1145">
        <f t="shared" si="201"/>
        <v>0</v>
      </c>
      <c r="E496" s="1167">
        <v>0</v>
      </c>
      <c r="F496" s="1167">
        <v>0</v>
      </c>
      <c r="G496" s="1167">
        <v>0</v>
      </c>
      <c r="H496" s="1167">
        <v>0</v>
      </c>
      <c r="I496" s="1167">
        <v>0</v>
      </c>
      <c r="J496" s="1167">
        <v>0</v>
      </c>
      <c r="K496" s="1168">
        <v>0</v>
      </c>
      <c r="L496" s="1167">
        <v>0</v>
      </c>
      <c r="M496" s="1204">
        <v>1</v>
      </c>
      <c r="N496" s="1205">
        <f>2496468+53424.42</f>
        <v>2549892.42</v>
      </c>
      <c r="O496" s="1167">
        <v>0</v>
      </c>
      <c r="P496" s="1167">
        <v>0</v>
      </c>
      <c r="Q496" s="1167">
        <v>0</v>
      </c>
      <c r="R496" s="1167">
        <v>0</v>
      </c>
      <c r="S496" s="1167">
        <v>0</v>
      </c>
      <c r="T496" s="1167">
        <v>0</v>
      </c>
      <c r="U496" s="1167">
        <v>0</v>
      </c>
      <c r="V496" s="1167">
        <v>0</v>
      </c>
      <c r="W496" s="1167">
        <v>0</v>
      </c>
      <c r="X496" s="1145">
        <v>199717.44</v>
      </c>
      <c r="Y496" s="1145">
        <v>0</v>
      </c>
    </row>
    <row r="497" spans="1:25" s="1137" customFormat="1" ht="94.9" customHeight="1">
      <c r="A497" s="1280">
        <v>59</v>
      </c>
      <c r="B497" s="1128" t="s">
        <v>2616</v>
      </c>
      <c r="C497" s="1145">
        <f t="shared" si="200"/>
        <v>8248829.5700000003</v>
      </c>
      <c r="D497" s="1145">
        <f t="shared" si="201"/>
        <v>0</v>
      </c>
      <c r="E497" s="1167">
        <v>0</v>
      </c>
      <c r="F497" s="1167">
        <v>0</v>
      </c>
      <c r="G497" s="1167">
        <v>0</v>
      </c>
      <c r="H497" s="1167">
        <v>0</v>
      </c>
      <c r="I497" s="1167">
        <v>0</v>
      </c>
      <c r="J497" s="1167">
        <v>0</v>
      </c>
      <c r="K497" s="1168">
        <v>0</v>
      </c>
      <c r="L497" s="1167">
        <v>0</v>
      </c>
      <c r="M497" s="1204">
        <v>3</v>
      </c>
      <c r="N497" s="1205">
        <f>7489404+160273.25</f>
        <v>7649677.25</v>
      </c>
      <c r="O497" s="1167">
        <v>0</v>
      </c>
      <c r="P497" s="1167">
        <v>0</v>
      </c>
      <c r="Q497" s="1167">
        <v>0</v>
      </c>
      <c r="R497" s="1167">
        <v>0</v>
      </c>
      <c r="S497" s="1167">
        <v>0</v>
      </c>
      <c r="T497" s="1167">
        <v>0</v>
      </c>
      <c r="U497" s="1167">
        <v>0</v>
      </c>
      <c r="V497" s="1167">
        <v>0</v>
      </c>
      <c r="W497" s="1167">
        <v>0</v>
      </c>
      <c r="X497" s="1145">
        <v>599152.31999999995</v>
      </c>
      <c r="Y497" s="1145">
        <v>0</v>
      </c>
    </row>
    <row r="498" spans="1:25" s="1137" customFormat="1" ht="91.15" customHeight="1">
      <c r="A498" s="1280">
        <v>60</v>
      </c>
      <c r="B498" s="1128" t="s">
        <v>2399</v>
      </c>
      <c r="C498" s="1145">
        <f t="shared" si="200"/>
        <v>2749609.86</v>
      </c>
      <c r="D498" s="1145">
        <f t="shared" si="201"/>
        <v>0</v>
      </c>
      <c r="E498" s="1167">
        <v>0</v>
      </c>
      <c r="F498" s="1167">
        <v>0</v>
      </c>
      <c r="G498" s="1167">
        <v>0</v>
      </c>
      <c r="H498" s="1167">
        <v>0</v>
      </c>
      <c r="I498" s="1167">
        <v>0</v>
      </c>
      <c r="J498" s="1167">
        <v>0</v>
      </c>
      <c r="K498" s="1168">
        <v>0</v>
      </c>
      <c r="L498" s="1167">
        <v>0</v>
      </c>
      <c r="M498" s="1204">
        <v>1</v>
      </c>
      <c r="N498" s="1205">
        <f>2496468+53424.42</f>
        <v>2549892.42</v>
      </c>
      <c r="O498" s="1167">
        <v>0</v>
      </c>
      <c r="P498" s="1167">
        <v>0</v>
      </c>
      <c r="Q498" s="1167">
        <v>0</v>
      </c>
      <c r="R498" s="1167">
        <v>0</v>
      </c>
      <c r="S498" s="1167">
        <v>0</v>
      </c>
      <c r="T498" s="1167">
        <v>0</v>
      </c>
      <c r="U498" s="1167">
        <v>0</v>
      </c>
      <c r="V498" s="1167">
        <v>0</v>
      </c>
      <c r="W498" s="1167">
        <v>0</v>
      </c>
      <c r="X498" s="1145">
        <v>199717.44</v>
      </c>
      <c r="Y498" s="1145">
        <v>0</v>
      </c>
    </row>
    <row r="499" spans="1:25" s="1137" customFormat="1" ht="88.9" customHeight="1">
      <c r="A499" s="1280">
        <v>61</v>
      </c>
      <c r="B499" s="1128" t="s">
        <v>2006</v>
      </c>
      <c r="C499" s="1145">
        <f t="shared" si="200"/>
        <v>10998439.42</v>
      </c>
      <c r="D499" s="1145">
        <f t="shared" si="201"/>
        <v>0</v>
      </c>
      <c r="E499" s="1167">
        <v>0</v>
      </c>
      <c r="F499" s="1167">
        <v>0</v>
      </c>
      <c r="G499" s="1167">
        <v>0</v>
      </c>
      <c r="H499" s="1167">
        <v>0</v>
      </c>
      <c r="I499" s="1167">
        <v>0</v>
      </c>
      <c r="J499" s="1167">
        <v>0</v>
      </c>
      <c r="K499" s="1168">
        <v>0</v>
      </c>
      <c r="L499" s="1167">
        <v>0</v>
      </c>
      <c r="M499" s="1204">
        <v>4</v>
      </c>
      <c r="N499" s="1205">
        <f>9985872+213697.66</f>
        <v>10199569.66</v>
      </c>
      <c r="O499" s="1167">
        <v>0</v>
      </c>
      <c r="P499" s="1167">
        <v>0</v>
      </c>
      <c r="Q499" s="1167">
        <v>0</v>
      </c>
      <c r="R499" s="1167">
        <v>0</v>
      </c>
      <c r="S499" s="1167">
        <v>0</v>
      </c>
      <c r="T499" s="1167">
        <v>0</v>
      </c>
      <c r="U499" s="1167">
        <v>0</v>
      </c>
      <c r="V499" s="1167">
        <v>0</v>
      </c>
      <c r="W499" s="1167">
        <v>0</v>
      </c>
      <c r="X499" s="1145">
        <v>798869.76</v>
      </c>
      <c r="Y499" s="1145">
        <v>0</v>
      </c>
    </row>
    <row r="500" spans="1:25" s="1137" customFormat="1" ht="70.150000000000006" customHeight="1">
      <c r="A500" s="1280">
        <v>62</v>
      </c>
      <c r="B500" s="1128" t="s">
        <v>2007</v>
      </c>
      <c r="C500" s="1145">
        <f t="shared" si="200"/>
        <v>5499219.71</v>
      </c>
      <c r="D500" s="1145">
        <f t="shared" si="201"/>
        <v>0</v>
      </c>
      <c r="E500" s="1167">
        <v>0</v>
      </c>
      <c r="F500" s="1167">
        <v>0</v>
      </c>
      <c r="G500" s="1167">
        <v>0</v>
      </c>
      <c r="H500" s="1167">
        <v>0</v>
      </c>
      <c r="I500" s="1167">
        <v>0</v>
      </c>
      <c r="J500" s="1167">
        <v>0</v>
      </c>
      <c r="K500" s="1168">
        <v>0</v>
      </c>
      <c r="L500" s="1167">
        <v>0</v>
      </c>
      <c r="M500" s="1204">
        <v>2</v>
      </c>
      <c r="N500" s="1205">
        <f>4992936+106848.83</f>
        <v>5099784.83</v>
      </c>
      <c r="O500" s="1167">
        <v>0</v>
      </c>
      <c r="P500" s="1167">
        <v>0</v>
      </c>
      <c r="Q500" s="1167">
        <v>0</v>
      </c>
      <c r="R500" s="1167">
        <v>0</v>
      </c>
      <c r="S500" s="1167">
        <v>0</v>
      </c>
      <c r="T500" s="1167">
        <v>0</v>
      </c>
      <c r="U500" s="1167">
        <v>0</v>
      </c>
      <c r="V500" s="1167">
        <v>0</v>
      </c>
      <c r="W500" s="1167">
        <v>0</v>
      </c>
      <c r="X500" s="1145">
        <v>399434.88</v>
      </c>
      <c r="Y500" s="1145">
        <v>0</v>
      </c>
    </row>
    <row r="501" spans="1:25" s="1137" customFormat="1" ht="57.6" customHeight="1">
      <c r="A501" s="1280">
        <v>63</v>
      </c>
      <c r="B501" s="1128" t="s">
        <v>2221</v>
      </c>
      <c r="C501" s="1145">
        <f t="shared" si="200"/>
        <v>2749609.86</v>
      </c>
      <c r="D501" s="1145">
        <f t="shared" si="201"/>
        <v>0</v>
      </c>
      <c r="E501" s="1167">
        <v>0</v>
      </c>
      <c r="F501" s="1167">
        <v>0</v>
      </c>
      <c r="G501" s="1167">
        <v>0</v>
      </c>
      <c r="H501" s="1167">
        <v>0</v>
      </c>
      <c r="I501" s="1167">
        <v>0</v>
      </c>
      <c r="J501" s="1167">
        <v>0</v>
      </c>
      <c r="K501" s="1168">
        <v>0</v>
      </c>
      <c r="L501" s="1167">
        <v>0</v>
      </c>
      <c r="M501" s="1204">
        <v>1</v>
      </c>
      <c r="N501" s="1205">
        <f>2496468+53424.42</f>
        <v>2549892.42</v>
      </c>
      <c r="O501" s="1167">
        <v>0</v>
      </c>
      <c r="P501" s="1167">
        <v>0</v>
      </c>
      <c r="Q501" s="1167">
        <v>0</v>
      </c>
      <c r="R501" s="1167">
        <v>0</v>
      </c>
      <c r="S501" s="1167">
        <v>0</v>
      </c>
      <c r="T501" s="1167">
        <v>0</v>
      </c>
      <c r="U501" s="1167">
        <v>0</v>
      </c>
      <c r="V501" s="1167">
        <v>0</v>
      </c>
      <c r="W501" s="1167">
        <v>0</v>
      </c>
      <c r="X501" s="1145">
        <v>199717.44</v>
      </c>
      <c r="Y501" s="1145">
        <v>0</v>
      </c>
    </row>
    <row r="502" spans="1:25" s="1137" customFormat="1" ht="60.6" customHeight="1">
      <c r="A502" s="1280">
        <v>64</v>
      </c>
      <c r="B502" s="1128" t="s">
        <v>2008</v>
      </c>
      <c r="C502" s="1145">
        <f t="shared" si="200"/>
        <v>10998439.42</v>
      </c>
      <c r="D502" s="1145">
        <f t="shared" si="201"/>
        <v>0</v>
      </c>
      <c r="E502" s="1167">
        <v>0</v>
      </c>
      <c r="F502" s="1167">
        <v>0</v>
      </c>
      <c r="G502" s="1167">
        <v>0</v>
      </c>
      <c r="H502" s="1167">
        <v>0</v>
      </c>
      <c r="I502" s="1167">
        <v>0</v>
      </c>
      <c r="J502" s="1167">
        <v>0</v>
      </c>
      <c r="K502" s="1168">
        <v>0</v>
      </c>
      <c r="L502" s="1167">
        <v>0</v>
      </c>
      <c r="M502" s="1204">
        <v>4</v>
      </c>
      <c r="N502" s="1205">
        <f>9985872+213697.66</f>
        <v>10199569.66</v>
      </c>
      <c r="O502" s="1167">
        <v>0</v>
      </c>
      <c r="P502" s="1167">
        <v>0</v>
      </c>
      <c r="Q502" s="1167">
        <v>0</v>
      </c>
      <c r="R502" s="1167">
        <v>0</v>
      </c>
      <c r="S502" s="1167">
        <v>0</v>
      </c>
      <c r="T502" s="1167">
        <v>0</v>
      </c>
      <c r="U502" s="1167">
        <v>0</v>
      </c>
      <c r="V502" s="1167">
        <v>0</v>
      </c>
      <c r="W502" s="1167">
        <v>0</v>
      </c>
      <c r="X502" s="1145">
        <v>798869.76</v>
      </c>
      <c r="Y502" s="1145">
        <v>0</v>
      </c>
    </row>
    <row r="503" spans="1:25" s="1137" customFormat="1" ht="91.15" customHeight="1">
      <c r="A503" s="1280">
        <v>65</v>
      </c>
      <c r="B503" s="1128" t="s">
        <v>2400</v>
      </c>
      <c r="C503" s="1145">
        <f t="shared" si="200"/>
        <v>2749609.86</v>
      </c>
      <c r="D503" s="1145">
        <f t="shared" si="201"/>
        <v>0</v>
      </c>
      <c r="E503" s="1167">
        <v>0</v>
      </c>
      <c r="F503" s="1167">
        <v>0</v>
      </c>
      <c r="G503" s="1167">
        <v>0</v>
      </c>
      <c r="H503" s="1167">
        <v>0</v>
      </c>
      <c r="I503" s="1167">
        <v>0</v>
      </c>
      <c r="J503" s="1167">
        <v>0</v>
      </c>
      <c r="K503" s="1168">
        <v>0</v>
      </c>
      <c r="L503" s="1167">
        <v>0</v>
      </c>
      <c r="M503" s="1204">
        <v>1</v>
      </c>
      <c r="N503" s="1205">
        <f>2496468+53424.42</f>
        <v>2549892.42</v>
      </c>
      <c r="O503" s="1167">
        <v>0</v>
      </c>
      <c r="P503" s="1167">
        <v>0</v>
      </c>
      <c r="Q503" s="1167">
        <v>0</v>
      </c>
      <c r="R503" s="1167">
        <v>0</v>
      </c>
      <c r="S503" s="1167">
        <v>0</v>
      </c>
      <c r="T503" s="1167">
        <v>0</v>
      </c>
      <c r="U503" s="1167">
        <v>0</v>
      </c>
      <c r="V503" s="1167">
        <v>0</v>
      </c>
      <c r="W503" s="1167">
        <v>0</v>
      </c>
      <c r="X503" s="1145">
        <v>199717.44</v>
      </c>
      <c r="Y503" s="1145">
        <v>0</v>
      </c>
    </row>
    <row r="504" spans="1:25" s="1137" customFormat="1" ht="57" customHeight="1">
      <c r="A504" s="1280">
        <v>66</v>
      </c>
      <c r="B504" s="1128" t="s">
        <v>2009</v>
      </c>
      <c r="C504" s="1145">
        <f t="shared" ref="C504:C508" si="202">D504+N504+P504+R504+T504+V504+X504+L504</f>
        <v>2200000</v>
      </c>
      <c r="D504" s="1145">
        <f t="shared" ref="D504:D508" si="203">SUM(E504:J504)</f>
        <v>0</v>
      </c>
      <c r="E504" s="1167">
        <v>0</v>
      </c>
      <c r="F504" s="1167">
        <v>0</v>
      </c>
      <c r="G504" s="1167">
        <v>0</v>
      </c>
      <c r="H504" s="1167">
        <v>0</v>
      </c>
      <c r="I504" s="1167">
        <v>0</v>
      </c>
      <c r="J504" s="1167">
        <v>0</v>
      </c>
      <c r="K504" s="1168">
        <v>0</v>
      </c>
      <c r="L504" s="1167">
        <v>0</v>
      </c>
      <c r="M504" s="1168">
        <v>1</v>
      </c>
      <c r="N504" s="1167">
        <v>2150000</v>
      </c>
      <c r="O504" s="1167">
        <v>0</v>
      </c>
      <c r="P504" s="1167">
        <v>0</v>
      </c>
      <c r="Q504" s="1167">
        <v>0</v>
      </c>
      <c r="R504" s="1167">
        <v>0</v>
      </c>
      <c r="S504" s="1167">
        <v>0</v>
      </c>
      <c r="T504" s="1167">
        <v>0</v>
      </c>
      <c r="U504" s="1167">
        <v>0</v>
      </c>
      <c r="V504" s="1167">
        <v>0</v>
      </c>
      <c r="W504" s="1167">
        <v>0</v>
      </c>
      <c r="X504" s="1145">
        <v>50000</v>
      </c>
      <c r="Y504" s="1145">
        <v>0</v>
      </c>
    </row>
    <row r="505" spans="1:25" s="1137" customFormat="1" ht="99.6" customHeight="1">
      <c r="A505" s="1280">
        <v>67</v>
      </c>
      <c r="B505" s="1128" t="s">
        <v>2011</v>
      </c>
      <c r="C505" s="1145">
        <f t="shared" si="202"/>
        <v>231117.97</v>
      </c>
      <c r="D505" s="1145">
        <f t="shared" si="203"/>
        <v>231117.97</v>
      </c>
      <c r="E505" s="1167">
        <v>0</v>
      </c>
      <c r="F505" s="1167">
        <v>0</v>
      </c>
      <c r="G505" s="1167">
        <v>0</v>
      </c>
      <c r="H505" s="1167">
        <v>0</v>
      </c>
      <c r="I505" s="1167">
        <v>0</v>
      </c>
      <c r="J505" s="1201">
        <v>231117.97</v>
      </c>
      <c r="K505" s="1168">
        <v>0</v>
      </c>
      <c r="L505" s="1167">
        <v>0</v>
      </c>
      <c r="M505" s="1168">
        <v>0</v>
      </c>
      <c r="N505" s="1167">
        <v>0</v>
      </c>
      <c r="O505" s="1167">
        <v>0</v>
      </c>
      <c r="P505" s="1167">
        <v>0</v>
      </c>
      <c r="Q505" s="1167">
        <v>0</v>
      </c>
      <c r="R505" s="1167">
        <v>0</v>
      </c>
      <c r="S505" s="1167">
        <v>0</v>
      </c>
      <c r="T505" s="1167">
        <v>0</v>
      </c>
      <c r="U505" s="1167">
        <v>0</v>
      </c>
      <c r="V505" s="1167">
        <v>0</v>
      </c>
      <c r="W505" s="1167">
        <v>0</v>
      </c>
      <c r="X505" s="1145">
        <v>0</v>
      </c>
      <c r="Y505" s="1145">
        <v>0</v>
      </c>
    </row>
    <row r="506" spans="1:25" s="1137" customFormat="1" ht="96" customHeight="1">
      <c r="A506" s="1280">
        <v>68</v>
      </c>
      <c r="B506" s="1128" t="s">
        <v>2012</v>
      </c>
      <c r="C506" s="1145">
        <f t="shared" si="202"/>
        <v>72161.83</v>
      </c>
      <c r="D506" s="1145">
        <f t="shared" si="203"/>
        <v>72161.83</v>
      </c>
      <c r="E506" s="1167">
        <v>0</v>
      </c>
      <c r="F506" s="1167">
        <v>0</v>
      </c>
      <c r="G506" s="1167">
        <v>0</v>
      </c>
      <c r="H506" s="1167">
        <v>0</v>
      </c>
      <c r="I506" s="1167">
        <v>0</v>
      </c>
      <c r="J506" s="1201">
        <v>72161.83</v>
      </c>
      <c r="K506" s="1168">
        <v>0</v>
      </c>
      <c r="L506" s="1167">
        <v>0</v>
      </c>
      <c r="M506" s="1168">
        <v>0</v>
      </c>
      <c r="N506" s="1167">
        <v>0</v>
      </c>
      <c r="O506" s="1167">
        <v>0</v>
      </c>
      <c r="P506" s="1167">
        <v>0</v>
      </c>
      <c r="Q506" s="1167">
        <v>0</v>
      </c>
      <c r="R506" s="1167">
        <v>0</v>
      </c>
      <c r="S506" s="1167">
        <v>0</v>
      </c>
      <c r="T506" s="1167">
        <v>0</v>
      </c>
      <c r="U506" s="1167">
        <v>0</v>
      </c>
      <c r="V506" s="1167">
        <v>0</v>
      </c>
      <c r="W506" s="1167">
        <v>0</v>
      </c>
      <c r="X506" s="1145">
        <v>0</v>
      </c>
      <c r="Y506" s="1145">
        <v>0</v>
      </c>
    </row>
    <row r="507" spans="1:25" s="1137" customFormat="1" ht="65.45" customHeight="1">
      <c r="A507" s="1280">
        <v>69</v>
      </c>
      <c r="B507" s="1128" t="s">
        <v>2013</v>
      </c>
      <c r="C507" s="1145">
        <f t="shared" si="202"/>
        <v>783000</v>
      </c>
      <c r="D507" s="1145">
        <f t="shared" si="203"/>
        <v>0</v>
      </c>
      <c r="E507" s="1167">
        <v>0</v>
      </c>
      <c r="F507" s="1167">
        <v>0</v>
      </c>
      <c r="G507" s="1167">
        <v>0</v>
      </c>
      <c r="H507" s="1167">
        <v>0</v>
      </c>
      <c r="I507" s="1167">
        <v>0</v>
      </c>
      <c r="J507" s="1167">
        <v>0</v>
      </c>
      <c r="K507" s="1168">
        <v>0</v>
      </c>
      <c r="L507" s="1167">
        <v>0</v>
      </c>
      <c r="M507" s="1168">
        <v>0</v>
      </c>
      <c r="N507" s="1167">
        <v>0</v>
      </c>
      <c r="O507" s="1167">
        <v>0</v>
      </c>
      <c r="P507" s="1167">
        <v>0</v>
      </c>
      <c r="Q507" s="1167">
        <v>0</v>
      </c>
      <c r="R507" s="1167">
        <v>0</v>
      </c>
      <c r="S507" s="1206">
        <v>1905.4</v>
      </c>
      <c r="T507" s="1206">
        <v>783000</v>
      </c>
      <c r="U507" s="1167">
        <v>0</v>
      </c>
      <c r="V507" s="1167">
        <v>0</v>
      </c>
      <c r="W507" s="1167">
        <v>0</v>
      </c>
      <c r="X507" s="1145">
        <v>0</v>
      </c>
      <c r="Y507" s="1145">
        <v>0</v>
      </c>
    </row>
    <row r="508" spans="1:25" s="1137" customFormat="1" ht="85.15" customHeight="1">
      <c r="A508" s="1280">
        <v>70</v>
      </c>
      <c r="B508" s="1128" t="s">
        <v>2401</v>
      </c>
      <c r="C508" s="1145">
        <f t="shared" si="202"/>
        <v>3661930.33</v>
      </c>
      <c r="D508" s="1145">
        <f t="shared" si="203"/>
        <v>0</v>
      </c>
      <c r="E508" s="1167">
        <v>0</v>
      </c>
      <c r="F508" s="1167">
        <v>0</v>
      </c>
      <c r="G508" s="1167">
        <v>0</v>
      </c>
      <c r="H508" s="1167">
        <v>0</v>
      </c>
      <c r="I508" s="1167">
        <v>0</v>
      </c>
      <c r="J508" s="1167">
        <v>0</v>
      </c>
      <c r="K508" s="1168">
        <v>0</v>
      </c>
      <c r="L508" s="1167">
        <v>0</v>
      </c>
      <c r="M508" s="1168">
        <v>0</v>
      </c>
      <c r="N508" s="1167">
        <v>0</v>
      </c>
      <c r="O508" s="1206">
        <v>3663</v>
      </c>
      <c r="P508" s="1206">
        <v>3661930.33</v>
      </c>
      <c r="Q508" s="1167">
        <v>0</v>
      </c>
      <c r="R508" s="1167">
        <v>0</v>
      </c>
      <c r="S508" s="1167">
        <v>0</v>
      </c>
      <c r="T508" s="1167">
        <v>0</v>
      </c>
      <c r="U508" s="1167">
        <v>0</v>
      </c>
      <c r="V508" s="1167">
        <v>0</v>
      </c>
      <c r="W508" s="1167">
        <v>0</v>
      </c>
      <c r="X508" s="1145">
        <v>0</v>
      </c>
      <c r="Y508" s="1145">
        <v>0</v>
      </c>
    </row>
    <row r="509" spans="1:25" s="1137" customFormat="1" ht="85.15" customHeight="1">
      <c r="A509" s="1280">
        <v>71</v>
      </c>
      <c r="B509" s="1135" t="s">
        <v>2658</v>
      </c>
      <c r="C509" s="1145">
        <f t="shared" ref="C509:C513" si="204">D509+N509+P509+R509+T509+V509+X509+L509</f>
        <v>2050000</v>
      </c>
      <c r="D509" s="1145">
        <f t="shared" ref="D509:D513" si="205">SUM(E509:J509)</f>
        <v>0</v>
      </c>
      <c r="E509" s="1167">
        <v>0</v>
      </c>
      <c r="F509" s="1167">
        <v>0</v>
      </c>
      <c r="G509" s="1167">
        <v>0</v>
      </c>
      <c r="H509" s="1167">
        <v>0</v>
      </c>
      <c r="I509" s="1167">
        <v>0</v>
      </c>
      <c r="J509" s="1167">
        <v>0</v>
      </c>
      <c r="K509" s="1168">
        <v>0</v>
      </c>
      <c r="L509" s="1167">
        <v>0</v>
      </c>
      <c r="M509" s="1229">
        <v>1</v>
      </c>
      <c r="N509" s="1228">
        <v>2000000</v>
      </c>
      <c r="O509" s="1206">
        <v>0</v>
      </c>
      <c r="P509" s="1206">
        <v>0</v>
      </c>
      <c r="Q509" s="1167">
        <v>0</v>
      </c>
      <c r="R509" s="1167">
        <v>0</v>
      </c>
      <c r="S509" s="1167">
        <v>0</v>
      </c>
      <c r="T509" s="1167">
        <v>0</v>
      </c>
      <c r="U509" s="1167">
        <v>0</v>
      </c>
      <c r="V509" s="1167">
        <v>0</v>
      </c>
      <c r="W509" s="1167">
        <v>0</v>
      </c>
      <c r="X509" s="1202">
        <v>50000</v>
      </c>
      <c r="Y509" s="1145">
        <v>0</v>
      </c>
    </row>
    <row r="510" spans="1:25" s="1137" customFormat="1" ht="85.15" customHeight="1">
      <c r="A510" s="1280">
        <v>72</v>
      </c>
      <c r="B510" s="1128" t="s">
        <v>2659</v>
      </c>
      <c r="C510" s="1145">
        <f t="shared" si="204"/>
        <v>1054510</v>
      </c>
      <c r="D510" s="1145">
        <f t="shared" si="205"/>
        <v>0</v>
      </c>
      <c r="E510" s="1167">
        <v>0</v>
      </c>
      <c r="F510" s="1167">
        <v>0</v>
      </c>
      <c r="G510" s="1167">
        <v>0</v>
      </c>
      <c r="H510" s="1167">
        <v>0</v>
      </c>
      <c r="I510" s="1167">
        <v>0</v>
      </c>
      <c r="J510" s="1167">
        <v>0</v>
      </c>
      <c r="K510" s="1168">
        <v>0</v>
      </c>
      <c r="L510" s="1167">
        <v>0</v>
      </c>
      <c r="M510" s="1168">
        <v>0</v>
      </c>
      <c r="N510" s="1167">
        <v>0</v>
      </c>
      <c r="O510" s="1228">
        <v>142</v>
      </c>
      <c r="P510" s="1228">
        <v>1054510</v>
      </c>
      <c r="Q510" s="1167">
        <v>0</v>
      </c>
      <c r="R510" s="1167">
        <v>0</v>
      </c>
      <c r="S510" s="1167">
        <v>0</v>
      </c>
      <c r="T510" s="1167">
        <v>0</v>
      </c>
      <c r="U510" s="1167">
        <v>0</v>
      </c>
      <c r="V510" s="1167">
        <v>0</v>
      </c>
      <c r="W510" s="1167">
        <v>0</v>
      </c>
      <c r="X510" s="1145">
        <v>0</v>
      </c>
      <c r="Y510" s="1145">
        <v>0</v>
      </c>
    </row>
    <row r="511" spans="1:25" s="1137" customFormat="1" ht="85.15" customHeight="1">
      <c r="A511" s="1280">
        <v>73</v>
      </c>
      <c r="B511" s="1128" t="s">
        <v>2317</v>
      </c>
      <c r="C511" s="1145">
        <f t="shared" si="204"/>
        <v>1136980</v>
      </c>
      <c r="D511" s="1145">
        <f t="shared" si="205"/>
        <v>0</v>
      </c>
      <c r="E511" s="1167">
        <v>0</v>
      </c>
      <c r="F511" s="1167">
        <v>0</v>
      </c>
      <c r="G511" s="1167">
        <v>0</v>
      </c>
      <c r="H511" s="1167">
        <v>0</v>
      </c>
      <c r="I511" s="1167">
        <v>0</v>
      </c>
      <c r="J511" s="1167">
        <v>0</v>
      </c>
      <c r="K511" s="1168">
        <v>0</v>
      </c>
      <c r="L511" s="1167">
        <v>0</v>
      </c>
      <c r="M511" s="1168">
        <v>0</v>
      </c>
      <c r="N511" s="1167">
        <v>0</v>
      </c>
      <c r="O511" s="1228">
        <v>986</v>
      </c>
      <c r="P511" s="1228">
        <v>1136980</v>
      </c>
      <c r="Q511" s="1167">
        <v>0</v>
      </c>
      <c r="R511" s="1167">
        <v>0</v>
      </c>
      <c r="S511" s="1167">
        <v>0</v>
      </c>
      <c r="T511" s="1167">
        <v>0</v>
      </c>
      <c r="U511" s="1167">
        <v>0</v>
      </c>
      <c r="V511" s="1167">
        <v>0</v>
      </c>
      <c r="W511" s="1167">
        <v>0</v>
      </c>
      <c r="X511" s="1145">
        <v>0</v>
      </c>
      <c r="Y511" s="1145">
        <v>0</v>
      </c>
    </row>
    <row r="512" spans="1:25" s="1137" customFormat="1" ht="85.15" customHeight="1">
      <c r="A512" s="1280">
        <v>74</v>
      </c>
      <c r="B512" s="1128" t="s">
        <v>2660</v>
      </c>
      <c r="C512" s="1145">
        <f t="shared" si="204"/>
        <v>400000</v>
      </c>
      <c r="D512" s="1145">
        <f t="shared" si="205"/>
        <v>0</v>
      </c>
      <c r="E512" s="1167">
        <v>0</v>
      </c>
      <c r="F512" s="1167">
        <v>0</v>
      </c>
      <c r="G512" s="1167">
        <v>0</v>
      </c>
      <c r="H512" s="1167">
        <v>0</v>
      </c>
      <c r="I512" s="1167">
        <v>0</v>
      </c>
      <c r="J512" s="1167">
        <v>0</v>
      </c>
      <c r="K512" s="1168">
        <v>0</v>
      </c>
      <c r="L512" s="1167">
        <v>0</v>
      </c>
      <c r="M512" s="1168">
        <v>0</v>
      </c>
      <c r="N512" s="1167">
        <v>0</v>
      </c>
      <c r="O512" s="1206">
        <v>0</v>
      </c>
      <c r="P512" s="1206">
        <v>0</v>
      </c>
      <c r="Q512" s="1206">
        <v>384</v>
      </c>
      <c r="R512" s="1206">
        <v>400000</v>
      </c>
      <c r="S512" s="1167">
        <v>0</v>
      </c>
      <c r="T512" s="1167">
        <v>0</v>
      </c>
      <c r="U512" s="1167">
        <v>0</v>
      </c>
      <c r="V512" s="1167">
        <v>0</v>
      </c>
      <c r="W512" s="1167">
        <v>0</v>
      </c>
      <c r="X512" s="1145">
        <v>0</v>
      </c>
      <c r="Y512" s="1145">
        <v>0</v>
      </c>
    </row>
    <row r="513" spans="1:25" s="1137" customFormat="1" ht="85.15" customHeight="1">
      <c r="A513" s="1280">
        <v>75</v>
      </c>
      <c r="B513" s="1128" t="s">
        <v>2661</v>
      </c>
      <c r="C513" s="1145">
        <f t="shared" si="204"/>
        <v>1050000</v>
      </c>
      <c r="D513" s="1145">
        <f t="shared" si="205"/>
        <v>0</v>
      </c>
      <c r="E513" s="1167">
        <v>0</v>
      </c>
      <c r="F513" s="1167">
        <v>0</v>
      </c>
      <c r="G513" s="1167">
        <v>0</v>
      </c>
      <c r="H513" s="1167">
        <v>0</v>
      </c>
      <c r="I513" s="1167">
        <v>0</v>
      </c>
      <c r="J513" s="1167">
        <v>0</v>
      </c>
      <c r="K513" s="1168">
        <v>0</v>
      </c>
      <c r="L513" s="1167">
        <v>0</v>
      </c>
      <c r="M513" s="1168">
        <v>0</v>
      </c>
      <c r="N513" s="1167">
        <v>0</v>
      </c>
      <c r="O513" s="1206">
        <v>0</v>
      </c>
      <c r="P513" s="1206">
        <v>0</v>
      </c>
      <c r="Q513" s="1228">
        <v>685</v>
      </c>
      <c r="R513" s="1230">
        <v>1050000</v>
      </c>
      <c r="S513" s="1167">
        <v>0</v>
      </c>
      <c r="T513" s="1167">
        <v>0</v>
      </c>
      <c r="U513" s="1167">
        <v>0</v>
      </c>
      <c r="V513" s="1167">
        <v>0</v>
      </c>
      <c r="W513" s="1167">
        <v>0</v>
      </c>
      <c r="X513" s="1145">
        <v>0</v>
      </c>
      <c r="Y513" s="1145">
        <v>0</v>
      </c>
    </row>
    <row r="514" spans="1:25" s="1137" customFormat="1" ht="135" customHeight="1">
      <c r="A514" s="1280"/>
      <c r="B514" s="1128" t="s">
        <v>1393</v>
      </c>
      <c r="C514" s="1129">
        <f>SUM(C515:C531)+C532+C533+C534</f>
        <v>45394745.069999985</v>
      </c>
      <c r="D514" s="1129">
        <f t="shared" ref="D514:Y514" si="206">SUM(D515:D531)+D532+D533+D534</f>
        <v>1288952.94</v>
      </c>
      <c r="E514" s="1129">
        <f t="shared" si="206"/>
        <v>737233</v>
      </c>
      <c r="F514" s="1129">
        <f t="shared" si="206"/>
        <v>0</v>
      </c>
      <c r="G514" s="1129">
        <f t="shared" si="206"/>
        <v>0</v>
      </c>
      <c r="H514" s="1129">
        <f t="shared" si="206"/>
        <v>0</v>
      </c>
      <c r="I514" s="1129">
        <f t="shared" si="206"/>
        <v>0</v>
      </c>
      <c r="J514" s="1129">
        <f t="shared" si="206"/>
        <v>551719.93999999994</v>
      </c>
      <c r="K514" s="1136">
        <f t="shared" si="206"/>
        <v>0</v>
      </c>
      <c r="L514" s="1129">
        <f t="shared" si="206"/>
        <v>0</v>
      </c>
      <c r="M514" s="1136">
        <f t="shared" si="206"/>
        <v>0</v>
      </c>
      <c r="N514" s="1129">
        <f t="shared" si="206"/>
        <v>0</v>
      </c>
      <c r="O514" s="1129">
        <f t="shared" si="206"/>
        <v>11103.060000000001</v>
      </c>
      <c r="P514" s="1129">
        <f t="shared" si="206"/>
        <v>39378189.469999999</v>
      </c>
      <c r="Q514" s="1129">
        <f t="shared" si="206"/>
        <v>0</v>
      </c>
      <c r="R514" s="1129">
        <f t="shared" si="206"/>
        <v>0</v>
      </c>
      <c r="S514" s="1129">
        <f t="shared" si="206"/>
        <v>456</v>
      </c>
      <c r="T514" s="1129">
        <f t="shared" si="206"/>
        <v>1337192.3700000001</v>
      </c>
      <c r="U514" s="1129">
        <f t="shared" si="206"/>
        <v>0</v>
      </c>
      <c r="V514" s="1129">
        <f t="shared" si="206"/>
        <v>0</v>
      </c>
      <c r="W514" s="1129">
        <f t="shared" si="206"/>
        <v>0</v>
      </c>
      <c r="X514" s="1129">
        <f t="shared" si="206"/>
        <v>3390410.29</v>
      </c>
      <c r="Y514" s="1129">
        <f t="shared" si="206"/>
        <v>0</v>
      </c>
    </row>
    <row r="515" spans="1:25" s="1137" customFormat="1" ht="97.15" customHeight="1">
      <c r="A515" s="1280">
        <v>76</v>
      </c>
      <c r="B515" s="1128" t="s">
        <v>2402</v>
      </c>
      <c r="C515" s="1129">
        <f>D515+N515+P515+R515+T515+V515+X515</f>
        <v>1441926.4500000002</v>
      </c>
      <c r="D515" s="1129">
        <f t="shared" ref="D515" si="207">SUM(E515:J515)</f>
        <v>0</v>
      </c>
      <c r="E515" s="1145">
        <v>0</v>
      </c>
      <c r="F515" s="1145">
        <v>0</v>
      </c>
      <c r="G515" s="1145">
        <v>0</v>
      </c>
      <c r="H515" s="1145">
        <v>0</v>
      </c>
      <c r="I515" s="1145">
        <v>0</v>
      </c>
      <c r="J515" s="1145">
        <v>0</v>
      </c>
      <c r="K515" s="1136">
        <v>0</v>
      </c>
      <c r="L515" s="1145">
        <v>0</v>
      </c>
      <c r="M515" s="1136">
        <v>0</v>
      </c>
      <c r="N515" s="1145">
        <v>0</v>
      </c>
      <c r="O515" s="1145">
        <v>0</v>
      </c>
      <c r="P515" s="1145">
        <v>0</v>
      </c>
      <c r="Q515" s="1145">
        <v>0</v>
      </c>
      <c r="R515" s="1145">
        <v>0</v>
      </c>
      <c r="S515" s="1145">
        <v>456</v>
      </c>
      <c r="T515" s="1145">
        <v>1337192.3700000001</v>
      </c>
      <c r="U515" s="1145">
        <v>0</v>
      </c>
      <c r="V515" s="1145">
        <v>0</v>
      </c>
      <c r="W515" s="1129">
        <v>0</v>
      </c>
      <c r="X515" s="1145">
        <v>104734.08</v>
      </c>
      <c r="Y515" s="1145">
        <v>0</v>
      </c>
    </row>
    <row r="516" spans="1:25" s="1137" customFormat="1" ht="137.44999999999999" customHeight="1">
      <c r="A516" s="1280">
        <v>77</v>
      </c>
      <c r="B516" s="1128" t="s">
        <v>2403</v>
      </c>
      <c r="C516" s="1129">
        <f t="shared" ref="C516:C527" si="208">D516+N516+P516+R516+T516+V516+X516</f>
        <v>536947.63</v>
      </c>
      <c r="D516" s="1129">
        <f t="shared" ref="D516:D527" si="209">SUM(E516:J516)</f>
        <v>0</v>
      </c>
      <c r="E516" s="1145">
        <v>0</v>
      </c>
      <c r="F516" s="1145">
        <v>0</v>
      </c>
      <c r="G516" s="1145">
        <v>0</v>
      </c>
      <c r="H516" s="1145">
        <v>0</v>
      </c>
      <c r="I516" s="1145">
        <v>0</v>
      </c>
      <c r="J516" s="1145">
        <v>0</v>
      </c>
      <c r="K516" s="1136">
        <v>0</v>
      </c>
      <c r="L516" s="1145">
        <v>0</v>
      </c>
      <c r="M516" s="1136">
        <v>0</v>
      </c>
      <c r="N516" s="1145">
        <v>0</v>
      </c>
      <c r="O516" s="1145">
        <v>125.94</v>
      </c>
      <c r="P516" s="1145">
        <v>497946.53</v>
      </c>
      <c r="Q516" s="1145">
        <v>0</v>
      </c>
      <c r="R516" s="1145">
        <v>0</v>
      </c>
      <c r="S516" s="1145">
        <v>0</v>
      </c>
      <c r="T516" s="1145">
        <v>0</v>
      </c>
      <c r="U516" s="1145">
        <v>0</v>
      </c>
      <c r="V516" s="1145">
        <v>0</v>
      </c>
      <c r="W516" s="1167">
        <v>0</v>
      </c>
      <c r="X516" s="1145">
        <v>39001.1</v>
      </c>
      <c r="Y516" s="1145">
        <v>0</v>
      </c>
    </row>
    <row r="517" spans="1:25" s="1137" customFormat="1" ht="111.6" customHeight="1">
      <c r="A517" s="1280">
        <v>78</v>
      </c>
      <c r="B517" s="1128" t="s">
        <v>2404</v>
      </c>
      <c r="C517" s="1129">
        <f t="shared" si="208"/>
        <v>804526.11</v>
      </c>
      <c r="D517" s="1129">
        <f t="shared" si="209"/>
        <v>0</v>
      </c>
      <c r="E517" s="1145">
        <v>0</v>
      </c>
      <c r="F517" s="1145">
        <v>0</v>
      </c>
      <c r="G517" s="1145">
        <v>0</v>
      </c>
      <c r="H517" s="1145">
        <v>0</v>
      </c>
      <c r="I517" s="1145">
        <v>0</v>
      </c>
      <c r="J517" s="1145">
        <v>0</v>
      </c>
      <c r="K517" s="1136">
        <v>0</v>
      </c>
      <c r="L517" s="1145">
        <v>0</v>
      </c>
      <c r="M517" s="1136">
        <v>0</v>
      </c>
      <c r="N517" s="1145">
        <v>0</v>
      </c>
      <c r="O517" s="1145">
        <v>188.7</v>
      </c>
      <c r="P517" s="1145">
        <v>746089.49</v>
      </c>
      <c r="Q517" s="1145">
        <v>0</v>
      </c>
      <c r="R517" s="1145">
        <v>0</v>
      </c>
      <c r="S517" s="1145">
        <v>0</v>
      </c>
      <c r="T517" s="1145">
        <v>0</v>
      </c>
      <c r="U517" s="1145">
        <v>0</v>
      </c>
      <c r="V517" s="1145">
        <v>0</v>
      </c>
      <c r="W517" s="1129">
        <v>0</v>
      </c>
      <c r="X517" s="1145">
        <v>58436.62</v>
      </c>
      <c r="Y517" s="1145">
        <v>0</v>
      </c>
    </row>
    <row r="518" spans="1:25" s="1137" customFormat="1" ht="94.9" customHeight="1">
      <c r="A518" s="1280">
        <v>79</v>
      </c>
      <c r="B518" s="1128" t="s">
        <v>2405</v>
      </c>
      <c r="C518" s="1129">
        <f t="shared" si="208"/>
        <v>2883185.28</v>
      </c>
      <c r="D518" s="1129">
        <f t="shared" si="209"/>
        <v>0</v>
      </c>
      <c r="E518" s="1145">
        <v>0</v>
      </c>
      <c r="F518" s="1145">
        <v>0</v>
      </c>
      <c r="G518" s="1145">
        <v>0</v>
      </c>
      <c r="H518" s="1145">
        <v>0</v>
      </c>
      <c r="I518" s="1145">
        <v>0</v>
      </c>
      <c r="J518" s="1145">
        <v>0</v>
      </c>
      <c r="K518" s="1136">
        <v>0</v>
      </c>
      <c r="L518" s="1145">
        <v>0</v>
      </c>
      <c r="M518" s="1136">
        <v>0</v>
      </c>
      <c r="N518" s="1145">
        <v>0</v>
      </c>
      <c r="O518" s="1145">
        <v>797.85</v>
      </c>
      <c r="P518" s="1145">
        <v>2673765.61</v>
      </c>
      <c r="Q518" s="1145">
        <v>0</v>
      </c>
      <c r="R518" s="1145">
        <v>0</v>
      </c>
      <c r="S518" s="1145">
        <v>0</v>
      </c>
      <c r="T518" s="1145">
        <v>0</v>
      </c>
      <c r="U518" s="1145">
        <v>0</v>
      </c>
      <c r="V518" s="1145">
        <v>0</v>
      </c>
      <c r="W518" s="1167">
        <v>0</v>
      </c>
      <c r="X518" s="1145">
        <v>209419.67</v>
      </c>
      <c r="Y518" s="1145">
        <v>0</v>
      </c>
    </row>
    <row r="519" spans="1:25" s="1137" customFormat="1" ht="94.9" customHeight="1">
      <c r="A519" s="1280">
        <v>80</v>
      </c>
      <c r="B519" s="1128" t="s">
        <v>2406</v>
      </c>
      <c r="C519" s="1129">
        <f t="shared" si="208"/>
        <v>4942868.58</v>
      </c>
      <c r="D519" s="1129">
        <f t="shared" si="209"/>
        <v>0</v>
      </c>
      <c r="E519" s="1145">
        <v>0</v>
      </c>
      <c r="F519" s="1145">
        <v>0</v>
      </c>
      <c r="G519" s="1145">
        <v>0</v>
      </c>
      <c r="H519" s="1145">
        <v>0</v>
      </c>
      <c r="I519" s="1145">
        <v>0</v>
      </c>
      <c r="J519" s="1145">
        <v>0</v>
      </c>
      <c r="K519" s="1136">
        <v>0</v>
      </c>
      <c r="L519" s="1145">
        <v>0</v>
      </c>
      <c r="M519" s="1136">
        <v>0</v>
      </c>
      <c r="N519" s="1145">
        <v>0</v>
      </c>
      <c r="O519" s="1145">
        <v>1159.3399999999999</v>
      </c>
      <c r="P519" s="1145">
        <v>4583844.17</v>
      </c>
      <c r="Q519" s="1145">
        <v>0</v>
      </c>
      <c r="R519" s="1145">
        <v>0</v>
      </c>
      <c r="S519" s="1145">
        <v>0</v>
      </c>
      <c r="T519" s="1145">
        <v>0</v>
      </c>
      <c r="U519" s="1145">
        <v>0</v>
      </c>
      <c r="V519" s="1145">
        <v>0</v>
      </c>
      <c r="W519" s="1129">
        <v>0</v>
      </c>
      <c r="X519" s="1145">
        <v>359024.41</v>
      </c>
      <c r="Y519" s="1145">
        <v>0</v>
      </c>
    </row>
    <row r="520" spans="1:25" s="1137" customFormat="1" ht="100.9" customHeight="1">
      <c r="A520" s="1280">
        <v>81</v>
      </c>
      <c r="B520" s="1128" t="s">
        <v>2407</v>
      </c>
      <c r="C520" s="1129">
        <f t="shared" si="208"/>
        <v>3225221.36</v>
      </c>
      <c r="D520" s="1129">
        <f t="shared" si="209"/>
        <v>0</v>
      </c>
      <c r="E520" s="1145">
        <v>0</v>
      </c>
      <c r="F520" s="1145">
        <v>0</v>
      </c>
      <c r="G520" s="1145">
        <v>0</v>
      </c>
      <c r="H520" s="1145">
        <v>0</v>
      </c>
      <c r="I520" s="1145">
        <v>0</v>
      </c>
      <c r="J520" s="1145">
        <v>0</v>
      </c>
      <c r="K520" s="1136">
        <v>0</v>
      </c>
      <c r="L520" s="1145">
        <v>0</v>
      </c>
      <c r="M520" s="1136">
        <v>0</v>
      </c>
      <c r="N520" s="1145">
        <v>0</v>
      </c>
      <c r="O520" s="1145">
        <v>892.5</v>
      </c>
      <c r="P520" s="1145">
        <v>2990957.96</v>
      </c>
      <c r="Q520" s="1145">
        <v>0</v>
      </c>
      <c r="R520" s="1145">
        <v>0</v>
      </c>
      <c r="S520" s="1145">
        <v>0</v>
      </c>
      <c r="T520" s="1145">
        <v>0</v>
      </c>
      <c r="U520" s="1145">
        <v>0</v>
      </c>
      <c r="V520" s="1145">
        <v>0</v>
      </c>
      <c r="W520" s="1167">
        <v>0</v>
      </c>
      <c r="X520" s="1145">
        <v>234263.4</v>
      </c>
      <c r="Y520" s="1145">
        <v>0</v>
      </c>
    </row>
    <row r="521" spans="1:25" s="1137" customFormat="1" ht="87.6" customHeight="1">
      <c r="A521" s="1280">
        <v>82</v>
      </c>
      <c r="B521" s="1128" t="s">
        <v>2408</v>
      </c>
      <c r="C521" s="1129">
        <f t="shared" si="208"/>
        <v>3391089.88</v>
      </c>
      <c r="D521" s="1129">
        <f t="shared" si="209"/>
        <v>0</v>
      </c>
      <c r="E521" s="1145">
        <v>0</v>
      </c>
      <c r="F521" s="1145">
        <v>0</v>
      </c>
      <c r="G521" s="1145">
        <v>0</v>
      </c>
      <c r="H521" s="1145">
        <v>0</v>
      </c>
      <c r="I521" s="1145">
        <v>0</v>
      </c>
      <c r="J521" s="1145">
        <v>0</v>
      </c>
      <c r="K521" s="1136">
        <v>0</v>
      </c>
      <c r="L521" s="1145">
        <v>0</v>
      </c>
      <c r="M521" s="1136">
        <v>0</v>
      </c>
      <c r="N521" s="1145">
        <v>0</v>
      </c>
      <c r="O521" s="1145">
        <v>938.4</v>
      </c>
      <c r="P521" s="1145">
        <v>3144778.65</v>
      </c>
      <c r="Q521" s="1145">
        <v>0</v>
      </c>
      <c r="R521" s="1145">
        <v>0</v>
      </c>
      <c r="S521" s="1145">
        <v>0</v>
      </c>
      <c r="T521" s="1145">
        <v>0</v>
      </c>
      <c r="U521" s="1145">
        <v>0</v>
      </c>
      <c r="V521" s="1145">
        <v>0</v>
      </c>
      <c r="W521" s="1129">
        <v>0</v>
      </c>
      <c r="X521" s="1145">
        <v>246311.23</v>
      </c>
      <c r="Y521" s="1145">
        <v>0</v>
      </c>
    </row>
    <row r="522" spans="1:25" s="1137" customFormat="1" ht="88.9" customHeight="1">
      <c r="A522" s="1280">
        <v>83</v>
      </c>
      <c r="B522" s="1128" t="s">
        <v>2409</v>
      </c>
      <c r="C522" s="1129">
        <f t="shared" si="208"/>
        <v>8186099.6600000001</v>
      </c>
      <c r="D522" s="1129">
        <f t="shared" si="209"/>
        <v>0</v>
      </c>
      <c r="E522" s="1145">
        <v>0</v>
      </c>
      <c r="F522" s="1145">
        <v>0</v>
      </c>
      <c r="G522" s="1145">
        <v>0</v>
      </c>
      <c r="H522" s="1145">
        <v>0</v>
      </c>
      <c r="I522" s="1145">
        <v>0</v>
      </c>
      <c r="J522" s="1145">
        <v>0</v>
      </c>
      <c r="K522" s="1136">
        <v>0</v>
      </c>
      <c r="L522" s="1145">
        <v>0</v>
      </c>
      <c r="M522" s="1136">
        <v>0</v>
      </c>
      <c r="N522" s="1145">
        <v>0</v>
      </c>
      <c r="O522" s="1145">
        <v>2265.3000000000002</v>
      </c>
      <c r="P522" s="1145">
        <v>7591503.7199999997</v>
      </c>
      <c r="Q522" s="1145">
        <v>0</v>
      </c>
      <c r="R522" s="1145">
        <v>0</v>
      </c>
      <c r="S522" s="1145">
        <v>0</v>
      </c>
      <c r="T522" s="1145">
        <v>0</v>
      </c>
      <c r="U522" s="1145">
        <v>0</v>
      </c>
      <c r="V522" s="1145">
        <v>0</v>
      </c>
      <c r="W522" s="1129">
        <v>0</v>
      </c>
      <c r="X522" s="1145">
        <v>594595.93999999994</v>
      </c>
      <c r="Y522" s="1145">
        <v>0</v>
      </c>
    </row>
    <row r="523" spans="1:25" s="1137" customFormat="1" ht="166.9" customHeight="1">
      <c r="A523" s="1280">
        <v>84</v>
      </c>
      <c r="B523" s="1128" t="s">
        <v>3018</v>
      </c>
      <c r="C523" s="1129">
        <f t="shared" si="208"/>
        <v>767433.49</v>
      </c>
      <c r="D523" s="1129">
        <f t="shared" si="209"/>
        <v>0</v>
      </c>
      <c r="E523" s="1145">
        <v>0</v>
      </c>
      <c r="F523" s="1145">
        <v>0</v>
      </c>
      <c r="G523" s="1145">
        <v>0</v>
      </c>
      <c r="H523" s="1145">
        <v>0</v>
      </c>
      <c r="I523" s="1145">
        <v>0</v>
      </c>
      <c r="J523" s="1145">
        <v>0</v>
      </c>
      <c r="K523" s="1136">
        <v>0</v>
      </c>
      <c r="L523" s="1145">
        <v>0</v>
      </c>
      <c r="M523" s="1136">
        <v>0</v>
      </c>
      <c r="N523" s="1145">
        <v>0</v>
      </c>
      <c r="O523" s="1145">
        <v>180</v>
      </c>
      <c r="P523" s="1145">
        <v>711691.09</v>
      </c>
      <c r="Q523" s="1145">
        <v>0</v>
      </c>
      <c r="R523" s="1145">
        <v>0</v>
      </c>
      <c r="S523" s="1145">
        <v>0</v>
      </c>
      <c r="T523" s="1145">
        <v>0</v>
      </c>
      <c r="U523" s="1145">
        <v>0</v>
      </c>
      <c r="V523" s="1145">
        <v>0</v>
      </c>
      <c r="W523" s="1167">
        <v>0</v>
      </c>
      <c r="X523" s="1145">
        <v>55742.400000000001</v>
      </c>
      <c r="Y523" s="1145">
        <v>0</v>
      </c>
    </row>
    <row r="524" spans="1:25" s="1137" customFormat="1" ht="165.6" customHeight="1">
      <c r="A524" s="1280">
        <v>85</v>
      </c>
      <c r="B524" s="1128" t="s">
        <v>3019</v>
      </c>
      <c r="C524" s="1129">
        <f t="shared" si="208"/>
        <v>100468</v>
      </c>
      <c r="D524" s="1129">
        <f t="shared" si="209"/>
        <v>0</v>
      </c>
      <c r="E524" s="1145">
        <v>0</v>
      </c>
      <c r="F524" s="1145">
        <v>0</v>
      </c>
      <c r="G524" s="1145">
        <v>0</v>
      </c>
      <c r="H524" s="1145">
        <v>0</v>
      </c>
      <c r="I524" s="1145">
        <v>0</v>
      </c>
      <c r="J524" s="1145">
        <v>0</v>
      </c>
      <c r="K524" s="1136">
        <v>0</v>
      </c>
      <c r="L524" s="1145">
        <v>0</v>
      </c>
      <c r="M524" s="1136">
        <v>0</v>
      </c>
      <c r="N524" s="1145">
        <v>0</v>
      </c>
      <c r="O524" s="1145">
        <v>0</v>
      </c>
      <c r="P524" s="1145">
        <v>0</v>
      </c>
      <c r="Q524" s="1145">
        <v>0</v>
      </c>
      <c r="R524" s="1145">
        <v>0</v>
      </c>
      <c r="S524" s="1145">
        <v>0</v>
      </c>
      <c r="T524" s="1145">
        <v>0</v>
      </c>
      <c r="U524" s="1145">
        <v>0</v>
      </c>
      <c r="V524" s="1145">
        <v>0</v>
      </c>
      <c r="W524" s="1129">
        <v>0</v>
      </c>
      <c r="X524" s="1145">
        <v>100468</v>
      </c>
      <c r="Y524" s="1145">
        <v>0</v>
      </c>
    </row>
    <row r="525" spans="1:25" s="1137" customFormat="1" ht="93.6" customHeight="1">
      <c r="A525" s="1280">
        <v>86</v>
      </c>
      <c r="B525" s="1128" t="s">
        <v>2410</v>
      </c>
      <c r="C525" s="1129">
        <f t="shared" si="208"/>
        <v>1074098.0900000001</v>
      </c>
      <c r="D525" s="1129">
        <f t="shared" si="209"/>
        <v>0</v>
      </c>
      <c r="E525" s="1145">
        <v>0</v>
      </c>
      <c r="F525" s="1145">
        <v>0</v>
      </c>
      <c r="G525" s="1145">
        <v>0</v>
      </c>
      <c r="H525" s="1145">
        <v>0</v>
      </c>
      <c r="I525" s="1145">
        <v>0</v>
      </c>
      <c r="J525" s="1145">
        <v>0</v>
      </c>
      <c r="K525" s="1136">
        <v>0</v>
      </c>
      <c r="L525" s="1145">
        <v>0</v>
      </c>
      <c r="M525" s="1136">
        <v>0</v>
      </c>
      <c r="N525" s="1145">
        <v>0</v>
      </c>
      <c r="O525" s="1145">
        <v>297.23</v>
      </c>
      <c r="P525" s="1145">
        <v>996081.16</v>
      </c>
      <c r="Q525" s="1145">
        <v>0</v>
      </c>
      <c r="R525" s="1145">
        <v>0</v>
      </c>
      <c r="S525" s="1145">
        <v>0</v>
      </c>
      <c r="T525" s="1145">
        <v>0</v>
      </c>
      <c r="U525" s="1145">
        <v>0</v>
      </c>
      <c r="V525" s="1145">
        <v>0</v>
      </c>
      <c r="W525" s="1167">
        <v>0</v>
      </c>
      <c r="X525" s="1145">
        <v>78016.929999999993</v>
      </c>
      <c r="Y525" s="1145">
        <v>0</v>
      </c>
    </row>
    <row r="526" spans="1:25" s="1137" customFormat="1" ht="92.45" customHeight="1">
      <c r="A526" s="1280">
        <v>87</v>
      </c>
      <c r="B526" s="1128" t="s">
        <v>2411</v>
      </c>
      <c r="C526" s="1129">
        <f t="shared" si="208"/>
        <v>2302300.48</v>
      </c>
      <c r="D526" s="1129">
        <f t="shared" si="209"/>
        <v>0</v>
      </c>
      <c r="E526" s="1145">
        <v>0</v>
      </c>
      <c r="F526" s="1145">
        <v>0</v>
      </c>
      <c r="G526" s="1145">
        <v>0</v>
      </c>
      <c r="H526" s="1145">
        <v>0</v>
      </c>
      <c r="I526" s="1145">
        <v>0</v>
      </c>
      <c r="J526" s="1145">
        <v>0</v>
      </c>
      <c r="K526" s="1136">
        <v>0</v>
      </c>
      <c r="L526" s="1145">
        <v>0</v>
      </c>
      <c r="M526" s="1136">
        <v>0</v>
      </c>
      <c r="N526" s="1145">
        <v>0</v>
      </c>
      <c r="O526" s="1145">
        <v>540</v>
      </c>
      <c r="P526" s="1145">
        <v>2135073.2799999998</v>
      </c>
      <c r="Q526" s="1145">
        <v>0</v>
      </c>
      <c r="R526" s="1145">
        <v>0</v>
      </c>
      <c r="S526" s="1145">
        <v>0</v>
      </c>
      <c r="T526" s="1145">
        <v>0</v>
      </c>
      <c r="U526" s="1145">
        <v>0</v>
      </c>
      <c r="V526" s="1145">
        <v>0</v>
      </c>
      <c r="W526" s="1129">
        <v>0</v>
      </c>
      <c r="X526" s="1145">
        <v>167227.20000000001</v>
      </c>
      <c r="Y526" s="1145">
        <v>0</v>
      </c>
    </row>
    <row r="527" spans="1:25" s="1137" customFormat="1" ht="92.45" customHeight="1">
      <c r="A527" s="1280">
        <v>88</v>
      </c>
      <c r="B527" s="1128" t="s">
        <v>2412</v>
      </c>
      <c r="C527" s="1129">
        <f t="shared" si="208"/>
        <v>4244282.9000000004</v>
      </c>
      <c r="D527" s="1129">
        <f t="shared" si="209"/>
        <v>0</v>
      </c>
      <c r="E527" s="1145">
        <v>0</v>
      </c>
      <c r="F527" s="1145">
        <v>0</v>
      </c>
      <c r="G527" s="1145">
        <v>0</v>
      </c>
      <c r="H527" s="1145">
        <v>0</v>
      </c>
      <c r="I527" s="1145">
        <v>0</v>
      </c>
      <c r="J527" s="1145">
        <v>0</v>
      </c>
      <c r="K527" s="1136">
        <v>0</v>
      </c>
      <c r="L527" s="1145">
        <v>0</v>
      </c>
      <c r="M527" s="1136">
        <v>0</v>
      </c>
      <c r="N527" s="1145">
        <v>0</v>
      </c>
      <c r="O527" s="1145">
        <v>1174.5</v>
      </c>
      <c r="P527" s="1145">
        <v>3936000.14</v>
      </c>
      <c r="Q527" s="1145">
        <v>0</v>
      </c>
      <c r="R527" s="1145">
        <v>0</v>
      </c>
      <c r="S527" s="1145">
        <v>0</v>
      </c>
      <c r="T527" s="1145">
        <v>0</v>
      </c>
      <c r="U527" s="1145">
        <v>0</v>
      </c>
      <c r="V527" s="1145">
        <v>0</v>
      </c>
      <c r="W527" s="1167">
        <v>0</v>
      </c>
      <c r="X527" s="1145">
        <v>308282.76</v>
      </c>
      <c r="Y527" s="1145">
        <v>0</v>
      </c>
    </row>
    <row r="528" spans="1:25" s="1137" customFormat="1" ht="90" customHeight="1">
      <c r="A528" s="1280">
        <v>89</v>
      </c>
      <c r="B528" s="1128" t="s">
        <v>2413</v>
      </c>
      <c r="C528" s="1129">
        <f t="shared" ref="C528:C531" si="210">D528+N528+P528+R528+T528+V528+X528</f>
        <v>3069733.97</v>
      </c>
      <c r="D528" s="1129">
        <f t="shared" ref="D528:D531" si="211">SUM(E528:J528)</f>
        <v>0</v>
      </c>
      <c r="E528" s="1145">
        <v>0</v>
      </c>
      <c r="F528" s="1145">
        <v>0</v>
      </c>
      <c r="G528" s="1145">
        <v>0</v>
      </c>
      <c r="H528" s="1145">
        <v>0</v>
      </c>
      <c r="I528" s="1145">
        <v>0</v>
      </c>
      <c r="J528" s="1145">
        <v>0</v>
      </c>
      <c r="K528" s="1136">
        <v>0</v>
      </c>
      <c r="L528" s="1145">
        <v>0</v>
      </c>
      <c r="M528" s="1136">
        <v>0</v>
      </c>
      <c r="N528" s="1145">
        <v>0</v>
      </c>
      <c r="O528" s="1145">
        <v>720</v>
      </c>
      <c r="P528" s="1145">
        <v>2846764.37</v>
      </c>
      <c r="Q528" s="1145">
        <v>0</v>
      </c>
      <c r="R528" s="1145">
        <v>0</v>
      </c>
      <c r="S528" s="1145">
        <v>0</v>
      </c>
      <c r="T528" s="1145">
        <v>0</v>
      </c>
      <c r="U528" s="1145">
        <v>0</v>
      </c>
      <c r="V528" s="1145">
        <v>0</v>
      </c>
      <c r="W528" s="1129">
        <v>0</v>
      </c>
      <c r="X528" s="1145">
        <v>222969.60000000001</v>
      </c>
      <c r="Y528" s="1145">
        <v>0</v>
      </c>
    </row>
    <row r="529" spans="1:16288" s="1137" customFormat="1" ht="86.45" customHeight="1">
      <c r="A529" s="1280">
        <v>90</v>
      </c>
      <c r="B529" s="1128" t="s">
        <v>1860</v>
      </c>
      <c r="C529" s="1129">
        <f t="shared" si="210"/>
        <v>349777.66</v>
      </c>
      <c r="D529" s="1129">
        <f t="shared" si="211"/>
        <v>324371.62</v>
      </c>
      <c r="E529" s="1145">
        <v>0</v>
      </c>
      <c r="F529" s="1145">
        <v>0</v>
      </c>
      <c r="G529" s="1145">
        <v>0</v>
      </c>
      <c r="H529" s="1145">
        <v>0</v>
      </c>
      <c r="I529" s="1145">
        <v>0</v>
      </c>
      <c r="J529" s="1145">
        <v>324371.62</v>
      </c>
      <c r="K529" s="1136">
        <v>0</v>
      </c>
      <c r="L529" s="1145">
        <v>0</v>
      </c>
      <c r="M529" s="1136">
        <v>0</v>
      </c>
      <c r="N529" s="1145">
        <v>0</v>
      </c>
      <c r="O529" s="1145">
        <v>0</v>
      </c>
      <c r="P529" s="1145">
        <v>0</v>
      </c>
      <c r="Q529" s="1145">
        <v>0</v>
      </c>
      <c r="R529" s="1145">
        <v>0</v>
      </c>
      <c r="S529" s="1145">
        <v>0</v>
      </c>
      <c r="T529" s="1145">
        <v>0</v>
      </c>
      <c r="U529" s="1145">
        <v>0</v>
      </c>
      <c r="V529" s="1145">
        <v>0</v>
      </c>
      <c r="W529" s="1167">
        <v>0</v>
      </c>
      <c r="X529" s="1145">
        <v>25406.04</v>
      </c>
      <c r="Y529" s="1145">
        <v>0</v>
      </c>
    </row>
    <row r="530" spans="1:16288" s="1137" customFormat="1" ht="93.6" customHeight="1">
      <c r="A530" s="1280">
        <v>91</v>
      </c>
      <c r="B530" s="1128" t="s">
        <v>1862</v>
      </c>
      <c r="C530" s="1129">
        <f t="shared" si="210"/>
        <v>245155.12</v>
      </c>
      <c r="D530" s="1129">
        <f t="shared" si="211"/>
        <v>227348.32</v>
      </c>
      <c r="E530" s="1145">
        <v>0</v>
      </c>
      <c r="F530" s="1145">
        <v>0</v>
      </c>
      <c r="G530" s="1145">
        <v>0</v>
      </c>
      <c r="H530" s="1145">
        <v>0</v>
      </c>
      <c r="I530" s="1145">
        <v>0</v>
      </c>
      <c r="J530" s="1145">
        <v>227348.32</v>
      </c>
      <c r="K530" s="1136">
        <v>0</v>
      </c>
      <c r="L530" s="1145">
        <v>0</v>
      </c>
      <c r="M530" s="1136">
        <v>0</v>
      </c>
      <c r="N530" s="1145">
        <v>0</v>
      </c>
      <c r="O530" s="1145">
        <v>0</v>
      </c>
      <c r="P530" s="1145">
        <v>0</v>
      </c>
      <c r="Q530" s="1145">
        <v>0</v>
      </c>
      <c r="R530" s="1145">
        <v>0</v>
      </c>
      <c r="S530" s="1145">
        <v>0</v>
      </c>
      <c r="T530" s="1145">
        <v>0</v>
      </c>
      <c r="U530" s="1145">
        <v>0</v>
      </c>
      <c r="V530" s="1145">
        <v>0</v>
      </c>
      <c r="W530" s="1129">
        <v>0</v>
      </c>
      <c r="X530" s="1145">
        <v>17806.8</v>
      </c>
      <c r="Y530" s="1145">
        <v>0</v>
      </c>
    </row>
    <row r="531" spans="1:16288" s="1137" customFormat="1" ht="91.15" customHeight="1">
      <c r="A531" s="1280">
        <v>92</v>
      </c>
      <c r="B531" s="1128" t="s">
        <v>1861</v>
      </c>
      <c r="C531" s="1129">
        <f t="shared" si="210"/>
        <v>1123863.72</v>
      </c>
      <c r="D531" s="1129">
        <f t="shared" si="211"/>
        <v>0</v>
      </c>
      <c r="E531" s="1145">
        <v>0</v>
      </c>
      <c r="F531" s="1145">
        <v>0</v>
      </c>
      <c r="G531" s="1145">
        <v>0</v>
      </c>
      <c r="H531" s="1145">
        <v>0</v>
      </c>
      <c r="I531" s="1145">
        <v>0</v>
      </c>
      <c r="J531" s="1145">
        <v>0</v>
      </c>
      <c r="K531" s="1136">
        <v>0</v>
      </c>
      <c r="L531" s="1145">
        <v>0</v>
      </c>
      <c r="M531" s="1136">
        <v>0</v>
      </c>
      <c r="N531" s="1145">
        <v>0</v>
      </c>
      <c r="O531" s="1145">
        <v>263.60000000000002</v>
      </c>
      <c r="P531" s="1145">
        <v>1042232.07</v>
      </c>
      <c r="Q531" s="1145">
        <v>0</v>
      </c>
      <c r="R531" s="1145">
        <v>0</v>
      </c>
      <c r="S531" s="1145">
        <v>0</v>
      </c>
      <c r="T531" s="1145">
        <v>0</v>
      </c>
      <c r="U531" s="1145">
        <v>0</v>
      </c>
      <c r="V531" s="1145">
        <v>0</v>
      </c>
      <c r="W531" s="1167">
        <v>0</v>
      </c>
      <c r="X531" s="1145">
        <v>81631.649999999994</v>
      </c>
      <c r="Y531" s="1145">
        <v>0</v>
      </c>
    </row>
    <row r="532" spans="1:16288" s="1137" customFormat="1" ht="90" customHeight="1">
      <c r="A532" s="1280">
        <v>93</v>
      </c>
      <c r="B532" s="1128" t="s">
        <v>2414</v>
      </c>
      <c r="C532" s="1129">
        <f t="shared" ref="C532" si="212">D532+N532+P532+R532+T532+V532+X532</f>
        <v>794976</v>
      </c>
      <c r="D532" s="1129">
        <f t="shared" ref="D532" si="213">SUM(E532:J532)</f>
        <v>737233</v>
      </c>
      <c r="E532" s="1145">
        <v>737233</v>
      </c>
      <c r="F532" s="1145">
        <v>0</v>
      </c>
      <c r="G532" s="1145">
        <v>0</v>
      </c>
      <c r="H532" s="1145">
        <v>0</v>
      </c>
      <c r="I532" s="1145">
        <v>0</v>
      </c>
      <c r="J532" s="1145">
        <v>0</v>
      </c>
      <c r="K532" s="1136">
        <v>0</v>
      </c>
      <c r="L532" s="1145">
        <v>0</v>
      </c>
      <c r="M532" s="1136">
        <v>0</v>
      </c>
      <c r="N532" s="1145">
        <v>0</v>
      </c>
      <c r="O532" s="1145">
        <v>0</v>
      </c>
      <c r="P532" s="1145">
        <v>0</v>
      </c>
      <c r="Q532" s="1145">
        <v>0</v>
      </c>
      <c r="R532" s="1145">
        <v>0</v>
      </c>
      <c r="S532" s="1145">
        <v>0</v>
      </c>
      <c r="T532" s="1145">
        <v>0</v>
      </c>
      <c r="U532" s="1145">
        <v>0</v>
      </c>
      <c r="V532" s="1145">
        <v>0</v>
      </c>
      <c r="W532" s="1167">
        <v>0</v>
      </c>
      <c r="X532" s="1145">
        <v>57743</v>
      </c>
      <c r="Y532" s="1145">
        <v>0</v>
      </c>
    </row>
    <row r="533" spans="1:16288" s="1137" customFormat="1" ht="87.6" customHeight="1">
      <c r="A533" s="1280">
        <v>94</v>
      </c>
      <c r="B533" s="1207" t="s">
        <v>2415</v>
      </c>
      <c r="C533" s="1129">
        <f t="shared" ref="C533:C534" si="214">D533+N533+P533+R533+T533+V533+X533</f>
        <v>3395787.69</v>
      </c>
      <c r="D533" s="1129">
        <f t="shared" ref="D533:D534" si="215">SUM(E533:J533)</f>
        <v>0</v>
      </c>
      <c r="E533" s="1145">
        <v>0</v>
      </c>
      <c r="F533" s="1145">
        <v>0</v>
      </c>
      <c r="G533" s="1145">
        <v>0</v>
      </c>
      <c r="H533" s="1145">
        <v>0</v>
      </c>
      <c r="I533" s="1145">
        <v>0</v>
      </c>
      <c r="J533" s="1145">
        <v>0</v>
      </c>
      <c r="K533" s="1136">
        <v>0</v>
      </c>
      <c r="L533" s="1145">
        <v>0</v>
      </c>
      <c r="M533" s="1136">
        <v>0</v>
      </c>
      <c r="N533" s="1145">
        <v>0</v>
      </c>
      <c r="O533" s="1145">
        <v>939.7</v>
      </c>
      <c r="P533" s="1145">
        <v>3149135.23</v>
      </c>
      <c r="Q533" s="1145">
        <v>0</v>
      </c>
      <c r="R533" s="1145">
        <v>0</v>
      </c>
      <c r="S533" s="1145">
        <v>0</v>
      </c>
      <c r="T533" s="1145">
        <v>0</v>
      </c>
      <c r="U533" s="1145">
        <v>0</v>
      </c>
      <c r="V533" s="1145">
        <v>0</v>
      </c>
      <c r="W533" s="1167">
        <v>0</v>
      </c>
      <c r="X533" s="1145">
        <v>246652.46</v>
      </c>
      <c r="Y533" s="1145">
        <v>0</v>
      </c>
    </row>
    <row r="534" spans="1:16288" s="1137" customFormat="1" ht="88.9" customHeight="1">
      <c r="A534" s="1280">
        <v>95</v>
      </c>
      <c r="B534" s="1139" t="s">
        <v>2805</v>
      </c>
      <c r="C534" s="1129">
        <f t="shared" si="214"/>
        <v>2515003</v>
      </c>
      <c r="D534" s="1129">
        <f t="shared" si="215"/>
        <v>0</v>
      </c>
      <c r="E534" s="1145">
        <v>0</v>
      </c>
      <c r="F534" s="1145">
        <v>0</v>
      </c>
      <c r="G534" s="1145">
        <v>0</v>
      </c>
      <c r="H534" s="1145">
        <v>0</v>
      </c>
      <c r="I534" s="1145">
        <v>0</v>
      </c>
      <c r="J534" s="1145">
        <v>0</v>
      </c>
      <c r="K534" s="1136">
        <v>0</v>
      </c>
      <c r="L534" s="1145">
        <v>0</v>
      </c>
      <c r="M534" s="1136">
        <v>0</v>
      </c>
      <c r="N534" s="1145">
        <v>0</v>
      </c>
      <c r="O534" s="1145">
        <v>620</v>
      </c>
      <c r="P534" s="1145">
        <v>2332326</v>
      </c>
      <c r="Q534" s="1145">
        <v>0</v>
      </c>
      <c r="R534" s="1145">
        <v>0</v>
      </c>
      <c r="S534" s="1145">
        <v>0</v>
      </c>
      <c r="T534" s="1145">
        <v>0</v>
      </c>
      <c r="U534" s="1145">
        <v>0</v>
      </c>
      <c r="V534" s="1145">
        <v>0</v>
      </c>
      <c r="W534" s="1167">
        <v>0</v>
      </c>
      <c r="X534" s="1145">
        <v>182677</v>
      </c>
      <c r="Y534" s="1145">
        <v>0</v>
      </c>
    </row>
    <row r="535" spans="1:16288" s="1137" customFormat="1" ht="95.25" customHeight="1">
      <c r="A535" s="1280"/>
      <c r="B535" s="1128" t="s">
        <v>2703</v>
      </c>
      <c r="C535" s="1129">
        <f>SUM(C536:C542)</f>
        <v>35413065.210000001</v>
      </c>
      <c r="D535" s="1129">
        <f t="shared" ref="D535:Y535" si="216">SUM(D536:D542)</f>
        <v>0</v>
      </c>
      <c r="E535" s="1129">
        <f t="shared" si="216"/>
        <v>0</v>
      </c>
      <c r="F535" s="1129">
        <f t="shared" si="216"/>
        <v>0</v>
      </c>
      <c r="G535" s="1129">
        <f t="shared" si="216"/>
        <v>0</v>
      </c>
      <c r="H535" s="1129">
        <f t="shared" si="216"/>
        <v>0</v>
      </c>
      <c r="I535" s="1129">
        <f t="shared" si="216"/>
        <v>0</v>
      </c>
      <c r="J535" s="1129">
        <f t="shared" si="216"/>
        <v>0</v>
      </c>
      <c r="K535" s="1136">
        <f t="shared" si="216"/>
        <v>0</v>
      </c>
      <c r="L535" s="1129">
        <f t="shared" si="216"/>
        <v>0</v>
      </c>
      <c r="M535" s="1136">
        <f t="shared" si="216"/>
        <v>0</v>
      </c>
      <c r="N535" s="1129">
        <f t="shared" si="216"/>
        <v>0</v>
      </c>
      <c r="O535" s="1129">
        <f t="shared" si="216"/>
        <v>4694.5</v>
      </c>
      <c r="P535" s="1129">
        <f t="shared" si="216"/>
        <v>14734921</v>
      </c>
      <c r="Q535" s="1129">
        <f t="shared" si="216"/>
        <v>0</v>
      </c>
      <c r="R535" s="1129">
        <f t="shared" si="216"/>
        <v>0</v>
      </c>
      <c r="S535" s="1129">
        <f t="shared" si="216"/>
        <v>7472.9800000000005</v>
      </c>
      <c r="T535" s="1129">
        <f t="shared" si="216"/>
        <v>18267147.210000001</v>
      </c>
      <c r="U535" s="1129">
        <f t="shared" si="216"/>
        <v>0</v>
      </c>
      <c r="V535" s="1129">
        <f t="shared" si="216"/>
        <v>0</v>
      </c>
      <c r="W535" s="1167">
        <v>0</v>
      </c>
      <c r="X535" s="1129">
        <f t="shared" si="216"/>
        <v>2410997</v>
      </c>
      <c r="Y535" s="1129">
        <f t="shared" si="216"/>
        <v>0</v>
      </c>
    </row>
    <row r="536" spans="1:16288" s="1137" customFormat="1" ht="55.9" customHeight="1">
      <c r="A536" s="1280">
        <v>96</v>
      </c>
      <c r="B536" s="1169" t="s">
        <v>1406</v>
      </c>
      <c r="C536" s="1129">
        <f t="shared" ref="C536" si="217">D536+N536+P536+R536+T536+V536+X536</f>
        <v>5441864.0199999996</v>
      </c>
      <c r="D536" s="1129">
        <f t="shared" ref="D536" si="218">SUM(E536:J536)</f>
        <v>0</v>
      </c>
      <c r="E536" s="1129">
        <v>0</v>
      </c>
      <c r="F536" s="1129">
        <v>0</v>
      </c>
      <c r="G536" s="1129">
        <v>0</v>
      </c>
      <c r="H536" s="1129">
        <v>0</v>
      </c>
      <c r="I536" s="1129">
        <v>0</v>
      </c>
      <c r="J536" s="1129">
        <v>0</v>
      </c>
      <c r="K536" s="1136">
        <v>0</v>
      </c>
      <c r="L536" s="1129">
        <v>0</v>
      </c>
      <c r="M536" s="1136">
        <v>0</v>
      </c>
      <c r="N536" s="1129">
        <v>0</v>
      </c>
      <c r="O536" s="1129">
        <v>0</v>
      </c>
      <c r="P536" s="1129">
        <v>0</v>
      </c>
      <c r="Q536" s="1129">
        <v>0</v>
      </c>
      <c r="R536" s="1129">
        <v>0</v>
      </c>
      <c r="S536" s="1129">
        <v>2103.8000000000002</v>
      </c>
      <c r="T536" s="1129">
        <v>5077531.0199999996</v>
      </c>
      <c r="U536" s="1129">
        <v>0</v>
      </c>
      <c r="V536" s="1129">
        <v>0</v>
      </c>
      <c r="W536" s="1129">
        <v>0</v>
      </c>
      <c r="X536" s="1129">
        <v>364333</v>
      </c>
      <c r="Y536" s="1129">
        <v>0</v>
      </c>
    </row>
    <row r="537" spans="1:16288" s="1137" customFormat="1" ht="57" customHeight="1">
      <c r="A537" s="1280">
        <v>97</v>
      </c>
      <c r="B537" s="1169" t="s">
        <v>1407</v>
      </c>
      <c r="C537" s="1129">
        <f t="shared" ref="C537:C542" si="219">D537+N537+P537+R537+T537+V537+X537</f>
        <v>3621525</v>
      </c>
      <c r="D537" s="1129">
        <f t="shared" ref="D537:D542" si="220">SUM(E537:J537)</f>
        <v>0</v>
      </c>
      <c r="E537" s="1129">
        <v>0</v>
      </c>
      <c r="F537" s="1129">
        <v>0</v>
      </c>
      <c r="G537" s="1129">
        <v>0</v>
      </c>
      <c r="H537" s="1129">
        <v>0</v>
      </c>
      <c r="I537" s="1129">
        <v>0</v>
      </c>
      <c r="J537" s="1129">
        <v>0</v>
      </c>
      <c r="K537" s="1136">
        <v>0</v>
      </c>
      <c r="L537" s="1129">
        <v>0</v>
      </c>
      <c r="M537" s="1136">
        <v>0</v>
      </c>
      <c r="N537" s="1129">
        <v>0</v>
      </c>
      <c r="O537" s="1129">
        <v>1070</v>
      </c>
      <c r="P537" s="1129">
        <v>3358476</v>
      </c>
      <c r="Q537" s="1129">
        <v>0</v>
      </c>
      <c r="R537" s="1129">
        <v>0</v>
      </c>
      <c r="S537" s="1129">
        <v>0</v>
      </c>
      <c r="T537" s="1129">
        <v>0</v>
      </c>
      <c r="U537" s="1129">
        <v>0</v>
      </c>
      <c r="V537" s="1129">
        <v>0</v>
      </c>
      <c r="W537" s="1167">
        <v>0</v>
      </c>
      <c r="X537" s="1129">
        <v>263049</v>
      </c>
      <c r="Y537" s="1129">
        <v>0</v>
      </c>
    </row>
    <row r="538" spans="1:16288" s="1137" customFormat="1" ht="54.6" customHeight="1">
      <c r="A538" s="1280">
        <v>98</v>
      </c>
      <c r="B538" s="1169" t="s">
        <v>1408</v>
      </c>
      <c r="C538" s="1129">
        <f t="shared" si="219"/>
        <v>1827686</v>
      </c>
      <c r="D538" s="1129">
        <f t="shared" si="220"/>
        <v>0</v>
      </c>
      <c r="E538" s="1129">
        <v>0</v>
      </c>
      <c r="F538" s="1129">
        <v>0</v>
      </c>
      <c r="G538" s="1129">
        <v>0</v>
      </c>
      <c r="H538" s="1129">
        <v>0</v>
      </c>
      <c r="I538" s="1129">
        <v>0</v>
      </c>
      <c r="J538" s="1129">
        <v>0</v>
      </c>
      <c r="K538" s="1136">
        <v>0</v>
      </c>
      <c r="L538" s="1129">
        <v>0</v>
      </c>
      <c r="M538" s="1136">
        <v>0</v>
      </c>
      <c r="N538" s="1129">
        <v>0</v>
      </c>
      <c r="O538" s="1129">
        <v>540</v>
      </c>
      <c r="P538" s="1129">
        <v>1694932</v>
      </c>
      <c r="Q538" s="1129">
        <v>0</v>
      </c>
      <c r="R538" s="1129">
        <v>0</v>
      </c>
      <c r="S538" s="1129">
        <v>0</v>
      </c>
      <c r="T538" s="1129">
        <v>0</v>
      </c>
      <c r="U538" s="1129">
        <v>0</v>
      </c>
      <c r="V538" s="1129">
        <v>0</v>
      </c>
      <c r="W538" s="1129">
        <v>0</v>
      </c>
      <c r="X538" s="1129">
        <v>132754</v>
      </c>
      <c r="Y538" s="1129">
        <v>0</v>
      </c>
      <c r="Z538" s="1290"/>
      <c r="AA538" s="1170"/>
      <c r="AB538" s="1170"/>
      <c r="AC538" s="1170"/>
      <c r="AD538" s="1170"/>
      <c r="AE538" s="1170"/>
      <c r="AF538" s="1170"/>
      <c r="AG538" s="1170"/>
      <c r="AH538" s="1170"/>
      <c r="AI538" s="1170"/>
      <c r="AJ538" s="1170"/>
      <c r="AK538" s="1170"/>
      <c r="AL538" s="1170"/>
      <c r="AM538" s="1170"/>
      <c r="AN538" s="1170"/>
      <c r="AO538" s="1170"/>
      <c r="AP538" s="1170"/>
      <c r="AQ538" s="1170"/>
      <c r="AR538" s="1170"/>
      <c r="AS538" s="1170"/>
      <c r="AT538" s="1170"/>
      <c r="AU538" s="1170"/>
      <c r="AV538" s="1170"/>
      <c r="AW538" s="1170"/>
      <c r="AX538" s="1170"/>
      <c r="AY538" s="1170"/>
      <c r="AZ538" s="1170"/>
      <c r="BA538" s="1170"/>
      <c r="BB538" s="1170"/>
      <c r="BC538" s="1170"/>
      <c r="BD538" s="1170"/>
      <c r="BE538" s="1170"/>
      <c r="BF538" s="1170"/>
      <c r="BG538" s="1170"/>
      <c r="BH538" s="1170"/>
      <c r="BI538" s="1170"/>
      <c r="BJ538" s="1170"/>
      <c r="BK538" s="1170"/>
      <c r="BL538" s="1170"/>
      <c r="BM538" s="1170"/>
      <c r="BN538" s="1170"/>
      <c r="BO538" s="1170"/>
      <c r="BP538" s="1170"/>
      <c r="BQ538" s="1170"/>
      <c r="BR538" s="1170"/>
      <c r="BS538" s="1170"/>
      <c r="BT538" s="1170"/>
      <c r="BU538" s="1170"/>
      <c r="BV538" s="1170"/>
      <c r="BW538" s="1170"/>
      <c r="BX538" s="1170"/>
      <c r="BY538" s="1170"/>
      <c r="BZ538" s="1170"/>
      <c r="CA538" s="1170"/>
      <c r="CB538" s="1170"/>
      <c r="CC538" s="1170"/>
      <c r="CD538" s="1170"/>
      <c r="CE538" s="1170"/>
      <c r="CF538" s="1170"/>
      <c r="CG538" s="1170"/>
      <c r="CH538" s="1170"/>
      <c r="CI538" s="1170"/>
      <c r="CJ538" s="1170"/>
      <c r="CK538" s="1170"/>
      <c r="CL538" s="1170"/>
      <c r="CM538" s="1170"/>
      <c r="CN538" s="1170"/>
      <c r="CO538" s="1170"/>
      <c r="CP538" s="1170"/>
      <c r="CQ538" s="1170"/>
      <c r="CR538" s="1170"/>
      <c r="CS538" s="1170"/>
      <c r="CT538" s="1170"/>
      <c r="CU538" s="1170"/>
      <c r="CV538" s="1170"/>
      <c r="CW538" s="1170"/>
      <c r="CX538" s="1170"/>
      <c r="CY538" s="1170"/>
      <c r="CZ538" s="1170"/>
      <c r="DA538" s="1170"/>
      <c r="DB538" s="1170"/>
      <c r="DC538" s="1170"/>
      <c r="DD538" s="1170"/>
      <c r="DE538" s="1170"/>
      <c r="DF538" s="1170"/>
      <c r="DG538" s="1170"/>
      <c r="DH538" s="1170"/>
      <c r="DI538" s="1170"/>
      <c r="DJ538" s="1170"/>
      <c r="DK538" s="1170"/>
      <c r="DL538" s="1170"/>
      <c r="DM538" s="1170"/>
      <c r="DN538" s="1170"/>
      <c r="DO538" s="1170"/>
      <c r="DP538" s="1170"/>
      <c r="DQ538" s="1170"/>
      <c r="DR538" s="1170"/>
      <c r="DS538" s="1170"/>
      <c r="DT538" s="1170"/>
      <c r="DU538" s="1170"/>
      <c r="DV538" s="1170"/>
      <c r="DW538" s="1170"/>
      <c r="DX538" s="1170"/>
      <c r="DY538" s="1170"/>
      <c r="DZ538" s="1170"/>
      <c r="EA538" s="1170"/>
      <c r="EB538" s="1170"/>
      <c r="EC538" s="1170"/>
      <c r="ED538" s="1170"/>
      <c r="EE538" s="1170"/>
      <c r="EF538" s="1170"/>
      <c r="EG538" s="1170"/>
      <c r="EH538" s="1170"/>
      <c r="EI538" s="1170"/>
      <c r="EJ538" s="1170"/>
      <c r="EK538" s="1170"/>
      <c r="EL538" s="1170"/>
      <c r="EM538" s="1170"/>
      <c r="EN538" s="1170"/>
      <c r="EO538" s="1170"/>
      <c r="EP538" s="1170"/>
      <c r="EQ538" s="1170"/>
      <c r="ER538" s="1170"/>
      <c r="ES538" s="1170"/>
      <c r="ET538" s="1170"/>
      <c r="EU538" s="1170"/>
      <c r="EV538" s="1170"/>
      <c r="EW538" s="1170"/>
      <c r="EX538" s="1170"/>
      <c r="EY538" s="1170"/>
      <c r="EZ538" s="1170"/>
      <c r="FA538" s="1170"/>
      <c r="FB538" s="1170"/>
      <c r="FC538" s="1170"/>
      <c r="FD538" s="1170"/>
      <c r="FE538" s="1170"/>
      <c r="FF538" s="1170"/>
      <c r="FG538" s="1170"/>
      <c r="FH538" s="1170"/>
      <c r="FI538" s="1170"/>
      <c r="FJ538" s="1170"/>
      <c r="FK538" s="1170"/>
      <c r="FL538" s="1170"/>
      <c r="FM538" s="1170"/>
      <c r="FN538" s="1170"/>
      <c r="FO538" s="1170"/>
      <c r="FP538" s="1170"/>
      <c r="FQ538" s="1170"/>
      <c r="FR538" s="1170"/>
      <c r="FS538" s="1170"/>
      <c r="FT538" s="1170"/>
      <c r="FU538" s="1170"/>
      <c r="FV538" s="1170"/>
      <c r="FW538" s="1170"/>
      <c r="FX538" s="1170"/>
      <c r="FY538" s="1170"/>
      <c r="FZ538" s="1170"/>
      <c r="GA538" s="1170"/>
      <c r="GB538" s="1170"/>
      <c r="GC538" s="1170"/>
      <c r="GD538" s="1170"/>
      <c r="GE538" s="1170"/>
      <c r="GF538" s="1170"/>
      <c r="GG538" s="1170"/>
      <c r="GH538" s="1170"/>
      <c r="GI538" s="1170"/>
      <c r="GJ538" s="1170"/>
      <c r="GK538" s="1170"/>
      <c r="GL538" s="1170"/>
      <c r="GM538" s="1170"/>
      <c r="GN538" s="1170"/>
      <c r="GO538" s="1170"/>
      <c r="GP538" s="1170"/>
      <c r="GQ538" s="1170"/>
      <c r="GR538" s="1170"/>
      <c r="GS538" s="1170"/>
      <c r="GT538" s="1170"/>
      <c r="GU538" s="1170"/>
      <c r="GV538" s="1170"/>
      <c r="GW538" s="1170"/>
      <c r="GX538" s="1170"/>
      <c r="GY538" s="1170"/>
      <c r="GZ538" s="1170"/>
      <c r="HA538" s="1170"/>
      <c r="HB538" s="1170"/>
      <c r="HC538" s="1170"/>
      <c r="HD538" s="1170"/>
      <c r="HE538" s="1170"/>
      <c r="HF538" s="1170"/>
      <c r="HG538" s="1170"/>
      <c r="HH538" s="1170"/>
      <c r="HI538" s="1170"/>
      <c r="HJ538" s="1170"/>
      <c r="HK538" s="1170"/>
      <c r="HL538" s="1170"/>
      <c r="HM538" s="1170"/>
      <c r="HN538" s="1170"/>
      <c r="HO538" s="1170"/>
      <c r="HP538" s="1170"/>
      <c r="HQ538" s="1170"/>
      <c r="HR538" s="1170"/>
      <c r="HS538" s="1170"/>
      <c r="HT538" s="1170"/>
      <c r="HU538" s="1170"/>
      <c r="HV538" s="1170"/>
      <c r="HW538" s="1170"/>
      <c r="HX538" s="1170"/>
      <c r="HY538" s="1170"/>
      <c r="HZ538" s="1170"/>
      <c r="IA538" s="1170"/>
      <c r="IB538" s="1170"/>
      <c r="IC538" s="1170"/>
      <c r="ID538" s="1170"/>
      <c r="IE538" s="1170"/>
      <c r="IF538" s="1170"/>
      <c r="IG538" s="1170"/>
      <c r="IH538" s="1170"/>
      <c r="II538" s="1170"/>
      <c r="IJ538" s="1170"/>
      <c r="IK538" s="1170"/>
      <c r="IL538" s="1170"/>
      <c r="IM538" s="1170"/>
      <c r="IN538" s="1170"/>
      <c r="IO538" s="1170"/>
      <c r="IP538" s="1170"/>
      <c r="IQ538" s="1170"/>
      <c r="IR538" s="1170"/>
      <c r="IS538" s="1170"/>
      <c r="IT538" s="1170"/>
      <c r="IU538" s="1170"/>
      <c r="IV538" s="1170"/>
      <c r="IW538" s="1170"/>
      <c r="IX538" s="1170"/>
      <c r="IY538" s="1170"/>
      <c r="IZ538" s="1170"/>
      <c r="JA538" s="1170"/>
      <c r="JB538" s="1170"/>
      <c r="JC538" s="1170"/>
      <c r="JD538" s="1170"/>
      <c r="JE538" s="1170"/>
      <c r="JF538" s="1170"/>
      <c r="JG538" s="1170"/>
      <c r="JH538" s="1170"/>
      <c r="JI538" s="1170"/>
      <c r="JJ538" s="1170"/>
      <c r="JK538" s="1170"/>
      <c r="JL538" s="1170"/>
      <c r="JM538" s="1170"/>
      <c r="JN538" s="1170"/>
      <c r="JO538" s="1170"/>
      <c r="JP538" s="1170"/>
      <c r="JQ538" s="1170"/>
      <c r="JR538" s="1170"/>
      <c r="JS538" s="1170"/>
      <c r="JT538" s="1170"/>
      <c r="JU538" s="1170"/>
      <c r="JV538" s="1170"/>
      <c r="JW538" s="1170"/>
      <c r="JX538" s="1170"/>
      <c r="JY538" s="1170"/>
      <c r="JZ538" s="1170"/>
      <c r="KA538" s="1170"/>
      <c r="KB538" s="1170"/>
      <c r="KC538" s="1170"/>
      <c r="KD538" s="1170"/>
      <c r="KE538" s="1170"/>
      <c r="KF538" s="1170"/>
      <c r="KG538" s="1170"/>
      <c r="KH538" s="1170"/>
      <c r="KI538" s="1170"/>
      <c r="KJ538" s="1170">
        <v>8298541</v>
      </c>
      <c r="KK538" s="1170">
        <v>8298541</v>
      </c>
      <c r="KL538" s="1170">
        <v>8298541</v>
      </c>
      <c r="KM538" s="1170">
        <v>8298541</v>
      </c>
      <c r="KN538" s="1170">
        <v>8298541</v>
      </c>
      <c r="KO538" s="1170">
        <v>8298541</v>
      </c>
      <c r="KP538" s="1170">
        <v>8298541</v>
      </c>
      <c r="KQ538" s="1170">
        <v>8298541</v>
      </c>
      <c r="KR538" s="1170">
        <v>8298541</v>
      </c>
      <c r="KS538" s="1170">
        <v>8298541</v>
      </c>
      <c r="KT538" s="1170">
        <v>8298541</v>
      </c>
      <c r="KU538" s="1170">
        <v>8298541</v>
      </c>
      <c r="KV538" s="1170">
        <v>8298541</v>
      </c>
      <c r="KW538" s="1170">
        <v>8298541</v>
      </c>
      <c r="KX538" s="1170">
        <v>8298541</v>
      </c>
      <c r="KY538" s="1170">
        <v>8298541</v>
      </c>
      <c r="KZ538" s="1170">
        <v>8298541</v>
      </c>
      <c r="LA538" s="1170">
        <v>8298541</v>
      </c>
      <c r="LB538" s="1170">
        <v>8298541</v>
      </c>
      <c r="LC538" s="1170">
        <v>8298541</v>
      </c>
      <c r="LD538" s="1170">
        <v>8298541</v>
      </c>
      <c r="LE538" s="1170">
        <v>8298541</v>
      </c>
      <c r="LF538" s="1170">
        <v>8298541</v>
      </c>
      <c r="LG538" s="1170">
        <v>8298541</v>
      </c>
      <c r="LH538" s="1170">
        <v>8298541</v>
      </c>
      <c r="LI538" s="1170">
        <v>8298541</v>
      </c>
      <c r="LJ538" s="1170">
        <v>8298541</v>
      </c>
      <c r="LK538" s="1170">
        <v>8298541</v>
      </c>
      <c r="LL538" s="1170">
        <v>8298541</v>
      </c>
      <c r="LM538" s="1170">
        <v>8298541</v>
      </c>
      <c r="LN538" s="1170">
        <v>8298541</v>
      </c>
      <c r="LO538" s="1170">
        <v>8298541</v>
      </c>
      <c r="LP538" s="1170">
        <v>8298541</v>
      </c>
      <c r="LQ538" s="1170">
        <v>8298541</v>
      </c>
      <c r="LR538" s="1170">
        <v>8298541</v>
      </c>
      <c r="LS538" s="1170">
        <v>8298541</v>
      </c>
      <c r="LT538" s="1170">
        <v>8298541</v>
      </c>
      <c r="LU538" s="1170">
        <v>8298541</v>
      </c>
      <c r="LV538" s="1170">
        <v>8298541</v>
      </c>
      <c r="LW538" s="1170">
        <v>8298541</v>
      </c>
      <c r="LX538" s="1170">
        <v>8298541</v>
      </c>
      <c r="LY538" s="1170">
        <v>8298541</v>
      </c>
      <c r="LZ538" s="1170">
        <v>8298541</v>
      </c>
      <c r="MA538" s="1170">
        <v>8298541</v>
      </c>
      <c r="MB538" s="1170">
        <v>8298541</v>
      </c>
      <c r="MC538" s="1170">
        <v>8298541</v>
      </c>
      <c r="MD538" s="1170">
        <v>8298541</v>
      </c>
      <c r="ME538" s="1170">
        <v>8298541</v>
      </c>
      <c r="MF538" s="1170">
        <v>8298541</v>
      </c>
      <c r="MG538" s="1170">
        <v>8298541</v>
      </c>
      <c r="MH538" s="1170">
        <v>8298541</v>
      </c>
      <c r="MI538" s="1170">
        <v>8298541</v>
      </c>
      <c r="MJ538" s="1170">
        <v>8298541</v>
      </c>
      <c r="MK538" s="1170">
        <v>8298541</v>
      </c>
      <c r="ML538" s="1170">
        <v>8298541</v>
      </c>
      <c r="MM538" s="1170">
        <v>8298541</v>
      </c>
      <c r="MN538" s="1170">
        <v>8298541</v>
      </c>
      <c r="MO538" s="1170">
        <v>8298541</v>
      </c>
      <c r="MP538" s="1170">
        <v>8298541</v>
      </c>
      <c r="MQ538" s="1170">
        <v>8298541</v>
      </c>
      <c r="MR538" s="1170">
        <v>8298541</v>
      </c>
      <c r="MS538" s="1170">
        <v>8298541</v>
      </c>
      <c r="MT538" s="1170">
        <v>8298541</v>
      </c>
      <c r="MU538" s="1170">
        <v>8298541</v>
      </c>
      <c r="MV538" s="1170">
        <v>8298541</v>
      </c>
      <c r="MW538" s="1170">
        <v>8298541</v>
      </c>
      <c r="MX538" s="1170">
        <v>8298541</v>
      </c>
      <c r="MY538" s="1170">
        <v>8298541</v>
      </c>
      <c r="MZ538" s="1170">
        <v>8298541</v>
      </c>
      <c r="NA538" s="1170">
        <v>8298541</v>
      </c>
      <c r="NB538" s="1170">
        <v>8298541</v>
      </c>
      <c r="NC538" s="1170">
        <v>8298541</v>
      </c>
      <c r="ND538" s="1170">
        <v>8298541</v>
      </c>
      <c r="NE538" s="1170">
        <v>8298541</v>
      </c>
      <c r="NF538" s="1170">
        <v>8298541</v>
      </c>
      <c r="NG538" s="1170">
        <v>8298541</v>
      </c>
      <c r="NH538" s="1170">
        <v>8298541</v>
      </c>
      <c r="NI538" s="1170">
        <v>8298541</v>
      </c>
      <c r="NJ538" s="1170">
        <v>8298541</v>
      </c>
      <c r="NK538" s="1170">
        <v>8298541</v>
      </c>
      <c r="NL538" s="1170">
        <v>8298541</v>
      </c>
      <c r="NM538" s="1170">
        <v>8298541</v>
      </c>
      <c r="NN538" s="1170">
        <v>8298541</v>
      </c>
      <c r="NO538" s="1170">
        <v>8298541</v>
      </c>
      <c r="NP538" s="1170">
        <v>8298541</v>
      </c>
      <c r="NQ538" s="1170">
        <v>8298541</v>
      </c>
      <c r="NR538" s="1170">
        <v>8298541</v>
      </c>
      <c r="NS538" s="1170">
        <v>8298541</v>
      </c>
      <c r="NT538" s="1170">
        <v>8298541</v>
      </c>
      <c r="NU538" s="1170">
        <v>8298541</v>
      </c>
      <c r="NV538" s="1170">
        <v>8298541</v>
      </c>
      <c r="NW538" s="1170">
        <v>8298541</v>
      </c>
      <c r="NX538" s="1170">
        <v>8298541</v>
      </c>
      <c r="NY538" s="1170">
        <v>8298541</v>
      </c>
      <c r="NZ538" s="1170">
        <v>8298541</v>
      </c>
      <c r="OA538" s="1170">
        <v>8298541</v>
      </c>
      <c r="OB538" s="1170">
        <v>8298541</v>
      </c>
      <c r="OC538" s="1170">
        <v>8298541</v>
      </c>
      <c r="OD538" s="1170">
        <v>8298541</v>
      </c>
      <c r="OE538" s="1170">
        <v>8298541</v>
      </c>
      <c r="OF538" s="1170">
        <v>8298541</v>
      </c>
      <c r="OG538" s="1170">
        <v>8298541</v>
      </c>
      <c r="OH538" s="1170">
        <v>8298541</v>
      </c>
      <c r="OI538" s="1170">
        <v>8298541</v>
      </c>
      <c r="OJ538" s="1170">
        <v>8298541</v>
      </c>
      <c r="OK538" s="1170">
        <v>8298541</v>
      </c>
      <c r="OL538" s="1170">
        <v>8298541</v>
      </c>
      <c r="OM538" s="1170">
        <v>8298541</v>
      </c>
      <c r="ON538" s="1170">
        <v>8298541</v>
      </c>
      <c r="OO538" s="1170">
        <v>8298541</v>
      </c>
      <c r="OP538" s="1170">
        <v>8298541</v>
      </c>
      <c r="OQ538" s="1170">
        <v>8298541</v>
      </c>
      <c r="OR538" s="1170">
        <v>8298541</v>
      </c>
      <c r="OS538" s="1170">
        <v>8298541</v>
      </c>
      <c r="OT538" s="1170">
        <v>8298541</v>
      </c>
      <c r="OU538" s="1170">
        <v>8298541</v>
      </c>
      <c r="OV538" s="1170">
        <v>8298541</v>
      </c>
      <c r="OW538" s="1170">
        <v>8298541</v>
      </c>
      <c r="OX538" s="1170">
        <v>8298541</v>
      </c>
      <c r="OY538" s="1170">
        <v>8298541</v>
      </c>
      <c r="OZ538" s="1170">
        <v>8298541</v>
      </c>
      <c r="PA538" s="1170">
        <v>8298541</v>
      </c>
      <c r="PB538" s="1170">
        <v>8298541</v>
      </c>
      <c r="PC538" s="1170">
        <v>8298541</v>
      </c>
      <c r="PD538" s="1170">
        <v>8298541</v>
      </c>
      <c r="PE538" s="1170">
        <v>8298541</v>
      </c>
      <c r="PF538" s="1170">
        <v>8298541</v>
      </c>
      <c r="PG538" s="1170">
        <v>8298541</v>
      </c>
      <c r="PH538" s="1170">
        <v>8298541</v>
      </c>
      <c r="PI538" s="1170">
        <v>8298541</v>
      </c>
      <c r="PJ538" s="1170">
        <v>8298541</v>
      </c>
      <c r="PK538" s="1170">
        <v>8298541</v>
      </c>
      <c r="PL538" s="1170">
        <v>8298541</v>
      </c>
      <c r="PM538" s="1170">
        <v>8298541</v>
      </c>
      <c r="PN538" s="1170">
        <v>8298541</v>
      </c>
      <c r="PO538" s="1170">
        <v>8298541</v>
      </c>
      <c r="PP538" s="1170">
        <v>8298541</v>
      </c>
      <c r="PQ538" s="1170">
        <v>8298541</v>
      </c>
      <c r="PR538" s="1170">
        <v>8298541</v>
      </c>
      <c r="PS538" s="1170">
        <v>8298541</v>
      </c>
      <c r="PT538" s="1170">
        <v>8298541</v>
      </c>
      <c r="PU538" s="1170">
        <v>8298541</v>
      </c>
      <c r="PV538" s="1170">
        <v>8298541</v>
      </c>
      <c r="PW538" s="1170">
        <v>8298541</v>
      </c>
      <c r="PX538" s="1170">
        <v>8298541</v>
      </c>
      <c r="PY538" s="1170">
        <v>8298541</v>
      </c>
      <c r="PZ538" s="1170">
        <v>8298541</v>
      </c>
      <c r="QA538" s="1170">
        <v>8298541</v>
      </c>
      <c r="QB538" s="1170">
        <v>8298541</v>
      </c>
      <c r="QC538" s="1170">
        <v>8298541</v>
      </c>
      <c r="QD538" s="1170">
        <v>8298541</v>
      </c>
      <c r="QE538" s="1170">
        <v>8298541</v>
      </c>
      <c r="QF538" s="1170">
        <v>8298541</v>
      </c>
      <c r="QG538" s="1170">
        <v>8298541</v>
      </c>
      <c r="QH538" s="1170">
        <v>8298541</v>
      </c>
      <c r="QI538" s="1170">
        <v>8298541</v>
      </c>
      <c r="QJ538" s="1170">
        <v>8298541</v>
      </c>
      <c r="QK538" s="1170">
        <v>8298541</v>
      </c>
      <c r="QL538" s="1170">
        <v>8298541</v>
      </c>
      <c r="QM538" s="1170">
        <v>8298541</v>
      </c>
      <c r="QN538" s="1170">
        <v>8298541</v>
      </c>
      <c r="QO538" s="1170">
        <v>8298541</v>
      </c>
      <c r="QP538" s="1170">
        <v>8298541</v>
      </c>
      <c r="QQ538" s="1170">
        <v>8298541</v>
      </c>
      <c r="QR538" s="1170">
        <v>8298541</v>
      </c>
      <c r="QS538" s="1170">
        <v>8298541</v>
      </c>
      <c r="QT538" s="1170">
        <v>8298541</v>
      </c>
      <c r="QU538" s="1170">
        <v>8298541</v>
      </c>
      <c r="QV538" s="1170">
        <v>8298541</v>
      </c>
      <c r="QW538" s="1170">
        <v>8298541</v>
      </c>
      <c r="QX538" s="1170">
        <v>8298541</v>
      </c>
      <c r="QY538" s="1170">
        <v>8298541</v>
      </c>
      <c r="QZ538" s="1170">
        <v>8298541</v>
      </c>
      <c r="RA538" s="1170">
        <v>8298541</v>
      </c>
      <c r="RB538" s="1170">
        <v>8298541</v>
      </c>
      <c r="RC538" s="1170">
        <v>8298541</v>
      </c>
      <c r="RD538" s="1170">
        <v>8298541</v>
      </c>
      <c r="RE538" s="1170">
        <v>8298541</v>
      </c>
      <c r="RF538" s="1170">
        <v>8298541</v>
      </c>
      <c r="RG538" s="1170">
        <v>8298541</v>
      </c>
      <c r="RH538" s="1170">
        <v>8298541</v>
      </c>
      <c r="RI538" s="1170">
        <v>8298541</v>
      </c>
      <c r="RJ538" s="1170">
        <v>8298541</v>
      </c>
      <c r="RK538" s="1170">
        <v>8298541</v>
      </c>
      <c r="RL538" s="1170">
        <v>8298541</v>
      </c>
      <c r="RM538" s="1170">
        <v>8298541</v>
      </c>
      <c r="RN538" s="1170">
        <v>8298541</v>
      </c>
      <c r="RO538" s="1170">
        <v>8298541</v>
      </c>
      <c r="RP538" s="1170">
        <v>8298541</v>
      </c>
      <c r="RQ538" s="1170">
        <v>8298541</v>
      </c>
      <c r="RR538" s="1170">
        <v>8298541</v>
      </c>
      <c r="RS538" s="1170">
        <v>8298541</v>
      </c>
      <c r="RT538" s="1170">
        <v>8298541</v>
      </c>
      <c r="RU538" s="1170">
        <v>8298541</v>
      </c>
      <c r="RV538" s="1170">
        <v>8298541</v>
      </c>
      <c r="RW538" s="1170">
        <v>8298541</v>
      </c>
      <c r="RX538" s="1170">
        <v>8298541</v>
      </c>
      <c r="RY538" s="1170">
        <v>8298541</v>
      </c>
      <c r="RZ538" s="1170">
        <v>8298541</v>
      </c>
      <c r="SA538" s="1170">
        <v>8298541</v>
      </c>
      <c r="SB538" s="1170">
        <v>8298541</v>
      </c>
      <c r="SC538" s="1170">
        <v>8298541</v>
      </c>
      <c r="SD538" s="1170">
        <v>8298541</v>
      </c>
      <c r="SE538" s="1170">
        <v>8298541</v>
      </c>
      <c r="SF538" s="1170">
        <v>8298541</v>
      </c>
      <c r="SG538" s="1170">
        <v>8298541</v>
      </c>
      <c r="SH538" s="1170">
        <v>8298541</v>
      </c>
      <c r="SI538" s="1170">
        <v>8298541</v>
      </c>
      <c r="SJ538" s="1170">
        <v>8298541</v>
      </c>
      <c r="SK538" s="1170">
        <v>8298541</v>
      </c>
      <c r="SL538" s="1170">
        <v>8298541</v>
      </c>
      <c r="SM538" s="1170">
        <v>8298541</v>
      </c>
      <c r="SN538" s="1170">
        <v>8298541</v>
      </c>
      <c r="SO538" s="1170">
        <v>8298541</v>
      </c>
      <c r="SP538" s="1170">
        <v>8298541</v>
      </c>
      <c r="SQ538" s="1170">
        <v>8298541</v>
      </c>
      <c r="SR538" s="1170">
        <v>8298541</v>
      </c>
      <c r="SS538" s="1170">
        <v>8298541</v>
      </c>
      <c r="ST538" s="1170">
        <v>8298541</v>
      </c>
      <c r="SU538" s="1170">
        <v>8298541</v>
      </c>
      <c r="SV538" s="1170">
        <v>8298541</v>
      </c>
      <c r="SW538" s="1170">
        <v>8298541</v>
      </c>
      <c r="SX538" s="1170">
        <v>8298541</v>
      </c>
      <c r="SY538" s="1170">
        <v>8298541</v>
      </c>
      <c r="SZ538" s="1170">
        <v>8298541</v>
      </c>
      <c r="TA538" s="1170">
        <v>8298541</v>
      </c>
      <c r="TB538" s="1170">
        <v>8298541</v>
      </c>
      <c r="TC538" s="1170">
        <v>8298541</v>
      </c>
      <c r="TD538" s="1170">
        <v>8298541</v>
      </c>
      <c r="TE538" s="1170">
        <v>8298541</v>
      </c>
      <c r="TF538" s="1170">
        <v>8298541</v>
      </c>
      <c r="TG538" s="1170">
        <v>8298541</v>
      </c>
      <c r="TH538" s="1170">
        <v>8298541</v>
      </c>
      <c r="TI538" s="1170">
        <v>8298541</v>
      </c>
      <c r="TJ538" s="1170">
        <v>8298541</v>
      </c>
      <c r="TK538" s="1170">
        <v>8298541</v>
      </c>
      <c r="TL538" s="1170">
        <v>8298541</v>
      </c>
      <c r="TM538" s="1170">
        <v>8298541</v>
      </c>
      <c r="TN538" s="1170">
        <v>8298541</v>
      </c>
      <c r="TO538" s="1170">
        <v>8298541</v>
      </c>
      <c r="TP538" s="1170">
        <v>8298541</v>
      </c>
      <c r="TQ538" s="1170">
        <v>8298541</v>
      </c>
      <c r="TR538" s="1170">
        <v>8298541</v>
      </c>
      <c r="TS538" s="1170">
        <v>8298541</v>
      </c>
      <c r="TT538" s="1170">
        <v>8298541</v>
      </c>
      <c r="TU538" s="1170">
        <v>8298541</v>
      </c>
      <c r="TV538" s="1170">
        <v>8298541</v>
      </c>
      <c r="TW538" s="1170">
        <v>8298541</v>
      </c>
      <c r="TX538" s="1170">
        <v>8298541</v>
      </c>
      <c r="TY538" s="1170">
        <v>8298541</v>
      </c>
      <c r="TZ538" s="1170">
        <v>8298541</v>
      </c>
      <c r="UA538" s="1170">
        <v>8298541</v>
      </c>
      <c r="UB538" s="1170">
        <v>8298541</v>
      </c>
      <c r="UC538" s="1170">
        <v>8298541</v>
      </c>
      <c r="UD538" s="1170">
        <v>8298541</v>
      </c>
      <c r="UE538" s="1170">
        <v>8298541</v>
      </c>
      <c r="UF538" s="1170">
        <v>8298541</v>
      </c>
      <c r="UG538" s="1170">
        <v>8298541</v>
      </c>
      <c r="UH538" s="1170">
        <v>8298541</v>
      </c>
      <c r="UI538" s="1170">
        <v>8298541</v>
      </c>
      <c r="UJ538" s="1170">
        <v>8298541</v>
      </c>
      <c r="UK538" s="1170">
        <v>8298541</v>
      </c>
      <c r="UL538" s="1170">
        <v>8298541</v>
      </c>
      <c r="UM538" s="1170">
        <v>8298541</v>
      </c>
      <c r="UN538" s="1170">
        <v>8298541</v>
      </c>
      <c r="UO538" s="1170">
        <v>8298541</v>
      </c>
      <c r="UP538" s="1170">
        <v>8298541</v>
      </c>
      <c r="UQ538" s="1170">
        <v>8298541</v>
      </c>
      <c r="UR538" s="1170">
        <v>8298541</v>
      </c>
      <c r="US538" s="1170">
        <v>8298541</v>
      </c>
      <c r="UT538" s="1170">
        <v>8298541</v>
      </c>
      <c r="UU538" s="1170">
        <v>8298541</v>
      </c>
      <c r="UV538" s="1170">
        <v>8298541</v>
      </c>
      <c r="UW538" s="1170">
        <v>8298541</v>
      </c>
      <c r="UX538" s="1170">
        <v>8298541</v>
      </c>
      <c r="UY538" s="1170">
        <v>8298541</v>
      </c>
      <c r="UZ538" s="1170">
        <v>8298541</v>
      </c>
      <c r="VA538" s="1170">
        <v>8298541</v>
      </c>
      <c r="VB538" s="1170">
        <v>8298541</v>
      </c>
      <c r="VC538" s="1170">
        <v>8298541</v>
      </c>
      <c r="VD538" s="1170">
        <v>8298541</v>
      </c>
      <c r="VE538" s="1170">
        <v>8298541</v>
      </c>
      <c r="VF538" s="1170">
        <v>8298541</v>
      </c>
      <c r="VG538" s="1170">
        <v>8298541</v>
      </c>
      <c r="VH538" s="1170">
        <v>8298541</v>
      </c>
      <c r="VI538" s="1170">
        <v>8298541</v>
      </c>
      <c r="VJ538" s="1170">
        <v>8298541</v>
      </c>
      <c r="VK538" s="1170">
        <v>8298541</v>
      </c>
      <c r="VL538" s="1170">
        <v>8298541</v>
      </c>
      <c r="VM538" s="1170">
        <v>8298541</v>
      </c>
      <c r="VN538" s="1170">
        <v>8298541</v>
      </c>
      <c r="VO538" s="1170">
        <v>8298541</v>
      </c>
      <c r="VP538" s="1170">
        <v>8298541</v>
      </c>
      <c r="VQ538" s="1170">
        <v>8298541</v>
      </c>
      <c r="VR538" s="1170">
        <v>8298541</v>
      </c>
      <c r="VS538" s="1170">
        <v>8298541</v>
      </c>
      <c r="VT538" s="1170">
        <v>8298541</v>
      </c>
      <c r="VU538" s="1170">
        <v>8298541</v>
      </c>
      <c r="VV538" s="1170">
        <v>8298541</v>
      </c>
      <c r="VW538" s="1170">
        <v>8298541</v>
      </c>
      <c r="VX538" s="1170">
        <v>8298541</v>
      </c>
      <c r="VY538" s="1170">
        <v>8298541</v>
      </c>
      <c r="VZ538" s="1170">
        <v>8298541</v>
      </c>
      <c r="WA538" s="1170">
        <v>8298541</v>
      </c>
      <c r="WB538" s="1170">
        <v>8298541</v>
      </c>
      <c r="WC538" s="1170">
        <v>8298541</v>
      </c>
      <c r="WD538" s="1170">
        <v>8298541</v>
      </c>
      <c r="WE538" s="1170">
        <v>8298541</v>
      </c>
      <c r="WF538" s="1170">
        <v>8298541</v>
      </c>
      <c r="WG538" s="1170">
        <v>8298541</v>
      </c>
      <c r="WH538" s="1170">
        <v>8298541</v>
      </c>
      <c r="WI538" s="1170">
        <v>8298541</v>
      </c>
      <c r="WJ538" s="1170">
        <v>8298541</v>
      </c>
      <c r="WK538" s="1170">
        <v>8298541</v>
      </c>
      <c r="WL538" s="1170">
        <v>8298541</v>
      </c>
      <c r="WM538" s="1170">
        <v>8298541</v>
      </c>
      <c r="WN538" s="1170">
        <v>8298541</v>
      </c>
      <c r="WO538" s="1170">
        <v>8298541</v>
      </c>
      <c r="WP538" s="1170">
        <v>8298541</v>
      </c>
      <c r="WQ538" s="1170">
        <v>8298541</v>
      </c>
      <c r="WR538" s="1170">
        <v>8298541</v>
      </c>
      <c r="WS538" s="1170">
        <v>8298541</v>
      </c>
      <c r="WT538" s="1170">
        <v>8298541</v>
      </c>
      <c r="WU538" s="1170">
        <v>8298541</v>
      </c>
      <c r="WV538" s="1170">
        <v>8298541</v>
      </c>
      <c r="WW538" s="1170">
        <v>8298541</v>
      </c>
      <c r="WX538" s="1170">
        <v>8298541</v>
      </c>
      <c r="WY538" s="1170">
        <v>8298541</v>
      </c>
      <c r="WZ538" s="1170">
        <v>8298541</v>
      </c>
      <c r="XA538" s="1170">
        <v>8298541</v>
      </c>
      <c r="XB538" s="1170">
        <v>8298541</v>
      </c>
      <c r="XC538" s="1170">
        <v>8298541</v>
      </c>
      <c r="XD538" s="1170">
        <v>8298541</v>
      </c>
      <c r="XE538" s="1170">
        <v>8298541</v>
      </c>
      <c r="XF538" s="1170">
        <v>8298541</v>
      </c>
      <c r="XG538" s="1170">
        <v>8298541</v>
      </c>
      <c r="XH538" s="1170">
        <v>8298541</v>
      </c>
      <c r="XI538" s="1170">
        <v>8298541</v>
      </c>
      <c r="XJ538" s="1170">
        <v>8298541</v>
      </c>
      <c r="XK538" s="1170">
        <v>8298541</v>
      </c>
      <c r="XL538" s="1170">
        <v>8298541</v>
      </c>
      <c r="XM538" s="1170">
        <v>8298541</v>
      </c>
      <c r="XN538" s="1170">
        <v>8298541</v>
      </c>
      <c r="XO538" s="1170">
        <v>8298541</v>
      </c>
      <c r="XP538" s="1170">
        <v>8298541</v>
      </c>
      <c r="XQ538" s="1170">
        <v>8298541</v>
      </c>
      <c r="XR538" s="1170">
        <v>8298541</v>
      </c>
      <c r="XS538" s="1170">
        <v>8298541</v>
      </c>
      <c r="XT538" s="1170">
        <v>8298541</v>
      </c>
      <c r="XU538" s="1170">
        <v>8298541</v>
      </c>
      <c r="XV538" s="1170">
        <v>8298541</v>
      </c>
      <c r="XW538" s="1170">
        <v>8298541</v>
      </c>
      <c r="XX538" s="1170">
        <v>8298541</v>
      </c>
      <c r="XY538" s="1170">
        <v>8298541</v>
      </c>
      <c r="XZ538" s="1170">
        <v>8298541</v>
      </c>
      <c r="YA538" s="1170">
        <v>8298541</v>
      </c>
      <c r="YB538" s="1170">
        <v>8298541</v>
      </c>
      <c r="YC538" s="1170">
        <v>8298541</v>
      </c>
      <c r="YD538" s="1170">
        <v>8298541</v>
      </c>
      <c r="YE538" s="1170">
        <v>8298541</v>
      </c>
      <c r="YF538" s="1170">
        <v>8298541</v>
      </c>
      <c r="YG538" s="1170">
        <v>8298541</v>
      </c>
      <c r="YH538" s="1170">
        <v>8298541</v>
      </c>
      <c r="YI538" s="1170">
        <v>8298541</v>
      </c>
      <c r="YJ538" s="1170">
        <v>8298541</v>
      </c>
      <c r="YK538" s="1170">
        <v>8298541</v>
      </c>
      <c r="YL538" s="1170">
        <v>8298541</v>
      </c>
      <c r="YM538" s="1170">
        <v>8298541</v>
      </c>
      <c r="YN538" s="1170">
        <v>8298541</v>
      </c>
      <c r="YO538" s="1170">
        <v>8298541</v>
      </c>
      <c r="YP538" s="1170">
        <v>8298541</v>
      </c>
      <c r="YQ538" s="1170">
        <v>8298541</v>
      </c>
      <c r="YR538" s="1170">
        <v>8298541</v>
      </c>
      <c r="YS538" s="1170">
        <v>8298541</v>
      </c>
      <c r="YT538" s="1170">
        <v>8298541</v>
      </c>
      <c r="YU538" s="1170">
        <v>8298541</v>
      </c>
      <c r="YV538" s="1170">
        <v>8298541</v>
      </c>
      <c r="YW538" s="1170">
        <v>8298541</v>
      </c>
      <c r="YX538" s="1170">
        <v>8298541</v>
      </c>
      <c r="YY538" s="1170">
        <v>8298541</v>
      </c>
      <c r="YZ538" s="1170">
        <v>8298541</v>
      </c>
      <c r="ZA538" s="1170">
        <v>8298541</v>
      </c>
      <c r="ZB538" s="1170">
        <v>8298541</v>
      </c>
      <c r="ZC538" s="1170">
        <v>8298541</v>
      </c>
      <c r="ZD538" s="1170">
        <v>8298541</v>
      </c>
      <c r="ZE538" s="1170">
        <v>8298541</v>
      </c>
      <c r="ZF538" s="1170">
        <v>8298541</v>
      </c>
      <c r="ZG538" s="1170">
        <v>8298541</v>
      </c>
      <c r="ZH538" s="1170">
        <v>8298541</v>
      </c>
      <c r="ZI538" s="1170">
        <v>8298541</v>
      </c>
      <c r="ZJ538" s="1170">
        <v>8298541</v>
      </c>
      <c r="ZK538" s="1170">
        <v>8298541</v>
      </c>
      <c r="ZL538" s="1170">
        <v>8298541</v>
      </c>
      <c r="ZM538" s="1170">
        <v>8298541</v>
      </c>
      <c r="ZN538" s="1170">
        <v>8298541</v>
      </c>
      <c r="ZO538" s="1170">
        <v>8298541</v>
      </c>
      <c r="ZP538" s="1170">
        <v>8298541</v>
      </c>
      <c r="ZQ538" s="1170">
        <v>8298541</v>
      </c>
      <c r="ZR538" s="1170">
        <v>8298541</v>
      </c>
      <c r="ZS538" s="1170">
        <v>8298541</v>
      </c>
      <c r="ZT538" s="1170">
        <v>8298541</v>
      </c>
      <c r="ZU538" s="1170">
        <v>8298541</v>
      </c>
      <c r="ZV538" s="1170">
        <v>8298541</v>
      </c>
      <c r="ZW538" s="1170">
        <v>8298541</v>
      </c>
      <c r="ZX538" s="1170">
        <v>8298541</v>
      </c>
      <c r="ZY538" s="1170">
        <v>8298541</v>
      </c>
      <c r="ZZ538" s="1170">
        <v>8298541</v>
      </c>
      <c r="AAA538" s="1170">
        <v>8298541</v>
      </c>
      <c r="AAB538" s="1170">
        <v>8298541</v>
      </c>
      <c r="AAC538" s="1170">
        <v>8298541</v>
      </c>
      <c r="AAD538" s="1170">
        <v>8298541</v>
      </c>
      <c r="AAE538" s="1170">
        <v>8298541</v>
      </c>
      <c r="AAF538" s="1170">
        <v>8298541</v>
      </c>
      <c r="AAG538" s="1170">
        <v>8298541</v>
      </c>
      <c r="AAH538" s="1170">
        <v>8298541</v>
      </c>
      <c r="AAI538" s="1170">
        <v>8298541</v>
      </c>
      <c r="AAJ538" s="1170">
        <v>8298541</v>
      </c>
      <c r="AAK538" s="1170">
        <v>8298541</v>
      </c>
      <c r="AAL538" s="1170">
        <v>8298541</v>
      </c>
      <c r="AAM538" s="1170">
        <v>8298541</v>
      </c>
      <c r="AAN538" s="1170">
        <v>8298541</v>
      </c>
      <c r="AAO538" s="1170">
        <v>8298541</v>
      </c>
      <c r="AAP538" s="1170">
        <v>8298541</v>
      </c>
      <c r="AAQ538" s="1170">
        <v>8298541</v>
      </c>
      <c r="AAR538" s="1170">
        <v>8298541</v>
      </c>
      <c r="AAS538" s="1170">
        <v>8298541</v>
      </c>
      <c r="AAT538" s="1170">
        <v>8298541</v>
      </c>
      <c r="AAU538" s="1170">
        <v>8298541</v>
      </c>
      <c r="AAV538" s="1170">
        <v>8298541</v>
      </c>
      <c r="AAW538" s="1170">
        <v>8298541</v>
      </c>
      <c r="AAX538" s="1170">
        <v>8298541</v>
      </c>
      <c r="AAY538" s="1170">
        <v>8298541</v>
      </c>
      <c r="AAZ538" s="1170">
        <v>8298541</v>
      </c>
      <c r="ABA538" s="1170">
        <v>8298541</v>
      </c>
      <c r="ABB538" s="1170">
        <v>8298541</v>
      </c>
      <c r="ABC538" s="1170">
        <v>8298541</v>
      </c>
      <c r="ABD538" s="1170">
        <v>8298541</v>
      </c>
      <c r="ABE538" s="1170">
        <v>8298541</v>
      </c>
      <c r="ABF538" s="1170">
        <v>8298541</v>
      </c>
      <c r="ABG538" s="1170">
        <v>8298541</v>
      </c>
      <c r="ABH538" s="1170">
        <v>8298541</v>
      </c>
      <c r="ABI538" s="1170">
        <v>8298541</v>
      </c>
      <c r="ABJ538" s="1170">
        <v>8298541</v>
      </c>
      <c r="ABK538" s="1170">
        <v>8298541</v>
      </c>
      <c r="ABL538" s="1170">
        <v>8298541</v>
      </c>
      <c r="ABM538" s="1170">
        <v>8298541</v>
      </c>
      <c r="ABN538" s="1170">
        <v>8298541</v>
      </c>
      <c r="ABO538" s="1170">
        <v>8298541</v>
      </c>
      <c r="ABP538" s="1170">
        <v>8298541</v>
      </c>
      <c r="ABQ538" s="1170">
        <v>8298541</v>
      </c>
      <c r="ABR538" s="1170">
        <v>8298541</v>
      </c>
      <c r="ABS538" s="1170">
        <v>8298541</v>
      </c>
      <c r="ABT538" s="1170">
        <v>8298541</v>
      </c>
      <c r="ABU538" s="1170">
        <v>8298541</v>
      </c>
      <c r="ABV538" s="1170">
        <v>8298541</v>
      </c>
      <c r="ABW538" s="1170">
        <v>8298541</v>
      </c>
      <c r="ABX538" s="1170">
        <v>8298541</v>
      </c>
      <c r="ABY538" s="1170">
        <v>8298541</v>
      </c>
      <c r="ABZ538" s="1170">
        <v>8298541</v>
      </c>
      <c r="ACA538" s="1170">
        <v>8298541</v>
      </c>
      <c r="ACB538" s="1170">
        <v>8298541</v>
      </c>
      <c r="ACC538" s="1170">
        <v>8298541</v>
      </c>
      <c r="ACD538" s="1170">
        <v>8298541</v>
      </c>
      <c r="ACE538" s="1170">
        <v>8298541</v>
      </c>
      <c r="ACF538" s="1170">
        <v>8298541</v>
      </c>
      <c r="ACG538" s="1170">
        <v>8298541</v>
      </c>
      <c r="ACH538" s="1170">
        <v>8298541</v>
      </c>
      <c r="ACI538" s="1170">
        <v>8298541</v>
      </c>
      <c r="ACJ538" s="1170">
        <v>8298541</v>
      </c>
      <c r="ACK538" s="1170">
        <v>8298541</v>
      </c>
      <c r="ACL538" s="1170">
        <v>8298541</v>
      </c>
      <c r="ACM538" s="1170">
        <v>8298541</v>
      </c>
      <c r="ACN538" s="1170">
        <v>8298541</v>
      </c>
      <c r="ACO538" s="1170">
        <v>8298541</v>
      </c>
      <c r="ACP538" s="1170">
        <v>8298541</v>
      </c>
      <c r="ACQ538" s="1170">
        <v>8298541</v>
      </c>
      <c r="ACR538" s="1170">
        <v>8298541</v>
      </c>
      <c r="ACS538" s="1170">
        <v>8298541</v>
      </c>
      <c r="ACT538" s="1170">
        <v>8298541</v>
      </c>
      <c r="ACU538" s="1170">
        <v>8298541</v>
      </c>
      <c r="ACV538" s="1170">
        <v>8298541</v>
      </c>
      <c r="ACW538" s="1170">
        <v>8298541</v>
      </c>
      <c r="ACX538" s="1170">
        <v>8298541</v>
      </c>
      <c r="ACY538" s="1170">
        <v>8298541</v>
      </c>
      <c r="ACZ538" s="1170">
        <v>8298541</v>
      </c>
      <c r="ADA538" s="1170">
        <v>8298541</v>
      </c>
      <c r="ADB538" s="1170">
        <v>8298541</v>
      </c>
      <c r="ADC538" s="1170">
        <v>8298541</v>
      </c>
      <c r="ADD538" s="1170">
        <v>8298541</v>
      </c>
      <c r="ADE538" s="1170">
        <v>8298541</v>
      </c>
      <c r="ADF538" s="1170">
        <v>8298541</v>
      </c>
      <c r="ADG538" s="1170">
        <v>8298541</v>
      </c>
      <c r="ADH538" s="1170">
        <v>8298541</v>
      </c>
      <c r="ADI538" s="1170">
        <v>8298541</v>
      </c>
      <c r="ADJ538" s="1170">
        <v>8298541</v>
      </c>
      <c r="ADK538" s="1170">
        <v>8298541</v>
      </c>
      <c r="ADL538" s="1170">
        <v>8298541</v>
      </c>
      <c r="ADM538" s="1170">
        <v>8298541</v>
      </c>
      <c r="ADN538" s="1170">
        <v>8298541</v>
      </c>
      <c r="ADO538" s="1170">
        <v>8298541</v>
      </c>
      <c r="ADP538" s="1170">
        <v>8298541</v>
      </c>
      <c r="ADQ538" s="1170">
        <v>8298541</v>
      </c>
      <c r="ADR538" s="1170">
        <v>8298541</v>
      </c>
      <c r="ADS538" s="1170">
        <v>8298541</v>
      </c>
      <c r="ADT538" s="1170">
        <v>8298541</v>
      </c>
      <c r="ADU538" s="1170">
        <v>8298541</v>
      </c>
      <c r="ADV538" s="1170">
        <v>8298541</v>
      </c>
      <c r="ADW538" s="1170">
        <v>8298541</v>
      </c>
      <c r="ADX538" s="1170">
        <v>8298541</v>
      </c>
      <c r="ADY538" s="1170">
        <v>8298541</v>
      </c>
      <c r="ADZ538" s="1170">
        <v>8298541</v>
      </c>
      <c r="AEA538" s="1170">
        <v>8298541</v>
      </c>
      <c r="AEB538" s="1170">
        <v>8298541</v>
      </c>
      <c r="AEC538" s="1170">
        <v>8298541</v>
      </c>
      <c r="AED538" s="1170">
        <v>8298541</v>
      </c>
      <c r="AEE538" s="1170">
        <v>8298541</v>
      </c>
      <c r="AEF538" s="1170">
        <v>8298541</v>
      </c>
      <c r="AEG538" s="1170">
        <v>8298541</v>
      </c>
      <c r="AEH538" s="1170">
        <v>8298541</v>
      </c>
      <c r="AEI538" s="1170">
        <v>8298541</v>
      </c>
      <c r="AEJ538" s="1170">
        <v>8298541</v>
      </c>
      <c r="AEK538" s="1170">
        <v>8298541</v>
      </c>
      <c r="AEL538" s="1170">
        <v>8298541</v>
      </c>
      <c r="AEM538" s="1170">
        <v>8298541</v>
      </c>
      <c r="AEN538" s="1170">
        <v>8298541</v>
      </c>
      <c r="AEO538" s="1170">
        <v>8298541</v>
      </c>
      <c r="AEP538" s="1170">
        <v>8298541</v>
      </c>
      <c r="AEQ538" s="1170">
        <v>8298541</v>
      </c>
      <c r="AER538" s="1170">
        <v>8298541</v>
      </c>
      <c r="AES538" s="1170">
        <v>8298541</v>
      </c>
      <c r="AET538" s="1170">
        <v>8298541</v>
      </c>
      <c r="AEU538" s="1170">
        <v>8298541</v>
      </c>
      <c r="AEV538" s="1170">
        <v>8298541</v>
      </c>
      <c r="AEW538" s="1170">
        <v>8298541</v>
      </c>
      <c r="AEX538" s="1170">
        <v>8298541</v>
      </c>
      <c r="AEY538" s="1170">
        <v>8298541</v>
      </c>
      <c r="AEZ538" s="1170">
        <v>8298541</v>
      </c>
      <c r="AFA538" s="1170">
        <v>8298541</v>
      </c>
      <c r="AFB538" s="1170">
        <v>8298541</v>
      </c>
      <c r="AFC538" s="1170">
        <v>8298541</v>
      </c>
      <c r="AFD538" s="1170">
        <v>8298541</v>
      </c>
      <c r="AFE538" s="1170">
        <v>8298541</v>
      </c>
      <c r="AFF538" s="1170">
        <v>8298541</v>
      </c>
      <c r="AFG538" s="1170">
        <v>8298541</v>
      </c>
      <c r="AFH538" s="1170">
        <v>8298541</v>
      </c>
      <c r="AFI538" s="1170">
        <v>8298541</v>
      </c>
      <c r="AFJ538" s="1170">
        <v>8298541</v>
      </c>
      <c r="AFK538" s="1170">
        <v>8298541</v>
      </c>
      <c r="AFL538" s="1170">
        <v>8298541</v>
      </c>
      <c r="AFM538" s="1170">
        <v>8298541</v>
      </c>
      <c r="AFN538" s="1170">
        <v>8298541</v>
      </c>
      <c r="AFO538" s="1170">
        <v>8298541</v>
      </c>
      <c r="AFP538" s="1170">
        <v>8298541</v>
      </c>
      <c r="AFQ538" s="1170">
        <v>8298541</v>
      </c>
      <c r="AFR538" s="1170">
        <v>8298541</v>
      </c>
      <c r="AFS538" s="1170">
        <v>8298541</v>
      </c>
      <c r="AFT538" s="1170">
        <v>8298541</v>
      </c>
      <c r="AFU538" s="1170">
        <v>8298541</v>
      </c>
      <c r="AFV538" s="1170">
        <v>8298541</v>
      </c>
      <c r="AFW538" s="1170">
        <v>8298541</v>
      </c>
      <c r="AFX538" s="1170">
        <v>8298541</v>
      </c>
      <c r="AFY538" s="1170">
        <v>8298541</v>
      </c>
      <c r="AFZ538" s="1170">
        <v>8298541</v>
      </c>
      <c r="AGA538" s="1170">
        <v>8298541</v>
      </c>
      <c r="AGB538" s="1170">
        <v>8298541</v>
      </c>
      <c r="AGC538" s="1170">
        <v>8298541</v>
      </c>
      <c r="AGD538" s="1170">
        <v>8298541</v>
      </c>
      <c r="AGE538" s="1170">
        <v>8298541</v>
      </c>
      <c r="AGF538" s="1170">
        <v>8298541</v>
      </c>
      <c r="AGG538" s="1170">
        <v>8298541</v>
      </c>
      <c r="AGH538" s="1170">
        <v>8298541</v>
      </c>
      <c r="AGI538" s="1170">
        <v>8298541</v>
      </c>
      <c r="AGJ538" s="1170">
        <v>8298541</v>
      </c>
      <c r="AGK538" s="1170">
        <v>8298541</v>
      </c>
      <c r="AGL538" s="1170">
        <v>8298541</v>
      </c>
      <c r="AGM538" s="1170">
        <v>8298541</v>
      </c>
      <c r="AGN538" s="1170">
        <v>8298541</v>
      </c>
      <c r="AGO538" s="1170">
        <v>8298541</v>
      </c>
      <c r="AGP538" s="1170">
        <v>8298541</v>
      </c>
      <c r="AGQ538" s="1170">
        <v>8298541</v>
      </c>
      <c r="AGR538" s="1170">
        <v>8298541</v>
      </c>
      <c r="AGS538" s="1170">
        <v>8298541</v>
      </c>
      <c r="AGT538" s="1170">
        <v>8298541</v>
      </c>
      <c r="AGU538" s="1170">
        <v>8298541</v>
      </c>
      <c r="AGV538" s="1170">
        <v>8298541</v>
      </c>
      <c r="AGW538" s="1170">
        <v>8298541</v>
      </c>
      <c r="AGX538" s="1170">
        <v>8298541</v>
      </c>
      <c r="AGY538" s="1170">
        <v>8298541</v>
      </c>
      <c r="AGZ538" s="1170">
        <v>8298541</v>
      </c>
      <c r="AHA538" s="1170">
        <v>8298541</v>
      </c>
      <c r="AHB538" s="1170">
        <v>8298541</v>
      </c>
      <c r="AHC538" s="1170">
        <v>8298541</v>
      </c>
      <c r="AHD538" s="1170">
        <v>8298541</v>
      </c>
      <c r="AHE538" s="1170">
        <v>8298541</v>
      </c>
      <c r="AHF538" s="1170">
        <v>8298541</v>
      </c>
      <c r="AHG538" s="1170">
        <v>8298541</v>
      </c>
      <c r="AHH538" s="1170">
        <v>8298541</v>
      </c>
      <c r="AHI538" s="1170">
        <v>8298541</v>
      </c>
      <c r="AHJ538" s="1170">
        <v>8298541</v>
      </c>
      <c r="AHK538" s="1170">
        <v>8298541</v>
      </c>
      <c r="AHL538" s="1170">
        <v>8298541</v>
      </c>
      <c r="AHM538" s="1170">
        <v>8298541</v>
      </c>
      <c r="AHN538" s="1170">
        <v>8298541</v>
      </c>
      <c r="AHO538" s="1170">
        <v>8298541</v>
      </c>
      <c r="AHP538" s="1170">
        <v>8298541</v>
      </c>
      <c r="AHQ538" s="1170">
        <v>8298541</v>
      </c>
      <c r="AHR538" s="1170">
        <v>8298541</v>
      </c>
      <c r="AHS538" s="1170">
        <v>8298541</v>
      </c>
      <c r="AHT538" s="1170">
        <v>8298541</v>
      </c>
      <c r="AHU538" s="1170">
        <v>8298541</v>
      </c>
      <c r="AHV538" s="1170">
        <v>8298541</v>
      </c>
      <c r="AHW538" s="1170">
        <v>8298541</v>
      </c>
      <c r="AHX538" s="1170">
        <v>8298541</v>
      </c>
      <c r="AHY538" s="1170">
        <v>8298541</v>
      </c>
      <c r="AHZ538" s="1170">
        <v>8298541</v>
      </c>
      <c r="AIA538" s="1170">
        <v>8298541</v>
      </c>
      <c r="AIB538" s="1170">
        <v>8298541</v>
      </c>
      <c r="AIC538" s="1170">
        <v>8298541</v>
      </c>
      <c r="AID538" s="1170">
        <v>8298541</v>
      </c>
      <c r="AIE538" s="1170">
        <v>8298541</v>
      </c>
      <c r="AIF538" s="1170">
        <v>8298541</v>
      </c>
      <c r="AIG538" s="1170">
        <v>8298541</v>
      </c>
      <c r="AIH538" s="1170">
        <v>8298541</v>
      </c>
      <c r="AII538" s="1170">
        <v>8298541</v>
      </c>
      <c r="AIJ538" s="1170">
        <v>8298541</v>
      </c>
      <c r="AIK538" s="1170">
        <v>8298541</v>
      </c>
      <c r="AIL538" s="1170">
        <v>8298541</v>
      </c>
      <c r="AIM538" s="1170">
        <v>8298541</v>
      </c>
      <c r="AIN538" s="1170">
        <v>8298541</v>
      </c>
      <c r="AIO538" s="1170">
        <v>8298541</v>
      </c>
      <c r="AIP538" s="1170">
        <v>8298541</v>
      </c>
      <c r="AIQ538" s="1170">
        <v>8298541</v>
      </c>
      <c r="AIR538" s="1170">
        <v>8298541</v>
      </c>
      <c r="AIS538" s="1170">
        <v>8298541</v>
      </c>
      <c r="AIT538" s="1170">
        <v>8298541</v>
      </c>
      <c r="AIU538" s="1170">
        <v>8298541</v>
      </c>
      <c r="AIV538" s="1170">
        <v>8298541</v>
      </c>
      <c r="AIW538" s="1170">
        <v>8298541</v>
      </c>
      <c r="AIX538" s="1170">
        <v>8298541</v>
      </c>
      <c r="AIY538" s="1170">
        <v>8298541</v>
      </c>
      <c r="AIZ538" s="1170">
        <v>8298541</v>
      </c>
      <c r="AJA538" s="1170">
        <v>8298541</v>
      </c>
      <c r="AJB538" s="1170">
        <v>8298541</v>
      </c>
      <c r="AJC538" s="1170">
        <v>8298541</v>
      </c>
      <c r="AJD538" s="1170">
        <v>8298541</v>
      </c>
      <c r="AJE538" s="1170">
        <v>8298541</v>
      </c>
      <c r="AJF538" s="1170">
        <v>8298541</v>
      </c>
      <c r="AJG538" s="1170">
        <v>8298541</v>
      </c>
      <c r="AJH538" s="1170">
        <v>8298541</v>
      </c>
      <c r="AJI538" s="1170">
        <v>8298541</v>
      </c>
      <c r="AJJ538" s="1170">
        <v>8298541</v>
      </c>
      <c r="AJK538" s="1170">
        <v>8298541</v>
      </c>
      <c r="AJL538" s="1170">
        <v>8298541</v>
      </c>
      <c r="AJM538" s="1170">
        <v>8298541</v>
      </c>
      <c r="AJN538" s="1170">
        <v>8298541</v>
      </c>
      <c r="AJO538" s="1170">
        <v>8298541</v>
      </c>
      <c r="AJP538" s="1170">
        <v>8298541</v>
      </c>
      <c r="AJQ538" s="1170">
        <v>8298541</v>
      </c>
      <c r="AJR538" s="1170">
        <v>8298541</v>
      </c>
      <c r="AJS538" s="1170">
        <v>8298541</v>
      </c>
      <c r="AJT538" s="1170">
        <v>8298541</v>
      </c>
      <c r="AJU538" s="1170">
        <v>8298541</v>
      </c>
      <c r="AJV538" s="1170">
        <v>8298541</v>
      </c>
      <c r="AJW538" s="1170">
        <v>8298541</v>
      </c>
      <c r="AJX538" s="1170">
        <v>8298541</v>
      </c>
      <c r="AJY538" s="1170">
        <v>8298541</v>
      </c>
      <c r="AJZ538" s="1170">
        <v>8298541</v>
      </c>
      <c r="AKA538" s="1170">
        <v>8298541</v>
      </c>
      <c r="AKB538" s="1170">
        <v>8298541</v>
      </c>
      <c r="AKC538" s="1170">
        <v>8298541</v>
      </c>
      <c r="AKD538" s="1170">
        <v>8298541</v>
      </c>
      <c r="AKE538" s="1170">
        <v>8298541</v>
      </c>
      <c r="AKF538" s="1170">
        <v>8298541</v>
      </c>
      <c r="AKG538" s="1170">
        <v>8298541</v>
      </c>
      <c r="AKH538" s="1170">
        <v>8298541</v>
      </c>
      <c r="AKI538" s="1170">
        <v>8298541</v>
      </c>
      <c r="AKJ538" s="1170">
        <v>8298541</v>
      </c>
      <c r="AKK538" s="1170">
        <v>8298541</v>
      </c>
      <c r="AKL538" s="1170">
        <v>8298541</v>
      </c>
      <c r="AKM538" s="1170">
        <v>8298541</v>
      </c>
      <c r="AKN538" s="1170">
        <v>8298541</v>
      </c>
      <c r="AKO538" s="1170">
        <v>8298541</v>
      </c>
      <c r="AKP538" s="1170">
        <v>8298541</v>
      </c>
      <c r="AKQ538" s="1170">
        <v>8298541</v>
      </c>
      <c r="AKR538" s="1170">
        <v>8298541</v>
      </c>
      <c r="AKS538" s="1170">
        <v>8298541</v>
      </c>
      <c r="AKT538" s="1170">
        <v>8298541</v>
      </c>
      <c r="AKU538" s="1170">
        <v>8298541</v>
      </c>
      <c r="AKV538" s="1170">
        <v>8298541</v>
      </c>
      <c r="AKW538" s="1170">
        <v>8298541</v>
      </c>
      <c r="AKX538" s="1170">
        <v>8298541</v>
      </c>
      <c r="AKY538" s="1170">
        <v>8298541</v>
      </c>
      <c r="AKZ538" s="1170">
        <v>8298541</v>
      </c>
      <c r="ALA538" s="1170">
        <v>8298541</v>
      </c>
      <c r="ALB538" s="1170">
        <v>8298541</v>
      </c>
      <c r="ALC538" s="1170">
        <v>8298541</v>
      </c>
      <c r="ALD538" s="1170">
        <v>8298541</v>
      </c>
      <c r="ALE538" s="1170">
        <v>8298541</v>
      </c>
      <c r="ALF538" s="1170">
        <v>8298541</v>
      </c>
      <c r="ALG538" s="1170">
        <v>8298541</v>
      </c>
      <c r="ALH538" s="1170">
        <v>8298541</v>
      </c>
      <c r="ALI538" s="1170">
        <v>8298541</v>
      </c>
      <c r="ALJ538" s="1170">
        <v>8298541</v>
      </c>
      <c r="ALK538" s="1170">
        <v>8298541</v>
      </c>
      <c r="ALL538" s="1170">
        <v>8298541</v>
      </c>
      <c r="ALM538" s="1170">
        <v>8298541</v>
      </c>
      <c r="ALN538" s="1170">
        <v>8298541</v>
      </c>
      <c r="ALO538" s="1170">
        <v>8298541</v>
      </c>
      <c r="ALP538" s="1170">
        <v>8298541</v>
      </c>
      <c r="ALQ538" s="1170">
        <v>8298541</v>
      </c>
      <c r="ALR538" s="1170">
        <v>8298541</v>
      </c>
      <c r="ALS538" s="1170">
        <v>8298541</v>
      </c>
      <c r="ALT538" s="1170">
        <v>8298541</v>
      </c>
      <c r="ALU538" s="1170">
        <v>8298541</v>
      </c>
      <c r="ALV538" s="1170">
        <v>8298541</v>
      </c>
      <c r="ALW538" s="1170">
        <v>8298541</v>
      </c>
      <c r="ALX538" s="1170">
        <v>8298541</v>
      </c>
      <c r="ALY538" s="1170">
        <v>8298541</v>
      </c>
      <c r="ALZ538" s="1170">
        <v>8298541</v>
      </c>
      <c r="AMA538" s="1170">
        <v>8298541</v>
      </c>
      <c r="AMB538" s="1170">
        <v>8298541</v>
      </c>
      <c r="AMC538" s="1170">
        <v>8298541</v>
      </c>
      <c r="AMD538" s="1170">
        <v>8298541</v>
      </c>
      <c r="AME538" s="1170">
        <v>8298541</v>
      </c>
      <c r="AMF538" s="1170">
        <v>8298541</v>
      </c>
      <c r="AMG538" s="1170">
        <v>8298541</v>
      </c>
      <c r="AMH538" s="1170">
        <v>8298541</v>
      </c>
      <c r="AMI538" s="1170">
        <v>8298541</v>
      </c>
      <c r="AMJ538" s="1170">
        <v>8298541</v>
      </c>
      <c r="AMK538" s="1170">
        <v>8298541</v>
      </c>
      <c r="AML538" s="1170">
        <v>8298541</v>
      </c>
      <c r="AMM538" s="1170">
        <v>8298541</v>
      </c>
      <c r="AMN538" s="1170">
        <v>8298541</v>
      </c>
      <c r="AMO538" s="1170">
        <v>8298541</v>
      </c>
      <c r="AMP538" s="1170">
        <v>8298541</v>
      </c>
      <c r="AMQ538" s="1170">
        <v>8298541</v>
      </c>
      <c r="AMR538" s="1170">
        <v>8298541</v>
      </c>
      <c r="AMS538" s="1170">
        <v>8298541</v>
      </c>
      <c r="AMT538" s="1170">
        <v>8298541</v>
      </c>
      <c r="AMU538" s="1170">
        <v>8298541</v>
      </c>
      <c r="AMV538" s="1170">
        <v>8298541</v>
      </c>
      <c r="AMW538" s="1170">
        <v>8298541</v>
      </c>
      <c r="AMX538" s="1170">
        <v>8298541</v>
      </c>
      <c r="AMY538" s="1170">
        <v>8298541</v>
      </c>
      <c r="AMZ538" s="1170">
        <v>8298541</v>
      </c>
      <c r="ANA538" s="1170">
        <v>8298541</v>
      </c>
      <c r="ANB538" s="1170">
        <v>8298541</v>
      </c>
      <c r="ANC538" s="1170">
        <v>8298541</v>
      </c>
      <c r="AND538" s="1170">
        <v>8298541</v>
      </c>
      <c r="ANE538" s="1170">
        <v>8298541</v>
      </c>
      <c r="ANF538" s="1170">
        <v>8298541</v>
      </c>
      <c r="ANG538" s="1170">
        <v>8298541</v>
      </c>
      <c r="ANH538" s="1170">
        <v>8298541</v>
      </c>
      <c r="ANI538" s="1170">
        <v>8298541</v>
      </c>
      <c r="ANJ538" s="1170">
        <v>8298541</v>
      </c>
      <c r="ANK538" s="1170">
        <v>8298541</v>
      </c>
      <c r="ANL538" s="1170">
        <v>8298541</v>
      </c>
      <c r="ANM538" s="1170">
        <v>8298541</v>
      </c>
      <c r="ANN538" s="1170">
        <v>8298541</v>
      </c>
      <c r="ANO538" s="1170">
        <v>8298541</v>
      </c>
      <c r="ANP538" s="1170">
        <v>8298541</v>
      </c>
      <c r="ANQ538" s="1170">
        <v>8298541</v>
      </c>
      <c r="ANR538" s="1170">
        <v>8298541</v>
      </c>
      <c r="ANS538" s="1170">
        <v>8298541</v>
      </c>
      <c r="ANT538" s="1170">
        <v>8298541</v>
      </c>
      <c r="ANU538" s="1170">
        <v>8298541</v>
      </c>
      <c r="ANV538" s="1170">
        <v>8298541</v>
      </c>
      <c r="ANW538" s="1170">
        <v>8298541</v>
      </c>
      <c r="ANX538" s="1170">
        <v>8298541</v>
      </c>
      <c r="ANY538" s="1170">
        <v>8298541</v>
      </c>
      <c r="ANZ538" s="1170">
        <v>8298541</v>
      </c>
      <c r="AOA538" s="1170">
        <v>8298541</v>
      </c>
      <c r="AOB538" s="1170">
        <v>8298541</v>
      </c>
      <c r="AOC538" s="1170">
        <v>8298541</v>
      </c>
      <c r="AOD538" s="1170">
        <v>8298541</v>
      </c>
      <c r="AOE538" s="1170">
        <v>8298541</v>
      </c>
      <c r="AOF538" s="1170">
        <v>8298541</v>
      </c>
      <c r="AOG538" s="1170">
        <v>8298541</v>
      </c>
      <c r="AOH538" s="1170">
        <v>8298541</v>
      </c>
      <c r="AOI538" s="1170">
        <v>8298541</v>
      </c>
      <c r="AOJ538" s="1170">
        <v>8298541</v>
      </c>
      <c r="AOK538" s="1170">
        <v>8298541</v>
      </c>
      <c r="AOL538" s="1170">
        <v>8298541</v>
      </c>
      <c r="AOM538" s="1170">
        <v>8298541</v>
      </c>
      <c r="AON538" s="1170">
        <v>8298541</v>
      </c>
      <c r="AOO538" s="1170">
        <v>8298541</v>
      </c>
      <c r="AOP538" s="1170">
        <v>8298541</v>
      </c>
      <c r="AOQ538" s="1170">
        <v>8298541</v>
      </c>
      <c r="AOR538" s="1170">
        <v>8298541</v>
      </c>
      <c r="AOS538" s="1170">
        <v>8298541</v>
      </c>
      <c r="AOT538" s="1170">
        <v>8298541</v>
      </c>
      <c r="AOU538" s="1170">
        <v>8298541</v>
      </c>
      <c r="AOV538" s="1170">
        <v>8298541</v>
      </c>
      <c r="AOW538" s="1170">
        <v>8298541</v>
      </c>
      <c r="AOX538" s="1170">
        <v>8298541</v>
      </c>
      <c r="AOY538" s="1170">
        <v>8298541</v>
      </c>
      <c r="AOZ538" s="1170">
        <v>8298541</v>
      </c>
      <c r="APA538" s="1170">
        <v>8298541</v>
      </c>
      <c r="APB538" s="1170">
        <v>8298541</v>
      </c>
      <c r="APC538" s="1170">
        <v>8298541</v>
      </c>
      <c r="APD538" s="1170">
        <v>8298541</v>
      </c>
      <c r="APE538" s="1170">
        <v>8298541</v>
      </c>
      <c r="APF538" s="1170">
        <v>8298541</v>
      </c>
      <c r="APG538" s="1170">
        <v>8298541</v>
      </c>
      <c r="APH538" s="1170">
        <v>8298541</v>
      </c>
      <c r="API538" s="1170">
        <v>8298541</v>
      </c>
      <c r="APJ538" s="1170">
        <v>8298541</v>
      </c>
      <c r="APK538" s="1170">
        <v>8298541</v>
      </c>
      <c r="APL538" s="1170">
        <v>8298541</v>
      </c>
      <c r="APM538" s="1170">
        <v>8298541</v>
      </c>
      <c r="APN538" s="1170">
        <v>8298541</v>
      </c>
      <c r="APO538" s="1170">
        <v>8298541</v>
      </c>
      <c r="APP538" s="1170">
        <v>8298541</v>
      </c>
      <c r="APQ538" s="1170">
        <v>8298541</v>
      </c>
      <c r="APR538" s="1170">
        <v>8298541</v>
      </c>
      <c r="APS538" s="1170">
        <v>8298541</v>
      </c>
      <c r="APT538" s="1170">
        <v>8298541</v>
      </c>
      <c r="APU538" s="1170">
        <v>8298541</v>
      </c>
      <c r="APV538" s="1170">
        <v>8298541</v>
      </c>
      <c r="APW538" s="1170">
        <v>8298541</v>
      </c>
      <c r="APX538" s="1170">
        <v>8298541</v>
      </c>
      <c r="APY538" s="1170">
        <v>8298541</v>
      </c>
      <c r="APZ538" s="1170">
        <v>8298541</v>
      </c>
      <c r="AQA538" s="1170">
        <v>8298541</v>
      </c>
      <c r="AQB538" s="1170">
        <v>8298541</v>
      </c>
      <c r="AQC538" s="1170">
        <v>8298541</v>
      </c>
      <c r="AQD538" s="1170">
        <v>8298541</v>
      </c>
      <c r="AQE538" s="1170">
        <v>8298541</v>
      </c>
      <c r="AQF538" s="1170">
        <v>8298541</v>
      </c>
      <c r="AQG538" s="1170">
        <v>8298541</v>
      </c>
      <c r="AQH538" s="1170">
        <v>8298541</v>
      </c>
      <c r="AQI538" s="1170">
        <v>8298541</v>
      </c>
      <c r="AQJ538" s="1170">
        <v>8298541</v>
      </c>
      <c r="AQK538" s="1170">
        <v>8298541</v>
      </c>
      <c r="AQL538" s="1170">
        <v>8298541</v>
      </c>
      <c r="AQM538" s="1170">
        <v>8298541</v>
      </c>
      <c r="AQN538" s="1170">
        <v>8298541</v>
      </c>
      <c r="AQO538" s="1170">
        <v>8298541</v>
      </c>
      <c r="AQP538" s="1170">
        <v>8298541</v>
      </c>
      <c r="AQQ538" s="1170">
        <v>8298541</v>
      </c>
      <c r="AQR538" s="1170">
        <v>8298541</v>
      </c>
      <c r="AQS538" s="1170">
        <v>8298541</v>
      </c>
      <c r="AQT538" s="1170">
        <v>8298541</v>
      </c>
      <c r="AQU538" s="1170">
        <v>8298541</v>
      </c>
      <c r="AQV538" s="1170">
        <v>8298541</v>
      </c>
      <c r="AQW538" s="1170">
        <v>8298541</v>
      </c>
      <c r="AQX538" s="1170">
        <v>8298541</v>
      </c>
      <c r="AQY538" s="1170">
        <v>8298541</v>
      </c>
      <c r="AQZ538" s="1170">
        <v>8298541</v>
      </c>
      <c r="ARA538" s="1170">
        <v>8298541</v>
      </c>
      <c r="ARB538" s="1170">
        <v>8298541</v>
      </c>
      <c r="ARC538" s="1170">
        <v>8298541</v>
      </c>
      <c r="ARD538" s="1170">
        <v>8298541</v>
      </c>
      <c r="ARE538" s="1170">
        <v>8298541</v>
      </c>
      <c r="ARF538" s="1170">
        <v>8298541</v>
      </c>
      <c r="ARG538" s="1170">
        <v>8298541</v>
      </c>
      <c r="ARH538" s="1170">
        <v>8298541</v>
      </c>
      <c r="ARI538" s="1170">
        <v>8298541</v>
      </c>
      <c r="ARJ538" s="1170">
        <v>8298541</v>
      </c>
      <c r="ARK538" s="1170">
        <v>8298541</v>
      </c>
      <c r="ARL538" s="1170">
        <v>8298541</v>
      </c>
      <c r="ARM538" s="1170">
        <v>8298541</v>
      </c>
      <c r="ARN538" s="1170">
        <v>8298541</v>
      </c>
      <c r="ARO538" s="1170">
        <v>8298541</v>
      </c>
      <c r="ARP538" s="1170">
        <v>8298541</v>
      </c>
      <c r="ARQ538" s="1170">
        <v>8298541</v>
      </c>
      <c r="ARR538" s="1170">
        <v>8298541</v>
      </c>
      <c r="ARS538" s="1170">
        <v>8298541</v>
      </c>
      <c r="ART538" s="1170">
        <v>8298541</v>
      </c>
      <c r="ARU538" s="1170">
        <v>8298541</v>
      </c>
      <c r="ARV538" s="1170">
        <v>8298541</v>
      </c>
      <c r="ARW538" s="1170">
        <v>8298541</v>
      </c>
      <c r="ARX538" s="1170">
        <v>8298541</v>
      </c>
      <c r="ARY538" s="1170">
        <v>8298541</v>
      </c>
      <c r="ARZ538" s="1170">
        <v>8298541</v>
      </c>
      <c r="ASA538" s="1170">
        <v>8298541</v>
      </c>
      <c r="ASB538" s="1170">
        <v>8298541</v>
      </c>
      <c r="ASC538" s="1170">
        <v>8298541</v>
      </c>
      <c r="ASD538" s="1170">
        <v>8298541</v>
      </c>
      <c r="ASE538" s="1170">
        <v>8298541</v>
      </c>
      <c r="ASF538" s="1170">
        <v>8298541</v>
      </c>
      <c r="ASG538" s="1170">
        <v>8298541</v>
      </c>
      <c r="ASH538" s="1170">
        <v>8298541</v>
      </c>
      <c r="ASI538" s="1170">
        <v>8298541</v>
      </c>
      <c r="ASJ538" s="1170">
        <v>8298541</v>
      </c>
      <c r="ASK538" s="1170">
        <v>8298541</v>
      </c>
      <c r="ASL538" s="1170">
        <v>8298541</v>
      </c>
      <c r="ASM538" s="1170">
        <v>8298541</v>
      </c>
      <c r="ASN538" s="1170">
        <v>8298541</v>
      </c>
      <c r="ASO538" s="1170">
        <v>8298541</v>
      </c>
      <c r="ASP538" s="1170">
        <v>8298541</v>
      </c>
      <c r="ASQ538" s="1170">
        <v>8298541</v>
      </c>
      <c r="ASR538" s="1170">
        <v>8298541</v>
      </c>
      <c r="ASS538" s="1170">
        <v>8298541</v>
      </c>
      <c r="AST538" s="1170">
        <v>8298541</v>
      </c>
      <c r="ASU538" s="1170">
        <v>8298541</v>
      </c>
      <c r="ASV538" s="1170">
        <v>8298541</v>
      </c>
      <c r="ASW538" s="1170">
        <v>8298541</v>
      </c>
      <c r="ASX538" s="1170">
        <v>8298541</v>
      </c>
      <c r="ASY538" s="1170">
        <v>8298541</v>
      </c>
      <c r="ASZ538" s="1170">
        <v>8298541</v>
      </c>
      <c r="ATA538" s="1170">
        <v>8298541</v>
      </c>
      <c r="ATB538" s="1170">
        <v>8298541</v>
      </c>
      <c r="ATC538" s="1170">
        <v>8298541</v>
      </c>
      <c r="ATD538" s="1170">
        <v>8298541</v>
      </c>
      <c r="ATE538" s="1170">
        <v>8298541</v>
      </c>
      <c r="ATF538" s="1170">
        <v>8298541</v>
      </c>
      <c r="ATG538" s="1170">
        <v>8298541</v>
      </c>
      <c r="ATH538" s="1170">
        <v>8298541</v>
      </c>
      <c r="ATI538" s="1170">
        <v>8298541</v>
      </c>
      <c r="ATJ538" s="1170">
        <v>8298541</v>
      </c>
      <c r="ATK538" s="1170">
        <v>8298541</v>
      </c>
      <c r="ATL538" s="1170">
        <v>8298541</v>
      </c>
      <c r="ATM538" s="1170">
        <v>8298541</v>
      </c>
      <c r="ATN538" s="1170">
        <v>8298541</v>
      </c>
      <c r="ATO538" s="1170">
        <v>8298541</v>
      </c>
      <c r="ATP538" s="1170">
        <v>8298541</v>
      </c>
      <c r="ATQ538" s="1170">
        <v>8298541</v>
      </c>
      <c r="ATR538" s="1170">
        <v>8298541</v>
      </c>
      <c r="ATS538" s="1170">
        <v>8298541</v>
      </c>
      <c r="ATT538" s="1170">
        <v>8298541</v>
      </c>
      <c r="ATU538" s="1170">
        <v>8298541</v>
      </c>
      <c r="ATV538" s="1170">
        <v>8298541</v>
      </c>
      <c r="ATW538" s="1170">
        <v>8298541</v>
      </c>
      <c r="ATX538" s="1170">
        <v>8298541</v>
      </c>
      <c r="ATY538" s="1170">
        <v>8298541</v>
      </c>
      <c r="ATZ538" s="1170">
        <v>8298541</v>
      </c>
      <c r="AUA538" s="1170">
        <v>8298541</v>
      </c>
      <c r="AUB538" s="1170">
        <v>8298541</v>
      </c>
      <c r="AUC538" s="1170">
        <v>8298541</v>
      </c>
      <c r="AUD538" s="1170">
        <v>8298541</v>
      </c>
      <c r="AUE538" s="1170">
        <v>8298541</v>
      </c>
      <c r="AUF538" s="1170">
        <v>8298541</v>
      </c>
      <c r="AUG538" s="1170">
        <v>8298541</v>
      </c>
      <c r="AUH538" s="1170">
        <v>8298541</v>
      </c>
      <c r="AUI538" s="1170">
        <v>8298541</v>
      </c>
      <c r="AUJ538" s="1170">
        <v>8298541</v>
      </c>
      <c r="AUK538" s="1170">
        <v>8298541</v>
      </c>
      <c r="AUL538" s="1170">
        <v>8298541</v>
      </c>
      <c r="AUM538" s="1170">
        <v>8298541</v>
      </c>
      <c r="AUN538" s="1170">
        <v>8298541</v>
      </c>
      <c r="AUO538" s="1170">
        <v>8298541</v>
      </c>
      <c r="AUP538" s="1170">
        <v>8298541</v>
      </c>
      <c r="AUQ538" s="1170">
        <v>8298541</v>
      </c>
      <c r="AUR538" s="1170">
        <v>8298541</v>
      </c>
      <c r="AUS538" s="1170">
        <v>8298541</v>
      </c>
      <c r="AUT538" s="1170">
        <v>8298541</v>
      </c>
      <c r="AUU538" s="1170">
        <v>8298541</v>
      </c>
      <c r="AUV538" s="1170">
        <v>8298541</v>
      </c>
      <c r="AUW538" s="1170">
        <v>8298541</v>
      </c>
      <c r="AUX538" s="1170">
        <v>8298541</v>
      </c>
      <c r="AUY538" s="1170">
        <v>8298541</v>
      </c>
      <c r="AUZ538" s="1170">
        <v>8298541</v>
      </c>
      <c r="AVA538" s="1170">
        <v>8298541</v>
      </c>
      <c r="AVB538" s="1170">
        <v>8298541</v>
      </c>
      <c r="AVC538" s="1170">
        <v>8298541</v>
      </c>
      <c r="AVD538" s="1170">
        <v>8298541</v>
      </c>
      <c r="AVE538" s="1170">
        <v>8298541</v>
      </c>
      <c r="AVF538" s="1170">
        <v>8298541</v>
      </c>
      <c r="AVG538" s="1170">
        <v>8298541</v>
      </c>
      <c r="AVH538" s="1170">
        <v>8298541</v>
      </c>
      <c r="AVI538" s="1170">
        <v>8298541</v>
      </c>
      <c r="AVJ538" s="1170">
        <v>8298541</v>
      </c>
      <c r="AVK538" s="1170">
        <v>8298541</v>
      </c>
      <c r="AVL538" s="1170">
        <v>8298541</v>
      </c>
      <c r="AVM538" s="1170">
        <v>8298541</v>
      </c>
      <c r="AVN538" s="1170">
        <v>8298541</v>
      </c>
      <c r="AVO538" s="1170">
        <v>8298541</v>
      </c>
      <c r="AVP538" s="1170">
        <v>8298541</v>
      </c>
      <c r="AVQ538" s="1170">
        <v>8298541</v>
      </c>
      <c r="AVR538" s="1170">
        <v>8298541</v>
      </c>
      <c r="AVS538" s="1170">
        <v>8298541</v>
      </c>
      <c r="AVT538" s="1170">
        <v>8298541</v>
      </c>
      <c r="AVU538" s="1170">
        <v>8298541</v>
      </c>
      <c r="AVV538" s="1170">
        <v>8298541</v>
      </c>
      <c r="AVW538" s="1170">
        <v>8298541</v>
      </c>
      <c r="AVX538" s="1170">
        <v>8298541</v>
      </c>
      <c r="AVY538" s="1170">
        <v>8298541</v>
      </c>
      <c r="AVZ538" s="1170">
        <v>8298541</v>
      </c>
      <c r="AWA538" s="1170">
        <v>8298541</v>
      </c>
      <c r="AWB538" s="1170">
        <v>8298541</v>
      </c>
      <c r="AWC538" s="1170">
        <v>8298541</v>
      </c>
      <c r="AWD538" s="1170">
        <v>8298541</v>
      </c>
      <c r="AWE538" s="1170">
        <v>8298541</v>
      </c>
      <c r="AWF538" s="1170">
        <v>8298541</v>
      </c>
      <c r="AWG538" s="1170">
        <v>8298541</v>
      </c>
      <c r="AWH538" s="1170">
        <v>8298541</v>
      </c>
      <c r="AWI538" s="1170">
        <v>8298541</v>
      </c>
      <c r="AWJ538" s="1170">
        <v>8298541</v>
      </c>
      <c r="AWK538" s="1170">
        <v>8298541</v>
      </c>
      <c r="AWL538" s="1170">
        <v>8298541</v>
      </c>
      <c r="AWM538" s="1170">
        <v>8298541</v>
      </c>
      <c r="AWN538" s="1170">
        <v>8298541</v>
      </c>
      <c r="AWO538" s="1170">
        <v>8298541</v>
      </c>
      <c r="AWP538" s="1170">
        <v>8298541</v>
      </c>
      <c r="AWQ538" s="1170">
        <v>8298541</v>
      </c>
      <c r="AWR538" s="1170">
        <v>8298541</v>
      </c>
      <c r="AWS538" s="1170">
        <v>8298541</v>
      </c>
      <c r="AWT538" s="1170">
        <v>8298541</v>
      </c>
      <c r="AWU538" s="1170">
        <v>8298541</v>
      </c>
      <c r="AWV538" s="1170">
        <v>8298541</v>
      </c>
      <c r="AWW538" s="1170">
        <v>8298541</v>
      </c>
      <c r="AWX538" s="1170">
        <v>8298541</v>
      </c>
      <c r="AWY538" s="1170">
        <v>8298541</v>
      </c>
      <c r="AWZ538" s="1170">
        <v>8298541</v>
      </c>
      <c r="AXA538" s="1170">
        <v>8298541</v>
      </c>
      <c r="AXB538" s="1170">
        <v>8298541</v>
      </c>
      <c r="AXC538" s="1170">
        <v>8298541</v>
      </c>
      <c r="AXD538" s="1170">
        <v>8298541</v>
      </c>
      <c r="AXE538" s="1170">
        <v>8298541</v>
      </c>
      <c r="AXF538" s="1170">
        <v>8298541</v>
      </c>
      <c r="AXG538" s="1170">
        <v>8298541</v>
      </c>
      <c r="AXH538" s="1170">
        <v>8298541</v>
      </c>
      <c r="AXI538" s="1170">
        <v>8298541</v>
      </c>
      <c r="AXJ538" s="1170">
        <v>8298541</v>
      </c>
      <c r="AXK538" s="1170">
        <v>8298541</v>
      </c>
      <c r="AXL538" s="1170">
        <v>8298541</v>
      </c>
      <c r="AXM538" s="1170">
        <v>8298541</v>
      </c>
      <c r="AXN538" s="1170">
        <v>8298541</v>
      </c>
      <c r="AXO538" s="1170">
        <v>8298541</v>
      </c>
      <c r="AXP538" s="1170">
        <v>8298541</v>
      </c>
      <c r="AXQ538" s="1170">
        <v>8298541</v>
      </c>
      <c r="AXR538" s="1170">
        <v>8298541</v>
      </c>
      <c r="AXS538" s="1170">
        <v>8298541</v>
      </c>
      <c r="AXT538" s="1170">
        <v>8298541</v>
      </c>
      <c r="AXU538" s="1170">
        <v>8298541</v>
      </c>
      <c r="AXV538" s="1170">
        <v>8298541</v>
      </c>
      <c r="AXW538" s="1170">
        <v>8298541</v>
      </c>
      <c r="AXX538" s="1170">
        <v>8298541</v>
      </c>
      <c r="AXY538" s="1170">
        <v>8298541</v>
      </c>
      <c r="AXZ538" s="1170">
        <v>8298541</v>
      </c>
      <c r="AYA538" s="1170">
        <v>8298541</v>
      </c>
      <c r="AYB538" s="1170">
        <v>8298541</v>
      </c>
      <c r="AYC538" s="1170">
        <v>8298541</v>
      </c>
      <c r="AYD538" s="1170">
        <v>8298541</v>
      </c>
      <c r="AYE538" s="1170">
        <v>8298541</v>
      </c>
      <c r="AYF538" s="1170">
        <v>8298541</v>
      </c>
      <c r="AYG538" s="1170">
        <v>8298541</v>
      </c>
      <c r="AYH538" s="1170">
        <v>8298541</v>
      </c>
      <c r="AYI538" s="1170">
        <v>8298541</v>
      </c>
      <c r="AYJ538" s="1170">
        <v>8298541</v>
      </c>
      <c r="AYK538" s="1170">
        <v>8298541</v>
      </c>
      <c r="AYL538" s="1170">
        <v>8298541</v>
      </c>
      <c r="AYM538" s="1170">
        <v>8298541</v>
      </c>
      <c r="AYN538" s="1170">
        <v>8298541</v>
      </c>
      <c r="AYO538" s="1170">
        <v>8298541</v>
      </c>
      <c r="AYP538" s="1170">
        <v>8298541</v>
      </c>
      <c r="AYQ538" s="1170">
        <v>8298541</v>
      </c>
      <c r="AYR538" s="1170">
        <v>8298541</v>
      </c>
      <c r="AYS538" s="1170">
        <v>8298541</v>
      </c>
      <c r="AYT538" s="1170">
        <v>8298541</v>
      </c>
      <c r="AYU538" s="1170">
        <v>8298541</v>
      </c>
      <c r="AYV538" s="1170">
        <v>8298541</v>
      </c>
      <c r="AYW538" s="1170">
        <v>8298541</v>
      </c>
      <c r="AYX538" s="1170">
        <v>8298541</v>
      </c>
      <c r="AYY538" s="1170">
        <v>8298541</v>
      </c>
      <c r="AYZ538" s="1170">
        <v>8298541</v>
      </c>
      <c r="AZA538" s="1170">
        <v>8298541</v>
      </c>
      <c r="AZB538" s="1170">
        <v>8298541</v>
      </c>
      <c r="AZC538" s="1170">
        <v>8298541</v>
      </c>
      <c r="AZD538" s="1170">
        <v>8298541</v>
      </c>
      <c r="AZE538" s="1170">
        <v>8298541</v>
      </c>
      <c r="AZF538" s="1170">
        <v>8298541</v>
      </c>
      <c r="AZG538" s="1170">
        <v>8298541</v>
      </c>
      <c r="AZH538" s="1170">
        <v>8298541</v>
      </c>
      <c r="AZI538" s="1170">
        <v>8298541</v>
      </c>
      <c r="AZJ538" s="1170">
        <v>8298541</v>
      </c>
      <c r="AZK538" s="1170">
        <v>8298541</v>
      </c>
      <c r="AZL538" s="1170">
        <v>8298541</v>
      </c>
      <c r="AZM538" s="1170">
        <v>8298541</v>
      </c>
      <c r="AZN538" s="1170">
        <v>8298541</v>
      </c>
      <c r="AZO538" s="1170">
        <v>8298541</v>
      </c>
      <c r="AZP538" s="1170">
        <v>8298541</v>
      </c>
      <c r="AZQ538" s="1170">
        <v>8298541</v>
      </c>
      <c r="AZR538" s="1170">
        <v>8298541</v>
      </c>
      <c r="AZS538" s="1170">
        <v>8298541</v>
      </c>
      <c r="AZT538" s="1170">
        <v>8298541</v>
      </c>
      <c r="AZU538" s="1170">
        <v>8298541</v>
      </c>
      <c r="AZV538" s="1170">
        <v>8298541</v>
      </c>
      <c r="AZW538" s="1170">
        <v>8298541</v>
      </c>
      <c r="AZX538" s="1170">
        <v>8298541</v>
      </c>
      <c r="AZY538" s="1170">
        <v>8298541</v>
      </c>
      <c r="AZZ538" s="1170">
        <v>8298541</v>
      </c>
      <c r="BAA538" s="1170">
        <v>8298541</v>
      </c>
      <c r="BAB538" s="1170">
        <v>8298541</v>
      </c>
      <c r="BAC538" s="1170">
        <v>8298541</v>
      </c>
      <c r="BAD538" s="1170">
        <v>8298541</v>
      </c>
      <c r="BAE538" s="1170">
        <v>8298541</v>
      </c>
      <c r="BAF538" s="1170">
        <v>8298541</v>
      </c>
      <c r="BAG538" s="1170">
        <v>8298541</v>
      </c>
      <c r="BAH538" s="1170">
        <v>8298541</v>
      </c>
      <c r="BAI538" s="1170">
        <v>8298541</v>
      </c>
      <c r="BAJ538" s="1170">
        <v>8298541</v>
      </c>
      <c r="BAK538" s="1170">
        <v>8298541</v>
      </c>
      <c r="BAL538" s="1170">
        <v>8298541</v>
      </c>
      <c r="BAM538" s="1170">
        <v>8298541</v>
      </c>
      <c r="BAN538" s="1170">
        <v>8298541</v>
      </c>
      <c r="BAO538" s="1170">
        <v>8298541</v>
      </c>
      <c r="BAP538" s="1170">
        <v>8298541</v>
      </c>
      <c r="BAQ538" s="1170">
        <v>8298541</v>
      </c>
      <c r="BAR538" s="1170">
        <v>8298541</v>
      </c>
      <c r="BAS538" s="1170">
        <v>8298541</v>
      </c>
      <c r="BAT538" s="1170">
        <v>8298541</v>
      </c>
      <c r="BAU538" s="1170">
        <v>8298541</v>
      </c>
      <c r="BAV538" s="1170">
        <v>8298541</v>
      </c>
      <c r="BAW538" s="1170">
        <v>8298541</v>
      </c>
      <c r="BAX538" s="1170">
        <v>8298541</v>
      </c>
      <c r="BAY538" s="1170">
        <v>8298541</v>
      </c>
      <c r="BAZ538" s="1170">
        <v>8298541</v>
      </c>
      <c r="BBA538" s="1170">
        <v>8298541</v>
      </c>
      <c r="BBB538" s="1170">
        <v>8298541</v>
      </c>
      <c r="BBC538" s="1170">
        <v>8298541</v>
      </c>
      <c r="BBD538" s="1170">
        <v>8298541</v>
      </c>
      <c r="BBE538" s="1170">
        <v>8298541</v>
      </c>
      <c r="BBF538" s="1170">
        <v>8298541</v>
      </c>
      <c r="BBG538" s="1170">
        <v>8298541</v>
      </c>
      <c r="BBH538" s="1170">
        <v>8298541</v>
      </c>
      <c r="BBI538" s="1170">
        <v>8298541</v>
      </c>
      <c r="BBJ538" s="1170">
        <v>8298541</v>
      </c>
      <c r="BBK538" s="1170">
        <v>8298541</v>
      </c>
      <c r="BBL538" s="1170">
        <v>8298541</v>
      </c>
      <c r="BBM538" s="1170">
        <v>8298541</v>
      </c>
      <c r="BBN538" s="1170">
        <v>8298541</v>
      </c>
      <c r="BBO538" s="1170">
        <v>8298541</v>
      </c>
      <c r="BBP538" s="1170">
        <v>8298541</v>
      </c>
      <c r="BBQ538" s="1170">
        <v>8298541</v>
      </c>
      <c r="BBR538" s="1170">
        <v>8298541</v>
      </c>
      <c r="BBS538" s="1170">
        <v>8298541</v>
      </c>
      <c r="BBT538" s="1170">
        <v>8298541</v>
      </c>
      <c r="BBU538" s="1170">
        <v>8298541</v>
      </c>
      <c r="BBV538" s="1170">
        <v>8298541</v>
      </c>
      <c r="BBW538" s="1170">
        <v>8298541</v>
      </c>
      <c r="BBX538" s="1170">
        <v>8298541</v>
      </c>
      <c r="BBY538" s="1170">
        <v>8298541</v>
      </c>
      <c r="BBZ538" s="1170">
        <v>8298541</v>
      </c>
      <c r="BCA538" s="1170">
        <v>8298541</v>
      </c>
      <c r="BCB538" s="1170">
        <v>8298541</v>
      </c>
      <c r="BCC538" s="1170">
        <v>8298541</v>
      </c>
      <c r="BCD538" s="1170">
        <v>8298541</v>
      </c>
      <c r="BCE538" s="1170">
        <v>8298541</v>
      </c>
      <c r="BCF538" s="1170">
        <v>8298541</v>
      </c>
      <c r="BCG538" s="1170">
        <v>8298541</v>
      </c>
      <c r="BCH538" s="1170">
        <v>8298541</v>
      </c>
      <c r="BCI538" s="1170">
        <v>8298541</v>
      </c>
      <c r="BCJ538" s="1170">
        <v>8298541</v>
      </c>
      <c r="BCK538" s="1170">
        <v>8298541</v>
      </c>
      <c r="BCL538" s="1170">
        <v>8298541</v>
      </c>
      <c r="BCM538" s="1170">
        <v>8298541</v>
      </c>
      <c r="BCN538" s="1170">
        <v>8298541</v>
      </c>
      <c r="BCO538" s="1170">
        <v>8298541</v>
      </c>
      <c r="BCP538" s="1170">
        <v>8298541</v>
      </c>
      <c r="BCQ538" s="1170">
        <v>8298541</v>
      </c>
      <c r="BCR538" s="1170">
        <v>8298541</v>
      </c>
      <c r="BCS538" s="1170">
        <v>8298541</v>
      </c>
      <c r="BCT538" s="1170">
        <v>8298541</v>
      </c>
      <c r="BCU538" s="1170">
        <v>8298541</v>
      </c>
      <c r="BCV538" s="1170">
        <v>8298541</v>
      </c>
      <c r="BCW538" s="1170">
        <v>8298541</v>
      </c>
      <c r="BCX538" s="1170">
        <v>8298541</v>
      </c>
      <c r="BCY538" s="1170">
        <v>8298541</v>
      </c>
      <c r="BCZ538" s="1170">
        <v>8298541</v>
      </c>
      <c r="BDA538" s="1170">
        <v>8298541</v>
      </c>
      <c r="BDB538" s="1170">
        <v>8298541</v>
      </c>
      <c r="BDC538" s="1170">
        <v>8298541</v>
      </c>
      <c r="BDD538" s="1170">
        <v>8298541</v>
      </c>
      <c r="BDE538" s="1170">
        <v>8298541</v>
      </c>
      <c r="BDF538" s="1170">
        <v>8298541</v>
      </c>
      <c r="BDG538" s="1170">
        <v>8298541</v>
      </c>
      <c r="BDH538" s="1170">
        <v>8298541</v>
      </c>
      <c r="BDI538" s="1170">
        <v>8298541</v>
      </c>
      <c r="BDJ538" s="1170">
        <v>8298541</v>
      </c>
      <c r="BDK538" s="1170">
        <v>8298541</v>
      </c>
      <c r="BDL538" s="1170">
        <v>8298541</v>
      </c>
      <c r="BDM538" s="1170">
        <v>8298541</v>
      </c>
      <c r="BDN538" s="1170">
        <v>8298541</v>
      </c>
      <c r="BDO538" s="1170">
        <v>8298541</v>
      </c>
      <c r="BDP538" s="1170">
        <v>8298541</v>
      </c>
      <c r="BDQ538" s="1170">
        <v>8298541</v>
      </c>
      <c r="BDR538" s="1170">
        <v>8298541</v>
      </c>
      <c r="BDS538" s="1170">
        <v>8298541</v>
      </c>
      <c r="BDT538" s="1170">
        <v>8298541</v>
      </c>
      <c r="BDU538" s="1170">
        <v>8298541</v>
      </c>
      <c r="BDV538" s="1170">
        <v>8298541</v>
      </c>
      <c r="BDW538" s="1170">
        <v>8298541</v>
      </c>
      <c r="BDX538" s="1170">
        <v>8298541</v>
      </c>
      <c r="BDY538" s="1170">
        <v>8298541</v>
      </c>
      <c r="BDZ538" s="1170">
        <v>8298541</v>
      </c>
      <c r="BEA538" s="1170">
        <v>8298541</v>
      </c>
      <c r="BEB538" s="1170">
        <v>8298541</v>
      </c>
      <c r="BEC538" s="1170">
        <v>8298541</v>
      </c>
      <c r="BED538" s="1170">
        <v>8298541</v>
      </c>
      <c r="BEE538" s="1170">
        <v>8298541</v>
      </c>
      <c r="BEF538" s="1170">
        <v>8298541</v>
      </c>
      <c r="BEG538" s="1170">
        <v>8298541</v>
      </c>
      <c r="BEH538" s="1170">
        <v>8298541</v>
      </c>
      <c r="BEI538" s="1170">
        <v>8298541</v>
      </c>
      <c r="BEJ538" s="1170">
        <v>8298541</v>
      </c>
      <c r="BEK538" s="1170">
        <v>8298541</v>
      </c>
      <c r="BEL538" s="1170">
        <v>8298541</v>
      </c>
      <c r="BEM538" s="1170">
        <v>8298541</v>
      </c>
      <c r="BEN538" s="1170">
        <v>8298541</v>
      </c>
      <c r="BEO538" s="1170">
        <v>8298541</v>
      </c>
      <c r="BEP538" s="1170">
        <v>8298541</v>
      </c>
      <c r="BEQ538" s="1170">
        <v>8298541</v>
      </c>
      <c r="BER538" s="1170">
        <v>8298541</v>
      </c>
      <c r="BES538" s="1170">
        <v>8298541</v>
      </c>
      <c r="BET538" s="1170">
        <v>8298541</v>
      </c>
      <c r="BEU538" s="1170">
        <v>8298541</v>
      </c>
      <c r="BEV538" s="1170">
        <v>8298541</v>
      </c>
      <c r="BEW538" s="1170">
        <v>8298541</v>
      </c>
      <c r="BEX538" s="1170">
        <v>8298541</v>
      </c>
      <c r="BEY538" s="1170">
        <v>8298541</v>
      </c>
      <c r="BEZ538" s="1170">
        <v>8298541</v>
      </c>
      <c r="BFA538" s="1170">
        <v>8298541</v>
      </c>
      <c r="BFB538" s="1170">
        <v>8298541</v>
      </c>
      <c r="BFC538" s="1170">
        <v>8298541</v>
      </c>
      <c r="BFD538" s="1170">
        <v>8298541</v>
      </c>
      <c r="BFE538" s="1170">
        <v>8298541</v>
      </c>
      <c r="BFF538" s="1170">
        <v>8298541</v>
      </c>
      <c r="BFG538" s="1170">
        <v>8298541</v>
      </c>
      <c r="BFH538" s="1170">
        <v>8298541</v>
      </c>
      <c r="BFI538" s="1170">
        <v>8298541</v>
      </c>
      <c r="BFJ538" s="1170">
        <v>8298541</v>
      </c>
      <c r="BFK538" s="1170">
        <v>8298541</v>
      </c>
      <c r="BFL538" s="1170">
        <v>8298541</v>
      </c>
      <c r="BFM538" s="1170">
        <v>8298541</v>
      </c>
      <c r="BFN538" s="1170">
        <v>8298541</v>
      </c>
      <c r="BFO538" s="1170">
        <v>8298541</v>
      </c>
      <c r="BFP538" s="1170">
        <v>8298541</v>
      </c>
      <c r="BFQ538" s="1170">
        <v>8298541</v>
      </c>
      <c r="BFR538" s="1170">
        <v>8298541</v>
      </c>
      <c r="BFS538" s="1170">
        <v>8298541</v>
      </c>
      <c r="BFT538" s="1170">
        <v>8298541</v>
      </c>
      <c r="BFU538" s="1170">
        <v>8298541</v>
      </c>
      <c r="BFV538" s="1170">
        <v>8298541</v>
      </c>
      <c r="BFW538" s="1170">
        <v>8298541</v>
      </c>
      <c r="BFX538" s="1170">
        <v>8298541</v>
      </c>
      <c r="BFY538" s="1170">
        <v>8298541</v>
      </c>
      <c r="BFZ538" s="1170">
        <v>8298541</v>
      </c>
      <c r="BGA538" s="1170">
        <v>8298541</v>
      </c>
      <c r="BGB538" s="1170">
        <v>8298541</v>
      </c>
      <c r="BGC538" s="1170">
        <v>8298541</v>
      </c>
      <c r="BGD538" s="1170">
        <v>8298541</v>
      </c>
      <c r="BGE538" s="1170">
        <v>8298541</v>
      </c>
      <c r="BGF538" s="1170">
        <v>8298541</v>
      </c>
      <c r="BGG538" s="1170">
        <v>8298541</v>
      </c>
      <c r="BGH538" s="1170">
        <v>8298541</v>
      </c>
      <c r="BGI538" s="1170">
        <v>8298541</v>
      </c>
      <c r="BGJ538" s="1170">
        <v>8298541</v>
      </c>
      <c r="BGK538" s="1170">
        <v>8298541</v>
      </c>
      <c r="BGL538" s="1170">
        <v>8298541</v>
      </c>
      <c r="BGM538" s="1170">
        <v>8298541</v>
      </c>
      <c r="BGN538" s="1170">
        <v>8298541</v>
      </c>
      <c r="BGO538" s="1170">
        <v>8298541</v>
      </c>
      <c r="BGP538" s="1170">
        <v>8298541</v>
      </c>
      <c r="BGQ538" s="1170">
        <v>8298541</v>
      </c>
      <c r="BGR538" s="1170">
        <v>8298541</v>
      </c>
      <c r="BGS538" s="1170">
        <v>8298541</v>
      </c>
      <c r="BGT538" s="1170">
        <v>8298541</v>
      </c>
      <c r="BGU538" s="1170">
        <v>8298541</v>
      </c>
      <c r="BGV538" s="1170">
        <v>8298541</v>
      </c>
      <c r="BGW538" s="1170">
        <v>8298541</v>
      </c>
      <c r="BGX538" s="1170">
        <v>8298541</v>
      </c>
      <c r="BGY538" s="1170">
        <v>8298541</v>
      </c>
      <c r="BGZ538" s="1170">
        <v>8298541</v>
      </c>
      <c r="BHA538" s="1170">
        <v>8298541</v>
      </c>
      <c r="BHB538" s="1170">
        <v>8298541</v>
      </c>
      <c r="BHC538" s="1170">
        <v>8298541</v>
      </c>
      <c r="BHD538" s="1170">
        <v>8298541</v>
      </c>
      <c r="BHE538" s="1170">
        <v>8298541</v>
      </c>
      <c r="BHF538" s="1170">
        <v>8298541</v>
      </c>
      <c r="BHG538" s="1170">
        <v>8298541</v>
      </c>
      <c r="BHH538" s="1170">
        <v>8298541</v>
      </c>
      <c r="BHI538" s="1170">
        <v>8298541</v>
      </c>
      <c r="BHJ538" s="1170">
        <v>8298541</v>
      </c>
      <c r="BHK538" s="1170">
        <v>8298541</v>
      </c>
      <c r="BHL538" s="1170">
        <v>8298541</v>
      </c>
      <c r="BHM538" s="1170">
        <v>8298541</v>
      </c>
      <c r="BHN538" s="1170">
        <v>8298541</v>
      </c>
      <c r="BHO538" s="1170">
        <v>8298541</v>
      </c>
      <c r="BHP538" s="1170">
        <v>8298541</v>
      </c>
      <c r="BHQ538" s="1170">
        <v>8298541</v>
      </c>
      <c r="BHR538" s="1170">
        <v>8298541</v>
      </c>
      <c r="BHS538" s="1170">
        <v>8298541</v>
      </c>
      <c r="BHT538" s="1170">
        <v>8298541</v>
      </c>
      <c r="BHU538" s="1170">
        <v>8298541</v>
      </c>
      <c r="BHV538" s="1170">
        <v>8298541</v>
      </c>
      <c r="BHW538" s="1170">
        <v>8298541</v>
      </c>
      <c r="BHX538" s="1170">
        <v>8298541</v>
      </c>
      <c r="BHY538" s="1170">
        <v>8298541</v>
      </c>
      <c r="BHZ538" s="1170">
        <v>8298541</v>
      </c>
      <c r="BIA538" s="1170">
        <v>8298541</v>
      </c>
      <c r="BIB538" s="1170">
        <v>8298541</v>
      </c>
      <c r="BIC538" s="1170">
        <v>8298541</v>
      </c>
      <c r="BID538" s="1170">
        <v>8298541</v>
      </c>
      <c r="BIE538" s="1170">
        <v>8298541</v>
      </c>
      <c r="BIF538" s="1170">
        <v>8298541</v>
      </c>
      <c r="BIG538" s="1170">
        <v>8298541</v>
      </c>
      <c r="BIH538" s="1170">
        <v>8298541</v>
      </c>
      <c r="BII538" s="1170">
        <v>8298541</v>
      </c>
      <c r="BIJ538" s="1170">
        <v>8298541</v>
      </c>
      <c r="BIK538" s="1170">
        <v>8298541</v>
      </c>
      <c r="BIL538" s="1170">
        <v>8298541</v>
      </c>
      <c r="BIM538" s="1170">
        <v>8298541</v>
      </c>
      <c r="BIN538" s="1170">
        <v>8298541</v>
      </c>
      <c r="BIO538" s="1170">
        <v>8298541</v>
      </c>
      <c r="BIP538" s="1170">
        <v>8298541</v>
      </c>
      <c r="BIQ538" s="1170">
        <v>8298541</v>
      </c>
      <c r="BIR538" s="1170">
        <v>8298541</v>
      </c>
      <c r="BIS538" s="1170">
        <v>8298541</v>
      </c>
      <c r="BIT538" s="1170">
        <v>8298541</v>
      </c>
      <c r="BIU538" s="1170">
        <v>8298541</v>
      </c>
      <c r="BIV538" s="1170">
        <v>8298541</v>
      </c>
      <c r="BIW538" s="1170">
        <v>8298541</v>
      </c>
      <c r="BIX538" s="1170">
        <v>8298541</v>
      </c>
      <c r="BIY538" s="1170">
        <v>8298541</v>
      </c>
      <c r="BIZ538" s="1170">
        <v>8298541</v>
      </c>
      <c r="BJA538" s="1170">
        <v>8298541</v>
      </c>
      <c r="BJB538" s="1170">
        <v>8298541</v>
      </c>
      <c r="BJC538" s="1170">
        <v>8298541</v>
      </c>
      <c r="BJD538" s="1170">
        <v>8298541</v>
      </c>
      <c r="BJE538" s="1170">
        <v>8298541</v>
      </c>
      <c r="BJF538" s="1170">
        <v>8298541</v>
      </c>
      <c r="BJG538" s="1170">
        <v>8298541</v>
      </c>
      <c r="BJH538" s="1170">
        <v>8298541</v>
      </c>
      <c r="BJI538" s="1170">
        <v>8298541</v>
      </c>
      <c r="BJJ538" s="1170">
        <v>8298541</v>
      </c>
      <c r="BJK538" s="1170">
        <v>8298541</v>
      </c>
      <c r="BJL538" s="1170">
        <v>8298541</v>
      </c>
      <c r="BJM538" s="1170">
        <v>8298541</v>
      </c>
      <c r="BJN538" s="1170">
        <v>8298541</v>
      </c>
      <c r="BJO538" s="1170">
        <v>8298541</v>
      </c>
      <c r="BJP538" s="1170">
        <v>8298541</v>
      </c>
      <c r="BJQ538" s="1170">
        <v>8298541</v>
      </c>
      <c r="BJR538" s="1170">
        <v>8298541</v>
      </c>
      <c r="BJS538" s="1170">
        <v>8298541</v>
      </c>
      <c r="BJT538" s="1170">
        <v>8298541</v>
      </c>
      <c r="BJU538" s="1170">
        <v>8298541</v>
      </c>
      <c r="BJV538" s="1170">
        <v>8298541</v>
      </c>
      <c r="BJW538" s="1170">
        <v>8298541</v>
      </c>
      <c r="BJX538" s="1170">
        <v>8298541</v>
      </c>
      <c r="BJY538" s="1170">
        <v>8298541</v>
      </c>
      <c r="BJZ538" s="1170">
        <v>8298541</v>
      </c>
      <c r="BKA538" s="1170">
        <v>8298541</v>
      </c>
      <c r="BKB538" s="1170">
        <v>8298541</v>
      </c>
      <c r="BKC538" s="1170">
        <v>8298541</v>
      </c>
      <c r="BKD538" s="1170">
        <v>8298541</v>
      </c>
      <c r="BKE538" s="1170">
        <v>8298541</v>
      </c>
      <c r="BKF538" s="1170">
        <v>8298541</v>
      </c>
      <c r="BKG538" s="1170">
        <v>8298541</v>
      </c>
      <c r="BKH538" s="1170">
        <v>8298541</v>
      </c>
      <c r="BKI538" s="1170">
        <v>8298541</v>
      </c>
      <c r="BKJ538" s="1170">
        <v>8298541</v>
      </c>
      <c r="BKK538" s="1170">
        <v>8298541</v>
      </c>
      <c r="BKL538" s="1170">
        <v>8298541</v>
      </c>
      <c r="BKM538" s="1170">
        <v>8298541</v>
      </c>
      <c r="BKN538" s="1170">
        <v>8298541</v>
      </c>
      <c r="BKO538" s="1170">
        <v>8298541</v>
      </c>
      <c r="BKP538" s="1170">
        <v>8298541</v>
      </c>
      <c r="BKQ538" s="1170">
        <v>8298541</v>
      </c>
      <c r="BKR538" s="1170">
        <v>8298541</v>
      </c>
      <c r="BKS538" s="1170">
        <v>8298541</v>
      </c>
      <c r="BKT538" s="1170">
        <v>8298541</v>
      </c>
      <c r="BKU538" s="1170">
        <v>8298541</v>
      </c>
      <c r="BKV538" s="1170">
        <v>8298541</v>
      </c>
      <c r="BKW538" s="1170">
        <v>8298541</v>
      </c>
      <c r="BKX538" s="1170">
        <v>8298541</v>
      </c>
      <c r="BKY538" s="1170">
        <v>8298541</v>
      </c>
      <c r="BKZ538" s="1170">
        <v>8298541</v>
      </c>
      <c r="BLA538" s="1170">
        <v>8298541</v>
      </c>
      <c r="BLB538" s="1170">
        <v>8298541</v>
      </c>
      <c r="BLC538" s="1170">
        <v>8298541</v>
      </c>
      <c r="BLD538" s="1170">
        <v>8298541</v>
      </c>
      <c r="BLE538" s="1170">
        <v>8298541</v>
      </c>
      <c r="BLF538" s="1170">
        <v>8298541</v>
      </c>
      <c r="BLG538" s="1170">
        <v>8298541</v>
      </c>
      <c r="BLH538" s="1170">
        <v>8298541</v>
      </c>
      <c r="BLI538" s="1170">
        <v>8298541</v>
      </c>
      <c r="BLJ538" s="1170">
        <v>8298541</v>
      </c>
      <c r="BLK538" s="1170">
        <v>8298541</v>
      </c>
      <c r="BLL538" s="1170">
        <v>8298541</v>
      </c>
      <c r="BLM538" s="1170">
        <v>8298541</v>
      </c>
      <c r="BLN538" s="1170">
        <v>8298541</v>
      </c>
      <c r="BLO538" s="1170">
        <v>8298541</v>
      </c>
      <c r="BLP538" s="1170">
        <v>8298541</v>
      </c>
      <c r="BLQ538" s="1170">
        <v>8298541</v>
      </c>
      <c r="BLR538" s="1170">
        <v>8298541</v>
      </c>
      <c r="BLS538" s="1170">
        <v>8298541</v>
      </c>
      <c r="BLT538" s="1170">
        <v>8298541</v>
      </c>
      <c r="BLU538" s="1170">
        <v>8298541</v>
      </c>
      <c r="BLV538" s="1170">
        <v>8298541</v>
      </c>
      <c r="BLW538" s="1170">
        <v>8298541</v>
      </c>
      <c r="BLX538" s="1170">
        <v>8298541</v>
      </c>
      <c r="BLY538" s="1170">
        <v>8298541</v>
      </c>
      <c r="BLZ538" s="1170">
        <v>8298541</v>
      </c>
      <c r="BMA538" s="1170">
        <v>8298541</v>
      </c>
      <c r="BMB538" s="1170">
        <v>8298541</v>
      </c>
      <c r="BMC538" s="1170">
        <v>8298541</v>
      </c>
      <c r="BMD538" s="1170">
        <v>8298541</v>
      </c>
      <c r="BME538" s="1170">
        <v>8298541</v>
      </c>
      <c r="BMF538" s="1170">
        <v>8298541</v>
      </c>
      <c r="BMG538" s="1170">
        <v>8298541</v>
      </c>
      <c r="BMH538" s="1170">
        <v>8298541</v>
      </c>
      <c r="BMI538" s="1170">
        <v>8298541</v>
      </c>
      <c r="BMJ538" s="1170">
        <v>8298541</v>
      </c>
      <c r="BMK538" s="1170">
        <v>8298541</v>
      </c>
      <c r="BML538" s="1170">
        <v>8298541</v>
      </c>
      <c r="BMM538" s="1170">
        <v>8298541</v>
      </c>
      <c r="BMN538" s="1170">
        <v>8298541</v>
      </c>
      <c r="BMO538" s="1170">
        <v>8298541</v>
      </c>
      <c r="BMP538" s="1170">
        <v>8298541</v>
      </c>
      <c r="BMQ538" s="1170">
        <v>8298541</v>
      </c>
      <c r="BMR538" s="1170">
        <v>8298541</v>
      </c>
      <c r="BMS538" s="1170">
        <v>8298541</v>
      </c>
      <c r="BMT538" s="1170">
        <v>8298541</v>
      </c>
      <c r="BMU538" s="1170">
        <v>8298541</v>
      </c>
      <c r="BMV538" s="1170">
        <v>8298541</v>
      </c>
      <c r="BMW538" s="1170">
        <v>8298541</v>
      </c>
      <c r="BMX538" s="1170">
        <v>8298541</v>
      </c>
      <c r="BMY538" s="1170">
        <v>8298541</v>
      </c>
      <c r="BMZ538" s="1170">
        <v>8298541</v>
      </c>
      <c r="BNA538" s="1170">
        <v>8298541</v>
      </c>
      <c r="BNB538" s="1170">
        <v>8298541</v>
      </c>
      <c r="BNC538" s="1170">
        <v>8298541</v>
      </c>
      <c r="BND538" s="1170">
        <v>8298541</v>
      </c>
      <c r="BNE538" s="1170">
        <v>8298541</v>
      </c>
      <c r="BNF538" s="1170">
        <v>8298541</v>
      </c>
      <c r="BNG538" s="1170">
        <v>8298541</v>
      </c>
      <c r="BNH538" s="1170">
        <v>8298541</v>
      </c>
      <c r="BNI538" s="1170">
        <v>8298541</v>
      </c>
      <c r="BNJ538" s="1170">
        <v>8298541</v>
      </c>
      <c r="BNK538" s="1170">
        <v>8298541</v>
      </c>
      <c r="BNL538" s="1170">
        <v>8298541</v>
      </c>
      <c r="BNM538" s="1170">
        <v>8298541</v>
      </c>
      <c r="BNN538" s="1170">
        <v>8298541</v>
      </c>
      <c r="BNO538" s="1170">
        <v>8298541</v>
      </c>
      <c r="BNP538" s="1170">
        <v>8298541</v>
      </c>
      <c r="BNQ538" s="1170">
        <v>8298541</v>
      </c>
      <c r="BNR538" s="1170">
        <v>8298541</v>
      </c>
      <c r="BNS538" s="1170">
        <v>8298541</v>
      </c>
      <c r="BNT538" s="1170">
        <v>8298541</v>
      </c>
      <c r="BNU538" s="1170">
        <v>8298541</v>
      </c>
      <c r="BNV538" s="1170">
        <v>8298541</v>
      </c>
      <c r="BNW538" s="1170">
        <v>8298541</v>
      </c>
      <c r="BNX538" s="1170">
        <v>8298541</v>
      </c>
      <c r="BNY538" s="1170">
        <v>8298541</v>
      </c>
      <c r="BNZ538" s="1170">
        <v>8298541</v>
      </c>
      <c r="BOA538" s="1170">
        <v>8298541</v>
      </c>
      <c r="BOB538" s="1170">
        <v>8298541</v>
      </c>
      <c r="BOC538" s="1170">
        <v>8298541</v>
      </c>
      <c r="BOD538" s="1170">
        <v>8298541</v>
      </c>
      <c r="BOE538" s="1170">
        <v>8298541</v>
      </c>
      <c r="BOF538" s="1170">
        <v>8298541</v>
      </c>
      <c r="BOG538" s="1170">
        <v>8298541</v>
      </c>
      <c r="BOH538" s="1170">
        <v>8298541</v>
      </c>
      <c r="BOI538" s="1170">
        <v>8298541</v>
      </c>
      <c r="BOJ538" s="1170">
        <v>8298541</v>
      </c>
      <c r="BOK538" s="1170">
        <v>8298541</v>
      </c>
      <c r="BOL538" s="1170">
        <v>8298541</v>
      </c>
      <c r="BOM538" s="1170">
        <v>8298541</v>
      </c>
      <c r="BON538" s="1170">
        <v>8298541</v>
      </c>
      <c r="BOO538" s="1170">
        <v>8298541</v>
      </c>
      <c r="BOP538" s="1170">
        <v>8298541</v>
      </c>
      <c r="BOQ538" s="1170">
        <v>8298541</v>
      </c>
      <c r="BOR538" s="1170">
        <v>8298541</v>
      </c>
      <c r="BOS538" s="1170">
        <v>8298541</v>
      </c>
      <c r="BOT538" s="1170">
        <v>8298541</v>
      </c>
      <c r="BOU538" s="1170">
        <v>8298541</v>
      </c>
      <c r="BOV538" s="1170">
        <v>8298541</v>
      </c>
      <c r="BOW538" s="1170">
        <v>8298541</v>
      </c>
      <c r="BOX538" s="1170">
        <v>8298541</v>
      </c>
      <c r="BOY538" s="1170">
        <v>8298541</v>
      </c>
      <c r="BOZ538" s="1170">
        <v>8298541</v>
      </c>
      <c r="BPA538" s="1170">
        <v>8298541</v>
      </c>
      <c r="BPB538" s="1170">
        <v>8298541</v>
      </c>
      <c r="BPC538" s="1170">
        <v>8298541</v>
      </c>
      <c r="BPD538" s="1170">
        <v>8298541</v>
      </c>
      <c r="BPE538" s="1170">
        <v>8298541</v>
      </c>
      <c r="BPF538" s="1170">
        <v>8298541</v>
      </c>
      <c r="BPG538" s="1170">
        <v>8298541</v>
      </c>
      <c r="BPH538" s="1170">
        <v>8298541</v>
      </c>
      <c r="BPI538" s="1170">
        <v>8298541</v>
      </c>
      <c r="BPJ538" s="1170">
        <v>8298541</v>
      </c>
      <c r="BPK538" s="1170">
        <v>8298541</v>
      </c>
      <c r="BPL538" s="1170">
        <v>8298541</v>
      </c>
      <c r="BPM538" s="1170">
        <v>8298541</v>
      </c>
      <c r="BPN538" s="1170">
        <v>8298541</v>
      </c>
      <c r="BPO538" s="1170">
        <v>8298541</v>
      </c>
      <c r="BPP538" s="1170">
        <v>8298541</v>
      </c>
      <c r="BPQ538" s="1170">
        <v>8298541</v>
      </c>
      <c r="BPR538" s="1170">
        <v>8298541</v>
      </c>
      <c r="BPS538" s="1170">
        <v>8298541</v>
      </c>
      <c r="BPT538" s="1170">
        <v>8298541</v>
      </c>
      <c r="BPU538" s="1170">
        <v>8298541</v>
      </c>
      <c r="BPV538" s="1170">
        <v>8298541</v>
      </c>
      <c r="BPW538" s="1170">
        <v>8298541</v>
      </c>
      <c r="BPX538" s="1170">
        <v>8298541</v>
      </c>
      <c r="BPY538" s="1170">
        <v>8298541</v>
      </c>
      <c r="BPZ538" s="1170">
        <v>8298541</v>
      </c>
      <c r="BQA538" s="1170">
        <v>8298541</v>
      </c>
      <c r="BQB538" s="1170">
        <v>8298541</v>
      </c>
      <c r="BQC538" s="1170">
        <v>8298541</v>
      </c>
      <c r="BQD538" s="1170">
        <v>8298541</v>
      </c>
      <c r="BQE538" s="1170">
        <v>8298541</v>
      </c>
      <c r="BQF538" s="1170">
        <v>8298541</v>
      </c>
      <c r="BQG538" s="1170">
        <v>8298541</v>
      </c>
      <c r="BQH538" s="1170">
        <v>8298541</v>
      </c>
      <c r="BQI538" s="1170">
        <v>8298541</v>
      </c>
      <c r="BQJ538" s="1170">
        <v>8298541</v>
      </c>
      <c r="BQK538" s="1170">
        <v>8298541</v>
      </c>
      <c r="BQL538" s="1170">
        <v>8298541</v>
      </c>
      <c r="BQM538" s="1170">
        <v>8298541</v>
      </c>
      <c r="BQN538" s="1170">
        <v>8298541</v>
      </c>
      <c r="BQO538" s="1170">
        <v>8298541</v>
      </c>
      <c r="BQP538" s="1170">
        <v>8298541</v>
      </c>
      <c r="BQQ538" s="1170">
        <v>8298541</v>
      </c>
      <c r="BQR538" s="1170">
        <v>8298541</v>
      </c>
      <c r="BQS538" s="1170">
        <v>8298541</v>
      </c>
      <c r="BQT538" s="1170">
        <v>8298541</v>
      </c>
      <c r="BQU538" s="1170">
        <v>8298541</v>
      </c>
      <c r="BQV538" s="1170">
        <v>8298541</v>
      </c>
      <c r="BQW538" s="1170">
        <v>8298541</v>
      </c>
      <c r="BQX538" s="1170">
        <v>8298541</v>
      </c>
      <c r="BQY538" s="1170">
        <v>8298541</v>
      </c>
      <c r="BQZ538" s="1170">
        <v>8298541</v>
      </c>
      <c r="BRA538" s="1170">
        <v>8298541</v>
      </c>
      <c r="BRB538" s="1170">
        <v>8298541</v>
      </c>
      <c r="BRC538" s="1170">
        <v>8298541</v>
      </c>
      <c r="BRD538" s="1170">
        <v>8298541</v>
      </c>
      <c r="BRE538" s="1170">
        <v>8298541</v>
      </c>
      <c r="BRF538" s="1170">
        <v>8298541</v>
      </c>
      <c r="BRG538" s="1170">
        <v>8298541</v>
      </c>
      <c r="BRH538" s="1170">
        <v>8298541</v>
      </c>
      <c r="BRI538" s="1170">
        <v>8298541</v>
      </c>
      <c r="BRJ538" s="1170">
        <v>8298541</v>
      </c>
      <c r="BRK538" s="1170">
        <v>8298541</v>
      </c>
      <c r="BRL538" s="1170">
        <v>8298541</v>
      </c>
      <c r="BRM538" s="1170">
        <v>8298541</v>
      </c>
      <c r="BRN538" s="1170">
        <v>8298541</v>
      </c>
      <c r="BRO538" s="1170">
        <v>8298541</v>
      </c>
      <c r="BRP538" s="1170">
        <v>8298541</v>
      </c>
      <c r="BRQ538" s="1170">
        <v>8298541</v>
      </c>
      <c r="BRR538" s="1170">
        <v>8298541</v>
      </c>
      <c r="BRS538" s="1170">
        <v>8298541</v>
      </c>
      <c r="BRT538" s="1170">
        <v>8298541</v>
      </c>
      <c r="BRU538" s="1170">
        <v>8298541</v>
      </c>
      <c r="BRV538" s="1170">
        <v>8298541</v>
      </c>
      <c r="BRW538" s="1170">
        <v>8298541</v>
      </c>
      <c r="BRX538" s="1170">
        <v>8298541</v>
      </c>
      <c r="BRY538" s="1170">
        <v>8298541</v>
      </c>
      <c r="BRZ538" s="1170">
        <v>8298541</v>
      </c>
      <c r="BSA538" s="1170">
        <v>8298541</v>
      </c>
      <c r="BSB538" s="1170">
        <v>8298541</v>
      </c>
      <c r="BSC538" s="1170">
        <v>8298541</v>
      </c>
      <c r="BSD538" s="1170">
        <v>8298541</v>
      </c>
      <c r="BSE538" s="1170">
        <v>8298541</v>
      </c>
      <c r="BSF538" s="1170">
        <v>8298541</v>
      </c>
      <c r="BSG538" s="1170">
        <v>8298541</v>
      </c>
      <c r="BSH538" s="1170">
        <v>8298541</v>
      </c>
      <c r="BSI538" s="1170">
        <v>8298541</v>
      </c>
      <c r="BSJ538" s="1170">
        <v>8298541</v>
      </c>
      <c r="BSK538" s="1170">
        <v>8298541</v>
      </c>
      <c r="BSL538" s="1170">
        <v>8298541</v>
      </c>
      <c r="BSM538" s="1170">
        <v>8298541</v>
      </c>
      <c r="BSN538" s="1170">
        <v>8298541</v>
      </c>
      <c r="BSO538" s="1170">
        <v>8298541</v>
      </c>
      <c r="BSP538" s="1170">
        <v>8298541</v>
      </c>
      <c r="BSQ538" s="1170">
        <v>8298541</v>
      </c>
      <c r="BSR538" s="1170">
        <v>8298541</v>
      </c>
      <c r="BSS538" s="1170">
        <v>8298541</v>
      </c>
      <c r="BST538" s="1170">
        <v>8298541</v>
      </c>
      <c r="BSU538" s="1170">
        <v>8298541</v>
      </c>
      <c r="BSV538" s="1170">
        <v>8298541</v>
      </c>
      <c r="BSW538" s="1170">
        <v>8298541</v>
      </c>
      <c r="BSX538" s="1170">
        <v>8298541</v>
      </c>
      <c r="BSY538" s="1170">
        <v>8298541</v>
      </c>
      <c r="BSZ538" s="1170">
        <v>8298541</v>
      </c>
      <c r="BTA538" s="1170">
        <v>8298541</v>
      </c>
      <c r="BTB538" s="1170">
        <v>8298541</v>
      </c>
      <c r="BTC538" s="1170">
        <v>8298541</v>
      </c>
      <c r="BTD538" s="1170">
        <v>8298541</v>
      </c>
      <c r="BTE538" s="1170">
        <v>8298541</v>
      </c>
      <c r="BTF538" s="1170">
        <v>8298541</v>
      </c>
      <c r="BTG538" s="1170">
        <v>8298541</v>
      </c>
      <c r="BTH538" s="1170">
        <v>8298541</v>
      </c>
      <c r="BTI538" s="1170">
        <v>8298541</v>
      </c>
      <c r="BTJ538" s="1170">
        <v>8298541</v>
      </c>
      <c r="BTK538" s="1170">
        <v>8298541</v>
      </c>
      <c r="BTL538" s="1170">
        <v>8298541</v>
      </c>
      <c r="BTM538" s="1170">
        <v>8298541</v>
      </c>
      <c r="BTN538" s="1170">
        <v>8298541</v>
      </c>
      <c r="BTO538" s="1170">
        <v>8298541</v>
      </c>
      <c r="BTP538" s="1170">
        <v>8298541</v>
      </c>
      <c r="BTQ538" s="1170">
        <v>8298541</v>
      </c>
      <c r="BTR538" s="1170">
        <v>8298541</v>
      </c>
      <c r="BTS538" s="1170">
        <v>8298541</v>
      </c>
      <c r="BTT538" s="1170">
        <v>8298541</v>
      </c>
      <c r="BTU538" s="1170">
        <v>8298541</v>
      </c>
      <c r="BTV538" s="1170">
        <v>8298541</v>
      </c>
      <c r="BTW538" s="1170">
        <v>8298541</v>
      </c>
      <c r="BTX538" s="1170">
        <v>8298541</v>
      </c>
      <c r="BTY538" s="1170">
        <v>8298541</v>
      </c>
      <c r="BTZ538" s="1170">
        <v>8298541</v>
      </c>
      <c r="BUA538" s="1170">
        <v>8298541</v>
      </c>
      <c r="BUB538" s="1170">
        <v>8298541</v>
      </c>
      <c r="BUC538" s="1170">
        <v>8298541</v>
      </c>
      <c r="BUD538" s="1170">
        <v>8298541</v>
      </c>
      <c r="BUE538" s="1170">
        <v>8298541</v>
      </c>
      <c r="BUF538" s="1170">
        <v>8298541</v>
      </c>
      <c r="BUG538" s="1170">
        <v>8298541</v>
      </c>
      <c r="BUH538" s="1170">
        <v>8298541</v>
      </c>
      <c r="BUI538" s="1170">
        <v>8298541</v>
      </c>
      <c r="BUJ538" s="1170">
        <v>8298541</v>
      </c>
      <c r="BUK538" s="1170">
        <v>8298541</v>
      </c>
      <c r="BUL538" s="1170">
        <v>8298541</v>
      </c>
      <c r="BUM538" s="1170">
        <v>8298541</v>
      </c>
      <c r="BUN538" s="1170">
        <v>8298541</v>
      </c>
      <c r="BUO538" s="1170">
        <v>8298541</v>
      </c>
      <c r="BUP538" s="1170">
        <v>8298541</v>
      </c>
      <c r="BUQ538" s="1170">
        <v>8298541</v>
      </c>
      <c r="BUR538" s="1170">
        <v>8298541</v>
      </c>
      <c r="BUS538" s="1170">
        <v>8298541</v>
      </c>
      <c r="BUT538" s="1170">
        <v>8298541</v>
      </c>
      <c r="BUU538" s="1170">
        <v>8298541</v>
      </c>
      <c r="BUV538" s="1170">
        <v>8298541</v>
      </c>
      <c r="BUW538" s="1170">
        <v>8298541</v>
      </c>
      <c r="BUX538" s="1170">
        <v>8298541</v>
      </c>
      <c r="BUY538" s="1170">
        <v>8298541</v>
      </c>
      <c r="BUZ538" s="1170">
        <v>8298541</v>
      </c>
      <c r="BVA538" s="1170">
        <v>8298541</v>
      </c>
      <c r="BVB538" s="1170">
        <v>8298541</v>
      </c>
      <c r="BVC538" s="1170">
        <v>8298541</v>
      </c>
      <c r="BVD538" s="1170">
        <v>8298541</v>
      </c>
      <c r="BVE538" s="1170">
        <v>8298541</v>
      </c>
      <c r="BVF538" s="1170">
        <v>8298541</v>
      </c>
      <c r="BVG538" s="1170">
        <v>8298541</v>
      </c>
      <c r="BVH538" s="1170">
        <v>8298541</v>
      </c>
      <c r="BVI538" s="1170">
        <v>8298541</v>
      </c>
      <c r="BVJ538" s="1170">
        <v>8298541</v>
      </c>
      <c r="BVK538" s="1170">
        <v>8298541</v>
      </c>
      <c r="BVL538" s="1170">
        <v>8298541</v>
      </c>
      <c r="BVM538" s="1170">
        <v>8298541</v>
      </c>
      <c r="BVN538" s="1170">
        <v>8298541</v>
      </c>
      <c r="BVO538" s="1170">
        <v>8298541</v>
      </c>
      <c r="BVP538" s="1170">
        <v>8298541</v>
      </c>
      <c r="BVQ538" s="1170">
        <v>8298541</v>
      </c>
      <c r="BVR538" s="1170">
        <v>8298541</v>
      </c>
      <c r="BVS538" s="1170">
        <v>8298541</v>
      </c>
      <c r="BVT538" s="1170">
        <v>8298541</v>
      </c>
      <c r="BVU538" s="1170">
        <v>8298541</v>
      </c>
      <c r="BVV538" s="1170">
        <v>8298541</v>
      </c>
      <c r="BVW538" s="1170">
        <v>8298541</v>
      </c>
      <c r="BVX538" s="1170">
        <v>8298541</v>
      </c>
      <c r="BVY538" s="1170">
        <v>8298541</v>
      </c>
      <c r="BVZ538" s="1170">
        <v>8298541</v>
      </c>
      <c r="BWA538" s="1170">
        <v>8298541</v>
      </c>
      <c r="BWB538" s="1170">
        <v>8298541</v>
      </c>
      <c r="BWC538" s="1170">
        <v>8298541</v>
      </c>
      <c r="BWD538" s="1170">
        <v>8298541</v>
      </c>
      <c r="BWE538" s="1170">
        <v>8298541</v>
      </c>
      <c r="BWF538" s="1170">
        <v>8298541</v>
      </c>
      <c r="BWG538" s="1170">
        <v>8298541</v>
      </c>
      <c r="BWH538" s="1170">
        <v>8298541</v>
      </c>
      <c r="BWI538" s="1170">
        <v>8298541</v>
      </c>
      <c r="BWJ538" s="1170">
        <v>8298541</v>
      </c>
      <c r="BWK538" s="1170">
        <v>8298541</v>
      </c>
      <c r="BWL538" s="1170">
        <v>8298541</v>
      </c>
      <c r="BWM538" s="1170">
        <v>8298541</v>
      </c>
      <c r="BWN538" s="1170">
        <v>8298541</v>
      </c>
      <c r="BWO538" s="1170">
        <v>8298541</v>
      </c>
      <c r="BWP538" s="1170">
        <v>8298541</v>
      </c>
      <c r="BWQ538" s="1170">
        <v>8298541</v>
      </c>
      <c r="BWR538" s="1170">
        <v>8298541</v>
      </c>
      <c r="BWS538" s="1170">
        <v>8298541</v>
      </c>
      <c r="BWT538" s="1170">
        <v>8298541</v>
      </c>
      <c r="BWU538" s="1170">
        <v>8298541</v>
      </c>
      <c r="BWV538" s="1170">
        <v>8298541</v>
      </c>
      <c r="BWW538" s="1170">
        <v>8298541</v>
      </c>
      <c r="BWX538" s="1170">
        <v>8298541</v>
      </c>
      <c r="BWY538" s="1170">
        <v>8298541</v>
      </c>
      <c r="BWZ538" s="1170">
        <v>8298541</v>
      </c>
      <c r="BXA538" s="1170">
        <v>8298541</v>
      </c>
      <c r="BXB538" s="1170">
        <v>8298541</v>
      </c>
      <c r="BXC538" s="1170">
        <v>8298541</v>
      </c>
      <c r="BXD538" s="1170">
        <v>8298541</v>
      </c>
      <c r="BXE538" s="1170">
        <v>8298541</v>
      </c>
      <c r="BXF538" s="1170">
        <v>8298541</v>
      </c>
      <c r="BXG538" s="1170">
        <v>8298541</v>
      </c>
      <c r="BXH538" s="1170">
        <v>8298541</v>
      </c>
      <c r="BXI538" s="1170">
        <v>8298541</v>
      </c>
      <c r="BXJ538" s="1170">
        <v>8298541</v>
      </c>
      <c r="BXK538" s="1170">
        <v>8298541</v>
      </c>
      <c r="BXL538" s="1170">
        <v>8298541</v>
      </c>
      <c r="BXM538" s="1170">
        <v>8298541</v>
      </c>
      <c r="BXN538" s="1170">
        <v>8298541</v>
      </c>
      <c r="BXO538" s="1170">
        <v>8298541</v>
      </c>
      <c r="BXP538" s="1170">
        <v>8298541</v>
      </c>
      <c r="BXQ538" s="1170">
        <v>8298541</v>
      </c>
      <c r="BXR538" s="1170">
        <v>8298541</v>
      </c>
      <c r="BXS538" s="1170">
        <v>8298541</v>
      </c>
      <c r="BXT538" s="1170">
        <v>8298541</v>
      </c>
      <c r="BXU538" s="1170">
        <v>8298541</v>
      </c>
      <c r="BXV538" s="1170">
        <v>8298541</v>
      </c>
      <c r="BXW538" s="1170">
        <v>8298541</v>
      </c>
      <c r="BXX538" s="1170">
        <v>8298541</v>
      </c>
      <c r="BXY538" s="1170">
        <v>8298541</v>
      </c>
      <c r="BXZ538" s="1170">
        <v>8298541</v>
      </c>
      <c r="BYA538" s="1170">
        <v>8298541</v>
      </c>
      <c r="BYB538" s="1170">
        <v>8298541</v>
      </c>
      <c r="BYC538" s="1170">
        <v>8298541</v>
      </c>
      <c r="BYD538" s="1170">
        <v>8298541</v>
      </c>
      <c r="BYE538" s="1170">
        <v>8298541</v>
      </c>
      <c r="BYF538" s="1170">
        <v>8298541</v>
      </c>
      <c r="BYG538" s="1170">
        <v>8298541</v>
      </c>
      <c r="BYH538" s="1170">
        <v>8298541</v>
      </c>
      <c r="BYI538" s="1170">
        <v>8298541</v>
      </c>
      <c r="BYJ538" s="1170">
        <v>8298541</v>
      </c>
      <c r="BYK538" s="1170">
        <v>8298541</v>
      </c>
      <c r="BYL538" s="1170">
        <v>8298541</v>
      </c>
      <c r="BYM538" s="1170">
        <v>8298541</v>
      </c>
      <c r="BYN538" s="1170">
        <v>8298541</v>
      </c>
      <c r="BYO538" s="1170">
        <v>8298541</v>
      </c>
      <c r="BYP538" s="1170">
        <v>8298541</v>
      </c>
      <c r="BYQ538" s="1170">
        <v>8298541</v>
      </c>
      <c r="BYR538" s="1170">
        <v>8298541</v>
      </c>
      <c r="BYS538" s="1170">
        <v>8298541</v>
      </c>
      <c r="BYT538" s="1170">
        <v>8298541</v>
      </c>
      <c r="BYU538" s="1170">
        <v>8298541</v>
      </c>
      <c r="BYV538" s="1170">
        <v>8298541</v>
      </c>
      <c r="BYW538" s="1170">
        <v>8298541</v>
      </c>
      <c r="BYX538" s="1170">
        <v>8298541</v>
      </c>
      <c r="BYY538" s="1170">
        <v>8298541</v>
      </c>
      <c r="BYZ538" s="1170">
        <v>8298541</v>
      </c>
      <c r="BZA538" s="1170">
        <v>8298541</v>
      </c>
      <c r="BZB538" s="1170">
        <v>8298541</v>
      </c>
      <c r="BZC538" s="1170">
        <v>8298541</v>
      </c>
      <c r="BZD538" s="1170">
        <v>8298541</v>
      </c>
      <c r="BZE538" s="1170">
        <v>8298541</v>
      </c>
      <c r="BZF538" s="1170">
        <v>8298541</v>
      </c>
      <c r="BZG538" s="1170">
        <v>8298541</v>
      </c>
      <c r="BZH538" s="1170">
        <v>8298541</v>
      </c>
      <c r="BZI538" s="1170">
        <v>8298541</v>
      </c>
      <c r="BZJ538" s="1170">
        <v>8298541</v>
      </c>
      <c r="BZK538" s="1170">
        <v>8298541</v>
      </c>
      <c r="BZL538" s="1170">
        <v>8298541</v>
      </c>
      <c r="BZM538" s="1170">
        <v>8298541</v>
      </c>
      <c r="BZN538" s="1170">
        <v>8298541</v>
      </c>
      <c r="BZO538" s="1170">
        <v>8298541</v>
      </c>
      <c r="BZP538" s="1170">
        <v>8298541</v>
      </c>
      <c r="BZQ538" s="1170">
        <v>8298541</v>
      </c>
      <c r="BZR538" s="1170">
        <v>8298541</v>
      </c>
      <c r="BZS538" s="1170">
        <v>8298541</v>
      </c>
      <c r="BZT538" s="1170">
        <v>8298541</v>
      </c>
      <c r="BZU538" s="1170">
        <v>8298541</v>
      </c>
      <c r="BZV538" s="1170">
        <v>8298541</v>
      </c>
      <c r="BZW538" s="1170">
        <v>8298541</v>
      </c>
      <c r="BZX538" s="1170">
        <v>8298541</v>
      </c>
      <c r="BZY538" s="1170">
        <v>8298541</v>
      </c>
      <c r="BZZ538" s="1170">
        <v>8298541</v>
      </c>
      <c r="CAA538" s="1170">
        <v>8298541</v>
      </c>
      <c r="CAB538" s="1170">
        <v>8298541</v>
      </c>
      <c r="CAC538" s="1170">
        <v>8298541</v>
      </c>
      <c r="CAD538" s="1170">
        <v>8298541</v>
      </c>
      <c r="CAE538" s="1170">
        <v>8298541</v>
      </c>
      <c r="CAF538" s="1170">
        <v>8298541</v>
      </c>
      <c r="CAG538" s="1170">
        <v>8298541</v>
      </c>
      <c r="CAH538" s="1170">
        <v>8298541</v>
      </c>
      <c r="CAI538" s="1170">
        <v>8298541</v>
      </c>
      <c r="CAJ538" s="1170">
        <v>8298541</v>
      </c>
      <c r="CAK538" s="1170">
        <v>8298541</v>
      </c>
      <c r="CAL538" s="1170">
        <v>8298541</v>
      </c>
      <c r="CAM538" s="1170">
        <v>8298541</v>
      </c>
      <c r="CAN538" s="1170">
        <v>8298541</v>
      </c>
      <c r="CAO538" s="1170">
        <v>8298541</v>
      </c>
      <c r="CAP538" s="1170">
        <v>8298541</v>
      </c>
      <c r="CAQ538" s="1170">
        <v>8298541</v>
      </c>
      <c r="CAR538" s="1170">
        <v>8298541</v>
      </c>
      <c r="CAS538" s="1170">
        <v>8298541</v>
      </c>
      <c r="CAT538" s="1170">
        <v>8298541</v>
      </c>
      <c r="CAU538" s="1170">
        <v>8298541</v>
      </c>
      <c r="CAV538" s="1170">
        <v>8298541</v>
      </c>
      <c r="CAW538" s="1170">
        <v>8298541</v>
      </c>
      <c r="CAX538" s="1170">
        <v>8298541</v>
      </c>
      <c r="CAY538" s="1170">
        <v>8298541</v>
      </c>
      <c r="CAZ538" s="1170">
        <v>8298541</v>
      </c>
      <c r="CBA538" s="1170">
        <v>8298541</v>
      </c>
      <c r="CBB538" s="1170">
        <v>8298541</v>
      </c>
      <c r="CBC538" s="1170">
        <v>8298541</v>
      </c>
      <c r="CBD538" s="1170">
        <v>8298541</v>
      </c>
      <c r="CBE538" s="1170">
        <v>8298541</v>
      </c>
      <c r="CBF538" s="1170">
        <v>8298541</v>
      </c>
      <c r="CBG538" s="1170">
        <v>8298541</v>
      </c>
      <c r="CBH538" s="1170">
        <v>8298541</v>
      </c>
      <c r="CBI538" s="1170">
        <v>8298541</v>
      </c>
      <c r="CBJ538" s="1170">
        <v>8298541</v>
      </c>
      <c r="CBK538" s="1170">
        <v>8298541</v>
      </c>
      <c r="CBL538" s="1170">
        <v>8298541</v>
      </c>
      <c r="CBM538" s="1170">
        <v>8298541</v>
      </c>
      <c r="CBN538" s="1170">
        <v>8298541</v>
      </c>
      <c r="CBO538" s="1170">
        <v>8298541</v>
      </c>
      <c r="CBP538" s="1170">
        <v>8298541</v>
      </c>
      <c r="CBQ538" s="1170">
        <v>8298541</v>
      </c>
      <c r="CBR538" s="1170">
        <v>8298541</v>
      </c>
      <c r="CBS538" s="1170">
        <v>8298541</v>
      </c>
      <c r="CBT538" s="1170">
        <v>8298541</v>
      </c>
      <c r="CBU538" s="1170">
        <v>8298541</v>
      </c>
      <c r="CBV538" s="1170">
        <v>8298541</v>
      </c>
      <c r="CBW538" s="1170">
        <v>8298541</v>
      </c>
      <c r="CBX538" s="1170">
        <v>8298541</v>
      </c>
      <c r="CBY538" s="1170">
        <v>8298541</v>
      </c>
      <c r="CBZ538" s="1170">
        <v>8298541</v>
      </c>
      <c r="CCA538" s="1170">
        <v>8298541</v>
      </c>
      <c r="CCB538" s="1170">
        <v>8298541</v>
      </c>
      <c r="CCC538" s="1170">
        <v>8298541</v>
      </c>
      <c r="CCD538" s="1170">
        <v>8298541</v>
      </c>
      <c r="CCE538" s="1170">
        <v>8298541</v>
      </c>
      <c r="CCF538" s="1170">
        <v>8298541</v>
      </c>
      <c r="CCG538" s="1170">
        <v>8298541</v>
      </c>
      <c r="CCH538" s="1170">
        <v>8298541</v>
      </c>
      <c r="CCI538" s="1170">
        <v>8298541</v>
      </c>
      <c r="CCJ538" s="1170">
        <v>8298541</v>
      </c>
      <c r="CCK538" s="1170">
        <v>8298541</v>
      </c>
      <c r="CCL538" s="1170">
        <v>8298541</v>
      </c>
      <c r="CCM538" s="1170">
        <v>8298541</v>
      </c>
      <c r="CCN538" s="1170">
        <v>8298541</v>
      </c>
      <c r="CCO538" s="1170">
        <v>8298541</v>
      </c>
      <c r="CCP538" s="1170">
        <v>8298541</v>
      </c>
      <c r="CCQ538" s="1170">
        <v>8298541</v>
      </c>
      <c r="CCR538" s="1170">
        <v>8298541</v>
      </c>
      <c r="CCS538" s="1170">
        <v>8298541</v>
      </c>
      <c r="CCT538" s="1170">
        <v>8298541</v>
      </c>
      <c r="CCU538" s="1170">
        <v>8298541</v>
      </c>
      <c r="CCV538" s="1170">
        <v>8298541</v>
      </c>
      <c r="CCW538" s="1170">
        <v>8298541</v>
      </c>
      <c r="CCX538" s="1170">
        <v>8298541</v>
      </c>
      <c r="CCY538" s="1170">
        <v>8298541</v>
      </c>
      <c r="CCZ538" s="1170">
        <v>8298541</v>
      </c>
      <c r="CDA538" s="1170">
        <v>8298541</v>
      </c>
      <c r="CDB538" s="1170">
        <v>8298541</v>
      </c>
      <c r="CDC538" s="1170">
        <v>8298541</v>
      </c>
      <c r="CDD538" s="1170">
        <v>8298541</v>
      </c>
      <c r="CDE538" s="1170">
        <v>8298541</v>
      </c>
      <c r="CDF538" s="1170">
        <v>8298541</v>
      </c>
      <c r="CDG538" s="1170">
        <v>8298541</v>
      </c>
      <c r="CDH538" s="1170">
        <v>8298541</v>
      </c>
      <c r="CDI538" s="1170">
        <v>8298541</v>
      </c>
      <c r="CDJ538" s="1170">
        <v>8298541</v>
      </c>
      <c r="CDK538" s="1170">
        <v>8298541</v>
      </c>
      <c r="CDL538" s="1170">
        <v>8298541</v>
      </c>
      <c r="CDM538" s="1170">
        <v>8298541</v>
      </c>
      <c r="CDN538" s="1170">
        <v>8298541</v>
      </c>
      <c r="CDO538" s="1170">
        <v>8298541</v>
      </c>
      <c r="CDP538" s="1170">
        <v>8298541</v>
      </c>
      <c r="CDQ538" s="1170">
        <v>8298541</v>
      </c>
      <c r="CDR538" s="1170">
        <v>8298541</v>
      </c>
      <c r="CDS538" s="1170">
        <v>8298541</v>
      </c>
      <c r="CDT538" s="1170">
        <v>8298541</v>
      </c>
      <c r="CDU538" s="1170">
        <v>8298541</v>
      </c>
      <c r="CDV538" s="1170">
        <v>8298541</v>
      </c>
      <c r="CDW538" s="1170">
        <v>8298541</v>
      </c>
      <c r="CDX538" s="1170">
        <v>8298541</v>
      </c>
      <c r="CDY538" s="1170">
        <v>8298541</v>
      </c>
      <c r="CDZ538" s="1170">
        <v>8298541</v>
      </c>
      <c r="CEA538" s="1170">
        <v>8298541</v>
      </c>
      <c r="CEB538" s="1170">
        <v>8298541</v>
      </c>
      <c r="CEC538" s="1170">
        <v>8298541</v>
      </c>
      <c r="CED538" s="1170">
        <v>8298541</v>
      </c>
      <c r="CEE538" s="1170">
        <v>8298541</v>
      </c>
      <c r="CEF538" s="1170">
        <v>8298541</v>
      </c>
      <c r="CEG538" s="1170">
        <v>8298541</v>
      </c>
      <c r="CEH538" s="1170">
        <v>8298541</v>
      </c>
      <c r="CEI538" s="1170">
        <v>8298541</v>
      </c>
      <c r="CEJ538" s="1170">
        <v>8298541</v>
      </c>
      <c r="CEK538" s="1170">
        <v>8298541</v>
      </c>
      <c r="CEL538" s="1170">
        <v>8298541</v>
      </c>
      <c r="CEM538" s="1170">
        <v>8298541</v>
      </c>
      <c r="CEN538" s="1170">
        <v>8298541</v>
      </c>
      <c r="CEO538" s="1170">
        <v>8298541</v>
      </c>
      <c r="CEP538" s="1170">
        <v>8298541</v>
      </c>
      <c r="CEQ538" s="1170">
        <v>8298541</v>
      </c>
      <c r="CER538" s="1170">
        <v>8298541</v>
      </c>
      <c r="CES538" s="1170">
        <v>8298541</v>
      </c>
      <c r="CET538" s="1170">
        <v>8298541</v>
      </c>
      <c r="CEU538" s="1170">
        <v>8298541</v>
      </c>
      <c r="CEV538" s="1170">
        <v>8298541</v>
      </c>
      <c r="CEW538" s="1170">
        <v>8298541</v>
      </c>
      <c r="CEX538" s="1170">
        <v>8298541</v>
      </c>
      <c r="CEY538" s="1170">
        <v>8298541</v>
      </c>
      <c r="CEZ538" s="1170">
        <v>8298541</v>
      </c>
      <c r="CFA538" s="1170">
        <v>8298541</v>
      </c>
      <c r="CFB538" s="1170">
        <v>8298541</v>
      </c>
      <c r="CFC538" s="1170">
        <v>8298541</v>
      </c>
      <c r="CFD538" s="1170">
        <v>8298541</v>
      </c>
      <c r="CFE538" s="1170">
        <v>8298541</v>
      </c>
      <c r="CFF538" s="1170">
        <v>8298541</v>
      </c>
      <c r="CFG538" s="1170">
        <v>8298541</v>
      </c>
      <c r="CFH538" s="1170">
        <v>8298541</v>
      </c>
      <c r="CFI538" s="1170">
        <v>8298541</v>
      </c>
      <c r="CFJ538" s="1170">
        <v>8298541</v>
      </c>
      <c r="CFK538" s="1170">
        <v>8298541</v>
      </c>
      <c r="CFL538" s="1170">
        <v>8298541</v>
      </c>
      <c r="CFM538" s="1170">
        <v>8298541</v>
      </c>
      <c r="CFN538" s="1170">
        <v>8298541</v>
      </c>
      <c r="CFO538" s="1170">
        <v>8298541</v>
      </c>
      <c r="CFP538" s="1170">
        <v>8298541</v>
      </c>
      <c r="CFQ538" s="1170">
        <v>8298541</v>
      </c>
      <c r="CFR538" s="1170">
        <v>8298541</v>
      </c>
      <c r="CFS538" s="1170">
        <v>8298541</v>
      </c>
      <c r="CFT538" s="1170">
        <v>8298541</v>
      </c>
      <c r="CFU538" s="1170">
        <v>8298541</v>
      </c>
      <c r="CFV538" s="1170">
        <v>8298541</v>
      </c>
      <c r="CFW538" s="1170">
        <v>8298541</v>
      </c>
      <c r="CFX538" s="1170">
        <v>8298541</v>
      </c>
      <c r="CFY538" s="1170">
        <v>8298541</v>
      </c>
      <c r="CFZ538" s="1170">
        <v>8298541</v>
      </c>
      <c r="CGA538" s="1170">
        <v>8298541</v>
      </c>
      <c r="CGB538" s="1170">
        <v>8298541</v>
      </c>
      <c r="CGC538" s="1170">
        <v>8298541</v>
      </c>
      <c r="CGD538" s="1170">
        <v>8298541</v>
      </c>
      <c r="CGE538" s="1170">
        <v>8298541</v>
      </c>
      <c r="CGF538" s="1170">
        <v>8298541</v>
      </c>
      <c r="CGG538" s="1170">
        <v>8298541</v>
      </c>
      <c r="CGH538" s="1170">
        <v>8298541</v>
      </c>
      <c r="CGI538" s="1170">
        <v>8298541</v>
      </c>
      <c r="CGJ538" s="1170">
        <v>8298541</v>
      </c>
      <c r="CGK538" s="1170">
        <v>8298541</v>
      </c>
      <c r="CGL538" s="1170">
        <v>8298541</v>
      </c>
      <c r="CGM538" s="1170">
        <v>8298541</v>
      </c>
      <c r="CGN538" s="1170">
        <v>8298541</v>
      </c>
      <c r="CGO538" s="1170">
        <v>8298541</v>
      </c>
      <c r="CGP538" s="1170">
        <v>8298541</v>
      </c>
      <c r="CGQ538" s="1170">
        <v>8298541</v>
      </c>
      <c r="CGR538" s="1170">
        <v>8298541</v>
      </c>
      <c r="CGS538" s="1170">
        <v>8298541</v>
      </c>
      <c r="CGT538" s="1170">
        <v>8298541</v>
      </c>
      <c r="CGU538" s="1170">
        <v>8298541</v>
      </c>
      <c r="CGV538" s="1170">
        <v>8298541</v>
      </c>
      <c r="CGW538" s="1170">
        <v>8298541</v>
      </c>
      <c r="CGX538" s="1170">
        <v>8298541</v>
      </c>
      <c r="CGY538" s="1170">
        <v>8298541</v>
      </c>
      <c r="CGZ538" s="1170">
        <v>8298541</v>
      </c>
      <c r="CHA538" s="1170">
        <v>8298541</v>
      </c>
      <c r="CHB538" s="1170">
        <v>8298541</v>
      </c>
      <c r="CHC538" s="1170">
        <v>8298541</v>
      </c>
      <c r="CHD538" s="1170">
        <v>8298541</v>
      </c>
      <c r="CHE538" s="1170">
        <v>8298541</v>
      </c>
      <c r="CHF538" s="1170">
        <v>8298541</v>
      </c>
      <c r="CHG538" s="1170">
        <v>8298541</v>
      </c>
      <c r="CHH538" s="1170">
        <v>8298541</v>
      </c>
      <c r="CHI538" s="1170">
        <v>8298541</v>
      </c>
      <c r="CHJ538" s="1170">
        <v>8298541</v>
      </c>
      <c r="CHK538" s="1170">
        <v>8298541</v>
      </c>
      <c r="CHL538" s="1170">
        <v>8298541</v>
      </c>
      <c r="CHM538" s="1170">
        <v>8298541</v>
      </c>
      <c r="CHN538" s="1170">
        <v>8298541</v>
      </c>
      <c r="CHO538" s="1170">
        <v>8298541</v>
      </c>
      <c r="CHP538" s="1170">
        <v>8298541</v>
      </c>
      <c r="CHQ538" s="1170">
        <v>8298541</v>
      </c>
      <c r="CHR538" s="1170">
        <v>8298541</v>
      </c>
      <c r="CHS538" s="1170">
        <v>8298541</v>
      </c>
      <c r="CHT538" s="1170">
        <v>8298541</v>
      </c>
      <c r="CHU538" s="1170">
        <v>8298541</v>
      </c>
      <c r="CHV538" s="1170">
        <v>8298541</v>
      </c>
      <c r="CHW538" s="1170">
        <v>8298541</v>
      </c>
      <c r="CHX538" s="1170">
        <v>8298541</v>
      </c>
      <c r="CHY538" s="1170">
        <v>8298541</v>
      </c>
      <c r="CHZ538" s="1170">
        <v>8298541</v>
      </c>
      <c r="CIA538" s="1170">
        <v>8298541</v>
      </c>
      <c r="CIB538" s="1170">
        <v>8298541</v>
      </c>
      <c r="CIC538" s="1170">
        <v>8298541</v>
      </c>
      <c r="CID538" s="1170">
        <v>8298541</v>
      </c>
      <c r="CIE538" s="1170">
        <v>8298541</v>
      </c>
      <c r="CIF538" s="1170">
        <v>8298541</v>
      </c>
      <c r="CIG538" s="1170">
        <v>8298541</v>
      </c>
      <c r="CIH538" s="1170">
        <v>8298541</v>
      </c>
      <c r="CII538" s="1170">
        <v>8298541</v>
      </c>
      <c r="CIJ538" s="1170">
        <v>8298541</v>
      </c>
      <c r="CIK538" s="1170">
        <v>8298541</v>
      </c>
      <c r="CIL538" s="1170">
        <v>8298541</v>
      </c>
      <c r="CIM538" s="1170">
        <v>8298541</v>
      </c>
      <c r="CIN538" s="1170">
        <v>8298541</v>
      </c>
      <c r="CIO538" s="1170">
        <v>8298541</v>
      </c>
      <c r="CIP538" s="1170">
        <v>8298541</v>
      </c>
      <c r="CIQ538" s="1170">
        <v>8298541</v>
      </c>
      <c r="CIR538" s="1170">
        <v>8298541</v>
      </c>
      <c r="CIS538" s="1170">
        <v>8298541</v>
      </c>
      <c r="CIT538" s="1170">
        <v>8298541</v>
      </c>
      <c r="CIU538" s="1170">
        <v>8298541</v>
      </c>
      <c r="CIV538" s="1170">
        <v>8298541</v>
      </c>
      <c r="CIW538" s="1170">
        <v>8298541</v>
      </c>
      <c r="CIX538" s="1170">
        <v>8298541</v>
      </c>
      <c r="CIY538" s="1170">
        <v>8298541</v>
      </c>
      <c r="CIZ538" s="1170">
        <v>8298541</v>
      </c>
      <c r="CJA538" s="1170">
        <v>8298541</v>
      </c>
      <c r="CJB538" s="1170">
        <v>8298541</v>
      </c>
      <c r="CJC538" s="1170">
        <v>8298541</v>
      </c>
      <c r="CJD538" s="1170">
        <v>8298541</v>
      </c>
      <c r="CJE538" s="1170">
        <v>8298541</v>
      </c>
      <c r="CJF538" s="1170">
        <v>8298541</v>
      </c>
      <c r="CJG538" s="1170">
        <v>8298541</v>
      </c>
      <c r="CJH538" s="1170">
        <v>8298541</v>
      </c>
      <c r="CJI538" s="1170">
        <v>8298541</v>
      </c>
      <c r="CJJ538" s="1170">
        <v>8298541</v>
      </c>
      <c r="CJK538" s="1170">
        <v>8298541</v>
      </c>
      <c r="CJL538" s="1170">
        <v>8298541</v>
      </c>
      <c r="CJM538" s="1170">
        <v>8298541</v>
      </c>
      <c r="CJN538" s="1170">
        <v>8298541</v>
      </c>
      <c r="CJO538" s="1170">
        <v>8298541</v>
      </c>
      <c r="CJP538" s="1170">
        <v>8298541</v>
      </c>
      <c r="CJQ538" s="1170">
        <v>8298541</v>
      </c>
      <c r="CJR538" s="1170">
        <v>8298541</v>
      </c>
      <c r="CJS538" s="1170">
        <v>8298541</v>
      </c>
      <c r="CJT538" s="1170">
        <v>8298541</v>
      </c>
      <c r="CJU538" s="1170">
        <v>8298541</v>
      </c>
      <c r="CJV538" s="1170">
        <v>8298541</v>
      </c>
      <c r="CJW538" s="1170">
        <v>8298541</v>
      </c>
      <c r="CJX538" s="1170">
        <v>8298541</v>
      </c>
      <c r="CJY538" s="1170">
        <v>8298541</v>
      </c>
      <c r="CJZ538" s="1170">
        <v>8298541</v>
      </c>
      <c r="CKA538" s="1170">
        <v>8298541</v>
      </c>
      <c r="CKB538" s="1170">
        <v>8298541</v>
      </c>
      <c r="CKC538" s="1170">
        <v>8298541</v>
      </c>
      <c r="CKD538" s="1170">
        <v>8298541</v>
      </c>
      <c r="CKE538" s="1170">
        <v>8298541</v>
      </c>
      <c r="CKF538" s="1170">
        <v>8298541</v>
      </c>
      <c r="CKG538" s="1170">
        <v>8298541</v>
      </c>
      <c r="CKH538" s="1170">
        <v>8298541</v>
      </c>
      <c r="CKI538" s="1170">
        <v>8298541</v>
      </c>
      <c r="CKJ538" s="1170">
        <v>8298541</v>
      </c>
      <c r="CKK538" s="1170">
        <v>8298541</v>
      </c>
      <c r="CKL538" s="1170">
        <v>8298541</v>
      </c>
      <c r="CKM538" s="1170">
        <v>8298541</v>
      </c>
      <c r="CKN538" s="1170">
        <v>8298541</v>
      </c>
      <c r="CKO538" s="1170">
        <v>8298541</v>
      </c>
      <c r="CKP538" s="1170">
        <v>8298541</v>
      </c>
      <c r="CKQ538" s="1170">
        <v>8298541</v>
      </c>
      <c r="CKR538" s="1170">
        <v>8298541</v>
      </c>
      <c r="CKS538" s="1170">
        <v>8298541</v>
      </c>
      <c r="CKT538" s="1170">
        <v>8298541</v>
      </c>
      <c r="CKU538" s="1170">
        <v>8298541</v>
      </c>
      <c r="CKV538" s="1170">
        <v>8298541</v>
      </c>
      <c r="CKW538" s="1170">
        <v>8298541</v>
      </c>
      <c r="CKX538" s="1170">
        <v>8298541</v>
      </c>
      <c r="CKY538" s="1170">
        <v>8298541</v>
      </c>
      <c r="CKZ538" s="1170">
        <v>8298541</v>
      </c>
      <c r="CLA538" s="1170">
        <v>8298541</v>
      </c>
      <c r="CLB538" s="1170">
        <v>8298541</v>
      </c>
      <c r="CLC538" s="1170">
        <v>8298541</v>
      </c>
      <c r="CLD538" s="1170">
        <v>8298541</v>
      </c>
      <c r="CLE538" s="1170">
        <v>8298541</v>
      </c>
      <c r="CLF538" s="1170">
        <v>8298541</v>
      </c>
      <c r="CLG538" s="1170">
        <v>8298541</v>
      </c>
      <c r="CLH538" s="1170">
        <v>8298541</v>
      </c>
      <c r="CLI538" s="1170">
        <v>8298541</v>
      </c>
      <c r="CLJ538" s="1170">
        <v>8298541</v>
      </c>
      <c r="CLK538" s="1170">
        <v>8298541</v>
      </c>
      <c r="CLL538" s="1170">
        <v>8298541</v>
      </c>
      <c r="CLM538" s="1170">
        <v>8298541</v>
      </c>
      <c r="CLN538" s="1170">
        <v>8298541</v>
      </c>
      <c r="CLO538" s="1170">
        <v>8298541</v>
      </c>
      <c r="CLP538" s="1170">
        <v>8298541</v>
      </c>
      <c r="CLQ538" s="1170">
        <v>8298541</v>
      </c>
      <c r="CLR538" s="1170">
        <v>8298541</v>
      </c>
      <c r="CLS538" s="1170">
        <v>8298541</v>
      </c>
      <c r="CLT538" s="1170">
        <v>8298541</v>
      </c>
      <c r="CLU538" s="1170">
        <v>8298541</v>
      </c>
      <c r="CLV538" s="1170">
        <v>8298541</v>
      </c>
      <c r="CLW538" s="1170">
        <v>8298541</v>
      </c>
      <c r="CLX538" s="1170">
        <v>8298541</v>
      </c>
      <c r="CLY538" s="1170">
        <v>8298541</v>
      </c>
      <c r="CLZ538" s="1170">
        <v>8298541</v>
      </c>
      <c r="CMA538" s="1170">
        <v>8298541</v>
      </c>
      <c r="CMB538" s="1170">
        <v>8298541</v>
      </c>
      <c r="CMC538" s="1170">
        <v>8298541</v>
      </c>
      <c r="CMD538" s="1170">
        <v>8298541</v>
      </c>
      <c r="CME538" s="1170">
        <v>8298541</v>
      </c>
      <c r="CMF538" s="1170">
        <v>8298541</v>
      </c>
      <c r="CMG538" s="1170">
        <v>8298541</v>
      </c>
      <c r="CMH538" s="1170">
        <v>8298541</v>
      </c>
      <c r="CMI538" s="1170">
        <v>8298541</v>
      </c>
      <c r="CMJ538" s="1170">
        <v>8298541</v>
      </c>
      <c r="CMK538" s="1170">
        <v>8298541</v>
      </c>
      <c r="CML538" s="1170">
        <v>8298541</v>
      </c>
      <c r="CMM538" s="1170">
        <v>8298541</v>
      </c>
      <c r="CMN538" s="1170">
        <v>8298541</v>
      </c>
      <c r="CMO538" s="1170">
        <v>8298541</v>
      </c>
      <c r="CMP538" s="1170">
        <v>8298541</v>
      </c>
      <c r="CMQ538" s="1170">
        <v>8298541</v>
      </c>
      <c r="CMR538" s="1170">
        <v>8298541</v>
      </c>
      <c r="CMS538" s="1170">
        <v>8298541</v>
      </c>
      <c r="CMT538" s="1170">
        <v>8298541</v>
      </c>
      <c r="CMU538" s="1170">
        <v>8298541</v>
      </c>
      <c r="CMV538" s="1170">
        <v>8298541</v>
      </c>
      <c r="CMW538" s="1170">
        <v>8298541</v>
      </c>
      <c r="CMX538" s="1170">
        <v>8298541</v>
      </c>
      <c r="CMY538" s="1170">
        <v>8298541</v>
      </c>
      <c r="CMZ538" s="1170">
        <v>8298541</v>
      </c>
      <c r="CNA538" s="1170">
        <v>8298541</v>
      </c>
      <c r="CNB538" s="1170">
        <v>8298541</v>
      </c>
      <c r="CNC538" s="1170">
        <v>8298541</v>
      </c>
      <c r="CND538" s="1170">
        <v>8298541</v>
      </c>
      <c r="CNE538" s="1170">
        <v>8298541</v>
      </c>
      <c r="CNF538" s="1170">
        <v>8298541</v>
      </c>
      <c r="CNG538" s="1170">
        <v>8298541</v>
      </c>
      <c r="CNH538" s="1170">
        <v>8298541</v>
      </c>
      <c r="CNI538" s="1170">
        <v>8298541</v>
      </c>
      <c r="CNJ538" s="1170">
        <v>8298541</v>
      </c>
      <c r="CNK538" s="1170">
        <v>8298541</v>
      </c>
      <c r="CNL538" s="1170">
        <v>8298541</v>
      </c>
      <c r="CNM538" s="1170">
        <v>8298541</v>
      </c>
      <c r="CNN538" s="1170">
        <v>8298541</v>
      </c>
      <c r="CNO538" s="1170">
        <v>8298541</v>
      </c>
      <c r="CNP538" s="1170">
        <v>8298541</v>
      </c>
      <c r="CNQ538" s="1170">
        <v>8298541</v>
      </c>
      <c r="CNR538" s="1170">
        <v>8298541</v>
      </c>
      <c r="CNS538" s="1170">
        <v>8298541</v>
      </c>
      <c r="CNT538" s="1170">
        <v>8298541</v>
      </c>
      <c r="CNU538" s="1170">
        <v>8298541</v>
      </c>
      <c r="CNV538" s="1170">
        <v>8298541</v>
      </c>
      <c r="CNW538" s="1170">
        <v>8298541</v>
      </c>
      <c r="CNX538" s="1170">
        <v>8298541</v>
      </c>
      <c r="CNY538" s="1170">
        <v>8298541</v>
      </c>
      <c r="CNZ538" s="1170">
        <v>8298541</v>
      </c>
      <c r="COA538" s="1170">
        <v>8298541</v>
      </c>
      <c r="COB538" s="1170">
        <v>8298541</v>
      </c>
      <c r="COC538" s="1170">
        <v>8298541</v>
      </c>
      <c r="COD538" s="1170">
        <v>8298541</v>
      </c>
      <c r="COE538" s="1170">
        <v>8298541</v>
      </c>
      <c r="COF538" s="1170">
        <v>8298541</v>
      </c>
      <c r="COG538" s="1170">
        <v>8298541</v>
      </c>
      <c r="COH538" s="1170">
        <v>8298541</v>
      </c>
      <c r="COI538" s="1170">
        <v>8298541</v>
      </c>
      <c r="COJ538" s="1170">
        <v>8298541</v>
      </c>
      <c r="COK538" s="1170">
        <v>8298541</v>
      </c>
      <c r="COL538" s="1170">
        <v>8298541</v>
      </c>
      <c r="COM538" s="1170">
        <v>8298541</v>
      </c>
      <c r="CON538" s="1170">
        <v>8298541</v>
      </c>
      <c r="COO538" s="1170">
        <v>8298541</v>
      </c>
      <c r="COP538" s="1170">
        <v>8298541</v>
      </c>
      <c r="COQ538" s="1170">
        <v>8298541</v>
      </c>
      <c r="COR538" s="1170">
        <v>8298541</v>
      </c>
      <c r="COS538" s="1170">
        <v>8298541</v>
      </c>
      <c r="COT538" s="1170">
        <v>8298541</v>
      </c>
      <c r="COU538" s="1170">
        <v>8298541</v>
      </c>
      <c r="COV538" s="1170">
        <v>8298541</v>
      </c>
      <c r="COW538" s="1170">
        <v>8298541</v>
      </c>
      <c r="COX538" s="1170">
        <v>8298541</v>
      </c>
      <c r="COY538" s="1170">
        <v>8298541</v>
      </c>
      <c r="COZ538" s="1170">
        <v>8298541</v>
      </c>
      <c r="CPA538" s="1170">
        <v>8298541</v>
      </c>
      <c r="CPB538" s="1170">
        <v>8298541</v>
      </c>
      <c r="CPC538" s="1170">
        <v>8298541</v>
      </c>
      <c r="CPD538" s="1170">
        <v>8298541</v>
      </c>
      <c r="CPE538" s="1170">
        <v>8298541</v>
      </c>
      <c r="CPF538" s="1170">
        <v>8298541</v>
      </c>
      <c r="CPG538" s="1170">
        <v>8298541</v>
      </c>
      <c r="CPH538" s="1170">
        <v>8298541</v>
      </c>
      <c r="CPI538" s="1170">
        <v>8298541</v>
      </c>
      <c r="CPJ538" s="1170">
        <v>8298541</v>
      </c>
      <c r="CPK538" s="1170">
        <v>8298541</v>
      </c>
      <c r="CPL538" s="1170">
        <v>8298541</v>
      </c>
      <c r="CPM538" s="1170">
        <v>8298541</v>
      </c>
      <c r="CPN538" s="1170">
        <v>8298541</v>
      </c>
      <c r="CPO538" s="1170">
        <v>8298541</v>
      </c>
      <c r="CPP538" s="1170">
        <v>8298541</v>
      </c>
      <c r="CPQ538" s="1170">
        <v>8298541</v>
      </c>
      <c r="CPR538" s="1170">
        <v>8298541</v>
      </c>
      <c r="CPS538" s="1170">
        <v>8298541</v>
      </c>
      <c r="CPT538" s="1170">
        <v>8298541</v>
      </c>
      <c r="CPU538" s="1170">
        <v>8298541</v>
      </c>
      <c r="CPV538" s="1170">
        <v>8298541</v>
      </c>
      <c r="CPW538" s="1170">
        <v>8298541</v>
      </c>
      <c r="CPX538" s="1170">
        <v>8298541</v>
      </c>
      <c r="CPY538" s="1170">
        <v>8298541</v>
      </c>
      <c r="CPZ538" s="1170">
        <v>8298541</v>
      </c>
      <c r="CQA538" s="1170">
        <v>8298541</v>
      </c>
      <c r="CQB538" s="1170">
        <v>8298541</v>
      </c>
      <c r="CQC538" s="1170">
        <v>8298541</v>
      </c>
      <c r="CQD538" s="1170">
        <v>8298541</v>
      </c>
      <c r="CQE538" s="1170">
        <v>8298541</v>
      </c>
      <c r="CQF538" s="1170">
        <v>8298541</v>
      </c>
      <c r="CQG538" s="1170">
        <v>8298541</v>
      </c>
      <c r="CQH538" s="1170">
        <v>8298541</v>
      </c>
      <c r="CQI538" s="1170">
        <v>8298541</v>
      </c>
      <c r="CQJ538" s="1170">
        <v>8298541</v>
      </c>
      <c r="CQK538" s="1170">
        <v>8298541</v>
      </c>
      <c r="CQL538" s="1170">
        <v>8298541</v>
      </c>
      <c r="CQM538" s="1170">
        <v>8298541</v>
      </c>
      <c r="CQN538" s="1170">
        <v>8298541</v>
      </c>
      <c r="CQO538" s="1170">
        <v>8298541</v>
      </c>
      <c r="CQP538" s="1170">
        <v>8298541</v>
      </c>
      <c r="CQQ538" s="1170">
        <v>8298541</v>
      </c>
      <c r="CQR538" s="1170">
        <v>8298541</v>
      </c>
      <c r="CQS538" s="1170">
        <v>8298541</v>
      </c>
      <c r="CQT538" s="1170">
        <v>8298541</v>
      </c>
      <c r="CQU538" s="1170">
        <v>8298541</v>
      </c>
      <c r="CQV538" s="1170">
        <v>8298541</v>
      </c>
      <c r="CQW538" s="1170">
        <v>8298541</v>
      </c>
      <c r="CQX538" s="1170">
        <v>8298541</v>
      </c>
      <c r="CQY538" s="1170">
        <v>8298541</v>
      </c>
      <c r="CQZ538" s="1170">
        <v>8298541</v>
      </c>
      <c r="CRA538" s="1170">
        <v>8298541</v>
      </c>
      <c r="CRB538" s="1170">
        <v>8298541</v>
      </c>
      <c r="CRC538" s="1170">
        <v>8298541</v>
      </c>
      <c r="CRD538" s="1170">
        <v>8298541</v>
      </c>
      <c r="CRE538" s="1170">
        <v>8298541</v>
      </c>
      <c r="CRF538" s="1170">
        <v>8298541</v>
      </c>
      <c r="CRG538" s="1170">
        <v>8298541</v>
      </c>
      <c r="CRH538" s="1170">
        <v>8298541</v>
      </c>
      <c r="CRI538" s="1170">
        <v>8298541</v>
      </c>
      <c r="CRJ538" s="1170">
        <v>8298541</v>
      </c>
      <c r="CRK538" s="1170">
        <v>8298541</v>
      </c>
      <c r="CRL538" s="1170">
        <v>8298541</v>
      </c>
      <c r="CRM538" s="1170">
        <v>8298541</v>
      </c>
      <c r="CRN538" s="1170">
        <v>8298541</v>
      </c>
      <c r="CRO538" s="1170">
        <v>8298541</v>
      </c>
      <c r="CRP538" s="1170">
        <v>8298541</v>
      </c>
      <c r="CRQ538" s="1170">
        <v>8298541</v>
      </c>
      <c r="CRR538" s="1170">
        <v>8298541</v>
      </c>
      <c r="CRS538" s="1170">
        <v>8298541</v>
      </c>
      <c r="CRT538" s="1170">
        <v>8298541</v>
      </c>
      <c r="CRU538" s="1170">
        <v>8298541</v>
      </c>
      <c r="CRV538" s="1170">
        <v>8298541</v>
      </c>
      <c r="CRW538" s="1170">
        <v>8298541</v>
      </c>
      <c r="CRX538" s="1170">
        <v>8298541</v>
      </c>
      <c r="CRY538" s="1170">
        <v>8298541</v>
      </c>
      <c r="CRZ538" s="1170">
        <v>8298541</v>
      </c>
      <c r="CSA538" s="1170">
        <v>8298541</v>
      </c>
      <c r="CSB538" s="1170">
        <v>8298541</v>
      </c>
      <c r="CSC538" s="1170">
        <v>8298541</v>
      </c>
      <c r="CSD538" s="1170">
        <v>8298541</v>
      </c>
      <c r="CSE538" s="1170">
        <v>8298541</v>
      </c>
      <c r="CSF538" s="1170">
        <v>8298541</v>
      </c>
      <c r="CSG538" s="1170">
        <v>8298541</v>
      </c>
      <c r="CSH538" s="1170">
        <v>8298541</v>
      </c>
      <c r="CSI538" s="1170">
        <v>8298541</v>
      </c>
      <c r="CSJ538" s="1170">
        <v>8298541</v>
      </c>
      <c r="CSK538" s="1170">
        <v>8298541</v>
      </c>
      <c r="CSL538" s="1170">
        <v>8298541</v>
      </c>
      <c r="CSM538" s="1170">
        <v>8298541</v>
      </c>
      <c r="CSN538" s="1170">
        <v>8298541</v>
      </c>
      <c r="CSO538" s="1170">
        <v>8298541</v>
      </c>
      <c r="CSP538" s="1170">
        <v>8298541</v>
      </c>
      <c r="CSQ538" s="1170">
        <v>8298541</v>
      </c>
      <c r="CSR538" s="1170">
        <v>8298541</v>
      </c>
      <c r="CSS538" s="1170">
        <v>8298541</v>
      </c>
      <c r="CST538" s="1170">
        <v>8298541</v>
      </c>
      <c r="CSU538" s="1170">
        <v>8298541</v>
      </c>
      <c r="CSV538" s="1170">
        <v>8298541</v>
      </c>
      <c r="CSW538" s="1170">
        <v>8298541</v>
      </c>
      <c r="CSX538" s="1170">
        <v>8298541</v>
      </c>
      <c r="CSY538" s="1170">
        <v>8298541</v>
      </c>
      <c r="CSZ538" s="1170">
        <v>8298541</v>
      </c>
      <c r="CTA538" s="1170">
        <v>8298541</v>
      </c>
      <c r="CTB538" s="1170">
        <v>8298541</v>
      </c>
      <c r="CTC538" s="1170">
        <v>8298541</v>
      </c>
      <c r="CTD538" s="1170">
        <v>8298541</v>
      </c>
      <c r="CTE538" s="1170">
        <v>8298541</v>
      </c>
      <c r="CTF538" s="1170">
        <v>8298541</v>
      </c>
      <c r="CTG538" s="1170">
        <v>8298541</v>
      </c>
      <c r="CTH538" s="1170">
        <v>8298541</v>
      </c>
      <c r="CTI538" s="1170">
        <v>8298541</v>
      </c>
      <c r="CTJ538" s="1170">
        <v>8298541</v>
      </c>
      <c r="CTK538" s="1170">
        <v>8298541</v>
      </c>
      <c r="CTL538" s="1170">
        <v>8298541</v>
      </c>
      <c r="CTM538" s="1170">
        <v>8298541</v>
      </c>
      <c r="CTN538" s="1170">
        <v>8298541</v>
      </c>
      <c r="CTO538" s="1170">
        <v>8298541</v>
      </c>
      <c r="CTP538" s="1170">
        <v>8298541</v>
      </c>
      <c r="CTQ538" s="1170">
        <v>8298541</v>
      </c>
      <c r="CTR538" s="1170">
        <v>8298541</v>
      </c>
      <c r="CTS538" s="1170">
        <v>8298541</v>
      </c>
      <c r="CTT538" s="1170">
        <v>8298541</v>
      </c>
      <c r="CTU538" s="1170">
        <v>8298541</v>
      </c>
      <c r="CTV538" s="1170">
        <v>8298541</v>
      </c>
      <c r="CTW538" s="1170">
        <v>8298541</v>
      </c>
      <c r="CTX538" s="1170">
        <v>8298541</v>
      </c>
      <c r="CTY538" s="1170">
        <v>8298541</v>
      </c>
      <c r="CTZ538" s="1170">
        <v>8298541</v>
      </c>
      <c r="CUA538" s="1170">
        <v>8298541</v>
      </c>
      <c r="CUB538" s="1170">
        <v>8298541</v>
      </c>
      <c r="CUC538" s="1170">
        <v>8298541</v>
      </c>
      <c r="CUD538" s="1170">
        <v>8298541</v>
      </c>
      <c r="CUE538" s="1170">
        <v>8298541</v>
      </c>
      <c r="CUF538" s="1170">
        <v>8298541</v>
      </c>
      <c r="CUG538" s="1170">
        <v>8298541</v>
      </c>
      <c r="CUH538" s="1170">
        <v>8298541</v>
      </c>
      <c r="CUI538" s="1170">
        <v>8298541</v>
      </c>
      <c r="CUJ538" s="1170">
        <v>8298541</v>
      </c>
      <c r="CUK538" s="1170">
        <v>8298541</v>
      </c>
      <c r="CUL538" s="1170">
        <v>8298541</v>
      </c>
      <c r="CUM538" s="1170">
        <v>8298541</v>
      </c>
      <c r="CUN538" s="1170">
        <v>8298541</v>
      </c>
      <c r="CUO538" s="1170">
        <v>8298541</v>
      </c>
      <c r="CUP538" s="1170">
        <v>8298541</v>
      </c>
      <c r="CUQ538" s="1170">
        <v>8298541</v>
      </c>
      <c r="CUR538" s="1170">
        <v>8298541</v>
      </c>
      <c r="CUS538" s="1170">
        <v>8298541</v>
      </c>
      <c r="CUT538" s="1170">
        <v>8298541</v>
      </c>
      <c r="CUU538" s="1170">
        <v>8298541</v>
      </c>
      <c r="CUV538" s="1170">
        <v>8298541</v>
      </c>
      <c r="CUW538" s="1170">
        <v>8298541</v>
      </c>
      <c r="CUX538" s="1170">
        <v>8298541</v>
      </c>
      <c r="CUY538" s="1170">
        <v>8298541</v>
      </c>
      <c r="CUZ538" s="1170">
        <v>8298541</v>
      </c>
      <c r="CVA538" s="1170">
        <v>8298541</v>
      </c>
      <c r="CVB538" s="1170">
        <v>8298541</v>
      </c>
      <c r="CVC538" s="1170">
        <v>8298541</v>
      </c>
      <c r="CVD538" s="1170">
        <v>8298541</v>
      </c>
      <c r="CVE538" s="1170">
        <v>8298541</v>
      </c>
      <c r="CVF538" s="1170">
        <v>8298541</v>
      </c>
      <c r="CVG538" s="1170">
        <v>8298541</v>
      </c>
      <c r="CVH538" s="1170">
        <v>8298541</v>
      </c>
      <c r="CVI538" s="1170">
        <v>8298541</v>
      </c>
      <c r="CVJ538" s="1170">
        <v>8298541</v>
      </c>
      <c r="CVK538" s="1170">
        <v>8298541</v>
      </c>
      <c r="CVL538" s="1170">
        <v>8298541</v>
      </c>
      <c r="CVM538" s="1170">
        <v>8298541</v>
      </c>
      <c r="CVN538" s="1170">
        <v>8298541</v>
      </c>
      <c r="CVO538" s="1170">
        <v>8298541</v>
      </c>
      <c r="CVP538" s="1170">
        <v>8298541</v>
      </c>
      <c r="CVQ538" s="1170">
        <v>8298541</v>
      </c>
      <c r="CVR538" s="1170">
        <v>8298541</v>
      </c>
      <c r="CVS538" s="1170">
        <v>8298541</v>
      </c>
      <c r="CVT538" s="1170">
        <v>8298541</v>
      </c>
      <c r="CVU538" s="1170">
        <v>8298541</v>
      </c>
      <c r="CVV538" s="1170">
        <v>8298541</v>
      </c>
      <c r="CVW538" s="1170">
        <v>8298541</v>
      </c>
      <c r="CVX538" s="1170">
        <v>8298541</v>
      </c>
      <c r="CVY538" s="1170">
        <v>8298541</v>
      </c>
      <c r="CVZ538" s="1170">
        <v>8298541</v>
      </c>
      <c r="CWA538" s="1170">
        <v>8298541</v>
      </c>
      <c r="CWB538" s="1170">
        <v>8298541</v>
      </c>
      <c r="CWC538" s="1170">
        <v>8298541</v>
      </c>
      <c r="CWD538" s="1170">
        <v>8298541</v>
      </c>
      <c r="CWE538" s="1170">
        <v>8298541</v>
      </c>
      <c r="CWF538" s="1170">
        <v>8298541</v>
      </c>
      <c r="CWG538" s="1170">
        <v>8298541</v>
      </c>
      <c r="CWH538" s="1170">
        <v>8298541</v>
      </c>
      <c r="CWI538" s="1170">
        <v>8298541</v>
      </c>
      <c r="CWJ538" s="1170">
        <v>8298541</v>
      </c>
      <c r="CWK538" s="1170">
        <v>8298541</v>
      </c>
      <c r="CWL538" s="1170">
        <v>8298541</v>
      </c>
      <c r="CWM538" s="1170">
        <v>8298541</v>
      </c>
      <c r="CWN538" s="1170">
        <v>8298541</v>
      </c>
      <c r="CWO538" s="1170">
        <v>8298541</v>
      </c>
      <c r="CWP538" s="1170">
        <v>8298541</v>
      </c>
      <c r="CWQ538" s="1170">
        <v>8298541</v>
      </c>
      <c r="CWR538" s="1170">
        <v>8298541</v>
      </c>
      <c r="CWS538" s="1170">
        <v>8298541</v>
      </c>
      <c r="CWT538" s="1170">
        <v>8298541</v>
      </c>
      <c r="CWU538" s="1170">
        <v>8298541</v>
      </c>
      <c r="CWV538" s="1170">
        <v>8298541</v>
      </c>
      <c r="CWW538" s="1170">
        <v>8298541</v>
      </c>
      <c r="CWX538" s="1170">
        <v>8298541</v>
      </c>
      <c r="CWY538" s="1170">
        <v>8298541</v>
      </c>
      <c r="CWZ538" s="1170">
        <v>8298541</v>
      </c>
      <c r="CXA538" s="1170">
        <v>8298541</v>
      </c>
      <c r="CXB538" s="1170">
        <v>8298541</v>
      </c>
      <c r="CXC538" s="1170">
        <v>8298541</v>
      </c>
      <c r="CXD538" s="1170">
        <v>8298541</v>
      </c>
      <c r="CXE538" s="1170">
        <v>8298541</v>
      </c>
      <c r="CXF538" s="1170">
        <v>8298541</v>
      </c>
      <c r="CXG538" s="1170">
        <v>8298541</v>
      </c>
      <c r="CXH538" s="1170">
        <v>8298541</v>
      </c>
      <c r="CXI538" s="1170">
        <v>8298541</v>
      </c>
      <c r="CXJ538" s="1170">
        <v>8298541</v>
      </c>
      <c r="CXK538" s="1170">
        <v>8298541</v>
      </c>
      <c r="CXL538" s="1170">
        <v>8298541</v>
      </c>
      <c r="CXM538" s="1170">
        <v>8298541</v>
      </c>
      <c r="CXN538" s="1170">
        <v>8298541</v>
      </c>
      <c r="CXO538" s="1170">
        <v>8298541</v>
      </c>
      <c r="CXP538" s="1170">
        <v>8298541</v>
      </c>
      <c r="CXQ538" s="1170">
        <v>8298541</v>
      </c>
      <c r="CXR538" s="1170">
        <v>8298541</v>
      </c>
      <c r="CXS538" s="1170">
        <v>8298541</v>
      </c>
      <c r="CXT538" s="1170">
        <v>8298541</v>
      </c>
      <c r="CXU538" s="1170">
        <v>8298541</v>
      </c>
      <c r="CXV538" s="1170">
        <v>8298541</v>
      </c>
      <c r="CXW538" s="1170">
        <v>8298541</v>
      </c>
      <c r="CXX538" s="1170">
        <v>8298541</v>
      </c>
      <c r="CXY538" s="1170">
        <v>8298541</v>
      </c>
      <c r="CXZ538" s="1170">
        <v>8298541</v>
      </c>
      <c r="CYA538" s="1170">
        <v>8298541</v>
      </c>
      <c r="CYB538" s="1170">
        <v>8298541</v>
      </c>
      <c r="CYC538" s="1170">
        <v>8298541</v>
      </c>
      <c r="CYD538" s="1170">
        <v>8298541</v>
      </c>
      <c r="CYE538" s="1170">
        <v>8298541</v>
      </c>
      <c r="CYF538" s="1170">
        <v>8298541</v>
      </c>
      <c r="CYG538" s="1170">
        <v>8298541</v>
      </c>
      <c r="CYH538" s="1170">
        <v>8298541</v>
      </c>
      <c r="CYI538" s="1170">
        <v>8298541</v>
      </c>
      <c r="CYJ538" s="1170">
        <v>8298541</v>
      </c>
      <c r="CYK538" s="1170">
        <v>8298541</v>
      </c>
      <c r="CYL538" s="1170">
        <v>8298541</v>
      </c>
      <c r="CYM538" s="1170">
        <v>8298541</v>
      </c>
      <c r="CYN538" s="1170">
        <v>8298541</v>
      </c>
      <c r="CYO538" s="1170">
        <v>8298541</v>
      </c>
      <c r="CYP538" s="1170">
        <v>8298541</v>
      </c>
      <c r="CYQ538" s="1170">
        <v>8298541</v>
      </c>
      <c r="CYR538" s="1170">
        <v>8298541</v>
      </c>
      <c r="CYS538" s="1170">
        <v>8298541</v>
      </c>
      <c r="CYT538" s="1170">
        <v>8298541</v>
      </c>
      <c r="CYU538" s="1170">
        <v>8298541</v>
      </c>
      <c r="CYV538" s="1170">
        <v>8298541</v>
      </c>
      <c r="CYW538" s="1170">
        <v>8298541</v>
      </c>
      <c r="CYX538" s="1170">
        <v>8298541</v>
      </c>
      <c r="CYY538" s="1170">
        <v>8298541</v>
      </c>
      <c r="CYZ538" s="1170">
        <v>8298541</v>
      </c>
      <c r="CZA538" s="1170">
        <v>8298541</v>
      </c>
      <c r="CZB538" s="1170">
        <v>8298541</v>
      </c>
      <c r="CZC538" s="1170">
        <v>8298541</v>
      </c>
      <c r="CZD538" s="1170">
        <v>8298541</v>
      </c>
      <c r="CZE538" s="1170">
        <v>8298541</v>
      </c>
      <c r="CZF538" s="1170">
        <v>8298541</v>
      </c>
      <c r="CZG538" s="1170">
        <v>8298541</v>
      </c>
      <c r="CZH538" s="1170">
        <v>8298541</v>
      </c>
      <c r="CZI538" s="1170">
        <v>8298541</v>
      </c>
      <c r="CZJ538" s="1170">
        <v>8298541</v>
      </c>
      <c r="CZK538" s="1170">
        <v>8298541</v>
      </c>
      <c r="CZL538" s="1170">
        <v>8298541</v>
      </c>
      <c r="CZM538" s="1170">
        <v>8298541</v>
      </c>
      <c r="CZN538" s="1170">
        <v>8298541</v>
      </c>
      <c r="CZO538" s="1170">
        <v>8298541</v>
      </c>
      <c r="CZP538" s="1170">
        <v>8298541</v>
      </c>
      <c r="CZQ538" s="1170">
        <v>8298541</v>
      </c>
      <c r="CZR538" s="1170">
        <v>8298541</v>
      </c>
      <c r="CZS538" s="1170">
        <v>8298541</v>
      </c>
      <c r="CZT538" s="1170">
        <v>8298541</v>
      </c>
      <c r="CZU538" s="1170">
        <v>8298541</v>
      </c>
      <c r="CZV538" s="1170">
        <v>8298541</v>
      </c>
      <c r="CZW538" s="1170">
        <v>8298541</v>
      </c>
      <c r="CZX538" s="1170">
        <v>8298541</v>
      </c>
      <c r="CZY538" s="1170">
        <v>8298541</v>
      </c>
      <c r="CZZ538" s="1170">
        <v>8298541</v>
      </c>
      <c r="DAA538" s="1170">
        <v>8298541</v>
      </c>
      <c r="DAB538" s="1170">
        <v>8298541</v>
      </c>
      <c r="DAC538" s="1170">
        <v>8298541</v>
      </c>
      <c r="DAD538" s="1170">
        <v>8298541</v>
      </c>
      <c r="DAE538" s="1170">
        <v>8298541</v>
      </c>
      <c r="DAF538" s="1170">
        <v>8298541</v>
      </c>
      <c r="DAG538" s="1170">
        <v>8298541</v>
      </c>
      <c r="DAH538" s="1170">
        <v>8298541</v>
      </c>
      <c r="DAI538" s="1170">
        <v>8298541</v>
      </c>
      <c r="DAJ538" s="1170">
        <v>8298541</v>
      </c>
      <c r="DAK538" s="1170">
        <v>8298541</v>
      </c>
      <c r="DAL538" s="1170">
        <v>8298541</v>
      </c>
      <c r="DAM538" s="1170">
        <v>8298541</v>
      </c>
      <c r="DAN538" s="1170">
        <v>8298541</v>
      </c>
      <c r="DAO538" s="1170">
        <v>8298541</v>
      </c>
      <c r="DAP538" s="1170">
        <v>8298541</v>
      </c>
      <c r="DAQ538" s="1170">
        <v>8298541</v>
      </c>
      <c r="DAR538" s="1170">
        <v>8298541</v>
      </c>
      <c r="DAS538" s="1170">
        <v>8298541</v>
      </c>
      <c r="DAT538" s="1170">
        <v>8298541</v>
      </c>
      <c r="DAU538" s="1170">
        <v>8298541</v>
      </c>
      <c r="DAV538" s="1170">
        <v>8298541</v>
      </c>
      <c r="DAW538" s="1170">
        <v>8298541</v>
      </c>
      <c r="DAX538" s="1170">
        <v>8298541</v>
      </c>
      <c r="DAY538" s="1170">
        <v>8298541</v>
      </c>
      <c r="DAZ538" s="1170">
        <v>8298541</v>
      </c>
      <c r="DBA538" s="1170">
        <v>8298541</v>
      </c>
      <c r="DBB538" s="1170">
        <v>8298541</v>
      </c>
      <c r="DBC538" s="1170">
        <v>8298541</v>
      </c>
      <c r="DBD538" s="1170">
        <v>8298541</v>
      </c>
      <c r="DBE538" s="1170">
        <v>8298541</v>
      </c>
      <c r="DBF538" s="1170">
        <v>8298541</v>
      </c>
      <c r="DBG538" s="1170">
        <v>8298541</v>
      </c>
      <c r="DBH538" s="1170">
        <v>8298541</v>
      </c>
      <c r="DBI538" s="1170">
        <v>8298541</v>
      </c>
      <c r="DBJ538" s="1170">
        <v>8298541</v>
      </c>
      <c r="DBK538" s="1170">
        <v>8298541</v>
      </c>
      <c r="DBL538" s="1170">
        <v>8298541</v>
      </c>
      <c r="DBM538" s="1170">
        <v>8298541</v>
      </c>
      <c r="DBN538" s="1170">
        <v>8298541</v>
      </c>
      <c r="DBO538" s="1170">
        <v>8298541</v>
      </c>
      <c r="DBP538" s="1170">
        <v>8298541</v>
      </c>
      <c r="DBQ538" s="1170">
        <v>8298541</v>
      </c>
      <c r="DBR538" s="1170">
        <v>8298541</v>
      </c>
      <c r="DBS538" s="1170">
        <v>8298541</v>
      </c>
      <c r="DBT538" s="1170">
        <v>8298541</v>
      </c>
      <c r="DBU538" s="1170">
        <v>8298541</v>
      </c>
      <c r="DBV538" s="1170">
        <v>8298541</v>
      </c>
      <c r="DBW538" s="1170">
        <v>8298541</v>
      </c>
      <c r="DBX538" s="1170">
        <v>8298541</v>
      </c>
      <c r="DBY538" s="1170">
        <v>8298541</v>
      </c>
      <c r="DBZ538" s="1170">
        <v>8298541</v>
      </c>
      <c r="DCA538" s="1170">
        <v>8298541</v>
      </c>
      <c r="DCB538" s="1170">
        <v>8298541</v>
      </c>
      <c r="DCC538" s="1170">
        <v>8298541</v>
      </c>
      <c r="DCD538" s="1170">
        <v>8298541</v>
      </c>
      <c r="DCE538" s="1170">
        <v>8298541</v>
      </c>
      <c r="DCF538" s="1170">
        <v>8298541</v>
      </c>
      <c r="DCG538" s="1170">
        <v>8298541</v>
      </c>
      <c r="DCH538" s="1170">
        <v>8298541</v>
      </c>
      <c r="DCI538" s="1170">
        <v>8298541</v>
      </c>
      <c r="DCJ538" s="1170">
        <v>8298541</v>
      </c>
      <c r="DCK538" s="1170">
        <v>8298541</v>
      </c>
      <c r="DCL538" s="1170">
        <v>8298541</v>
      </c>
      <c r="DCM538" s="1170">
        <v>8298541</v>
      </c>
      <c r="DCN538" s="1170">
        <v>8298541</v>
      </c>
      <c r="DCO538" s="1170">
        <v>8298541</v>
      </c>
      <c r="DCP538" s="1170">
        <v>8298541</v>
      </c>
      <c r="DCQ538" s="1170">
        <v>8298541</v>
      </c>
      <c r="DCR538" s="1170">
        <v>8298541</v>
      </c>
      <c r="DCS538" s="1170">
        <v>8298541</v>
      </c>
      <c r="DCT538" s="1170">
        <v>8298541</v>
      </c>
      <c r="DCU538" s="1170">
        <v>8298541</v>
      </c>
      <c r="DCV538" s="1170">
        <v>8298541</v>
      </c>
      <c r="DCW538" s="1170">
        <v>8298541</v>
      </c>
      <c r="DCX538" s="1170">
        <v>8298541</v>
      </c>
      <c r="DCY538" s="1170">
        <v>8298541</v>
      </c>
      <c r="DCZ538" s="1170">
        <v>8298541</v>
      </c>
      <c r="DDA538" s="1170">
        <v>8298541</v>
      </c>
      <c r="DDB538" s="1170">
        <v>8298541</v>
      </c>
      <c r="DDC538" s="1170">
        <v>8298541</v>
      </c>
      <c r="DDD538" s="1170">
        <v>8298541</v>
      </c>
      <c r="DDE538" s="1170">
        <v>8298541</v>
      </c>
      <c r="DDF538" s="1170">
        <v>8298541</v>
      </c>
      <c r="DDG538" s="1170">
        <v>8298541</v>
      </c>
      <c r="DDH538" s="1170">
        <v>8298541</v>
      </c>
      <c r="DDI538" s="1170">
        <v>8298541</v>
      </c>
      <c r="DDJ538" s="1170">
        <v>8298541</v>
      </c>
      <c r="DDK538" s="1170">
        <v>8298541</v>
      </c>
      <c r="DDL538" s="1170">
        <v>8298541</v>
      </c>
      <c r="DDM538" s="1170">
        <v>8298541</v>
      </c>
      <c r="DDN538" s="1170">
        <v>8298541</v>
      </c>
      <c r="DDO538" s="1170">
        <v>8298541</v>
      </c>
      <c r="DDP538" s="1170">
        <v>8298541</v>
      </c>
      <c r="DDQ538" s="1170">
        <v>8298541</v>
      </c>
      <c r="DDR538" s="1170">
        <v>8298541</v>
      </c>
      <c r="DDS538" s="1170">
        <v>8298541</v>
      </c>
      <c r="DDT538" s="1170">
        <v>8298541</v>
      </c>
      <c r="DDU538" s="1170">
        <v>8298541</v>
      </c>
      <c r="DDV538" s="1170">
        <v>8298541</v>
      </c>
      <c r="DDW538" s="1170">
        <v>8298541</v>
      </c>
      <c r="DDX538" s="1170">
        <v>8298541</v>
      </c>
      <c r="DDY538" s="1170">
        <v>8298541</v>
      </c>
      <c r="DDZ538" s="1170">
        <v>8298541</v>
      </c>
      <c r="DEA538" s="1170">
        <v>8298541</v>
      </c>
      <c r="DEB538" s="1170">
        <v>8298541</v>
      </c>
      <c r="DEC538" s="1170">
        <v>8298541</v>
      </c>
      <c r="DED538" s="1170">
        <v>8298541</v>
      </c>
      <c r="DEE538" s="1170">
        <v>8298541</v>
      </c>
      <c r="DEF538" s="1170">
        <v>8298541</v>
      </c>
      <c r="DEG538" s="1170">
        <v>8298541</v>
      </c>
      <c r="DEH538" s="1170">
        <v>8298541</v>
      </c>
      <c r="DEI538" s="1170">
        <v>8298541</v>
      </c>
      <c r="DEJ538" s="1170">
        <v>8298541</v>
      </c>
      <c r="DEK538" s="1170">
        <v>8298541</v>
      </c>
      <c r="DEL538" s="1170">
        <v>8298541</v>
      </c>
      <c r="DEM538" s="1170">
        <v>8298541</v>
      </c>
      <c r="DEN538" s="1170">
        <v>8298541</v>
      </c>
      <c r="DEO538" s="1170">
        <v>8298541</v>
      </c>
      <c r="DEP538" s="1170">
        <v>8298541</v>
      </c>
      <c r="DEQ538" s="1170">
        <v>8298541</v>
      </c>
      <c r="DER538" s="1170">
        <v>8298541</v>
      </c>
      <c r="DES538" s="1170">
        <v>8298541</v>
      </c>
      <c r="DET538" s="1170">
        <v>8298541</v>
      </c>
      <c r="DEU538" s="1170">
        <v>8298541</v>
      </c>
      <c r="DEV538" s="1170">
        <v>8298541</v>
      </c>
      <c r="DEW538" s="1170">
        <v>8298541</v>
      </c>
      <c r="DEX538" s="1170">
        <v>8298541</v>
      </c>
      <c r="DEY538" s="1170">
        <v>8298541</v>
      </c>
      <c r="DEZ538" s="1170">
        <v>8298541</v>
      </c>
      <c r="DFA538" s="1170">
        <v>8298541</v>
      </c>
      <c r="DFB538" s="1170">
        <v>8298541</v>
      </c>
      <c r="DFC538" s="1170">
        <v>8298541</v>
      </c>
      <c r="DFD538" s="1170">
        <v>8298541</v>
      </c>
      <c r="DFE538" s="1170">
        <v>8298541</v>
      </c>
      <c r="DFF538" s="1170">
        <v>8298541</v>
      </c>
      <c r="DFG538" s="1170">
        <v>8298541</v>
      </c>
      <c r="DFH538" s="1170">
        <v>8298541</v>
      </c>
      <c r="DFI538" s="1170">
        <v>8298541</v>
      </c>
      <c r="DFJ538" s="1170">
        <v>8298541</v>
      </c>
      <c r="DFK538" s="1170">
        <v>8298541</v>
      </c>
      <c r="DFL538" s="1170">
        <v>8298541</v>
      </c>
      <c r="DFM538" s="1170">
        <v>8298541</v>
      </c>
      <c r="DFN538" s="1170">
        <v>8298541</v>
      </c>
      <c r="DFO538" s="1170">
        <v>8298541</v>
      </c>
      <c r="DFP538" s="1170">
        <v>8298541</v>
      </c>
      <c r="DFQ538" s="1170">
        <v>8298541</v>
      </c>
      <c r="DFR538" s="1170">
        <v>8298541</v>
      </c>
      <c r="DFS538" s="1170">
        <v>8298541</v>
      </c>
      <c r="DFT538" s="1170">
        <v>8298541</v>
      </c>
      <c r="DFU538" s="1170">
        <v>8298541</v>
      </c>
      <c r="DFV538" s="1170">
        <v>8298541</v>
      </c>
      <c r="DFW538" s="1170">
        <v>8298541</v>
      </c>
      <c r="DFX538" s="1170">
        <v>8298541</v>
      </c>
      <c r="DFY538" s="1170">
        <v>8298541</v>
      </c>
      <c r="DFZ538" s="1170">
        <v>8298541</v>
      </c>
      <c r="DGA538" s="1170">
        <v>8298541</v>
      </c>
      <c r="DGB538" s="1170">
        <v>8298541</v>
      </c>
      <c r="DGC538" s="1170">
        <v>8298541</v>
      </c>
      <c r="DGD538" s="1170">
        <v>8298541</v>
      </c>
      <c r="DGE538" s="1170">
        <v>8298541</v>
      </c>
      <c r="DGF538" s="1170">
        <v>8298541</v>
      </c>
      <c r="DGG538" s="1170">
        <v>8298541</v>
      </c>
      <c r="DGH538" s="1170">
        <v>8298541</v>
      </c>
      <c r="DGI538" s="1170">
        <v>8298541</v>
      </c>
      <c r="DGJ538" s="1170">
        <v>8298541</v>
      </c>
      <c r="DGK538" s="1170">
        <v>8298541</v>
      </c>
      <c r="DGL538" s="1170">
        <v>8298541</v>
      </c>
      <c r="DGM538" s="1170">
        <v>8298541</v>
      </c>
      <c r="DGN538" s="1170">
        <v>8298541</v>
      </c>
      <c r="DGO538" s="1170">
        <v>8298541</v>
      </c>
      <c r="DGP538" s="1170">
        <v>8298541</v>
      </c>
      <c r="DGQ538" s="1170">
        <v>8298541</v>
      </c>
      <c r="DGR538" s="1170">
        <v>8298541</v>
      </c>
      <c r="DGS538" s="1170">
        <v>8298541</v>
      </c>
      <c r="DGT538" s="1170">
        <v>8298541</v>
      </c>
      <c r="DGU538" s="1170">
        <v>8298541</v>
      </c>
      <c r="DGV538" s="1170">
        <v>8298541</v>
      </c>
      <c r="DGW538" s="1170">
        <v>8298541</v>
      </c>
      <c r="DGX538" s="1170">
        <v>8298541</v>
      </c>
      <c r="DGY538" s="1170">
        <v>8298541</v>
      </c>
      <c r="DGZ538" s="1170">
        <v>8298541</v>
      </c>
      <c r="DHA538" s="1170">
        <v>8298541</v>
      </c>
      <c r="DHB538" s="1170">
        <v>8298541</v>
      </c>
      <c r="DHC538" s="1170">
        <v>8298541</v>
      </c>
      <c r="DHD538" s="1170">
        <v>8298541</v>
      </c>
      <c r="DHE538" s="1170">
        <v>8298541</v>
      </c>
      <c r="DHF538" s="1170">
        <v>8298541</v>
      </c>
      <c r="DHG538" s="1170">
        <v>8298541</v>
      </c>
      <c r="DHH538" s="1170">
        <v>8298541</v>
      </c>
      <c r="DHI538" s="1170">
        <v>8298541</v>
      </c>
      <c r="DHJ538" s="1170">
        <v>8298541</v>
      </c>
      <c r="DHK538" s="1170">
        <v>8298541</v>
      </c>
      <c r="DHL538" s="1170">
        <v>8298541</v>
      </c>
      <c r="DHM538" s="1170">
        <v>8298541</v>
      </c>
      <c r="DHN538" s="1170">
        <v>8298541</v>
      </c>
      <c r="DHO538" s="1170">
        <v>8298541</v>
      </c>
      <c r="DHP538" s="1170">
        <v>8298541</v>
      </c>
      <c r="DHQ538" s="1170">
        <v>8298541</v>
      </c>
      <c r="DHR538" s="1170">
        <v>8298541</v>
      </c>
      <c r="DHS538" s="1170">
        <v>8298541</v>
      </c>
      <c r="DHT538" s="1170">
        <v>8298541</v>
      </c>
      <c r="DHU538" s="1170">
        <v>8298541</v>
      </c>
      <c r="DHV538" s="1170">
        <v>8298541</v>
      </c>
      <c r="DHW538" s="1170">
        <v>8298541</v>
      </c>
      <c r="DHX538" s="1170">
        <v>8298541</v>
      </c>
      <c r="DHY538" s="1170">
        <v>8298541</v>
      </c>
      <c r="DHZ538" s="1170">
        <v>8298541</v>
      </c>
      <c r="DIA538" s="1170">
        <v>8298541</v>
      </c>
      <c r="DIB538" s="1170">
        <v>8298541</v>
      </c>
      <c r="DIC538" s="1170">
        <v>8298541</v>
      </c>
      <c r="DID538" s="1170">
        <v>8298541</v>
      </c>
      <c r="DIE538" s="1170">
        <v>8298541</v>
      </c>
      <c r="DIF538" s="1170">
        <v>8298541</v>
      </c>
      <c r="DIG538" s="1170">
        <v>8298541</v>
      </c>
      <c r="DIH538" s="1170">
        <v>8298541</v>
      </c>
      <c r="DII538" s="1170">
        <v>8298541</v>
      </c>
      <c r="DIJ538" s="1170">
        <v>8298541</v>
      </c>
      <c r="DIK538" s="1170">
        <v>8298541</v>
      </c>
      <c r="DIL538" s="1170">
        <v>8298541</v>
      </c>
      <c r="DIM538" s="1170">
        <v>8298541</v>
      </c>
      <c r="DIN538" s="1170">
        <v>8298541</v>
      </c>
      <c r="DIO538" s="1170">
        <v>8298541</v>
      </c>
      <c r="DIP538" s="1170">
        <v>8298541</v>
      </c>
      <c r="DIQ538" s="1170">
        <v>8298541</v>
      </c>
      <c r="DIR538" s="1170">
        <v>8298541</v>
      </c>
      <c r="DIS538" s="1170">
        <v>8298541</v>
      </c>
      <c r="DIT538" s="1170">
        <v>8298541</v>
      </c>
      <c r="DIU538" s="1170">
        <v>8298541</v>
      </c>
      <c r="DIV538" s="1170">
        <v>8298541</v>
      </c>
      <c r="DIW538" s="1170">
        <v>8298541</v>
      </c>
      <c r="DIX538" s="1170">
        <v>8298541</v>
      </c>
      <c r="DIY538" s="1170">
        <v>8298541</v>
      </c>
      <c r="DIZ538" s="1170">
        <v>8298541</v>
      </c>
      <c r="DJA538" s="1170">
        <v>8298541</v>
      </c>
      <c r="DJB538" s="1170">
        <v>8298541</v>
      </c>
      <c r="DJC538" s="1170">
        <v>8298541</v>
      </c>
      <c r="DJD538" s="1170">
        <v>8298541</v>
      </c>
      <c r="DJE538" s="1170">
        <v>8298541</v>
      </c>
      <c r="DJF538" s="1170">
        <v>8298541</v>
      </c>
      <c r="DJG538" s="1170">
        <v>8298541</v>
      </c>
      <c r="DJH538" s="1170">
        <v>8298541</v>
      </c>
      <c r="DJI538" s="1170">
        <v>8298541</v>
      </c>
      <c r="DJJ538" s="1170">
        <v>8298541</v>
      </c>
      <c r="DJK538" s="1170">
        <v>8298541</v>
      </c>
      <c r="DJL538" s="1170">
        <v>8298541</v>
      </c>
      <c r="DJM538" s="1170">
        <v>8298541</v>
      </c>
      <c r="DJN538" s="1170">
        <v>8298541</v>
      </c>
      <c r="DJO538" s="1170">
        <v>8298541</v>
      </c>
      <c r="DJP538" s="1170">
        <v>8298541</v>
      </c>
      <c r="DJQ538" s="1170">
        <v>8298541</v>
      </c>
      <c r="DJR538" s="1170">
        <v>8298541</v>
      </c>
      <c r="DJS538" s="1170">
        <v>8298541</v>
      </c>
      <c r="DJT538" s="1170">
        <v>8298541</v>
      </c>
      <c r="DJU538" s="1170">
        <v>8298541</v>
      </c>
      <c r="DJV538" s="1170">
        <v>8298541</v>
      </c>
      <c r="DJW538" s="1170">
        <v>8298541</v>
      </c>
      <c r="DJX538" s="1170">
        <v>8298541</v>
      </c>
      <c r="DJY538" s="1170">
        <v>8298541</v>
      </c>
      <c r="DJZ538" s="1170">
        <v>8298541</v>
      </c>
      <c r="DKA538" s="1170">
        <v>8298541</v>
      </c>
      <c r="DKB538" s="1170">
        <v>8298541</v>
      </c>
      <c r="DKC538" s="1170">
        <v>8298541</v>
      </c>
      <c r="DKD538" s="1170">
        <v>8298541</v>
      </c>
      <c r="DKE538" s="1170">
        <v>8298541</v>
      </c>
      <c r="DKF538" s="1170">
        <v>8298541</v>
      </c>
      <c r="DKG538" s="1170">
        <v>8298541</v>
      </c>
      <c r="DKH538" s="1170">
        <v>8298541</v>
      </c>
      <c r="DKI538" s="1170">
        <v>8298541</v>
      </c>
      <c r="DKJ538" s="1170">
        <v>8298541</v>
      </c>
      <c r="DKK538" s="1170">
        <v>8298541</v>
      </c>
      <c r="DKL538" s="1170">
        <v>8298541</v>
      </c>
      <c r="DKM538" s="1170">
        <v>8298541</v>
      </c>
      <c r="DKN538" s="1170">
        <v>8298541</v>
      </c>
      <c r="DKO538" s="1170">
        <v>8298541</v>
      </c>
      <c r="DKP538" s="1170">
        <v>8298541</v>
      </c>
      <c r="DKQ538" s="1170">
        <v>8298541</v>
      </c>
      <c r="DKR538" s="1170">
        <v>8298541</v>
      </c>
      <c r="DKS538" s="1170">
        <v>8298541</v>
      </c>
      <c r="DKT538" s="1170">
        <v>8298541</v>
      </c>
      <c r="DKU538" s="1170">
        <v>8298541</v>
      </c>
      <c r="DKV538" s="1170">
        <v>8298541</v>
      </c>
      <c r="DKW538" s="1170">
        <v>8298541</v>
      </c>
      <c r="DKX538" s="1170">
        <v>8298541</v>
      </c>
      <c r="DKY538" s="1170">
        <v>8298541</v>
      </c>
      <c r="DKZ538" s="1170">
        <v>8298541</v>
      </c>
      <c r="DLA538" s="1170">
        <v>8298541</v>
      </c>
      <c r="DLB538" s="1170">
        <v>8298541</v>
      </c>
      <c r="DLC538" s="1170">
        <v>8298541</v>
      </c>
      <c r="DLD538" s="1170">
        <v>8298541</v>
      </c>
      <c r="DLE538" s="1170">
        <v>8298541</v>
      </c>
      <c r="DLF538" s="1170">
        <v>8298541</v>
      </c>
      <c r="DLG538" s="1170">
        <v>8298541</v>
      </c>
      <c r="DLH538" s="1170">
        <v>8298541</v>
      </c>
      <c r="DLI538" s="1170">
        <v>8298541</v>
      </c>
      <c r="DLJ538" s="1170">
        <v>8298541</v>
      </c>
      <c r="DLK538" s="1170">
        <v>8298541</v>
      </c>
      <c r="DLL538" s="1170">
        <v>8298541</v>
      </c>
      <c r="DLM538" s="1170">
        <v>8298541</v>
      </c>
      <c r="DLN538" s="1170">
        <v>8298541</v>
      </c>
      <c r="DLO538" s="1170">
        <v>8298541</v>
      </c>
      <c r="DLP538" s="1170">
        <v>8298541</v>
      </c>
      <c r="DLQ538" s="1170">
        <v>8298541</v>
      </c>
      <c r="DLR538" s="1170">
        <v>8298541</v>
      </c>
      <c r="DLS538" s="1170">
        <v>8298541</v>
      </c>
      <c r="DLT538" s="1170">
        <v>8298541</v>
      </c>
      <c r="DLU538" s="1170">
        <v>8298541</v>
      </c>
      <c r="DLV538" s="1170">
        <v>8298541</v>
      </c>
      <c r="DLW538" s="1170">
        <v>8298541</v>
      </c>
      <c r="DLX538" s="1170">
        <v>8298541</v>
      </c>
      <c r="DLY538" s="1170">
        <v>8298541</v>
      </c>
      <c r="DLZ538" s="1170">
        <v>8298541</v>
      </c>
      <c r="DMA538" s="1170">
        <v>8298541</v>
      </c>
      <c r="DMB538" s="1170">
        <v>8298541</v>
      </c>
      <c r="DMC538" s="1170">
        <v>8298541</v>
      </c>
      <c r="DMD538" s="1170">
        <v>8298541</v>
      </c>
      <c r="DME538" s="1170">
        <v>8298541</v>
      </c>
      <c r="DMF538" s="1170">
        <v>8298541</v>
      </c>
      <c r="DMG538" s="1170">
        <v>8298541</v>
      </c>
      <c r="DMH538" s="1170">
        <v>8298541</v>
      </c>
      <c r="DMI538" s="1170">
        <v>8298541</v>
      </c>
      <c r="DMJ538" s="1170">
        <v>8298541</v>
      </c>
      <c r="DMK538" s="1170">
        <v>8298541</v>
      </c>
      <c r="DML538" s="1170">
        <v>8298541</v>
      </c>
      <c r="DMM538" s="1170">
        <v>8298541</v>
      </c>
      <c r="DMN538" s="1170">
        <v>8298541</v>
      </c>
      <c r="DMO538" s="1170">
        <v>8298541</v>
      </c>
      <c r="DMP538" s="1170">
        <v>8298541</v>
      </c>
      <c r="DMQ538" s="1170">
        <v>8298541</v>
      </c>
      <c r="DMR538" s="1170">
        <v>8298541</v>
      </c>
      <c r="DMS538" s="1170">
        <v>8298541</v>
      </c>
      <c r="DMT538" s="1170">
        <v>8298541</v>
      </c>
      <c r="DMU538" s="1170">
        <v>8298541</v>
      </c>
      <c r="DMV538" s="1170">
        <v>8298541</v>
      </c>
      <c r="DMW538" s="1170">
        <v>8298541</v>
      </c>
      <c r="DMX538" s="1170">
        <v>8298541</v>
      </c>
      <c r="DMY538" s="1170">
        <v>8298541</v>
      </c>
      <c r="DMZ538" s="1170">
        <v>8298541</v>
      </c>
      <c r="DNA538" s="1170">
        <v>8298541</v>
      </c>
      <c r="DNB538" s="1170">
        <v>8298541</v>
      </c>
      <c r="DNC538" s="1170">
        <v>8298541</v>
      </c>
      <c r="DND538" s="1170">
        <v>8298541</v>
      </c>
      <c r="DNE538" s="1170">
        <v>8298541</v>
      </c>
      <c r="DNF538" s="1170">
        <v>8298541</v>
      </c>
      <c r="DNG538" s="1170">
        <v>8298541</v>
      </c>
      <c r="DNH538" s="1170">
        <v>8298541</v>
      </c>
      <c r="DNI538" s="1170">
        <v>8298541</v>
      </c>
      <c r="DNJ538" s="1170">
        <v>8298541</v>
      </c>
      <c r="DNK538" s="1170">
        <v>8298541</v>
      </c>
      <c r="DNL538" s="1170">
        <v>8298541</v>
      </c>
      <c r="DNM538" s="1170">
        <v>8298541</v>
      </c>
      <c r="DNN538" s="1170">
        <v>8298541</v>
      </c>
      <c r="DNO538" s="1170">
        <v>8298541</v>
      </c>
      <c r="DNP538" s="1170">
        <v>8298541</v>
      </c>
      <c r="DNQ538" s="1170">
        <v>8298541</v>
      </c>
      <c r="DNR538" s="1170">
        <v>8298541</v>
      </c>
      <c r="DNS538" s="1170">
        <v>8298541</v>
      </c>
      <c r="DNT538" s="1170">
        <v>8298541</v>
      </c>
      <c r="DNU538" s="1170">
        <v>8298541</v>
      </c>
      <c r="DNV538" s="1170">
        <v>8298541</v>
      </c>
      <c r="DNW538" s="1170">
        <v>8298541</v>
      </c>
      <c r="DNX538" s="1170">
        <v>8298541</v>
      </c>
      <c r="DNY538" s="1170">
        <v>8298541</v>
      </c>
      <c r="DNZ538" s="1170">
        <v>8298541</v>
      </c>
      <c r="DOA538" s="1170">
        <v>8298541</v>
      </c>
      <c r="DOB538" s="1170">
        <v>8298541</v>
      </c>
      <c r="DOC538" s="1170">
        <v>8298541</v>
      </c>
      <c r="DOD538" s="1170">
        <v>8298541</v>
      </c>
      <c r="DOE538" s="1170">
        <v>8298541</v>
      </c>
      <c r="DOF538" s="1170">
        <v>8298541</v>
      </c>
      <c r="DOG538" s="1170">
        <v>8298541</v>
      </c>
      <c r="DOH538" s="1170">
        <v>8298541</v>
      </c>
      <c r="DOI538" s="1170">
        <v>8298541</v>
      </c>
      <c r="DOJ538" s="1170">
        <v>8298541</v>
      </c>
      <c r="DOK538" s="1170">
        <v>8298541</v>
      </c>
      <c r="DOL538" s="1170">
        <v>8298541</v>
      </c>
      <c r="DOM538" s="1170">
        <v>8298541</v>
      </c>
      <c r="DON538" s="1170">
        <v>8298541</v>
      </c>
      <c r="DOO538" s="1170">
        <v>8298541</v>
      </c>
      <c r="DOP538" s="1170">
        <v>8298541</v>
      </c>
      <c r="DOQ538" s="1170">
        <v>8298541</v>
      </c>
      <c r="DOR538" s="1170">
        <v>8298541</v>
      </c>
      <c r="DOS538" s="1170">
        <v>8298541</v>
      </c>
      <c r="DOT538" s="1170">
        <v>8298541</v>
      </c>
      <c r="DOU538" s="1170">
        <v>8298541</v>
      </c>
      <c r="DOV538" s="1170">
        <v>8298541</v>
      </c>
      <c r="DOW538" s="1170">
        <v>8298541</v>
      </c>
      <c r="DOX538" s="1170">
        <v>8298541</v>
      </c>
      <c r="DOY538" s="1170">
        <v>8298541</v>
      </c>
      <c r="DOZ538" s="1170">
        <v>8298541</v>
      </c>
      <c r="DPA538" s="1170">
        <v>8298541</v>
      </c>
      <c r="DPB538" s="1170">
        <v>8298541</v>
      </c>
      <c r="DPC538" s="1170">
        <v>8298541</v>
      </c>
      <c r="DPD538" s="1170">
        <v>8298541</v>
      </c>
      <c r="DPE538" s="1170">
        <v>8298541</v>
      </c>
      <c r="DPF538" s="1170">
        <v>8298541</v>
      </c>
      <c r="DPG538" s="1170">
        <v>8298541</v>
      </c>
      <c r="DPH538" s="1170">
        <v>8298541</v>
      </c>
      <c r="DPI538" s="1170">
        <v>8298541</v>
      </c>
      <c r="DPJ538" s="1170">
        <v>8298541</v>
      </c>
      <c r="DPK538" s="1170">
        <v>8298541</v>
      </c>
      <c r="DPL538" s="1170">
        <v>8298541</v>
      </c>
      <c r="DPM538" s="1170">
        <v>8298541</v>
      </c>
      <c r="DPN538" s="1170">
        <v>8298541</v>
      </c>
      <c r="DPO538" s="1170">
        <v>8298541</v>
      </c>
      <c r="DPP538" s="1170">
        <v>8298541</v>
      </c>
      <c r="DPQ538" s="1170">
        <v>8298541</v>
      </c>
      <c r="DPR538" s="1170">
        <v>8298541</v>
      </c>
      <c r="DPS538" s="1170">
        <v>8298541</v>
      </c>
      <c r="DPT538" s="1170">
        <v>8298541</v>
      </c>
      <c r="DPU538" s="1170">
        <v>8298541</v>
      </c>
      <c r="DPV538" s="1170">
        <v>8298541</v>
      </c>
      <c r="DPW538" s="1170">
        <v>8298541</v>
      </c>
      <c r="DPX538" s="1170">
        <v>8298541</v>
      </c>
      <c r="DPY538" s="1170">
        <v>8298541</v>
      </c>
      <c r="DPZ538" s="1170">
        <v>8298541</v>
      </c>
      <c r="DQA538" s="1170">
        <v>8298541</v>
      </c>
      <c r="DQB538" s="1170">
        <v>8298541</v>
      </c>
      <c r="DQC538" s="1170">
        <v>8298541</v>
      </c>
      <c r="DQD538" s="1170">
        <v>8298541</v>
      </c>
      <c r="DQE538" s="1170">
        <v>8298541</v>
      </c>
      <c r="DQF538" s="1170">
        <v>8298541</v>
      </c>
      <c r="DQG538" s="1170">
        <v>8298541</v>
      </c>
      <c r="DQH538" s="1170">
        <v>8298541</v>
      </c>
      <c r="DQI538" s="1170">
        <v>8298541</v>
      </c>
      <c r="DQJ538" s="1170">
        <v>8298541</v>
      </c>
      <c r="DQK538" s="1170">
        <v>8298541</v>
      </c>
      <c r="DQL538" s="1170">
        <v>8298541</v>
      </c>
      <c r="DQM538" s="1170">
        <v>8298541</v>
      </c>
      <c r="DQN538" s="1170">
        <v>8298541</v>
      </c>
      <c r="DQO538" s="1170">
        <v>8298541</v>
      </c>
      <c r="DQP538" s="1170">
        <v>8298541</v>
      </c>
      <c r="DQQ538" s="1170">
        <v>8298541</v>
      </c>
      <c r="DQR538" s="1170">
        <v>8298541</v>
      </c>
      <c r="DQS538" s="1170">
        <v>8298541</v>
      </c>
      <c r="DQT538" s="1170">
        <v>8298541</v>
      </c>
      <c r="DQU538" s="1170">
        <v>8298541</v>
      </c>
      <c r="DQV538" s="1170">
        <v>8298541</v>
      </c>
      <c r="DQW538" s="1170">
        <v>8298541</v>
      </c>
      <c r="DQX538" s="1170">
        <v>8298541</v>
      </c>
      <c r="DQY538" s="1170">
        <v>8298541</v>
      </c>
      <c r="DQZ538" s="1170">
        <v>8298541</v>
      </c>
      <c r="DRA538" s="1170">
        <v>8298541</v>
      </c>
      <c r="DRB538" s="1170">
        <v>8298541</v>
      </c>
      <c r="DRC538" s="1170">
        <v>8298541</v>
      </c>
      <c r="DRD538" s="1170">
        <v>8298541</v>
      </c>
      <c r="DRE538" s="1170">
        <v>8298541</v>
      </c>
      <c r="DRF538" s="1170">
        <v>8298541</v>
      </c>
      <c r="DRG538" s="1170">
        <v>8298541</v>
      </c>
      <c r="DRH538" s="1170">
        <v>8298541</v>
      </c>
      <c r="DRI538" s="1170">
        <v>8298541</v>
      </c>
      <c r="DRJ538" s="1170">
        <v>8298541</v>
      </c>
      <c r="DRK538" s="1170">
        <v>8298541</v>
      </c>
      <c r="DRL538" s="1170">
        <v>8298541</v>
      </c>
      <c r="DRM538" s="1170">
        <v>8298541</v>
      </c>
      <c r="DRN538" s="1170">
        <v>8298541</v>
      </c>
      <c r="DRO538" s="1170">
        <v>8298541</v>
      </c>
      <c r="DRP538" s="1170">
        <v>8298541</v>
      </c>
      <c r="DRQ538" s="1170">
        <v>8298541</v>
      </c>
      <c r="DRR538" s="1170">
        <v>8298541</v>
      </c>
      <c r="DRS538" s="1170">
        <v>8298541</v>
      </c>
      <c r="DRT538" s="1170">
        <v>8298541</v>
      </c>
      <c r="DRU538" s="1170">
        <v>8298541</v>
      </c>
      <c r="DRV538" s="1170">
        <v>8298541</v>
      </c>
      <c r="DRW538" s="1170">
        <v>8298541</v>
      </c>
      <c r="DRX538" s="1170">
        <v>8298541</v>
      </c>
      <c r="DRY538" s="1170">
        <v>8298541</v>
      </c>
      <c r="DRZ538" s="1170">
        <v>8298541</v>
      </c>
      <c r="DSA538" s="1170">
        <v>8298541</v>
      </c>
      <c r="DSB538" s="1170">
        <v>8298541</v>
      </c>
      <c r="DSC538" s="1170">
        <v>8298541</v>
      </c>
      <c r="DSD538" s="1170">
        <v>8298541</v>
      </c>
      <c r="DSE538" s="1170">
        <v>8298541</v>
      </c>
      <c r="DSF538" s="1170">
        <v>8298541</v>
      </c>
      <c r="DSG538" s="1170">
        <v>8298541</v>
      </c>
      <c r="DSH538" s="1170">
        <v>8298541</v>
      </c>
      <c r="DSI538" s="1170">
        <v>8298541</v>
      </c>
      <c r="DSJ538" s="1170">
        <v>8298541</v>
      </c>
      <c r="DSK538" s="1170">
        <v>8298541</v>
      </c>
      <c r="DSL538" s="1170">
        <v>8298541</v>
      </c>
      <c r="DSM538" s="1170">
        <v>8298541</v>
      </c>
      <c r="DSN538" s="1170">
        <v>8298541</v>
      </c>
      <c r="DSO538" s="1170">
        <v>8298541</v>
      </c>
      <c r="DSP538" s="1170">
        <v>8298541</v>
      </c>
      <c r="DSQ538" s="1170">
        <v>8298541</v>
      </c>
      <c r="DSR538" s="1170">
        <v>8298541</v>
      </c>
      <c r="DSS538" s="1170">
        <v>8298541</v>
      </c>
      <c r="DST538" s="1170">
        <v>8298541</v>
      </c>
      <c r="DSU538" s="1170">
        <v>8298541</v>
      </c>
      <c r="DSV538" s="1170">
        <v>8298541</v>
      </c>
      <c r="DSW538" s="1170">
        <v>8298541</v>
      </c>
      <c r="DSX538" s="1170">
        <v>8298541</v>
      </c>
      <c r="DSY538" s="1170">
        <v>8298541</v>
      </c>
      <c r="DSZ538" s="1170">
        <v>8298541</v>
      </c>
      <c r="DTA538" s="1170">
        <v>8298541</v>
      </c>
      <c r="DTB538" s="1170">
        <v>8298541</v>
      </c>
      <c r="DTC538" s="1170">
        <v>8298541</v>
      </c>
      <c r="DTD538" s="1170">
        <v>8298541</v>
      </c>
      <c r="DTE538" s="1170">
        <v>8298541</v>
      </c>
      <c r="DTF538" s="1170">
        <v>8298541</v>
      </c>
      <c r="DTG538" s="1170">
        <v>8298541</v>
      </c>
      <c r="DTH538" s="1170">
        <v>8298541</v>
      </c>
      <c r="DTI538" s="1170">
        <v>8298541</v>
      </c>
      <c r="DTJ538" s="1170">
        <v>8298541</v>
      </c>
      <c r="DTK538" s="1170">
        <v>8298541</v>
      </c>
      <c r="DTL538" s="1170">
        <v>8298541</v>
      </c>
      <c r="DTM538" s="1170">
        <v>8298541</v>
      </c>
      <c r="DTN538" s="1170">
        <v>8298541</v>
      </c>
      <c r="DTO538" s="1170">
        <v>8298541</v>
      </c>
      <c r="DTP538" s="1170">
        <v>8298541</v>
      </c>
      <c r="DTQ538" s="1170">
        <v>8298541</v>
      </c>
      <c r="DTR538" s="1170">
        <v>8298541</v>
      </c>
      <c r="DTS538" s="1170">
        <v>8298541</v>
      </c>
      <c r="DTT538" s="1170">
        <v>8298541</v>
      </c>
      <c r="DTU538" s="1170">
        <v>8298541</v>
      </c>
      <c r="DTV538" s="1170">
        <v>8298541</v>
      </c>
      <c r="DTW538" s="1170">
        <v>8298541</v>
      </c>
      <c r="DTX538" s="1170">
        <v>8298541</v>
      </c>
      <c r="DTY538" s="1170">
        <v>8298541</v>
      </c>
      <c r="DTZ538" s="1170">
        <v>8298541</v>
      </c>
      <c r="DUA538" s="1170">
        <v>8298541</v>
      </c>
      <c r="DUB538" s="1170">
        <v>8298541</v>
      </c>
      <c r="DUC538" s="1170">
        <v>8298541</v>
      </c>
      <c r="DUD538" s="1170">
        <v>8298541</v>
      </c>
      <c r="DUE538" s="1170">
        <v>8298541</v>
      </c>
      <c r="DUF538" s="1170">
        <v>8298541</v>
      </c>
      <c r="DUG538" s="1170">
        <v>8298541</v>
      </c>
      <c r="DUH538" s="1170">
        <v>8298541</v>
      </c>
      <c r="DUI538" s="1170">
        <v>8298541</v>
      </c>
      <c r="DUJ538" s="1170">
        <v>8298541</v>
      </c>
      <c r="DUK538" s="1170">
        <v>8298541</v>
      </c>
      <c r="DUL538" s="1170">
        <v>8298541</v>
      </c>
      <c r="DUM538" s="1170">
        <v>8298541</v>
      </c>
      <c r="DUN538" s="1170">
        <v>8298541</v>
      </c>
      <c r="DUO538" s="1170">
        <v>8298541</v>
      </c>
      <c r="DUP538" s="1170">
        <v>8298541</v>
      </c>
      <c r="DUQ538" s="1170">
        <v>8298541</v>
      </c>
      <c r="DUR538" s="1170">
        <v>8298541</v>
      </c>
      <c r="DUS538" s="1170">
        <v>8298541</v>
      </c>
      <c r="DUT538" s="1170">
        <v>8298541</v>
      </c>
      <c r="DUU538" s="1170">
        <v>8298541</v>
      </c>
      <c r="DUV538" s="1170">
        <v>8298541</v>
      </c>
      <c r="DUW538" s="1170">
        <v>8298541</v>
      </c>
      <c r="DUX538" s="1170">
        <v>8298541</v>
      </c>
      <c r="DUY538" s="1170">
        <v>8298541</v>
      </c>
      <c r="DUZ538" s="1170">
        <v>8298541</v>
      </c>
      <c r="DVA538" s="1170">
        <v>8298541</v>
      </c>
      <c r="DVB538" s="1170">
        <v>8298541</v>
      </c>
      <c r="DVC538" s="1170">
        <v>8298541</v>
      </c>
      <c r="DVD538" s="1170">
        <v>8298541</v>
      </c>
      <c r="DVE538" s="1170">
        <v>8298541</v>
      </c>
      <c r="DVF538" s="1170">
        <v>8298541</v>
      </c>
      <c r="DVG538" s="1170">
        <v>8298541</v>
      </c>
      <c r="DVH538" s="1170">
        <v>8298541</v>
      </c>
      <c r="DVI538" s="1170">
        <v>8298541</v>
      </c>
      <c r="DVJ538" s="1170">
        <v>8298541</v>
      </c>
      <c r="DVK538" s="1170">
        <v>8298541</v>
      </c>
      <c r="DVL538" s="1170">
        <v>8298541</v>
      </c>
      <c r="DVM538" s="1170">
        <v>8298541</v>
      </c>
      <c r="DVN538" s="1170">
        <v>8298541</v>
      </c>
      <c r="DVO538" s="1170">
        <v>8298541</v>
      </c>
      <c r="DVP538" s="1170">
        <v>8298541</v>
      </c>
      <c r="DVQ538" s="1170">
        <v>8298541</v>
      </c>
      <c r="DVR538" s="1170">
        <v>8298541</v>
      </c>
      <c r="DVS538" s="1170">
        <v>8298541</v>
      </c>
      <c r="DVT538" s="1170">
        <v>8298541</v>
      </c>
      <c r="DVU538" s="1170">
        <v>8298541</v>
      </c>
      <c r="DVV538" s="1170">
        <v>8298541</v>
      </c>
      <c r="DVW538" s="1170">
        <v>8298541</v>
      </c>
      <c r="DVX538" s="1170">
        <v>8298541</v>
      </c>
      <c r="DVY538" s="1170">
        <v>8298541</v>
      </c>
      <c r="DVZ538" s="1170">
        <v>8298541</v>
      </c>
      <c r="DWA538" s="1170">
        <v>8298541</v>
      </c>
      <c r="DWB538" s="1170">
        <v>8298541</v>
      </c>
      <c r="DWC538" s="1170">
        <v>8298541</v>
      </c>
      <c r="DWD538" s="1170">
        <v>8298541</v>
      </c>
      <c r="DWE538" s="1170">
        <v>8298541</v>
      </c>
      <c r="DWF538" s="1170">
        <v>8298541</v>
      </c>
      <c r="DWG538" s="1170">
        <v>8298541</v>
      </c>
      <c r="DWH538" s="1170">
        <v>8298541</v>
      </c>
      <c r="DWI538" s="1170">
        <v>8298541</v>
      </c>
      <c r="DWJ538" s="1170">
        <v>8298541</v>
      </c>
      <c r="DWK538" s="1170">
        <v>8298541</v>
      </c>
      <c r="DWL538" s="1170">
        <v>8298541</v>
      </c>
      <c r="DWM538" s="1170">
        <v>8298541</v>
      </c>
      <c r="DWN538" s="1170">
        <v>8298541</v>
      </c>
      <c r="DWO538" s="1170">
        <v>8298541</v>
      </c>
      <c r="DWP538" s="1170">
        <v>8298541</v>
      </c>
      <c r="DWQ538" s="1170">
        <v>8298541</v>
      </c>
      <c r="DWR538" s="1170">
        <v>8298541</v>
      </c>
      <c r="DWS538" s="1170">
        <v>8298541</v>
      </c>
      <c r="DWT538" s="1170">
        <v>8298541</v>
      </c>
      <c r="DWU538" s="1170">
        <v>8298541</v>
      </c>
      <c r="DWV538" s="1170">
        <v>8298541</v>
      </c>
      <c r="DWW538" s="1170">
        <v>8298541</v>
      </c>
      <c r="DWX538" s="1170">
        <v>8298541</v>
      </c>
      <c r="DWY538" s="1170">
        <v>8298541</v>
      </c>
      <c r="DWZ538" s="1170">
        <v>8298541</v>
      </c>
      <c r="DXA538" s="1170">
        <v>8298541</v>
      </c>
      <c r="DXB538" s="1170">
        <v>8298541</v>
      </c>
      <c r="DXC538" s="1170">
        <v>8298541</v>
      </c>
      <c r="DXD538" s="1170">
        <v>8298541</v>
      </c>
      <c r="DXE538" s="1170">
        <v>8298541</v>
      </c>
      <c r="DXF538" s="1170">
        <v>8298541</v>
      </c>
      <c r="DXG538" s="1170">
        <v>8298541</v>
      </c>
      <c r="DXH538" s="1170">
        <v>8298541</v>
      </c>
      <c r="DXI538" s="1170">
        <v>8298541</v>
      </c>
      <c r="DXJ538" s="1170">
        <v>8298541</v>
      </c>
      <c r="DXK538" s="1170">
        <v>8298541</v>
      </c>
      <c r="DXL538" s="1170">
        <v>8298541</v>
      </c>
      <c r="DXM538" s="1170">
        <v>8298541</v>
      </c>
      <c r="DXN538" s="1170">
        <v>8298541</v>
      </c>
      <c r="DXO538" s="1170">
        <v>8298541</v>
      </c>
      <c r="DXP538" s="1170">
        <v>8298541</v>
      </c>
      <c r="DXQ538" s="1170">
        <v>8298541</v>
      </c>
      <c r="DXR538" s="1170">
        <v>8298541</v>
      </c>
      <c r="DXS538" s="1170">
        <v>8298541</v>
      </c>
      <c r="DXT538" s="1170">
        <v>8298541</v>
      </c>
      <c r="DXU538" s="1170">
        <v>8298541</v>
      </c>
      <c r="DXV538" s="1170">
        <v>8298541</v>
      </c>
      <c r="DXW538" s="1170">
        <v>8298541</v>
      </c>
      <c r="DXX538" s="1170">
        <v>8298541</v>
      </c>
      <c r="DXY538" s="1170">
        <v>8298541</v>
      </c>
      <c r="DXZ538" s="1170">
        <v>8298541</v>
      </c>
      <c r="DYA538" s="1170">
        <v>8298541</v>
      </c>
      <c r="DYB538" s="1170">
        <v>8298541</v>
      </c>
      <c r="DYC538" s="1170">
        <v>8298541</v>
      </c>
      <c r="DYD538" s="1170">
        <v>8298541</v>
      </c>
      <c r="DYE538" s="1170">
        <v>8298541</v>
      </c>
      <c r="DYF538" s="1170">
        <v>8298541</v>
      </c>
      <c r="DYG538" s="1170">
        <v>8298541</v>
      </c>
      <c r="DYH538" s="1170">
        <v>8298541</v>
      </c>
      <c r="DYI538" s="1170">
        <v>8298541</v>
      </c>
      <c r="DYJ538" s="1170">
        <v>8298541</v>
      </c>
      <c r="DYK538" s="1170">
        <v>8298541</v>
      </c>
      <c r="DYL538" s="1170">
        <v>8298541</v>
      </c>
      <c r="DYM538" s="1170">
        <v>8298541</v>
      </c>
      <c r="DYN538" s="1170">
        <v>8298541</v>
      </c>
      <c r="DYO538" s="1170">
        <v>8298541</v>
      </c>
      <c r="DYP538" s="1170">
        <v>8298541</v>
      </c>
      <c r="DYQ538" s="1170">
        <v>8298541</v>
      </c>
      <c r="DYR538" s="1170">
        <v>8298541</v>
      </c>
      <c r="DYS538" s="1170">
        <v>8298541</v>
      </c>
      <c r="DYT538" s="1170">
        <v>8298541</v>
      </c>
      <c r="DYU538" s="1170">
        <v>8298541</v>
      </c>
      <c r="DYV538" s="1170">
        <v>8298541</v>
      </c>
      <c r="DYW538" s="1170">
        <v>8298541</v>
      </c>
      <c r="DYX538" s="1170">
        <v>8298541</v>
      </c>
      <c r="DYY538" s="1170">
        <v>8298541</v>
      </c>
      <c r="DYZ538" s="1170">
        <v>8298541</v>
      </c>
      <c r="DZA538" s="1170">
        <v>8298541</v>
      </c>
      <c r="DZB538" s="1170">
        <v>8298541</v>
      </c>
      <c r="DZC538" s="1170">
        <v>8298541</v>
      </c>
      <c r="DZD538" s="1170">
        <v>8298541</v>
      </c>
      <c r="DZE538" s="1170">
        <v>8298541</v>
      </c>
      <c r="DZF538" s="1170">
        <v>8298541</v>
      </c>
      <c r="DZG538" s="1170">
        <v>8298541</v>
      </c>
      <c r="DZH538" s="1170">
        <v>8298541</v>
      </c>
      <c r="DZI538" s="1170">
        <v>8298541</v>
      </c>
      <c r="DZJ538" s="1170">
        <v>8298541</v>
      </c>
      <c r="DZK538" s="1170">
        <v>8298541</v>
      </c>
      <c r="DZL538" s="1170">
        <v>8298541</v>
      </c>
      <c r="DZM538" s="1170">
        <v>8298541</v>
      </c>
      <c r="DZN538" s="1170">
        <v>8298541</v>
      </c>
      <c r="DZO538" s="1170">
        <v>8298541</v>
      </c>
      <c r="DZP538" s="1170">
        <v>8298541</v>
      </c>
      <c r="DZQ538" s="1170">
        <v>8298541</v>
      </c>
      <c r="DZR538" s="1170">
        <v>8298541</v>
      </c>
      <c r="DZS538" s="1170">
        <v>8298541</v>
      </c>
      <c r="DZT538" s="1170">
        <v>8298541</v>
      </c>
      <c r="DZU538" s="1170">
        <v>8298541</v>
      </c>
      <c r="DZV538" s="1170">
        <v>8298541</v>
      </c>
      <c r="DZW538" s="1170">
        <v>8298541</v>
      </c>
      <c r="DZX538" s="1170">
        <v>8298541</v>
      </c>
      <c r="DZY538" s="1170">
        <v>8298541</v>
      </c>
      <c r="DZZ538" s="1170">
        <v>8298541</v>
      </c>
      <c r="EAA538" s="1170">
        <v>8298541</v>
      </c>
      <c r="EAB538" s="1170">
        <v>8298541</v>
      </c>
      <c r="EAC538" s="1170">
        <v>8298541</v>
      </c>
      <c r="EAD538" s="1170">
        <v>8298541</v>
      </c>
      <c r="EAE538" s="1170">
        <v>8298541</v>
      </c>
      <c r="EAF538" s="1170">
        <v>8298541</v>
      </c>
      <c r="EAG538" s="1170">
        <v>8298541</v>
      </c>
      <c r="EAH538" s="1170">
        <v>8298541</v>
      </c>
      <c r="EAI538" s="1170">
        <v>8298541</v>
      </c>
      <c r="EAJ538" s="1170">
        <v>8298541</v>
      </c>
      <c r="EAK538" s="1170">
        <v>8298541</v>
      </c>
      <c r="EAL538" s="1170">
        <v>8298541</v>
      </c>
      <c r="EAM538" s="1170">
        <v>8298541</v>
      </c>
      <c r="EAN538" s="1170">
        <v>8298541</v>
      </c>
      <c r="EAO538" s="1170">
        <v>8298541</v>
      </c>
      <c r="EAP538" s="1170">
        <v>8298541</v>
      </c>
      <c r="EAQ538" s="1170">
        <v>8298541</v>
      </c>
      <c r="EAR538" s="1170">
        <v>8298541</v>
      </c>
      <c r="EAS538" s="1170">
        <v>8298541</v>
      </c>
      <c r="EAT538" s="1170">
        <v>8298541</v>
      </c>
      <c r="EAU538" s="1170">
        <v>8298541</v>
      </c>
      <c r="EAV538" s="1170">
        <v>8298541</v>
      </c>
      <c r="EAW538" s="1170">
        <v>8298541</v>
      </c>
      <c r="EAX538" s="1170">
        <v>8298541</v>
      </c>
      <c r="EAY538" s="1170">
        <v>8298541</v>
      </c>
      <c r="EAZ538" s="1170">
        <v>8298541</v>
      </c>
      <c r="EBA538" s="1170">
        <v>8298541</v>
      </c>
      <c r="EBB538" s="1170">
        <v>8298541</v>
      </c>
      <c r="EBC538" s="1170">
        <v>8298541</v>
      </c>
      <c r="EBD538" s="1170">
        <v>8298541</v>
      </c>
      <c r="EBE538" s="1170">
        <v>8298541</v>
      </c>
      <c r="EBF538" s="1170">
        <v>8298541</v>
      </c>
      <c r="EBG538" s="1170">
        <v>8298541</v>
      </c>
      <c r="EBH538" s="1170">
        <v>8298541</v>
      </c>
      <c r="EBI538" s="1170">
        <v>8298541</v>
      </c>
      <c r="EBJ538" s="1170">
        <v>8298541</v>
      </c>
      <c r="EBK538" s="1170">
        <v>8298541</v>
      </c>
      <c r="EBL538" s="1170">
        <v>8298541</v>
      </c>
      <c r="EBM538" s="1170">
        <v>8298541</v>
      </c>
      <c r="EBN538" s="1170">
        <v>8298541</v>
      </c>
      <c r="EBO538" s="1170">
        <v>8298541</v>
      </c>
      <c r="EBP538" s="1170">
        <v>8298541</v>
      </c>
      <c r="EBQ538" s="1170">
        <v>8298541</v>
      </c>
      <c r="EBR538" s="1170">
        <v>8298541</v>
      </c>
      <c r="EBS538" s="1170">
        <v>8298541</v>
      </c>
      <c r="EBT538" s="1170">
        <v>8298541</v>
      </c>
      <c r="EBU538" s="1170">
        <v>8298541</v>
      </c>
      <c r="EBV538" s="1170">
        <v>8298541</v>
      </c>
      <c r="EBW538" s="1170">
        <v>8298541</v>
      </c>
      <c r="EBX538" s="1170">
        <v>8298541</v>
      </c>
      <c r="EBY538" s="1170">
        <v>8298541</v>
      </c>
      <c r="EBZ538" s="1170">
        <v>8298541</v>
      </c>
      <c r="ECA538" s="1170">
        <v>8298541</v>
      </c>
      <c r="ECB538" s="1170">
        <v>8298541</v>
      </c>
      <c r="ECC538" s="1170">
        <v>8298541</v>
      </c>
      <c r="ECD538" s="1170">
        <v>8298541</v>
      </c>
      <c r="ECE538" s="1170">
        <v>8298541</v>
      </c>
      <c r="ECF538" s="1170">
        <v>8298541</v>
      </c>
      <c r="ECG538" s="1170">
        <v>8298541</v>
      </c>
      <c r="ECH538" s="1170">
        <v>8298541</v>
      </c>
      <c r="ECI538" s="1170">
        <v>8298541</v>
      </c>
      <c r="ECJ538" s="1170">
        <v>8298541</v>
      </c>
      <c r="ECK538" s="1170">
        <v>8298541</v>
      </c>
      <c r="ECL538" s="1170">
        <v>8298541</v>
      </c>
      <c r="ECM538" s="1170">
        <v>8298541</v>
      </c>
      <c r="ECN538" s="1170">
        <v>8298541</v>
      </c>
      <c r="ECO538" s="1170">
        <v>8298541</v>
      </c>
      <c r="ECP538" s="1170">
        <v>8298541</v>
      </c>
      <c r="ECQ538" s="1170">
        <v>8298541</v>
      </c>
      <c r="ECR538" s="1170">
        <v>8298541</v>
      </c>
      <c r="ECS538" s="1170">
        <v>8298541</v>
      </c>
      <c r="ECT538" s="1170">
        <v>8298541</v>
      </c>
      <c r="ECU538" s="1170">
        <v>8298541</v>
      </c>
      <c r="ECV538" s="1170">
        <v>8298541</v>
      </c>
      <c r="ECW538" s="1170">
        <v>8298541</v>
      </c>
      <c r="ECX538" s="1170">
        <v>8298541</v>
      </c>
      <c r="ECY538" s="1170">
        <v>8298541</v>
      </c>
      <c r="ECZ538" s="1170">
        <v>8298541</v>
      </c>
      <c r="EDA538" s="1170">
        <v>8298541</v>
      </c>
      <c r="EDB538" s="1170">
        <v>8298541</v>
      </c>
      <c r="EDC538" s="1170">
        <v>8298541</v>
      </c>
      <c r="EDD538" s="1170">
        <v>8298541</v>
      </c>
      <c r="EDE538" s="1170">
        <v>8298541</v>
      </c>
      <c r="EDF538" s="1170">
        <v>8298541</v>
      </c>
      <c r="EDG538" s="1170">
        <v>8298541</v>
      </c>
      <c r="EDH538" s="1170">
        <v>8298541</v>
      </c>
      <c r="EDI538" s="1170">
        <v>8298541</v>
      </c>
      <c r="EDJ538" s="1170">
        <v>8298541</v>
      </c>
      <c r="EDK538" s="1170">
        <v>8298541</v>
      </c>
      <c r="EDL538" s="1170">
        <v>8298541</v>
      </c>
      <c r="EDM538" s="1170">
        <v>8298541</v>
      </c>
      <c r="EDN538" s="1170">
        <v>8298541</v>
      </c>
      <c r="EDO538" s="1170">
        <v>8298541</v>
      </c>
      <c r="EDP538" s="1170">
        <v>8298541</v>
      </c>
      <c r="EDQ538" s="1170">
        <v>8298541</v>
      </c>
      <c r="EDR538" s="1170">
        <v>8298541</v>
      </c>
      <c r="EDS538" s="1170">
        <v>8298541</v>
      </c>
      <c r="EDT538" s="1170">
        <v>8298541</v>
      </c>
      <c r="EDU538" s="1170">
        <v>8298541</v>
      </c>
      <c r="EDV538" s="1170">
        <v>8298541</v>
      </c>
      <c r="EDW538" s="1170">
        <v>8298541</v>
      </c>
      <c r="EDX538" s="1170">
        <v>8298541</v>
      </c>
      <c r="EDY538" s="1170">
        <v>8298541</v>
      </c>
      <c r="EDZ538" s="1170">
        <v>8298541</v>
      </c>
      <c r="EEA538" s="1170">
        <v>8298541</v>
      </c>
      <c r="EEB538" s="1170">
        <v>8298541</v>
      </c>
      <c r="EEC538" s="1170">
        <v>8298541</v>
      </c>
      <c r="EED538" s="1170">
        <v>8298541</v>
      </c>
      <c r="EEE538" s="1170">
        <v>8298541</v>
      </c>
      <c r="EEF538" s="1170">
        <v>8298541</v>
      </c>
      <c r="EEG538" s="1170">
        <v>8298541</v>
      </c>
      <c r="EEH538" s="1170">
        <v>8298541</v>
      </c>
      <c r="EEI538" s="1170">
        <v>8298541</v>
      </c>
      <c r="EEJ538" s="1170">
        <v>8298541</v>
      </c>
      <c r="EEK538" s="1170">
        <v>8298541</v>
      </c>
      <c r="EEL538" s="1170">
        <v>8298541</v>
      </c>
      <c r="EEM538" s="1170">
        <v>8298541</v>
      </c>
      <c r="EEN538" s="1170">
        <v>8298541</v>
      </c>
      <c r="EEO538" s="1170">
        <v>8298541</v>
      </c>
      <c r="EEP538" s="1170">
        <v>8298541</v>
      </c>
      <c r="EEQ538" s="1170">
        <v>8298541</v>
      </c>
      <c r="EER538" s="1170">
        <v>8298541</v>
      </c>
      <c r="EES538" s="1170">
        <v>8298541</v>
      </c>
      <c r="EET538" s="1170">
        <v>8298541</v>
      </c>
      <c r="EEU538" s="1170">
        <v>8298541</v>
      </c>
      <c r="EEV538" s="1170">
        <v>8298541</v>
      </c>
      <c r="EEW538" s="1170">
        <v>8298541</v>
      </c>
      <c r="EEX538" s="1170">
        <v>8298541</v>
      </c>
      <c r="EEY538" s="1170">
        <v>8298541</v>
      </c>
      <c r="EEZ538" s="1170">
        <v>8298541</v>
      </c>
      <c r="EFA538" s="1170">
        <v>8298541</v>
      </c>
      <c r="EFB538" s="1170">
        <v>8298541</v>
      </c>
      <c r="EFC538" s="1170">
        <v>8298541</v>
      </c>
      <c r="EFD538" s="1170">
        <v>8298541</v>
      </c>
      <c r="EFE538" s="1170">
        <v>8298541</v>
      </c>
      <c r="EFF538" s="1170">
        <v>8298541</v>
      </c>
      <c r="EFG538" s="1170">
        <v>8298541</v>
      </c>
      <c r="EFH538" s="1170">
        <v>8298541</v>
      </c>
      <c r="EFI538" s="1170">
        <v>8298541</v>
      </c>
      <c r="EFJ538" s="1170">
        <v>8298541</v>
      </c>
      <c r="EFK538" s="1170">
        <v>8298541</v>
      </c>
      <c r="EFL538" s="1170">
        <v>8298541</v>
      </c>
      <c r="EFM538" s="1170">
        <v>8298541</v>
      </c>
      <c r="EFN538" s="1170">
        <v>8298541</v>
      </c>
      <c r="EFO538" s="1170">
        <v>8298541</v>
      </c>
      <c r="EFP538" s="1170">
        <v>8298541</v>
      </c>
      <c r="EFQ538" s="1170">
        <v>8298541</v>
      </c>
      <c r="EFR538" s="1170">
        <v>8298541</v>
      </c>
      <c r="EFS538" s="1170">
        <v>8298541</v>
      </c>
      <c r="EFT538" s="1170">
        <v>8298541</v>
      </c>
      <c r="EFU538" s="1170">
        <v>8298541</v>
      </c>
      <c r="EFV538" s="1170">
        <v>8298541</v>
      </c>
      <c r="EFW538" s="1170">
        <v>8298541</v>
      </c>
      <c r="EFX538" s="1170">
        <v>8298541</v>
      </c>
      <c r="EFY538" s="1170">
        <v>8298541</v>
      </c>
      <c r="EFZ538" s="1170">
        <v>8298541</v>
      </c>
      <c r="EGA538" s="1170">
        <v>8298541</v>
      </c>
      <c r="EGB538" s="1170">
        <v>8298541</v>
      </c>
      <c r="EGC538" s="1170">
        <v>8298541</v>
      </c>
      <c r="EGD538" s="1170">
        <v>8298541</v>
      </c>
      <c r="EGE538" s="1170">
        <v>8298541</v>
      </c>
      <c r="EGF538" s="1170">
        <v>8298541</v>
      </c>
      <c r="EGG538" s="1170">
        <v>8298541</v>
      </c>
      <c r="EGH538" s="1170">
        <v>8298541</v>
      </c>
      <c r="EGI538" s="1170">
        <v>8298541</v>
      </c>
      <c r="EGJ538" s="1170">
        <v>8298541</v>
      </c>
      <c r="EGK538" s="1170">
        <v>8298541</v>
      </c>
      <c r="EGL538" s="1170">
        <v>8298541</v>
      </c>
      <c r="EGM538" s="1170">
        <v>8298541</v>
      </c>
      <c r="EGN538" s="1170">
        <v>8298541</v>
      </c>
      <c r="EGO538" s="1170">
        <v>8298541</v>
      </c>
      <c r="EGP538" s="1170">
        <v>8298541</v>
      </c>
      <c r="EGQ538" s="1170">
        <v>8298541</v>
      </c>
      <c r="EGR538" s="1170">
        <v>8298541</v>
      </c>
      <c r="EGS538" s="1170">
        <v>8298541</v>
      </c>
      <c r="EGT538" s="1170">
        <v>8298541</v>
      </c>
      <c r="EGU538" s="1170">
        <v>8298541</v>
      </c>
      <c r="EGV538" s="1170">
        <v>8298541</v>
      </c>
      <c r="EGW538" s="1170">
        <v>8298541</v>
      </c>
      <c r="EGX538" s="1170">
        <v>8298541</v>
      </c>
      <c r="EGY538" s="1170">
        <v>8298541</v>
      </c>
      <c r="EGZ538" s="1170">
        <v>8298541</v>
      </c>
      <c r="EHA538" s="1170">
        <v>8298541</v>
      </c>
      <c r="EHB538" s="1170">
        <v>8298541</v>
      </c>
      <c r="EHC538" s="1170">
        <v>8298541</v>
      </c>
      <c r="EHD538" s="1170">
        <v>8298541</v>
      </c>
      <c r="EHE538" s="1170">
        <v>8298541</v>
      </c>
      <c r="EHF538" s="1170">
        <v>8298541</v>
      </c>
      <c r="EHG538" s="1170">
        <v>8298541</v>
      </c>
      <c r="EHH538" s="1170">
        <v>8298541</v>
      </c>
      <c r="EHI538" s="1170">
        <v>8298541</v>
      </c>
      <c r="EHJ538" s="1170">
        <v>8298541</v>
      </c>
      <c r="EHK538" s="1170">
        <v>8298541</v>
      </c>
      <c r="EHL538" s="1170">
        <v>8298541</v>
      </c>
      <c r="EHM538" s="1170">
        <v>8298541</v>
      </c>
      <c r="EHN538" s="1170">
        <v>8298541</v>
      </c>
      <c r="EHO538" s="1170">
        <v>8298541</v>
      </c>
      <c r="EHP538" s="1170">
        <v>8298541</v>
      </c>
      <c r="EHQ538" s="1170">
        <v>8298541</v>
      </c>
      <c r="EHR538" s="1170">
        <v>8298541</v>
      </c>
      <c r="EHS538" s="1170">
        <v>8298541</v>
      </c>
      <c r="EHT538" s="1170">
        <v>8298541</v>
      </c>
      <c r="EHU538" s="1170">
        <v>8298541</v>
      </c>
      <c r="EHV538" s="1170">
        <v>8298541</v>
      </c>
      <c r="EHW538" s="1170">
        <v>8298541</v>
      </c>
      <c r="EHX538" s="1170">
        <v>8298541</v>
      </c>
      <c r="EHY538" s="1170">
        <v>8298541</v>
      </c>
      <c r="EHZ538" s="1170">
        <v>8298541</v>
      </c>
      <c r="EIA538" s="1170">
        <v>8298541</v>
      </c>
      <c r="EIB538" s="1170">
        <v>8298541</v>
      </c>
      <c r="EIC538" s="1170">
        <v>8298541</v>
      </c>
      <c r="EID538" s="1170">
        <v>8298541</v>
      </c>
      <c r="EIE538" s="1170">
        <v>8298541</v>
      </c>
      <c r="EIF538" s="1170">
        <v>8298541</v>
      </c>
      <c r="EIG538" s="1170">
        <v>8298541</v>
      </c>
      <c r="EIH538" s="1170">
        <v>8298541</v>
      </c>
      <c r="EII538" s="1170">
        <v>8298541</v>
      </c>
      <c r="EIJ538" s="1170">
        <v>8298541</v>
      </c>
      <c r="EIK538" s="1170">
        <v>8298541</v>
      </c>
      <c r="EIL538" s="1170">
        <v>8298541</v>
      </c>
      <c r="EIM538" s="1170">
        <v>8298541</v>
      </c>
      <c r="EIN538" s="1170">
        <v>8298541</v>
      </c>
      <c r="EIO538" s="1170">
        <v>8298541</v>
      </c>
      <c r="EIP538" s="1170">
        <v>8298541</v>
      </c>
      <c r="EIQ538" s="1170">
        <v>8298541</v>
      </c>
      <c r="EIR538" s="1170">
        <v>8298541</v>
      </c>
      <c r="EIS538" s="1170">
        <v>8298541</v>
      </c>
      <c r="EIT538" s="1170">
        <v>8298541</v>
      </c>
      <c r="EIU538" s="1170">
        <v>8298541</v>
      </c>
      <c r="EIV538" s="1170">
        <v>8298541</v>
      </c>
      <c r="EIW538" s="1170">
        <v>8298541</v>
      </c>
      <c r="EIX538" s="1170">
        <v>8298541</v>
      </c>
      <c r="EIY538" s="1170">
        <v>8298541</v>
      </c>
      <c r="EIZ538" s="1170">
        <v>8298541</v>
      </c>
      <c r="EJA538" s="1170">
        <v>8298541</v>
      </c>
      <c r="EJB538" s="1170">
        <v>8298541</v>
      </c>
      <c r="EJC538" s="1170">
        <v>8298541</v>
      </c>
      <c r="EJD538" s="1170">
        <v>8298541</v>
      </c>
      <c r="EJE538" s="1170">
        <v>8298541</v>
      </c>
      <c r="EJF538" s="1170">
        <v>8298541</v>
      </c>
      <c r="EJG538" s="1170">
        <v>8298541</v>
      </c>
      <c r="EJH538" s="1170">
        <v>8298541</v>
      </c>
      <c r="EJI538" s="1170">
        <v>8298541</v>
      </c>
      <c r="EJJ538" s="1170">
        <v>8298541</v>
      </c>
      <c r="EJK538" s="1170">
        <v>8298541</v>
      </c>
      <c r="EJL538" s="1170">
        <v>8298541</v>
      </c>
      <c r="EJM538" s="1170">
        <v>8298541</v>
      </c>
      <c r="EJN538" s="1170">
        <v>8298541</v>
      </c>
      <c r="EJO538" s="1170">
        <v>8298541</v>
      </c>
      <c r="EJP538" s="1170">
        <v>8298541</v>
      </c>
      <c r="EJQ538" s="1170">
        <v>8298541</v>
      </c>
      <c r="EJR538" s="1170">
        <v>8298541</v>
      </c>
      <c r="EJS538" s="1170">
        <v>8298541</v>
      </c>
      <c r="EJT538" s="1170">
        <v>8298541</v>
      </c>
      <c r="EJU538" s="1170">
        <v>8298541</v>
      </c>
      <c r="EJV538" s="1170">
        <v>8298541</v>
      </c>
      <c r="EJW538" s="1170">
        <v>8298541</v>
      </c>
      <c r="EJX538" s="1170">
        <v>8298541</v>
      </c>
      <c r="EJY538" s="1170">
        <v>8298541</v>
      </c>
      <c r="EJZ538" s="1170">
        <v>8298541</v>
      </c>
      <c r="EKA538" s="1170">
        <v>8298541</v>
      </c>
      <c r="EKB538" s="1170">
        <v>8298541</v>
      </c>
      <c r="EKC538" s="1170">
        <v>8298541</v>
      </c>
      <c r="EKD538" s="1170">
        <v>8298541</v>
      </c>
      <c r="EKE538" s="1170">
        <v>8298541</v>
      </c>
      <c r="EKF538" s="1170">
        <v>8298541</v>
      </c>
      <c r="EKG538" s="1170">
        <v>8298541</v>
      </c>
      <c r="EKH538" s="1170">
        <v>8298541</v>
      </c>
      <c r="EKI538" s="1170">
        <v>8298541</v>
      </c>
      <c r="EKJ538" s="1170">
        <v>8298541</v>
      </c>
      <c r="EKK538" s="1170">
        <v>8298541</v>
      </c>
      <c r="EKL538" s="1170">
        <v>8298541</v>
      </c>
      <c r="EKM538" s="1170">
        <v>8298541</v>
      </c>
      <c r="EKN538" s="1170">
        <v>8298541</v>
      </c>
      <c r="EKO538" s="1170">
        <v>8298541</v>
      </c>
      <c r="EKP538" s="1170">
        <v>8298541</v>
      </c>
      <c r="EKQ538" s="1170">
        <v>8298541</v>
      </c>
      <c r="EKR538" s="1170">
        <v>8298541</v>
      </c>
      <c r="EKS538" s="1170">
        <v>8298541</v>
      </c>
      <c r="EKT538" s="1170">
        <v>8298541</v>
      </c>
      <c r="EKU538" s="1170">
        <v>8298541</v>
      </c>
      <c r="EKV538" s="1170">
        <v>8298541</v>
      </c>
      <c r="EKW538" s="1170">
        <v>8298541</v>
      </c>
      <c r="EKX538" s="1170">
        <v>8298541</v>
      </c>
      <c r="EKY538" s="1170">
        <v>8298541</v>
      </c>
      <c r="EKZ538" s="1170">
        <v>8298541</v>
      </c>
      <c r="ELA538" s="1170">
        <v>8298541</v>
      </c>
      <c r="ELB538" s="1170">
        <v>8298541</v>
      </c>
      <c r="ELC538" s="1170">
        <v>8298541</v>
      </c>
      <c r="ELD538" s="1170">
        <v>8298541</v>
      </c>
      <c r="ELE538" s="1170">
        <v>8298541</v>
      </c>
      <c r="ELF538" s="1170">
        <v>8298541</v>
      </c>
      <c r="ELG538" s="1170">
        <v>8298541</v>
      </c>
      <c r="ELH538" s="1170">
        <v>8298541</v>
      </c>
      <c r="ELI538" s="1170">
        <v>8298541</v>
      </c>
      <c r="ELJ538" s="1170">
        <v>8298541</v>
      </c>
      <c r="ELK538" s="1170">
        <v>8298541</v>
      </c>
      <c r="ELL538" s="1170">
        <v>8298541</v>
      </c>
      <c r="ELM538" s="1170">
        <v>8298541</v>
      </c>
      <c r="ELN538" s="1170">
        <v>8298541</v>
      </c>
      <c r="ELO538" s="1170">
        <v>8298541</v>
      </c>
      <c r="ELP538" s="1170">
        <v>8298541</v>
      </c>
      <c r="ELQ538" s="1170">
        <v>8298541</v>
      </c>
      <c r="ELR538" s="1170">
        <v>8298541</v>
      </c>
      <c r="ELS538" s="1170">
        <v>8298541</v>
      </c>
      <c r="ELT538" s="1170">
        <v>8298541</v>
      </c>
      <c r="ELU538" s="1170">
        <v>8298541</v>
      </c>
      <c r="ELV538" s="1170">
        <v>8298541</v>
      </c>
      <c r="ELW538" s="1170">
        <v>8298541</v>
      </c>
      <c r="ELX538" s="1170">
        <v>8298541</v>
      </c>
      <c r="ELY538" s="1170">
        <v>8298541</v>
      </c>
      <c r="ELZ538" s="1170">
        <v>8298541</v>
      </c>
      <c r="EMA538" s="1170">
        <v>8298541</v>
      </c>
      <c r="EMB538" s="1170">
        <v>8298541</v>
      </c>
      <c r="EMC538" s="1170">
        <v>8298541</v>
      </c>
      <c r="EMD538" s="1170">
        <v>8298541</v>
      </c>
      <c r="EME538" s="1170">
        <v>8298541</v>
      </c>
      <c r="EMF538" s="1170">
        <v>8298541</v>
      </c>
      <c r="EMG538" s="1170">
        <v>8298541</v>
      </c>
      <c r="EMH538" s="1170">
        <v>8298541</v>
      </c>
      <c r="EMI538" s="1170">
        <v>8298541</v>
      </c>
      <c r="EMJ538" s="1170">
        <v>8298541</v>
      </c>
      <c r="EMK538" s="1170">
        <v>8298541</v>
      </c>
      <c r="EML538" s="1170">
        <v>8298541</v>
      </c>
      <c r="EMM538" s="1170">
        <v>8298541</v>
      </c>
      <c r="EMN538" s="1170">
        <v>8298541</v>
      </c>
      <c r="EMO538" s="1170">
        <v>8298541</v>
      </c>
      <c r="EMP538" s="1170">
        <v>8298541</v>
      </c>
      <c r="EMQ538" s="1170">
        <v>8298541</v>
      </c>
      <c r="EMR538" s="1170">
        <v>8298541</v>
      </c>
      <c r="EMS538" s="1170">
        <v>8298541</v>
      </c>
      <c r="EMT538" s="1170">
        <v>8298541</v>
      </c>
      <c r="EMU538" s="1170">
        <v>8298541</v>
      </c>
      <c r="EMV538" s="1170">
        <v>8298541</v>
      </c>
      <c r="EMW538" s="1170">
        <v>8298541</v>
      </c>
      <c r="EMX538" s="1170">
        <v>8298541</v>
      </c>
      <c r="EMY538" s="1170">
        <v>8298541</v>
      </c>
      <c r="EMZ538" s="1170">
        <v>8298541</v>
      </c>
      <c r="ENA538" s="1170">
        <v>8298541</v>
      </c>
      <c r="ENB538" s="1170">
        <v>8298541</v>
      </c>
      <c r="ENC538" s="1170">
        <v>8298541</v>
      </c>
      <c r="END538" s="1170">
        <v>8298541</v>
      </c>
      <c r="ENE538" s="1170">
        <v>8298541</v>
      </c>
      <c r="ENF538" s="1170">
        <v>8298541</v>
      </c>
      <c r="ENG538" s="1170">
        <v>8298541</v>
      </c>
      <c r="ENH538" s="1170">
        <v>8298541</v>
      </c>
      <c r="ENI538" s="1170">
        <v>8298541</v>
      </c>
      <c r="ENJ538" s="1170">
        <v>8298541</v>
      </c>
      <c r="ENK538" s="1170">
        <v>8298541</v>
      </c>
      <c r="ENL538" s="1170">
        <v>8298541</v>
      </c>
      <c r="ENM538" s="1170">
        <v>8298541</v>
      </c>
      <c r="ENN538" s="1170">
        <v>8298541</v>
      </c>
      <c r="ENO538" s="1170">
        <v>8298541</v>
      </c>
      <c r="ENP538" s="1170">
        <v>8298541</v>
      </c>
      <c r="ENQ538" s="1170">
        <v>8298541</v>
      </c>
      <c r="ENR538" s="1170">
        <v>8298541</v>
      </c>
      <c r="ENS538" s="1170">
        <v>8298541</v>
      </c>
      <c r="ENT538" s="1170">
        <v>8298541</v>
      </c>
      <c r="ENU538" s="1170">
        <v>8298541</v>
      </c>
      <c r="ENV538" s="1170">
        <v>8298541</v>
      </c>
      <c r="ENW538" s="1170">
        <v>8298541</v>
      </c>
      <c r="ENX538" s="1170">
        <v>8298541</v>
      </c>
      <c r="ENY538" s="1170">
        <v>8298541</v>
      </c>
      <c r="ENZ538" s="1170">
        <v>8298541</v>
      </c>
      <c r="EOA538" s="1170">
        <v>8298541</v>
      </c>
      <c r="EOB538" s="1170">
        <v>8298541</v>
      </c>
      <c r="EOC538" s="1170">
        <v>8298541</v>
      </c>
      <c r="EOD538" s="1170">
        <v>8298541</v>
      </c>
      <c r="EOE538" s="1170">
        <v>8298541</v>
      </c>
      <c r="EOF538" s="1170">
        <v>8298541</v>
      </c>
      <c r="EOG538" s="1170">
        <v>8298541</v>
      </c>
      <c r="EOH538" s="1170">
        <v>8298541</v>
      </c>
      <c r="EOI538" s="1170">
        <v>8298541</v>
      </c>
      <c r="EOJ538" s="1170">
        <v>8298541</v>
      </c>
      <c r="EOK538" s="1170">
        <v>8298541</v>
      </c>
      <c r="EOL538" s="1170">
        <v>8298541</v>
      </c>
      <c r="EOM538" s="1170">
        <v>8298541</v>
      </c>
      <c r="EON538" s="1170">
        <v>8298541</v>
      </c>
      <c r="EOO538" s="1170">
        <v>8298541</v>
      </c>
      <c r="EOP538" s="1170">
        <v>8298541</v>
      </c>
      <c r="EOQ538" s="1170">
        <v>8298541</v>
      </c>
      <c r="EOR538" s="1170">
        <v>8298541</v>
      </c>
      <c r="EOS538" s="1170">
        <v>8298541</v>
      </c>
      <c r="EOT538" s="1170">
        <v>8298541</v>
      </c>
      <c r="EOU538" s="1170">
        <v>8298541</v>
      </c>
      <c r="EOV538" s="1170">
        <v>8298541</v>
      </c>
      <c r="EOW538" s="1170">
        <v>8298541</v>
      </c>
      <c r="EOX538" s="1170">
        <v>8298541</v>
      </c>
      <c r="EOY538" s="1170">
        <v>8298541</v>
      </c>
      <c r="EOZ538" s="1170">
        <v>8298541</v>
      </c>
      <c r="EPA538" s="1170">
        <v>8298541</v>
      </c>
      <c r="EPB538" s="1170">
        <v>8298541</v>
      </c>
      <c r="EPC538" s="1170">
        <v>8298541</v>
      </c>
      <c r="EPD538" s="1170">
        <v>8298541</v>
      </c>
      <c r="EPE538" s="1170">
        <v>8298541</v>
      </c>
      <c r="EPF538" s="1170">
        <v>8298541</v>
      </c>
      <c r="EPG538" s="1170">
        <v>8298541</v>
      </c>
      <c r="EPH538" s="1170">
        <v>8298541</v>
      </c>
      <c r="EPI538" s="1170">
        <v>8298541</v>
      </c>
      <c r="EPJ538" s="1170">
        <v>8298541</v>
      </c>
      <c r="EPK538" s="1170">
        <v>8298541</v>
      </c>
      <c r="EPL538" s="1170">
        <v>8298541</v>
      </c>
      <c r="EPM538" s="1170">
        <v>8298541</v>
      </c>
      <c r="EPN538" s="1170">
        <v>8298541</v>
      </c>
      <c r="EPO538" s="1170">
        <v>8298541</v>
      </c>
      <c r="EPP538" s="1170">
        <v>8298541</v>
      </c>
      <c r="EPQ538" s="1170">
        <v>8298541</v>
      </c>
      <c r="EPR538" s="1170">
        <v>8298541</v>
      </c>
      <c r="EPS538" s="1170">
        <v>8298541</v>
      </c>
      <c r="EPT538" s="1170">
        <v>8298541</v>
      </c>
      <c r="EPU538" s="1170">
        <v>8298541</v>
      </c>
      <c r="EPV538" s="1170">
        <v>8298541</v>
      </c>
      <c r="EPW538" s="1170">
        <v>8298541</v>
      </c>
      <c r="EPX538" s="1170">
        <v>8298541</v>
      </c>
      <c r="EPY538" s="1170">
        <v>8298541</v>
      </c>
      <c r="EPZ538" s="1170">
        <v>8298541</v>
      </c>
      <c r="EQA538" s="1170">
        <v>8298541</v>
      </c>
      <c r="EQB538" s="1170">
        <v>8298541</v>
      </c>
      <c r="EQC538" s="1170">
        <v>8298541</v>
      </c>
      <c r="EQD538" s="1170">
        <v>8298541</v>
      </c>
      <c r="EQE538" s="1170">
        <v>8298541</v>
      </c>
      <c r="EQF538" s="1170">
        <v>8298541</v>
      </c>
      <c r="EQG538" s="1170">
        <v>8298541</v>
      </c>
      <c r="EQH538" s="1170">
        <v>8298541</v>
      </c>
      <c r="EQI538" s="1170">
        <v>8298541</v>
      </c>
      <c r="EQJ538" s="1170">
        <v>8298541</v>
      </c>
      <c r="EQK538" s="1170">
        <v>8298541</v>
      </c>
      <c r="EQL538" s="1170">
        <v>8298541</v>
      </c>
      <c r="EQM538" s="1170">
        <v>8298541</v>
      </c>
      <c r="EQN538" s="1170">
        <v>8298541</v>
      </c>
      <c r="EQO538" s="1170">
        <v>8298541</v>
      </c>
      <c r="EQP538" s="1170">
        <v>8298541</v>
      </c>
      <c r="EQQ538" s="1170">
        <v>8298541</v>
      </c>
      <c r="EQR538" s="1170">
        <v>8298541</v>
      </c>
      <c r="EQS538" s="1170">
        <v>8298541</v>
      </c>
      <c r="EQT538" s="1170">
        <v>8298541</v>
      </c>
      <c r="EQU538" s="1170">
        <v>8298541</v>
      </c>
      <c r="EQV538" s="1170">
        <v>8298541</v>
      </c>
      <c r="EQW538" s="1170">
        <v>8298541</v>
      </c>
      <c r="EQX538" s="1170">
        <v>8298541</v>
      </c>
      <c r="EQY538" s="1170">
        <v>8298541</v>
      </c>
      <c r="EQZ538" s="1170">
        <v>8298541</v>
      </c>
      <c r="ERA538" s="1170">
        <v>8298541</v>
      </c>
      <c r="ERB538" s="1170">
        <v>8298541</v>
      </c>
      <c r="ERC538" s="1170">
        <v>8298541</v>
      </c>
      <c r="ERD538" s="1170">
        <v>8298541</v>
      </c>
      <c r="ERE538" s="1170">
        <v>8298541</v>
      </c>
      <c r="ERF538" s="1170">
        <v>8298541</v>
      </c>
      <c r="ERG538" s="1170">
        <v>8298541</v>
      </c>
      <c r="ERH538" s="1170">
        <v>8298541</v>
      </c>
      <c r="ERI538" s="1170">
        <v>8298541</v>
      </c>
      <c r="ERJ538" s="1170">
        <v>8298541</v>
      </c>
      <c r="ERK538" s="1170">
        <v>8298541</v>
      </c>
      <c r="ERL538" s="1170">
        <v>8298541</v>
      </c>
      <c r="ERM538" s="1170">
        <v>8298541</v>
      </c>
      <c r="ERN538" s="1170">
        <v>8298541</v>
      </c>
      <c r="ERO538" s="1170">
        <v>8298541</v>
      </c>
      <c r="ERP538" s="1170">
        <v>8298541</v>
      </c>
      <c r="ERQ538" s="1170">
        <v>8298541</v>
      </c>
      <c r="ERR538" s="1170">
        <v>8298541</v>
      </c>
      <c r="ERS538" s="1170">
        <v>8298541</v>
      </c>
      <c r="ERT538" s="1170">
        <v>8298541</v>
      </c>
      <c r="ERU538" s="1170">
        <v>8298541</v>
      </c>
      <c r="ERV538" s="1170">
        <v>8298541</v>
      </c>
      <c r="ERW538" s="1170">
        <v>8298541</v>
      </c>
      <c r="ERX538" s="1170">
        <v>8298541</v>
      </c>
      <c r="ERY538" s="1170">
        <v>8298541</v>
      </c>
      <c r="ERZ538" s="1170">
        <v>8298541</v>
      </c>
      <c r="ESA538" s="1170">
        <v>8298541</v>
      </c>
      <c r="ESB538" s="1170">
        <v>8298541</v>
      </c>
      <c r="ESC538" s="1170">
        <v>8298541</v>
      </c>
      <c r="ESD538" s="1170">
        <v>8298541</v>
      </c>
      <c r="ESE538" s="1170">
        <v>8298541</v>
      </c>
      <c r="ESF538" s="1170">
        <v>8298541</v>
      </c>
      <c r="ESG538" s="1170">
        <v>8298541</v>
      </c>
      <c r="ESH538" s="1170">
        <v>8298541</v>
      </c>
      <c r="ESI538" s="1170">
        <v>8298541</v>
      </c>
      <c r="ESJ538" s="1170">
        <v>8298541</v>
      </c>
      <c r="ESK538" s="1170">
        <v>8298541</v>
      </c>
      <c r="ESL538" s="1170">
        <v>8298541</v>
      </c>
      <c r="ESM538" s="1170">
        <v>8298541</v>
      </c>
      <c r="ESN538" s="1170">
        <v>8298541</v>
      </c>
      <c r="ESO538" s="1170">
        <v>8298541</v>
      </c>
      <c r="ESP538" s="1170">
        <v>8298541</v>
      </c>
      <c r="ESQ538" s="1170">
        <v>8298541</v>
      </c>
      <c r="ESR538" s="1170">
        <v>8298541</v>
      </c>
      <c r="ESS538" s="1170">
        <v>8298541</v>
      </c>
      <c r="EST538" s="1170">
        <v>8298541</v>
      </c>
      <c r="ESU538" s="1170">
        <v>8298541</v>
      </c>
      <c r="ESV538" s="1170">
        <v>8298541</v>
      </c>
      <c r="ESW538" s="1170">
        <v>8298541</v>
      </c>
      <c r="ESX538" s="1170">
        <v>8298541</v>
      </c>
      <c r="ESY538" s="1170">
        <v>8298541</v>
      </c>
      <c r="ESZ538" s="1170">
        <v>8298541</v>
      </c>
      <c r="ETA538" s="1170">
        <v>8298541</v>
      </c>
      <c r="ETB538" s="1170">
        <v>8298541</v>
      </c>
      <c r="ETC538" s="1170">
        <v>8298541</v>
      </c>
      <c r="ETD538" s="1170">
        <v>8298541</v>
      </c>
      <c r="ETE538" s="1170">
        <v>8298541</v>
      </c>
      <c r="ETF538" s="1170">
        <v>8298541</v>
      </c>
      <c r="ETG538" s="1170">
        <v>8298541</v>
      </c>
      <c r="ETH538" s="1170">
        <v>8298541</v>
      </c>
      <c r="ETI538" s="1170">
        <v>8298541</v>
      </c>
      <c r="ETJ538" s="1170">
        <v>8298541</v>
      </c>
      <c r="ETK538" s="1170">
        <v>8298541</v>
      </c>
      <c r="ETL538" s="1170">
        <v>8298541</v>
      </c>
      <c r="ETM538" s="1170">
        <v>8298541</v>
      </c>
      <c r="ETN538" s="1170">
        <v>8298541</v>
      </c>
      <c r="ETO538" s="1170">
        <v>8298541</v>
      </c>
      <c r="ETP538" s="1170">
        <v>8298541</v>
      </c>
      <c r="ETQ538" s="1170">
        <v>8298541</v>
      </c>
      <c r="ETR538" s="1170">
        <v>8298541</v>
      </c>
      <c r="ETS538" s="1170">
        <v>8298541</v>
      </c>
      <c r="ETT538" s="1170">
        <v>8298541</v>
      </c>
      <c r="ETU538" s="1170">
        <v>8298541</v>
      </c>
      <c r="ETV538" s="1170">
        <v>8298541</v>
      </c>
      <c r="ETW538" s="1170">
        <v>8298541</v>
      </c>
      <c r="ETX538" s="1170">
        <v>8298541</v>
      </c>
      <c r="ETY538" s="1170">
        <v>8298541</v>
      </c>
      <c r="ETZ538" s="1170">
        <v>8298541</v>
      </c>
      <c r="EUA538" s="1170">
        <v>8298541</v>
      </c>
      <c r="EUB538" s="1170">
        <v>8298541</v>
      </c>
      <c r="EUC538" s="1170">
        <v>8298541</v>
      </c>
      <c r="EUD538" s="1170">
        <v>8298541</v>
      </c>
      <c r="EUE538" s="1170">
        <v>8298541</v>
      </c>
      <c r="EUF538" s="1170">
        <v>8298541</v>
      </c>
      <c r="EUG538" s="1170">
        <v>8298541</v>
      </c>
      <c r="EUH538" s="1170">
        <v>8298541</v>
      </c>
      <c r="EUI538" s="1170">
        <v>8298541</v>
      </c>
      <c r="EUJ538" s="1170">
        <v>8298541</v>
      </c>
      <c r="EUK538" s="1170">
        <v>8298541</v>
      </c>
      <c r="EUL538" s="1170">
        <v>8298541</v>
      </c>
      <c r="EUM538" s="1170">
        <v>8298541</v>
      </c>
      <c r="EUN538" s="1170">
        <v>8298541</v>
      </c>
      <c r="EUO538" s="1170">
        <v>8298541</v>
      </c>
      <c r="EUP538" s="1170">
        <v>8298541</v>
      </c>
      <c r="EUQ538" s="1170">
        <v>8298541</v>
      </c>
      <c r="EUR538" s="1170">
        <v>8298541</v>
      </c>
      <c r="EUS538" s="1170">
        <v>8298541</v>
      </c>
      <c r="EUT538" s="1170">
        <v>8298541</v>
      </c>
      <c r="EUU538" s="1170">
        <v>8298541</v>
      </c>
      <c r="EUV538" s="1170">
        <v>8298541</v>
      </c>
      <c r="EUW538" s="1170">
        <v>8298541</v>
      </c>
      <c r="EUX538" s="1170">
        <v>8298541</v>
      </c>
      <c r="EUY538" s="1170">
        <v>8298541</v>
      </c>
      <c r="EUZ538" s="1170">
        <v>8298541</v>
      </c>
      <c r="EVA538" s="1170">
        <v>8298541</v>
      </c>
      <c r="EVB538" s="1170">
        <v>8298541</v>
      </c>
      <c r="EVC538" s="1170">
        <v>8298541</v>
      </c>
      <c r="EVD538" s="1170">
        <v>8298541</v>
      </c>
      <c r="EVE538" s="1170">
        <v>8298541</v>
      </c>
      <c r="EVF538" s="1170">
        <v>8298541</v>
      </c>
      <c r="EVG538" s="1170">
        <v>8298541</v>
      </c>
      <c r="EVH538" s="1170">
        <v>8298541</v>
      </c>
      <c r="EVI538" s="1170">
        <v>8298541</v>
      </c>
      <c r="EVJ538" s="1170">
        <v>8298541</v>
      </c>
      <c r="EVK538" s="1170">
        <v>8298541</v>
      </c>
      <c r="EVL538" s="1170">
        <v>8298541</v>
      </c>
      <c r="EVM538" s="1170">
        <v>8298541</v>
      </c>
      <c r="EVN538" s="1170">
        <v>8298541</v>
      </c>
      <c r="EVO538" s="1170">
        <v>8298541</v>
      </c>
      <c r="EVP538" s="1170">
        <v>8298541</v>
      </c>
      <c r="EVQ538" s="1170">
        <v>8298541</v>
      </c>
      <c r="EVR538" s="1170">
        <v>8298541</v>
      </c>
      <c r="EVS538" s="1170">
        <v>8298541</v>
      </c>
      <c r="EVT538" s="1170">
        <v>8298541</v>
      </c>
      <c r="EVU538" s="1170">
        <v>8298541</v>
      </c>
      <c r="EVV538" s="1170">
        <v>8298541</v>
      </c>
      <c r="EVW538" s="1170">
        <v>8298541</v>
      </c>
      <c r="EVX538" s="1170">
        <v>8298541</v>
      </c>
      <c r="EVY538" s="1170">
        <v>8298541</v>
      </c>
      <c r="EVZ538" s="1170">
        <v>8298541</v>
      </c>
      <c r="EWA538" s="1170">
        <v>8298541</v>
      </c>
      <c r="EWB538" s="1170">
        <v>8298541</v>
      </c>
      <c r="EWC538" s="1170">
        <v>8298541</v>
      </c>
      <c r="EWD538" s="1170">
        <v>8298541</v>
      </c>
      <c r="EWE538" s="1170">
        <v>8298541</v>
      </c>
      <c r="EWF538" s="1170">
        <v>8298541</v>
      </c>
      <c r="EWG538" s="1170">
        <v>8298541</v>
      </c>
      <c r="EWH538" s="1170">
        <v>8298541</v>
      </c>
      <c r="EWI538" s="1170">
        <v>8298541</v>
      </c>
      <c r="EWJ538" s="1170">
        <v>8298541</v>
      </c>
      <c r="EWK538" s="1170">
        <v>8298541</v>
      </c>
      <c r="EWL538" s="1170">
        <v>8298541</v>
      </c>
      <c r="EWM538" s="1170">
        <v>8298541</v>
      </c>
      <c r="EWN538" s="1170">
        <v>8298541</v>
      </c>
      <c r="EWO538" s="1170">
        <v>8298541</v>
      </c>
      <c r="EWP538" s="1170">
        <v>8298541</v>
      </c>
      <c r="EWQ538" s="1170">
        <v>8298541</v>
      </c>
      <c r="EWR538" s="1170">
        <v>8298541</v>
      </c>
      <c r="EWS538" s="1170">
        <v>8298541</v>
      </c>
      <c r="EWT538" s="1170">
        <v>8298541</v>
      </c>
      <c r="EWU538" s="1170">
        <v>8298541</v>
      </c>
      <c r="EWV538" s="1170">
        <v>8298541</v>
      </c>
      <c r="EWW538" s="1170">
        <v>8298541</v>
      </c>
      <c r="EWX538" s="1170">
        <v>8298541</v>
      </c>
      <c r="EWY538" s="1170">
        <v>8298541</v>
      </c>
      <c r="EWZ538" s="1170">
        <v>8298541</v>
      </c>
      <c r="EXA538" s="1170">
        <v>8298541</v>
      </c>
      <c r="EXB538" s="1170">
        <v>8298541</v>
      </c>
      <c r="EXC538" s="1170">
        <v>8298541</v>
      </c>
      <c r="EXD538" s="1170">
        <v>8298541</v>
      </c>
      <c r="EXE538" s="1170">
        <v>8298541</v>
      </c>
      <c r="EXF538" s="1170">
        <v>8298541</v>
      </c>
      <c r="EXG538" s="1170">
        <v>8298541</v>
      </c>
      <c r="EXH538" s="1170">
        <v>8298541</v>
      </c>
      <c r="EXI538" s="1170">
        <v>8298541</v>
      </c>
      <c r="EXJ538" s="1170">
        <v>8298541</v>
      </c>
      <c r="EXK538" s="1170">
        <v>8298541</v>
      </c>
      <c r="EXL538" s="1170">
        <v>8298541</v>
      </c>
      <c r="EXM538" s="1170">
        <v>8298541</v>
      </c>
      <c r="EXN538" s="1170">
        <v>8298541</v>
      </c>
      <c r="EXO538" s="1170">
        <v>8298541</v>
      </c>
      <c r="EXP538" s="1170">
        <v>8298541</v>
      </c>
      <c r="EXQ538" s="1170">
        <v>8298541</v>
      </c>
      <c r="EXR538" s="1170">
        <v>8298541</v>
      </c>
      <c r="EXS538" s="1170">
        <v>8298541</v>
      </c>
      <c r="EXT538" s="1170">
        <v>8298541</v>
      </c>
      <c r="EXU538" s="1170">
        <v>8298541</v>
      </c>
      <c r="EXV538" s="1170">
        <v>8298541</v>
      </c>
      <c r="EXW538" s="1170">
        <v>8298541</v>
      </c>
      <c r="EXX538" s="1170">
        <v>8298541</v>
      </c>
      <c r="EXY538" s="1170">
        <v>8298541</v>
      </c>
      <c r="EXZ538" s="1170">
        <v>8298541</v>
      </c>
      <c r="EYA538" s="1170">
        <v>8298541</v>
      </c>
      <c r="EYB538" s="1170">
        <v>8298541</v>
      </c>
      <c r="EYC538" s="1170">
        <v>8298541</v>
      </c>
      <c r="EYD538" s="1170">
        <v>8298541</v>
      </c>
      <c r="EYE538" s="1170">
        <v>8298541</v>
      </c>
      <c r="EYF538" s="1170">
        <v>8298541</v>
      </c>
      <c r="EYG538" s="1170">
        <v>8298541</v>
      </c>
      <c r="EYH538" s="1170">
        <v>8298541</v>
      </c>
      <c r="EYI538" s="1170">
        <v>8298541</v>
      </c>
      <c r="EYJ538" s="1170">
        <v>8298541</v>
      </c>
      <c r="EYK538" s="1170">
        <v>8298541</v>
      </c>
      <c r="EYL538" s="1170">
        <v>8298541</v>
      </c>
      <c r="EYM538" s="1170">
        <v>8298541</v>
      </c>
      <c r="EYN538" s="1170">
        <v>8298541</v>
      </c>
      <c r="EYO538" s="1170">
        <v>8298541</v>
      </c>
      <c r="EYP538" s="1170">
        <v>8298541</v>
      </c>
      <c r="EYQ538" s="1170">
        <v>8298541</v>
      </c>
      <c r="EYR538" s="1170">
        <v>8298541</v>
      </c>
      <c r="EYS538" s="1170">
        <v>8298541</v>
      </c>
      <c r="EYT538" s="1170">
        <v>8298541</v>
      </c>
      <c r="EYU538" s="1170">
        <v>8298541</v>
      </c>
      <c r="EYV538" s="1170">
        <v>8298541</v>
      </c>
      <c r="EYW538" s="1170">
        <v>8298541</v>
      </c>
      <c r="EYX538" s="1170">
        <v>8298541</v>
      </c>
      <c r="EYY538" s="1170">
        <v>8298541</v>
      </c>
      <c r="EYZ538" s="1170">
        <v>8298541</v>
      </c>
      <c r="EZA538" s="1170">
        <v>8298541</v>
      </c>
      <c r="EZB538" s="1170">
        <v>8298541</v>
      </c>
      <c r="EZC538" s="1170">
        <v>8298541</v>
      </c>
      <c r="EZD538" s="1170">
        <v>8298541</v>
      </c>
      <c r="EZE538" s="1170">
        <v>8298541</v>
      </c>
      <c r="EZF538" s="1170">
        <v>8298541</v>
      </c>
      <c r="EZG538" s="1170">
        <v>8298541</v>
      </c>
      <c r="EZH538" s="1170">
        <v>8298541</v>
      </c>
      <c r="EZI538" s="1170">
        <v>8298541</v>
      </c>
      <c r="EZJ538" s="1170">
        <v>8298541</v>
      </c>
      <c r="EZK538" s="1170">
        <v>8298541</v>
      </c>
      <c r="EZL538" s="1170">
        <v>8298541</v>
      </c>
      <c r="EZM538" s="1170">
        <v>8298541</v>
      </c>
      <c r="EZN538" s="1170">
        <v>8298541</v>
      </c>
      <c r="EZO538" s="1170">
        <v>8298541</v>
      </c>
      <c r="EZP538" s="1170">
        <v>8298541</v>
      </c>
      <c r="EZQ538" s="1170">
        <v>8298541</v>
      </c>
      <c r="EZR538" s="1170">
        <v>8298541</v>
      </c>
      <c r="EZS538" s="1170">
        <v>8298541</v>
      </c>
      <c r="EZT538" s="1170">
        <v>8298541</v>
      </c>
      <c r="EZU538" s="1170">
        <v>8298541</v>
      </c>
      <c r="EZV538" s="1170">
        <v>8298541</v>
      </c>
      <c r="EZW538" s="1170">
        <v>8298541</v>
      </c>
      <c r="EZX538" s="1170">
        <v>8298541</v>
      </c>
      <c r="EZY538" s="1170">
        <v>8298541</v>
      </c>
      <c r="EZZ538" s="1170">
        <v>8298541</v>
      </c>
      <c r="FAA538" s="1170">
        <v>8298541</v>
      </c>
      <c r="FAB538" s="1170">
        <v>8298541</v>
      </c>
      <c r="FAC538" s="1170">
        <v>8298541</v>
      </c>
      <c r="FAD538" s="1170">
        <v>8298541</v>
      </c>
      <c r="FAE538" s="1170">
        <v>8298541</v>
      </c>
      <c r="FAF538" s="1170">
        <v>8298541</v>
      </c>
      <c r="FAG538" s="1170">
        <v>8298541</v>
      </c>
      <c r="FAH538" s="1170">
        <v>8298541</v>
      </c>
      <c r="FAI538" s="1170">
        <v>8298541</v>
      </c>
      <c r="FAJ538" s="1170">
        <v>8298541</v>
      </c>
      <c r="FAK538" s="1170">
        <v>8298541</v>
      </c>
      <c r="FAL538" s="1170">
        <v>8298541</v>
      </c>
      <c r="FAM538" s="1170">
        <v>8298541</v>
      </c>
      <c r="FAN538" s="1170">
        <v>8298541</v>
      </c>
      <c r="FAO538" s="1170">
        <v>8298541</v>
      </c>
      <c r="FAP538" s="1170">
        <v>8298541</v>
      </c>
      <c r="FAQ538" s="1170">
        <v>8298541</v>
      </c>
      <c r="FAR538" s="1170">
        <v>8298541</v>
      </c>
      <c r="FAS538" s="1170">
        <v>8298541</v>
      </c>
      <c r="FAT538" s="1170">
        <v>8298541</v>
      </c>
      <c r="FAU538" s="1170">
        <v>8298541</v>
      </c>
      <c r="FAV538" s="1170">
        <v>8298541</v>
      </c>
      <c r="FAW538" s="1170">
        <v>8298541</v>
      </c>
      <c r="FAX538" s="1170">
        <v>8298541</v>
      </c>
      <c r="FAY538" s="1170">
        <v>8298541</v>
      </c>
      <c r="FAZ538" s="1170">
        <v>8298541</v>
      </c>
      <c r="FBA538" s="1170">
        <v>8298541</v>
      </c>
      <c r="FBB538" s="1170">
        <v>8298541</v>
      </c>
      <c r="FBC538" s="1170">
        <v>8298541</v>
      </c>
      <c r="FBD538" s="1170">
        <v>8298541</v>
      </c>
      <c r="FBE538" s="1170">
        <v>8298541</v>
      </c>
      <c r="FBF538" s="1170">
        <v>8298541</v>
      </c>
      <c r="FBG538" s="1170">
        <v>8298541</v>
      </c>
      <c r="FBH538" s="1170">
        <v>8298541</v>
      </c>
      <c r="FBI538" s="1170">
        <v>8298541</v>
      </c>
      <c r="FBJ538" s="1170">
        <v>8298541</v>
      </c>
      <c r="FBK538" s="1170">
        <v>8298541</v>
      </c>
      <c r="FBL538" s="1170">
        <v>8298541</v>
      </c>
      <c r="FBM538" s="1170">
        <v>8298541</v>
      </c>
      <c r="FBN538" s="1170">
        <v>8298541</v>
      </c>
      <c r="FBO538" s="1170">
        <v>8298541</v>
      </c>
      <c r="FBP538" s="1170">
        <v>8298541</v>
      </c>
      <c r="FBQ538" s="1170">
        <v>8298541</v>
      </c>
      <c r="FBR538" s="1170">
        <v>8298541</v>
      </c>
      <c r="FBS538" s="1170">
        <v>8298541</v>
      </c>
      <c r="FBT538" s="1170">
        <v>8298541</v>
      </c>
      <c r="FBU538" s="1170">
        <v>8298541</v>
      </c>
      <c r="FBV538" s="1170">
        <v>8298541</v>
      </c>
      <c r="FBW538" s="1170">
        <v>8298541</v>
      </c>
      <c r="FBX538" s="1170">
        <v>8298541</v>
      </c>
      <c r="FBY538" s="1170">
        <v>8298541</v>
      </c>
      <c r="FBZ538" s="1170">
        <v>8298541</v>
      </c>
      <c r="FCA538" s="1170">
        <v>8298541</v>
      </c>
      <c r="FCB538" s="1170">
        <v>8298541</v>
      </c>
      <c r="FCC538" s="1170">
        <v>8298541</v>
      </c>
      <c r="FCD538" s="1170">
        <v>8298541</v>
      </c>
      <c r="FCE538" s="1170">
        <v>8298541</v>
      </c>
      <c r="FCF538" s="1170">
        <v>8298541</v>
      </c>
      <c r="FCG538" s="1170">
        <v>8298541</v>
      </c>
      <c r="FCH538" s="1170">
        <v>8298541</v>
      </c>
      <c r="FCI538" s="1170">
        <v>8298541</v>
      </c>
      <c r="FCJ538" s="1170">
        <v>8298541</v>
      </c>
      <c r="FCK538" s="1170">
        <v>8298541</v>
      </c>
      <c r="FCL538" s="1170">
        <v>8298541</v>
      </c>
      <c r="FCM538" s="1170">
        <v>8298541</v>
      </c>
      <c r="FCN538" s="1170">
        <v>8298541</v>
      </c>
      <c r="FCO538" s="1170">
        <v>8298541</v>
      </c>
      <c r="FCP538" s="1170">
        <v>8298541</v>
      </c>
      <c r="FCQ538" s="1170">
        <v>8298541</v>
      </c>
      <c r="FCR538" s="1170">
        <v>8298541</v>
      </c>
      <c r="FCS538" s="1170">
        <v>8298541</v>
      </c>
      <c r="FCT538" s="1170">
        <v>8298541</v>
      </c>
      <c r="FCU538" s="1170">
        <v>8298541</v>
      </c>
      <c r="FCV538" s="1170">
        <v>8298541</v>
      </c>
      <c r="FCW538" s="1170">
        <v>8298541</v>
      </c>
      <c r="FCX538" s="1170">
        <v>8298541</v>
      </c>
      <c r="FCY538" s="1170">
        <v>8298541</v>
      </c>
      <c r="FCZ538" s="1170">
        <v>8298541</v>
      </c>
      <c r="FDA538" s="1170">
        <v>8298541</v>
      </c>
      <c r="FDB538" s="1170">
        <v>8298541</v>
      </c>
      <c r="FDC538" s="1170">
        <v>8298541</v>
      </c>
      <c r="FDD538" s="1170">
        <v>8298541</v>
      </c>
      <c r="FDE538" s="1170">
        <v>8298541</v>
      </c>
      <c r="FDF538" s="1170">
        <v>8298541</v>
      </c>
      <c r="FDG538" s="1170">
        <v>8298541</v>
      </c>
      <c r="FDH538" s="1170">
        <v>8298541</v>
      </c>
      <c r="FDI538" s="1170">
        <v>8298541</v>
      </c>
      <c r="FDJ538" s="1170">
        <v>8298541</v>
      </c>
      <c r="FDK538" s="1170">
        <v>8298541</v>
      </c>
      <c r="FDL538" s="1170">
        <v>8298541</v>
      </c>
      <c r="FDM538" s="1170">
        <v>8298541</v>
      </c>
      <c r="FDN538" s="1170">
        <v>8298541</v>
      </c>
      <c r="FDO538" s="1170">
        <v>8298541</v>
      </c>
      <c r="FDP538" s="1170">
        <v>8298541</v>
      </c>
      <c r="FDQ538" s="1170">
        <v>8298541</v>
      </c>
      <c r="FDR538" s="1170">
        <v>8298541</v>
      </c>
      <c r="FDS538" s="1170">
        <v>8298541</v>
      </c>
      <c r="FDT538" s="1170">
        <v>8298541</v>
      </c>
      <c r="FDU538" s="1170">
        <v>8298541</v>
      </c>
      <c r="FDV538" s="1170">
        <v>8298541</v>
      </c>
      <c r="FDW538" s="1170">
        <v>8298541</v>
      </c>
      <c r="FDX538" s="1170">
        <v>8298541</v>
      </c>
      <c r="FDY538" s="1170">
        <v>8298541</v>
      </c>
      <c r="FDZ538" s="1170">
        <v>8298541</v>
      </c>
      <c r="FEA538" s="1170">
        <v>8298541</v>
      </c>
      <c r="FEB538" s="1170">
        <v>8298541</v>
      </c>
      <c r="FEC538" s="1170">
        <v>8298541</v>
      </c>
      <c r="FED538" s="1170">
        <v>8298541</v>
      </c>
      <c r="FEE538" s="1170">
        <v>8298541</v>
      </c>
      <c r="FEF538" s="1170">
        <v>8298541</v>
      </c>
      <c r="FEG538" s="1170">
        <v>8298541</v>
      </c>
      <c r="FEH538" s="1170">
        <v>8298541</v>
      </c>
      <c r="FEI538" s="1170">
        <v>8298541</v>
      </c>
      <c r="FEJ538" s="1170">
        <v>8298541</v>
      </c>
      <c r="FEK538" s="1170">
        <v>8298541</v>
      </c>
      <c r="FEL538" s="1170">
        <v>8298541</v>
      </c>
      <c r="FEM538" s="1170">
        <v>8298541</v>
      </c>
      <c r="FEN538" s="1170">
        <v>8298541</v>
      </c>
      <c r="FEO538" s="1170">
        <v>8298541</v>
      </c>
      <c r="FEP538" s="1170">
        <v>8298541</v>
      </c>
      <c r="FEQ538" s="1170">
        <v>8298541</v>
      </c>
      <c r="FER538" s="1170">
        <v>8298541</v>
      </c>
      <c r="FES538" s="1170">
        <v>8298541</v>
      </c>
      <c r="FET538" s="1170">
        <v>8298541</v>
      </c>
      <c r="FEU538" s="1170">
        <v>8298541</v>
      </c>
      <c r="FEV538" s="1170">
        <v>8298541</v>
      </c>
      <c r="FEW538" s="1170">
        <v>8298541</v>
      </c>
      <c r="FEX538" s="1170">
        <v>8298541</v>
      </c>
      <c r="FEY538" s="1170">
        <v>8298541</v>
      </c>
      <c r="FEZ538" s="1170">
        <v>8298541</v>
      </c>
      <c r="FFA538" s="1170">
        <v>8298541</v>
      </c>
      <c r="FFB538" s="1170">
        <v>8298541</v>
      </c>
      <c r="FFC538" s="1170">
        <v>8298541</v>
      </c>
      <c r="FFD538" s="1170">
        <v>8298541</v>
      </c>
      <c r="FFE538" s="1170">
        <v>8298541</v>
      </c>
      <c r="FFF538" s="1170">
        <v>8298541</v>
      </c>
      <c r="FFG538" s="1170">
        <v>8298541</v>
      </c>
      <c r="FFH538" s="1170">
        <v>8298541</v>
      </c>
      <c r="FFI538" s="1170">
        <v>8298541</v>
      </c>
      <c r="FFJ538" s="1170">
        <v>8298541</v>
      </c>
      <c r="FFK538" s="1170">
        <v>8298541</v>
      </c>
      <c r="FFL538" s="1170">
        <v>8298541</v>
      </c>
      <c r="FFM538" s="1170">
        <v>8298541</v>
      </c>
      <c r="FFN538" s="1170">
        <v>8298541</v>
      </c>
      <c r="FFO538" s="1170">
        <v>8298541</v>
      </c>
      <c r="FFP538" s="1170">
        <v>8298541</v>
      </c>
      <c r="FFQ538" s="1170">
        <v>8298541</v>
      </c>
      <c r="FFR538" s="1170">
        <v>8298541</v>
      </c>
      <c r="FFS538" s="1170">
        <v>8298541</v>
      </c>
      <c r="FFT538" s="1170">
        <v>8298541</v>
      </c>
      <c r="FFU538" s="1170">
        <v>8298541</v>
      </c>
      <c r="FFV538" s="1170">
        <v>8298541</v>
      </c>
      <c r="FFW538" s="1170">
        <v>8298541</v>
      </c>
      <c r="FFX538" s="1170">
        <v>8298541</v>
      </c>
      <c r="FFY538" s="1170">
        <v>8298541</v>
      </c>
      <c r="FFZ538" s="1170">
        <v>8298541</v>
      </c>
      <c r="FGA538" s="1170">
        <v>8298541</v>
      </c>
      <c r="FGB538" s="1170">
        <v>8298541</v>
      </c>
      <c r="FGC538" s="1170">
        <v>8298541</v>
      </c>
      <c r="FGD538" s="1170">
        <v>8298541</v>
      </c>
      <c r="FGE538" s="1170">
        <v>8298541</v>
      </c>
      <c r="FGF538" s="1170">
        <v>8298541</v>
      </c>
      <c r="FGG538" s="1170">
        <v>8298541</v>
      </c>
      <c r="FGH538" s="1170">
        <v>8298541</v>
      </c>
      <c r="FGI538" s="1170">
        <v>8298541</v>
      </c>
      <c r="FGJ538" s="1170">
        <v>8298541</v>
      </c>
      <c r="FGK538" s="1170">
        <v>8298541</v>
      </c>
      <c r="FGL538" s="1170">
        <v>8298541</v>
      </c>
      <c r="FGM538" s="1170">
        <v>8298541</v>
      </c>
      <c r="FGN538" s="1170">
        <v>8298541</v>
      </c>
      <c r="FGO538" s="1170">
        <v>8298541</v>
      </c>
      <c r="FGP538" s="1170">
        <v>8298541</v>
      </c>
      <c r="FGQ538" s="1170">
        <v>8298541</v>
      </c>
      <c r="FGR538" s="1170">
        <v>8298541</v>
      </c>
      <c r="FGS538" s="1170">
        <v>8298541</v>
      </c>
      <c r="FGT538" s="1170">
        <v>8298541</v>
      </c>
      <c r="FGU538" s="1170">
        <v>8298541</v>
      </c>
      <c r="FGV538" s="1170">
        <v>8298541</v>
      </c>
      <c r="FGW538" s="1170">
        <v>8298541</v>
      </c>
      <c r="FGX538" s="1170">
        <v>8298541</v>
      </c>
      <c r="FGY538" s="1170">
        <v>8298541</v>
      </c>
      <c r="FGZ538" s="1170">
        <v>8298541</v>
      </c>
      <c r="FHA538" s="1170">
        <v>8298541</v>
      </c>
      <c r="FHB538" s="1170">
        <v>8298541</v>
      </c>
      <c r="FHC538" s="1170">
        <v>8298541</v>
      </c>
      <c r="FHD538" s="1170">
        <v>8298541</v>
      </c>
      <c r="FHE538" s="1170">
        <v>8298541</v>
      </c>
      <c r="FHF538" s="1170">
        <v>8298541</v>
      </c>
      <c r="FHG538" s="1170">
        <v>8298541</v>
      </c>
      <c r="FHH538" s="1170">
        <v>8298541</v>
      </c>
      <c r="FHI538" s="1170">
        <v>8298541</v>
      </c>
      <c r="FHJ538" s="1170">
        <v>8298541</v>
      </c>
      <c r="FHK538" s="1170">
        <v>8298541</v>
      </c>
      <c r="FHL538" s="1170">
        <v>8298541</v>
      </c>
      <c r="FHM538" s="1170">
        <v>8298541</v>
      </c>
      <c r="FHN538" s="1170">
        <v>8298541</v>
      </c>
      <c r="FHO538" s="1170">
        <v>8298541</v>
      </c>
      <c r="FHP538" s="1170">
        <v>8298541</v>
      </c>
      <c r="FHQ538" s="1170">
        <v>8298541</v>
      </c>
      <c r="FHR538" s="1170">
        <v>8298541</v>
      </c>
      <c r="FHS538" s="1170">
        <v>8298541</v>
      </c>
      <c r="FHT538" s="1170">
        <v>8298541</v>
      </c>
      <c r="FHU538" s="1170">
        <v>8298541</v>
      </c>
      <c r="FHV538" s="1170">
        <v>8298541</v>
      </c>
      <c r="FHW538" s="1170">
        <v>8298541</v>
      </c>
      <c r="FHX538" s="1170">
        <v>8298541</v>
      </c>
      <c r="FHY538" s="1170">
        <v>8298541</v>
      </c>
      <c r="FHZ538" s="1170">
        <v>8298541</v>
      </c>
      <c r="FIA538" s="1170">
        <v>8298541</v>
      </c>
      <c r="FIB538" s="1170">
        <v>8298541</v>
      </c>
      <c r="FIC538" s="1170">
        <v>8298541</v>
      </c>
      <c r="FID538" s="1170">
        <v>8298541</v>
      </c>
      <c r="FIE538" s="1170">
        <v>8298541</v>
      </c>
      <c r="FIF538" s="1170">
        <v>8298541</v>
      </c>
      <c r="FIG538" s="1170">
        <v>8298541</v>
      </c>
      <c r="FIH538" s="1170">
        <v>8298541</v>
      </c>
      <c r="FII538" s="1170">
        <v>8298541</v>
      </c>
      <c r="FIJ538" s="1170">
        <v>8298541</v>
      </c>
      <c r="FIK538" s="1170">
        <v>8298541</v>
      </c>
      <c r="FIL538" s="1170">
        <v>8298541</v>
      </c>
      <c r="FIM538" s="1170">
        <v>8298541</v>
      </c>
      <c r="FIN538" s="1170">
        <v>8298541</v>
      </c>
      <c r="FIO538" s="1170">
        <v>8298541</v>
      </c>
      <c r="FIP538" s="1170">
        <v>8298541</v>
      </c>
      <c r="FIQ538" s="1170">
        <v>8298541</v>
      </c>
      <c r="FIR538" s="1170">
        <v>8298541</v>
      </c>
      <c r="FIS538" s="1170">
        <v>8298541</v>
      </c>
      <c r="FIT538" s="1170">
        <v>8298541</v>
      </c>
      <c r="FIU538" s="1170">
        <v>8298541</v>
      </c>
      <c r="FIV538" s="1170">
        <v>8298541</v>
      </c>
      <c r="FIW538" s="1170">
        <v>8298541</v>
      </c>
      <c r="FIX538" s="1170">
        <v>8298541</v>
      </c>
      <c r="FIY538" s="1170">
        <v>8298541</v>
      </c>
      <c r="FIZ538" s="1170">
        <v>8298541</v>
      </c>
      <c r="FJA538" s="1170">
        <v>8298541</v>
      </c>
      <c r="FJB538" s="1170">
        <v>8298541</v>
      </c>
      <c r="FJC538" s="1170">
        <v>8298541</v>
      </c>
      <c r="FJD538" s="1170">
        <v>8298541</v>
      </c>
      <c r="FJE538" s="1170">
        <v>8298541</v>
      </c>
      <c r="FJF538" s="1170">
        <v>8298541</v>
      </c>
      <c r="FJG538" s="1170">
        <v>8298541</v>
      </c>
      <c r="FJH538" s="1170">
        <v>8298541</v>
      </c>
      <c r="FJI538" s="1170">
        <v>8298541</v>
      </c>
      <c r="FJJ538" s="1170">
        <v>8298541</v>
      </c>
      <c r="FJK538" s="1170">
        <v>8298541</v>
      </c>
      <c r="FJL538" s="1170">
        <v>8298541</v>
      </c>
      <c r="FJM538" s="1170">
        <v>8298541</v>
      </c>
      <c r="FJN538" s="1170">
        <v>8298541</v>
      </c>
      <c r="FJO538" s="1170">
        <v>8298541</v>
      </c>
      <c r="FJP538" s="1170">
        <v>8298541</v>
      </c>
      <c r="FJQ538" s="1170">
        <v>8298541</v>
      </c>
      <c r="FJR538" s="1170">
        <v>8298541</v>
      </c>
      <c r="FJS538" s="1170">
        <v>8298541</v>
      </c>
      <c r="FJT538" s="1170">
        <v>8298541</v>
      </c>
      <c r="FJU538" s="1170">
        <v>8298541</v>
      </c>
      <c r="FJV538" s="1170">
        <v>8298541</v>
      </c>
      <c r="FJW538" s="1170">
        <v>8298541</v>
      </c>
      <c r="FJX538" s="1170">
        <v>8298541</v>
      </c>
      <c r="FJY538" s="1170">
        <v>8298541</v>
      </c>
      <c r="FJZ538" s="1170">
        <v>8298541</v>
      </c>
      <c r="FKA538" s="1170">
        <v>8298541</v>
      </c>
      <c r="FKB538" s="1170">
        <v>8298541</v>
      </c>
      <c r="FKC538" s="1170">
        <v>8298541</v>
      </c>
      <c r="FKD538" s="1170">
        <v>8298541</v>
      </c>
      <c r="FKE538" s="1170">
        <v>8298541</v>
      </c>
      <c r="FKF538" s="1170">
        <v>8298541</v>
      </c>
      <c r="FKG538" s="1170">
        <v>8298541</v>
      </c>
      <c r="FKH538" s="1170">
        <v>8298541</v>
      </c>
      <c r="FKI538" s="1170">
        <v>8298541</v>
      </c>
      <c r="FKJ538" s="1170">
        <v>8298541</v>
      </c>
      <c r="FKK538" s="1170">
        <v>8298541</v>
      </c>
      <c r="FKL538" s="1170">
        <v>8298541</v>
      </c>
      <c r="FKM538" s="1170">
        <v>8298541</v>
      </c>
      <c r="FKN538" s="1170">
        <v>8298541</v>
      </c>
      <c r="FKO538" s="1170">
        <v>8298541</v>
      </c>
      <c r="FKP538" s="1170">
        <v>8298541</v>
      </c>
      <c r="FKQ538" s="1170">
        <v>8298541</v>
      </c>
      <c r="FKR538" s="1170">
        <v>8298541</v>
      </c>
      <c r="FKS538" s="1170">
        <v>8298541</v>
      </c>
      <c r="FKT538" s="1170">
        <v>8298541</v>
      </c>
      <c r="FKU538" s="1170">
        <v>8298541</v>
      </c>
      <c r="FKV538" s="1170">
        <v>8298541</v>
      </c>
      <c r="FKW538" s="1170">
        <v>8298541</v>
      </c>
      <c r="FKX538" s="1170">
        <v>8298541</v>
      </c>
      <c r="FKY538" s="1170">
        <v>8298541</v>
      </c>
      <c r="FKZ538" s="1170">
        <v>8298541</v>
      </c>
      <c r="FLA538" s="1170">
        <v>8298541</v>
      </c>
      <c r="FLB538" s="1170">
        <v>8298541</v>
      </c>
      <c r="FLC538" s="1170">
        <v>8298541</v>
      </c>
      <c r="FLD538" s="1170">
        <v>8298541</v>
      </c>
      <c r="FLE538" s="1170">
        <v>8298541</v>
      </c>
      <c r="FLF538" s="1170">
        <v>8298541</v>
      </c>
      <c r="FLG538" s="1170">
        <v>8298541</v>
      </c>
      <c r="FLH538" s="1170">
        <v>8298541</v>
      </c>
      <c r="FLI538" s="1170">
        <v>8298541</v>
      </c>
      <c r="FLJ538" s="1170">
        <v>8298541</v>
      </c>
      <c r="FLK538" s="1170">
        <v>8298541</v>
      </c>
      <c r="FLL538" s="1170">
        <v>8298541</v>
      </c>
      <c r="FLM538" s="1170">
        <v>8298541</v>
      </c>
      <c r="FLN538" s="1170">
        <v>8298541</v>
      </c>
      <c r="FLO538" s="1170">
        <v>8298541</v>
      </c>
      <c r="FLP538" s="1170">
        <v>8298541</v>
      </c>
      <c r="FLQ538" s="1170">
        <v>8298541</v>
      </c>
      <c r="FLR538" s="1170">
        <v>8298541</v>
      </c>
      <c r="FLS538" s="1170">
        <v>8298541</v>
      </c>
      <c r="FLT538" s="1170">
        <v>8298541</v>
      </c>
      <c r="FLU538" s="1170">
        <v>8298541</v>
      </c>
      <c r="FLV538" s="1170">
        <v>8298541</v>
      </c>
      <c r="FLW538" s="1170">
        <v>8298541</v>
      </c>
      <c r="FLX538" s="1170">
        <v>8298541</v>
      </c>
      <c r="FLY538" s="1170">
        <v>8298541</v>
      </c>
      <c r="FLZ538" s="1170">
        <v>8298541</v>
      </c>
      <c r="FMA538" s="1170">
        <v>8298541</v>
      </c>
      <c r="FMB538" s="1170">
        <v>8298541</v>
      </c>
      <c r="FMC538" s="1170">
        <v>8298541</v>
      </c>
      <c r="FMD538" s="1170">
        <v>8298541</v>
      </c>
      <c r="FME538" s="1170">
        <v>8298541</v>
      </c>
      <c r="FMF538" s="1170">
        <v>8298541</v>
      </c>
      <c r="FMG538" s="1170">
        <v>8298541</v>
      </c>
      <c r="FMH538" s="1170">
        <v>8298541</v>
      </c>
      <c r="FMI538" s="1170">
        <v>8298541</v>
      </c>
      <c r="FMJ538" s="1170">
        <v>8298541</v>
      </c>
      <c r="FMK538" s="1170">
        <v>8298541</v>
      </c>
      <c r="FML538" s="1170">
        <v>8298541</v>
      </c>
      <c r="FMM538" s="1170">
        <v>8298541</v>
      </c>
      <c r="FMN538" s="1170">
        <v>8298541</v>
      </c>
      <c r="FMO538" s="1170">
        <v>8298541</v>
      </c>
      <c r="FMP538" s="1170">
        <v>8298541</v>
      </c>
      <c r="FMQ538" s="1170">
        <v>8298541</v>
      </c>
      <c r="FMR538" s="1170">
        <v>8298541</v>
      </c>
      <c r="FMS538" s="1170">
        <v>8298541</v>
      </c>
      <c r="FMT538" s="1170">
        <v>8298541</v>
      </c>
      <c r="FMU538" s="1170">
        <v>8298541</v>
      </c>
      <c r="FMV538" s="1170">
        <v>8298541</v>
      </c>
      <c r="FMW538" s="1170">
        <v>8298541</v>
      </c>
      <c r="FMX538" s="1170">
        <v>8298541</v>
      </c>
      <c r="FMY538" s="1170">
        <v>8298541</v>
      </c>
      <c r="FMZ538" s="1170">
        <v>8298541</v>
      </c>
      <c r="FNA538" s="1170">
        <v>8298541</v>
      </c>
      <c r="FNB538" s="1170">
        <v>8298541</v>
      </c>
      <c r="FNC538" s="1170">
        <v>8298541</v>
      </c>
      <c r="FND538" s="1170">
        <v>8298541</v>
      </c>
      <c r="FNE538" s="1170">
        <v>8298541</v>
      </c>
      <c r="FNF538" s="1170">
        <v>8298541</v>
      </c>
      <c r="FNG538" s="1170">
        <v>8298541</v>
      </c>
      <c r="FNH538" s="1170">
        <v>8298541</v>
      </c>
      <c r="FNI538" s="1170">
        <v>8298541</v>
      </c>
      <c r="FNJ538" s="1170">
        <v>8298541</v>
      </c>
      <c r="FNK538" s="1170">
        <v>8298541</v>
      </c>
      <c r="FNL538" s="1170">
        <v>8298541</v>
      </c>
      <c r="FNM538" s="1170">
        <v>8298541</v>
      </c>
      <c r="FNN538" s="1170">
        <v>8298541</v>
      </c>
      <c r="FNO538" s="1170">
        <v>8298541</v>
      </c>
      <c r="FNP538" s="1170">
        <v>8298541</v>
      </c>
      <c r="FNQ538" s="1170">
        <v>8298541</v>
      </c>
      <c r="FNR538" s="1170">
        <v>8298541</v>
      </c>
      <c r="FNS538" s="1170">
        <v>8298541</v>
      </c>
      <c r="FNT538" s="1170">
        <v>8298541</v>
      </c>
      <c r="FNU538" s="1170">
        <v>8298541</v>
      </c>
      <c r="FNV538" s="1170">
        <v>8298541</v>
      </c>
      <c r="FNW538" s="1170">
        <v>8298541</v>
      </c>
      <c r="FNX538" s="1170">
        <v>8298541</v>
      </c>
      <c r="FNY538" s="1170">
        <v>8298541</v>
      </c>
      <c r="FNZ538" s="1170">
        <v>8298541</v>
      </c>
      <c r="FOA538" s="1170">
        <v>8298541</v>
      </c>
      <c r="FOB538" s="1170">
        <v>8298541</v>
      </c>
      <c r="FOC538" s="1170">
        <v>8298541</v>
      </c>
      <c r="FOD538" s="1170">
        <v>8298541</v>
      </c>
      <c r="FOE538" s="1170">
        <v>8298541</v>
      </c>
      <c r="FOF538" s="1170">
        <v>8298541</v>
      </c>
      <c r="FOG538" s="1170">
        <v>8298541</v>
      </c>
      <c r="FOH538" s="1170">
        <v>8298541</v>
      </c>
      <c r="FOI538" s="1170">
        <v>8298541</v>
      </c>
      <c r="FOJ538" s="1170">
        <v>8298541</v>
      </c>
      <c r="FOK538" s="1170">
        <v>8298541</v>
      </c>
      <c r="FOL538" s="1170">
        <v>8298541</v>
      </c>
      <c r="FOM538" s="1170">
        <v>8298541</v>
      </c>
      <c r="FON538" s="1170">
        <v>8298541</v>
      </c>
      <c r="FOO538" s="1170">
        <v>8298541</v>
      </c>
      <c r="FOP538" s="1170">
        <v>8298541</v>
      </c>
      <c r="FOQ538" s="1170">
        <v>8298541</v>
      </c>
      <c r="FOR538" s="1170">
        <v>8298541</v>
      </c>
      <c r="FOS538" s="1170">
        <v>8298541</v>
      </c>
      <c r="FOT538" s="1170">
        <v>8298541</v>
      </c>
      <c r="FOU538" s="1170">
        <v>8298541</v>
      </c>
      <c r="FOV538" s="1170">
        <v>8298541</v>
      </c>
      <c r="FOW538" s="1170">
        <v>8298541</v>
      </c>
      <c r="FOX538" s="1170">
        <v>8298541</v>
      </c>
      <c r="FOY538" s="1170">
        <v>8298541</v>
      </c>
      <c r="FOZ538" s="1170">
        <v>8298541</v>
      </c>
      <c r="FPA538" s="1170">
        <v>8298541</v>
      </c>
      <c r="FPB538" s="1170">
        <v>8298541</v>
      </c>
      <c r="FPC538" s="1170">
        <v>8298541</v>
      </c>
      <c r="FPD538" s="1170">
        <v>8298541</v>
      </c>
      <c r="FPE538" s="1170">
        <v>8298541</v>
      </c>
      <c r="FPF538" s="1170">
        <v>8298541</v>
      </c>
      <c r="FPG538" s="1170">
        <v>8298541</v>
      </c>
      <c r="FPH538" s="1170">
        <v>8298541</v>
      </c>
      <c r="FPI538" s="1170">
        <v>8298541</v>
      </c>
      <c r="FPJ538" s="1170">
        <v>8298541</v>
      </c>
      <c r="FPK538" s="1170">
        <v>8298541</v>
      </c>
      <c r="FPL538" s="1170">
        <v>8298541</v>
      </c>
      <c r="FPM538" s="1170">
        <v>8298541</v>
      </c>
      <c r="FPN538" s="1170">
        <v>8298541</v>
      </c>
      <c r="FPO538" s="1170">
        <v>8298541</v>
      </c>
      <c r="FPP538" s="1170">
        <v>8298541</v>
      </c>
      <c r="FPQ538" s="1170">
        <v>8298541</v>
      </c>
      <c r="FPR538" s="1170">
        <v>8298541</v>
      </c>
      <c r="FPS538" s="1170">
        <v>8298541</v>
      </c>
      <c r="FPT538" s="1170">
        <v>8298541</v>
      </c>
      <c r="FPU538" s="1170">
        <v>8298541</v>
      </c>
      <c r="FPV538" s="1170">
        <v>8298541</v>
      </c>
      <c r="FPW538" s="1170">
        <v>8298541</v>
      </c>
      <c r="FPX538" s="1170">
        <v>8298541</v>
      </c>
      <c r="FPY538" s="1170">
        <v>8298541</v>
      </c>
      <c r="FPZ538" s="1170">
        <v>8298541</v>
      </c>
      <c r="FQA538" s="1170">
        <v>8298541</v>
      </c>
      <c r="FQB538" s="1170">
        <v>8298541</v>
      </c>
      <c r="FQC538" s="1170">
        <v>8298541</v>
      </c>
      <c r="FQD538" s="1170">
        <v>8298541</v>
      </c>
      <c r="FQE538" s="1170">
        <v>8298541</v>
      </c>
      <c r="FQF538" s="1170">
        <v>8298541</v>
      </c>
      <c r="FQG538" s="1170">
        <v>8298541</v>
      </c>
      <c r="FQH538" s="1170">
        <v>8298541</v>
      </c>
      <c r="FQI538" s="1170">
        <v>8298541</v>
      </c>
      <c r="FQJ538" s="1170">
        <v>8298541</v>
      </c>
      <c r="FQK538" s="1170">
        <v>8298541</v>
      </c>
      <c r="FQL538" s="1170">
        <v>8298541</v>
      </c>
      <c r="FQM538" s="1170">
        <v>8298541</v>
      </c>
      <c r="FQN538" s="1170">
        <v>8298541</v>
      </c>
      <c r="FQO538" s="1170">
        <v>8298541</v>
      </c>
      <c r="FQP538" s="1170">
        <v>8298541</v>
      </c>
      <c r="FQQ538" s="1170">
        <v>8298541</v>
      </c>
      <c r="FQR538" s="1170">
        <v>8298541</v>
      </c>
      <c r="FQS538" s="1170">
        <v>8298541</v>
      </c>
      <c r="FQT538" s="1170">
        <v>8298541</v>
      </c>
      <c r="FQU538" s="1170">
        <v>8298541</v>
      </c>
      <c r="FQV538" s="1170">
        <v>8298541</v>
      </c>
      <c r="FQW538" s="1170">
        <v>8298541</v>
      </c>
      <c r="FQX538" s="1170">
        <v>8298541</v>
      </c>
      <c r="FQY538" s="1170">
        <v>8298541</v>
      </c>
      <c r="FQZ538" s="1170">
        <v>8298541</v>
      </c>
      <c r="FRA538" s="1170">
        <v>8298541</v>
      </c>
      <c r="FRB538" s="1170">
        <v>8298541</v>
      </c>
      <c r="FRC538" s="1170">
        <v>8298541</v>
      </c>
      <c r="FRD538" s="1170">
        <v>8298541</v>
      </c>
      <c r="FRE538" s="1170">
        <v>8298541</v>
      </c>
      <c r="FRF538" s="1170">
        <v>8298541</v>
      </c>
      <c r="FRG538" s="1170">
        <v>8298541</v>
      </c>
      <c r="FRH538" s="1170">
        <v>8298541</v>
      </c>
      <c r="FRI538" s="1170">
        <v>8298541</v>
      </c>
      <c r="FRJ538" s="1170">
        <v>8298541</v>
      </c>
      <c r="FRK538" s="1170">
        <v>8298541</v>
      </c>
      <c r="FRL538" s="1170">
        <v>8298541</v>
      </c>
      <c r="FRM538" s="1170">
        <v>8298541</v>
      </c>
      <c r="FRN538" s="1170">
        <v>8298541</v>
      </c>
      <c r="FRO538" s="1170">
        <v>8298541</v>
      </c>
      <c r="FRP538" s="1170">
        <v>8298541</v>
      </c>
      <c r="FRQ538" s="1170">
        <v>8298541</v>
      </c>
      <c r="FRR538" s="1170">
        <v>8298541</v>
      </c>
      <c r="FRS538" s="1170">
        <v>8298541</v>
      </c>
      <c r="FRT538" s="1170">
        <v>8298541</v>
      </c>
      <c r="FRU538" s="1170">
        <v>8298541</v>
      </c>
      <c r="FRV538" s="1170">
        <v>8298541</v>
      </c>
      <c r="FRW538" s="1170">
        <v>8298541</v>
      </c>
      <c r="FRX538" s="1170">
        <v>8298541</v>
      </c>
      <c r="FRY538" s="1170">
        <v>8298541</v>
      </c>
      <c r="FRZ538" s="1170">
        <v>8298541</v>
      </c>
      <c r="FSA538" s="1170">
        <v>8298541</v>
      </c>
      <c r="FSB538" s="1170">
        <v>8298541</v>
      </c>
      <c r="FSC538" s="1170">
        <v>8298541</v>
      </c>
      <c r="FSD538" s="1170">
        <v>8298541</v>
      </c>
      <c r="FSE538" s="1170">
        <v>8298541</v>
      </c>
      <c r="FSF538" s="1170">
        <v>8298541</v>
      </c>
      <c r="FSG538" s="1170">
        <v>8298541</v>
      </c>
      <c r="FSH538" s="1170">
        <v>8298541</v>
      </c>
      <c r="FSI538" s="1170">
        <v>8298541</v>
      </c>
      <c r="FSJ538" s="1170">
        <v>8298541</v>
      </c>
      <c r="FSK538" s="1170">
        <v>8298541</v>
      </c>
      <c r="FSL538" s="1170">
        <v>8298541</v>
      </c>
      <c r="FSM538" s="1170">
        <v>8298541</v>
      </c>
      <c r="FSN538" s="1170">
        <v>8298541</v>
      </c>
      <c r="FSO538" s="1170">
        <v>8298541</v>
      </c>
      <c r="FSP538" s="1170">
        <v>8298541</v>
      </c>
      <c r="FSQ538" s="1170">
        <v>8298541</v>
      </c>
      <c r="FSR538" s="1170">
        <v>8298541</v>
      </c>
      <c r="FSS538" s="1170">
        <v>8298541</v>
      </c>
      <c r="FST538" s="1170">
        <v>8298541</v>
      </c>
      <c r="FSU538" s="1170">
        <v>8298541</v>
      </c>
      <c r="FSV538" s="1170">
        <v>8298541</v>
      </c>
      <c r="FSW538" s="1170">
        <v>8298541</v>
      </c>
      <c r="FSX538" s="1170">
        <v>8298541</v>
      </c>
      <c r="FSY538" s="1170">
        <v>8298541</v>
      </c>
      <c r="FSZ538" s="1170">
        <v>8298541</v>
      </c>
      <c r="FTA538" s="1170">
        <v>8298541</v>
      </c>
      <c r="FTB538" s="1170">
        <v>8298541</v>
      </c>
      <c r="FTC538" s="1170">
        <v>8298541</v>
      </c>
      <c r="FTD538" s="1170">
        <v>8298541</v>
      </c>
      <c r="FTE538" s="1170">
        <v>8298541</v>
      </c>
      <c r="FTF538" s="1170">
        <v>8298541</v>
      </c>
      <c r="FTG538" s="1170">
        <v>8298541</v>
      </c>
      <c r="FTH538" s="1170">
        <v>8298541</v>
      </c>
      <c r="FTI538" s="1170">
        <v>8298541</v>
      </c>
      <c r="FTJ538" s="1170">
        <v>8298541</v>
      </c>
      <c r="FTK538" s="1170">
        <v>8298541</v>
      </c>
      <c r="FTL538" s="1170">
        <v>8298541</v>
      </c>
      <c r="FTM538" s="1170">
        <v>8298541</v>
      </c>
      <c r="FTN538" s="1170">
        <v>8298541</v>
      </c>
      <c r="FTO538" s="1170">
        <v>8298541</v>
      </c>
      <c r="FTP538" s="1170">
        <v>8298541</v>
      </c>
      <c r="FTQ538" s="1170">
        <v>8298541</v>
      </c>
      <c r="FTR538" s="1170">
        <v>8298541</v>
      </c>
      <c r="FTS538" s="1170">
        <v>8298541</v>
      </c>
      <c r="FTT538" s="1170">
        <v>8298541</v>
      </c>
      <c r="FTU538" s="1170">
        <v>8298541</v>
      </c>
      <c r="FTV538" s="1170">
        <v>8298541</v>
      </c>
      <c r="FTW538" s="1170">
        <v>8298541</v>
      </c>
      <c r="FTX538" s="1170">
        <v>8298541</v>
      </c>
      <c r="FTY538" s="1170">
        <v>8298541</v>
      </c>
      <c r="FTZ538" s="1170">
        <v>8298541</v>
      </c>
      <c r="FUA538" s="1170">
        <v>8298541</v>
      </c>
      <c r="FUB538" s="1170">
        <v>8298541</v>
      </c>
      <c r="FUC538" s="1170">
        <v>8298541</v>
      </c>
      <c r="FUD538" s="1170">
        <v>8298541</v>
      </c>
      <c r="FUE538" s="1170">
        <v>8298541</v>
      </c>
      <c r="FUF538" s="1170">
        <v>8298541</v>
      </c>
      <c r="FUG538" s="1170">
        <v>8298541</v>
      </c>
      <c r="FUH538" s="1170">
        <v>8298541</v>
      </c>
      <c r="FUI538" s="1170">
        <v>8298541</v>
      </c>
      <c r="FUJ538" s="1170">
        <v>8298541</v>
      </c>
      <c r="FUK538" s="1170">
        <v>8298541</v>
      </c>
      <c r="FUL538" s="1170">
        <v>8298541</v>
      </c>
      <c r="FUM538" s="1170">
        <v>8298541</v>
      </c>
      <c r="FUN538" s="1170">
        <v>8298541</v>
      </c>
      <c r="FUO538" s="1170">
        <v>8298541</v>
      </c>
      <c r="FUP538" s="1170">
        <v>8298541</v>
      </c>
      <c r="FUQ538" s="1170">
        <v>8298541</v>
      </c>
      <c r="FUR538" s="1170">
        <v>8298541</v>
      </c>
      <c r="FUS538" s="1170">
        <v>8298541</v>
      </c>
      <c r="FUT538" s="1170">
        <v>8298541</v>
      </c>
      <c r="FUU538" s="1170">
        <v>8298541</v>
      </c>
      <c r="FUV538" s="1170">
        <v>8298541</v>
      </c>
      <c r="FUW538" s="1170">
        <v>8298541</v>
      </c>
      <c r="FUX538" s="1170">
        <v>8298541</v>
      </c>
      <c r="FUY538" s="1170">
        <v>8298541</v>
      </c>
      <c r="FUZ538" s="1170">
        <v>8298541</v>
      </c>
      <c r="FVA538" s="1170">
        <v>8298541</v>
      </c>
      <c r="FVB538" s="1170">
        <v>8298541</v>
      </c>
      <c r="FVC538" s="1170">
        <v>8298541</v>
      </c>
      <c r="FVD538" s="1170">
        <v>8298541</v>
      </c>
      <c r="FVE538" s="1170">
        <v>8298541</v>
      </c>
      <c r="FVF538" s="1170">
        <v>8298541</v>
      </c>
      <c r="FVG538" s="1170">
        <v>8298541</v>
      </c>
      <c r="FVH538" s="1170">
        <v>8298541</v>
      </c>
      <c r="FVI538" s="1170">
        <v>8298541</v>
      </c>
      <c r="FVJ538" s="1170">
        <v>8298541</v>
      </c>
      <c r="FVK538" s="1170">
        <v>8298541</v>
      </c>
      <c r="FVL538" s="1170">
        <v>8298541</v>
      </c>
      <c r="FVM538" s="1170">
        <v>8298541</v>
      </c>
      <c r="FVN538" s="1170">
        <v>8298541</v>
      </c>
      <c r="FVO538" s="1170">
        <v>8298541</v>
      </c>
      <c r="FVP538" s="1170">
        <v>8298541</v>
      </c>
      <c r="FVQ538" s="1170">
        <v>8298541</v>
      </c>
      <c r="FVR538" s="1170">
        <v>8298541</v>
      </c>
      <c r="FVS538" s="1170">
        <v>8298541</v>
      </c>
      <c r="FVT538" s="1170">
        <v>8298541</v>
      </c>
      <c r="FVU538" s="1170">
        <v>8298541</v>
      </c>
      <c r="FVV538" s="1170">
        <v>8298541</v>
      </c>
      <c r="FVW538" s="1170">
        <v>8298541</v>
      </c>
      <c r="FVX538" s="1170">
        <v>8298541</v>
      </c>
      <c r="FVY538" s="1170">
        <v>8298541</v>
      </c>
      <c r="FVZ538" s="1170">
        <v>8298541</v>
      </c>
      <c r="FWA538" s="1170">
        <v>8298541</v>
      </c>
      <c r="FWB538" s="1170">
        <v>8298541</v>
      </c>
      <c r="FWC538" s="1170">
        <v>8298541</v>
      </c>
      <c r="FWD538" s="1170">
        <v>8298541</v>
      </c>
      <c r="FWE538" s="1170">
        <v>8298541</v>
      </c>
      <c r="FWF538" s="1170">
        <v>8298541</v>
      </c>
      <c r="FWG538" s="1170">
        <v>8298541</v>
      </c>
      <c r="FWH538" s="1170">
        <v>8298541</v>
      </c>
      <c r="FWI538" s="1170">
        <v>8298541</v>
      </c>
      <c r="FWJ538" s="1170">
        <v>8298541</v>
      </c>
      <c r="FWK538" s="1170">
        <v>8298541</v>
      </c>
      <c r="FWL538" s="1170">
        <v>8298541</v>
      </c>
      <c r="FWM538" s="1170">
        <v>8298541</v>
      </c>
      <c r="FWN538" s="1170">
        <v>8298541</v>
      </c>
      <c r="FWO538" s="1170">
        <v>8298541</v>
      </c>
      <c r="FWP538" s="1170">
        <v>8298541</v>
      </c>
      <c r="FWQ538" s="1170">
        <v>8298541</v>
      </c>
      <c r="FWR538" s="1170">
        <v>8298541</v>
      </c>
      <c r="FWS538" s="1170">
        <v>8298541</v>
      </c>
      <c r="FWT538" s="1170">
        <v>8298541</v>
      </c>
      <c r="FWU538" s="1170">
        <v>8298541</v>
      </c>
      <c r="FWV538" s="1170">
        <v>8298541</v>
      </c>
      <c r="FWW538" s="1170">
        <v>8298541</v>
      </c>
      <c r="FWX538" s="1170">
        <v>8298541</v>
      </c>
      <c r="FWY538" s="1170">
        <v>8298541</v>
      </c>
      <c r="FWZ538" s="1170">
        <v>8298541</v>
      </c>
      <c r="FXA538" s="1170">
        <v>8298541</v>
      </c>
      <c r="FXB538" s="1170">
        <v>8298541</v>
      </c>
      <c r="FXC538" s="1170">
        <v>8298541</v>
      </c>
      <c r="FXD538" s="1170">
        <v>8298541</v>
      </c>
      <c r="FXE538" s="1170">
        <v>8298541</v>
      </c>
      <c r="FXF538" s="1170">
        <v>8298541</v>
      </c>
      <c r="FXG538" s="1170">
        <v>8298541</v>
      </c>
      <c r="FXH538" s="1170">
        <v>8298541</v>
      </c>
      <c r="FXI538" s="1170">
        <v>8298541</v>
      </c>
      <c r="FXJ538" s="1170">
        <v>8298541</v>
      </c>
      <c r="FXK538" s="1170">
        <v>8298541</v>
      </c>
      <c r="FXL538" s="1170">
        <v>8298541</v>
      </c>
      <c r="FXM538" s="1170">
        <v>8298541</v>
      </c>
      <c r="FXN538" s="1170">
        <v>8298541</v>
      </c>
      <c r="FXO538" s="1170">
        <v>8298541</v>
      </c>
      <c r="FXP538" s="1170">
        <v>8298541</v>
      </c>
      <c r="FXQ538" s="1170">
        <v>8298541</v>
      </c>
      <c r="FXR538" s="1170">
        <v>8298541</v>
      </c>
      <c r="FXS538" s="1170">
        <v>8298541</v>
      </c>
      <c r="FXT538" s="1170">
        <v>8298541</v>
      </c>
      <c r="FXU538" s="1170">
        <v>8298541</v>
      </c>
      <c r="FXV538" s="1170">
        <v>8298541</v>
      </c>
      <c r="FXW538" s="1170">
        <v>8298541</v>
      </c>
      <c r="FXX538" s="1170">
        <v>8298541</v>
      </c>
      <c r="FXY538" s="1170">
        <v>8298541</v>
      </c>
      <c r="FXZ538" s="1170">
        <v>8298541</v>
      </c>
      <c r="FYA538" s="1170">
        <v>8298541</v>
      </c>
      <c r="FYB538" s="1170">
        <v>8298541</v>
      </c>
      <c r="FYC538" s="1170">
        <v>8298541</v>
      </c>
      <c r="FYD538" s="1170">
        <v>8298541</v>
      </c>
      <c r="FYE538" s="1170">
        <v>8298541</v>
      </c>
      <c r="FYF538" s="1170">
        <v>8298541</v>
      </c>
      <c r="FYG538" s="1170">
        <v>8298541</v>
      </c>
      <c r="FYH538" s="1170">
        <v>8298541</v>
      </c>
      <c r="FYI538" s="1170">
        <v>8298541</v>
      </c>
      <c r="FYJ538" s="1170">
        <v>8298541</v>
      </c>
      <c r="FYK538" s="1170">
        <v>8298541</v>
      </c>
      <c r="FYL538" s="1170">
        <v>8298541</v>
      </c>
      <c r="FYM538" s="1170">
        <v>8298541</v>
      </c>
      <c r="FYN538" s="1170">
        <v>8298541</v>
      </c>
      <c r="FYO538" s="1170">
        <v>8298541</v>
      </c>
      <c r="FYP538" s="1170">
        <v>8298541</v>
      </c>
      <c r="FYQ538" s="1170">
        <v>8298541</v>
      </c>
      <c r="FYR538" s="1170">
        <v>8298541</v>
      </c>
      <c r="FYS538" s="1170">
        <v>8298541</v>
      </c>
      <c r="FYT538" s="1170">
        <v>8298541</v>
      </c>
      <c r="FYU538" s="1170">
        <v>8298541</v>
      </c>
      <c r="FYV538" s="1170">
        <v>8298541</v>
      </c>
      <c r="FYW538" s="1170">
        <v>8298541</v>
      </c>
      <c r="FYX538" s="1170">
        <v>8298541</v>
      </c>
      <c r="FYY538" s="1170">
        <v>8298541</v>
      </c>
      <c r="FYZ538" s="1170">
        <v>8298541</v>
      </c>
      <c r="FZA538" s="1170">
        <v>8298541</v>
      </c>
      <c r="FZB538" s="1170">
        <v>8298541</v>
      </c>
      <c r="FZC538" s="1170">
        <v>8298541</v>
      </c>
      <c r="FZD538" s="1170">
        <v>8298541</v>
      </c>
      <c r="FZE538" s="1170">
        <v>8298541</v>
      </c>
      <c r="FZF538" s="1170">
        <v>8298541</v>
      </c>
      <c r="FZG538" s="1170">
        <v>8298541</v>
      </c>
      <c r="FZH538" s="1170">
        <v>8298541</v>
      </c>
      <c r="FZI538" s="1170">
        <v>8298541</v>
      </c>
      <c r="FZJ538" s="1170">
        <v>8298541</v>
      </c>
      <c r="FZK538" s="1170">
        <v>8298541</v>
      </c>
      <c r="FZL538" s="1170">
        <v>8298541</v>
      </c>
      <c r="FZM538" s="1170">
        <v>8298541</v>
      </c>
      <c r="FZN538" s="1170">
        <v>8298541</v>
      </c>
      <c r="FZO538" s="1170">
        <v>8298541</v>
      </c>
      <c r="FZP538" s="1170">
        <v>8298541</v>
      </c>
      <c r="FZQ538" s="1170">
        <v>8298541</v>
      </c>
      <c r="FZR538" s="1170">
        <v>8298541</v>
      </c>
      <c r="FZS538" s="1170">
        <v>8298541</v>
      </c>
      <c r="FZT538" s="1170">
        <v>8298541</v>
      </c>
      <c r="FZU538" s="1170">
        <v>8298541</v>
      </c>
      <c r="FZV538" s="1170">
        <v>8298541</v>
      </c>
      <c r="FZW538" s="1170">
        <v>8298541</v>
      </c>
      <c r="FZX538" s="1170">
        <v>8298541</v>
      </c>
      <c r="FZY538" s="1170">
        <v>8298541</v>
      </c>
      <c r="FZZ538" s="1170">
        <v>8298541</v>
      </c>
      <c r="GAA538" s="1170">
        <v>8298541</v>
      </c>
      <c r="GAB538" s="1170">
        <v>8298541</v>
      </c>
      <c r="GAC538" s="1170">
        <v>8298541</v>
      </c>
      <c r="GAD538" s="1170">
        <v>8298541</v>
      </c>
      <c r="GAE538" s="1170">
        <v>8298541</v>
      </c>
      <c r="GAF538" s="1170">
        <v>8298541</v>
      </c>
      <c r="GAG538" s="1170">
        <v>8298541</v>
      </c>
      <c r="GAH538" s="1170">
        <v>8298541</v>
      </c>
      <c r="GAI538" s="1170">
        <v>8298541</v>
      </c>
      <c r="GAJ538" s="1170">
        <v>8298541</v>
      </c>
      <c r="GAK538" s="1170">
        <v>8298541</v>
      </c>
      <c r="GAL538" s="1170">
        <v>8298541</v>
      </c>
      <c r="GAM538" s="1170">
        <v>8298541</v>
      </c>
      <c r="GAN538" s="1170">
        <v>8298541</v>
      </c>
      <c r="GAO538" s="1170">
        <v>8298541</v>
      </c>
      <c r="GAP538" s="1170">
        <v>8298541</v>
      </c>
      <c r="GAQ538" s="1170">
        <v>8298541</v>
      </c>
      <c r="GAR538" s="1170">
        <v>8298541</v>
      </c>
      <c r="GAS538" s="1170">
        <v>8298541</v>
      </c>
      <c r="GAT538" s="1170">
        <v>8298541</v>
      </c>
      <c r="GAU538" s="1170">
        <v>8298541</v>
      </c>
      <c r="GAV538" s="1170">
        <v>8298541</v>
      </c>
      <c r="GAW538" s="1170">
        <v>8298541</v>
      </c>
      <c r="GAX538" s="1170">
        <v>8298541</v>
      </c>
      <c r="GAY538" s="1170">
        <v>8298541</v>
      </c>
      <c r="GAZ538" s="1170">
        <v>8298541</v>
      </c>
      <c r="GBA538" s="1170">
        <v>8298541</v>
      </c>
      <c r="GBB538" s="1170">
        <v>8298541</v>
      </c>
      <c r="GBC538" s="1170">
        <v>8298541</v>
      </c>
      <c r="GBD538" s="1170">
        <v>8298541</v>
      </c>
      <c r="GBE538" s="1170">
        <v>8298541</v>
      </c>
      <c r="GBF538" s="1170">
        <v>8298541</v>
      </c>
      <c r="GBG538" s="1170">
        <v>8298541</v>
      </c>
      <c r="GBH538" s="1170">
        <v>8298541</v>
      </c>
      <c r="GBI538" s="1170">
        <v>8298541</v>
      </c>
      <c r="GBJ538" s="1170">
        <v>8298541</v>
      </c>
      <c r="GBK538" s="1170">
        <v>8298541</v>
      </c>
      <c r="GBL538" s="1170">
        <v>8298541</v>
      </c>
      <c r="GBM538" s="1170">
        <v>8298541</v>
      </c>
      <c r="GBN538" s="1170">
        <v>8298541</v>
      </c>
      <c r="GBO538" s="1170">
        <v>8298541</v>
      </c>
      <c r="GBP538" s="1170">
        <v>8298541</v>
      </c>
      <c r="GBQ538" s="1170">
        <v>8298541</v>
      </c>
      <c r="GBR538" s="1170">
        <v>8298541</v>
      </c>
      <c r="GBS538" s="1170">
        <v>8298541</v>
      </c>
      <c r="GBT538" s="1170">
        <v>8298541</v>
      </c>
      <c r="GBU538" s="1170">
        <v>8298541</v>
      </c>
      <c r="GBV538" s="1170">
        <v>8298541</v>
      </c>
      <c r="GBW538" s="1170">
        <v>8298541</v>
      </c>
      <c r="GBX538" s="1170">
        <v>8298541</v>
      </c>
      <c r="GBY538" s="1170">
        <v>8298541</v>
      </c>
      <c r="GBZ538" s="1170">
        <v>8298541</v>
      </c>
      <c r="GCA538" s="1170">
        <v>8298541</v>
      </c>
      <c r="GCB538" s="1170">
        <v>8298541</v>
      </c>
      <c r="GCC538" s="1170">
        <v>8298541</v>
      </c>
      <c r="GCD538" s="1170">
        <v>8298541</v>
      </c>
      <c r="GCE538" s="1170">
        <v>8298541</v>
      </c>
      <c r="GCF538" s="1170">
        <v>8298541</v>
      </c>
      <c r="GCG538" s="1170">
        <v>8298541</v>
      </c>
      <c r="GCH538" s="1170">
        <v>8298541</v>
      </c>
      <c r="GCI538" s="1170">
        <v>8298541</v>
      </c>
      <c r="GCJ538" s="1170">
        <v>8298541</v>
      </c>
      <c r="GCK538" s="1170">
        <v>8298541</v>
      </c>
      <c r="GCL538" s="1170">
        <v>8298541</v>
      </c>
      <c r="GCM538" s="1170">
        <v>8298541</v>
      </c>
      <c r="GCN538" s="1170">
        <v>8298541</v>
      </c>
      <c r="GCO538" s="1170">
        <v>8298541</v>
      </c>
      <c r="GCP538" s="1170">
        <v>8298541</v>
      </c>
      <c r="GCQ538" s="1170">
        <v>8298541</v>
      </c>
      <c r="GCR538" s="1170">
        <v>8298541</v>
      </c>
      <c r="GCS538" s="1170">
        <v>8298541</v>
      </c>
      <c r="GCT538" s="1170">
        <v>8298541</v>
      </c>
      <c r="GCU538" s="1170">
        <v>8298541</v>
      </c>
      <c r="GCV538" s="1170">
        <v>8298541</v>
      </c>
      <c r="GCW538" s="1170">
        <v>8298541</v>
      </c>
      <c r="GCX538" s="1170">
        <v>8298541</v>
      </c>
      <c r="GCY538" s="1170">
        <v>8298541</v>
      </c>
      <c r="GCZ538" s="1170">
        <v>8298541</v>
      </c>
      <c r="GDA538" s="1170">
        <v>8298541</v>
      </c>
      <c r="GDB538" s="1170">
        <v>8298541</v>
      </c>
      <c r="GDC538" s="1170">
        <v>8298541</v>
      </c>
      <c r="GDD538" s="1170">
        <v>8298541</v>
      </c>
      <c r="GDE538" s="1170">
        <v>8298541</v>
      </c>
      <c r="GDF538" s="1170">
        <v>8298541</v>
      </c>
      <c r="GDG538" s="1170">
        <v>8298541</v>
      </c>
      <c r="GDH538" s="1170">
        <v>8298541</v>
      </c>
      <c r="GDI538" s="1170">
        <v>8298541</v>
      </c>
      <c r="GDJ538" s="1170">
        <v>8298541</v>
      </c>
      <c r="GDK538" s="1170">
        <v>8298541</v>
      </c>
      <c r="GDL538" s="1170">
        <v>8298541</v>
      </c>
      <c r="GDM538" s="1170">
        <v>8298541</v>
      </c>
      <c r="GDN538" s="1170">
        <v>8298541</v>
      </c>
      <c r="GDO538" s="1170">
        <v>8298541</v>
      </c>
      <c r="GDP538" s="1170">
        <v>8298541</v>
      </c>
      <c r="GDQ538" s="1170">
        <v>8298541</v>
      </c>
      <c r="GDR538" s="1170">
        <v>8298541</v>
      </c>
      <c r="GDS538" s="1170">
        <v>8298541</v>
      </c>
      <c r="GDT538" s="1170">
        <v>8298541</v>
      </c>
      <c r="GDU538" s="1170">
        <v>8298541</v>
      </c>
      <c r="GDV538" s="1170">
        <v>8298541</v>
      </c>
      <c r="GDW538" s="1170">
        <v>8298541</v>
      </c>
      <c r="GDX538" s="1170">
        <v>8298541</v>
      </c>
      <c r="GDY538" s="1170">
        <v>8298541</v>
      </c>
      <c r="GDZ538" s="1170">
        <v>8298541</v>
      </c>
      <c r="GEA538" s="1170">
        <v>8298541</v>
      </c>
      <c r="GEB538" s="1170">
        <v>8298541</v>
      </c>
      <c r="GEC538" s="1170">
        <v>8298541</v>
      </c>
      <c r="GED538" s="1170">
        <v>8298541</v>
      </c>
      <c r="GEE538" s="1170">
        <v>8298541</v>
      </c>
      <c r="GEF538" s="1170">
        <v>8298541</v>
      </c>
      <c r="GEG538" s="1170">
        <v>8298541</v>
      </c>
      <c r="GEH538" s="1170">
        <v>8298541</v>
      </c>
      <c r="GEI538" s="1170">
        <v>8298541</v>
      </c>
      <c r="GEJ538" s="1170">
        <v>8298541</v>
      </c>
      <c r="GEK538" s="1170">
        <v>8298541</v>
      </c>
      <c r="GEL538" s="1170">
        <v>8298541</v>
      </c>
      <c r="GEM538" s="1170">
        <v>8298541</v>
      </c>
      <c r="GEN538" s="1170">
        <v>8298541</v>
      </c>
      <c r="GEO538" s="1170">
        <v>8298541</v>
      </c>
      <c r="GEP538" s="1170">
        <v>8298541</v>
      </c>
      <c r="GEQ538" s="1170">
        <v>8298541</v>
      </c>
      <c r="GER538" s="1170">
        <v>8298541</v>
      </c>
      <c r="GES538" s="1170">
        <v>8298541</v>
      </c>
      <c r="GET538" s="1170">
        <v>8298541</v>
      </c>
      <c r="GEU538" s="1170">
        <v>8298541</v>
      </c>
      <c r="GEV538" s="1170">
        <v>8298541</v>
      </c>
      <c r="GEW538" s="1170">
        <v>8298541</v>
      </c>
      <c r="GEX538" s="1170">
        <v>8298541</v>
      </c>
      <c r="GEY538" s="1170">
        <v>8298541</v>
      </c>
      <c r="GEZ538" s="1170">
        <v>8298541</v>
      </c>
      <c r="GFA538" s="1170">
        <v>8298541</v>
      </c>
      <c r="GFB538" s="1170">
        <v>8298541</v>
      </c>
      <c r="GFC538" s="1170">
        <v>8298541</v>
      </c>
      <c r="GFD538" s="1170">
        <v>8298541</v>
      </c>
      <c r="GFE538" s="1170">
        <v>8298541</v>
      </c>
      <c r="GFF538" s="1170">
        <v>8298541</v>
      </c>
      <c r="GFG538" s="1170">
        <v>8298541</v>
      </c>
      <c r="GFH538" s="1170">
        <v>8298541</v>
      </c>
      <c r="GFI538" s="1170">
        <v>8298541</v>
      </c>
      <c r="GFJ538" s="1170">
        <v>8298541</v>
      </c>
      <c r="GFK538" s="1170">
        <v>8298541</v>
      </c>
      <c r="GFL538" s="1170">
        <v>8298541</v>
      </c>
      <c r="GFM538" s="1170">
        <v>8298541</v>
      </c>
      <c r="GFN538" s="1170">
        <v>8298541</v>
      </c>
      <c r="GFO538" s="1170">
        <v>8298541</v>
      </c>
      <c r="GFP538" s="1170">
        <v>8298541</v>
      </c>
      <c r="GFQ538" s="1170">
        <v>8298541</v>
      </c>
      <c r="GFR538" s="1170">
        <v>8298541</v>
      </c>
      <c r="GFS538" s="1170">
        <v>8298541</v>
      </c>
      <c r="GFT538" s="1170">
        <v>8298541</v>
      </c>
      <c r="GFU538" s="1170">
        <v>8298541</v>
      </c>
      <c r="GFV538" s="1170">
        <v>8298541</v>
      </c>
      <c r="GFW538" s="1170">
        <v>8298541</v>
      </c>
      <c r="GFX538" s="1170">
        <v>8298541</v>
      </c>
      <c r="GFY538" s="1170">
        <v>8298541</v>
      </c>
      <c r="GFZ538" s="1170">
        <v>8298541</v>
      </c>
      <c r="GGA538" s="1170">
        <v>8298541</v>
      </c>
      <c r="GGB538" s="1170">
        <v>8298541</v>
      </c>
      <c r="GGC538" s="1170">
        <v>8298541</v>
      </c>
      <c r="GGD538" s="1170">
        <v>8298541</v>
      </c>
      <c r="GGE538" s="1170">
        <v>8298541</v>
      </c>
      <c r="GGF538" s="1170">
        <v>8298541</v>
      </c>
      <c r="GGG538" s="1170">
        <v>8298541</v>
      </c>
      <c r="GGH538" s="1170">
        <v>8298541</v>
      </c>
      <c r="GGI538" s="1170">
        <v>8298541</v>
      </c>
      <c r="GGJ538" s="1170">
        <v>8298541</v>
      </c>
      <c r="GGK538" s="1170">
        <v>8298541</v>
      </c>
      <c r="GGL538" s="1170">
        <v>8298541</v>
      </c>
      <c r="GGM538" s="1170">
        <v>8298541</v>
      </c>
      <c r="GGN538" s="1170">
        <v>8298541</v>
      </c>
      <c r="GGO538" s="1170">
        <v>8298541</v>
      </c>
      <c r="GGP538" s="1170">
        <v>8298541</v>
      </c>
      <c r="GGQ538" s="1170">
        <v>8298541</v>
      </c>
      <c r="GGR538" s="1170">
        <v>8298541</v>
      </c>
      <c r="GGS538" s="1170">
        <v>8298541</v>
      </c>
      <c r="GGT538" s="1170">
        <v>8298541</v>
      </c>
      <c r="GGU538" s="1170">
        <v>8298541</v>
      </c>
      <c r="GGV538" s="1170">
        <v>8298541</v>
      </c>
      <c r="GGW538" s="1170">
        <v>8298541</v>
      </c>
      <c r="GGX538" s="1170">
        <v>8298541</v>
      </c>
      <c r="GGY538" s="1170">
        <v>8298541</v>
      </c>
      <c r="GGZ538" s="1170">
        <v>8298541</v>
      </c>
      <c r="GHA538" s="1170">
        <v>8298541</v>
      </c>
      <c r="GHB538" s="1170">
        <v>8298541</v>
      </c>
      <c r="GHC538" s="1170">
        <v>8298541</v>
      </c>
      <c r="GHD538" s="1170">
        <v>8298541</v>
      </c>
      <c r="GHE538" s="1170">
        <v>8298541</v>
      </c>
      <c r="GHF538" s="1170">
        <v>8298541</v>
      </c>
      <c r="GHG538" s="1170">
        <v>8298541</v>
      </c>
      <c r="GHH538" s="1170">
        <v>8298541</v>
      </c>
      <c r="GHI538" s="1170">
        <v>8298541</v>
      </c>
      <c r="GHJ538" s="1170">
        <v>8298541</v>
      </c>
      <c r="GHK538" s="1170">
        <v>8298541</v>
      </c>
      <c r="GHL538" s="1170">
        <v>8298541</v>
      </c>
      <c r="GHM538" s="1170">
        <v>8298541</v>
      </c>
      <c r="GHN538" s="1170">
        <v>8298541</v>
      </c>
      <c r="GHO538" s="1170">
        <v>8298541</v>
      </c>
      <c r="GHP538" s="1170">
        <v>8298541</v>
      </c>
      <c r="GHQ538" s="1170">
        <v>8298541</v>
      </c>
      <c r="GHR538" s="1170">
        <v>8298541</v>
      </c>
      <c r="GHS538" s="1170">
        <v>8298541</v>
      </c>
      <c r="GHT538" s="1170">
        <v>8298541</v>
      </c>
      <c r="GHU538" s="1170">
        <v>8298541</v>
      </c>
      <c r="GHV538" s="1170">
        <v>8298541</v>
      </c>
      <c r="GHW538" s="1170">
        <v>8298541</v>
      </c>
      <c r="GHX538" s="1170">
        <v>8298541</v>
      </c>
      <c r="GHY538" s="1170">
        <v>8298541</v>
      </c>
      <c r="GHZ538" s="1170">
        <v>8298541</v>
      </c>
      <c r="GIA538" s="1170">
        <v>8298541</v>
      </c>
      <c r="GIB538" s="1170">
        <v>8298541</v>
      </c>
      <c r="GIC538" s="1170">
        <v>8298541</v>
      </c>
      <c r="GID538" s="1170">
        <v>8298541</v>
      </c>
      <c r="GIE538" s="1170">
        <v>8298541</v>
      </c>
      <c r="GIF538" s="1170">
        <v>8298541</v>
      </c>
      <c r="GIG538" s="1170">
        <v>8298541</v>
      </c>
      <c r="GIH538" s="1170">
        <v>8298541</v>
      </c>
      <c r="GII538" s="1170">
        <v>8298541</v>
      </c>
      <c r="GIJ538" s="1170">
        <v>8298541</v>
      </c>
      <c r="GIK538" s="1170">
        <v>8298541</v>
      </c>
      <c r="GIL538" s="1170">
        <v>8298541</v>
      </c>
      <c r="GIM538" s="1170">
        <v>8298541</v>
      </c>
      <c r="GIN538" s="1170">
        <v>8298541</v>
      </c>
      <c r="GIO538" s="1170">
        <v>8298541</v>
      </c>
      <c r="GIP538" s="1170">
        <v>8298541</v>
      </c>
      <c r="GIQ538" s="1170">
        <v>8298541</v>
      </c>
      <c r="GIR538" s="1170">
        <v>8298541</v>
      </c>
      <c r="GIS538" s="1170">
        <v>8298541</v>
      </c>
      <c r="GIT538" s="1170">
        <v>8298541</v>
      </c>
      <c r="GIU538" s="1170">
        <v>8298541</v>
      </c>
      <c r="GIV538" s="1170">
        <v>8298541</v>
      </c>
      <c r="GIW538" s="1170">
        <v>8298541</v>
      </c>
      <c r="GIX538" s="1170">
        <v>8298541</v>
      </c>
      <c r="GIY538" s="1170">
        <v>8298541</v>
      </c>
      <c r="GIZ538" s="1170">
        <v>8298541</v>
      </c>
      <c r="GJA538" s="1170">
        <v>8298541</v>
      </c>
      <c r="GJB538" s="1170">
        <v>8298541</v>
      </c>
      <c r="GJC538" s="1170">
        <v>8298541</v>
      </c>
      <c r="GJD538" s="1170">
        <v>8298541</v>
      </c>
      <c r="GJE538" s="1170">
        <v>8298541</v>
      </c>
      <c r="GJF538" s="1170">
        <v>8298541</v>
      </c>
      <c r="GJG538" s="1170">
        <v>8298541</v>
      </c>
      <c r="GJH538" s="1170">
        <v>8298541</v>
      </c>
      <c r="GJI538" s="1170">
        <v>8298541</v>
      </c>
      <c r="GJJ538" s="1170">
        <v>8298541</v>
      </c>
      <c r="GJK538" s="1170">
        <v>8298541</v>
      </c>
      <c r="GJL538" s="1170">
        <v>8298541</v>
      </c>
      <c r="GJM538" s="1170">
        <v>8298541</v>
      </c>
      <c r="GJN538" s="1170">
        <v>8298541</v>
      </c>
      <c r="GJO538" s="1170">
        <v>8298541</v>
      </c>
      <c r="GJP538" s="1170">
        <v>8298541</v>
      </c>
      <c r="GJQ538" s="1170">
        <v>8298541</v>
      </c>
      <c r="GJR538" s="1170">
        <v>8298541</v>
      </c>
      <c r="GJS538" s="1170">
        <v>8298541</v>
      </c>
      <c r="GJT538" s="1170">
        <v>8298541</v>
      </c>
      <c r="GJU538" s="1170">
        <v>8298541</v>
      </c>
      <c r="GJV538" s="1170">
        <v>8298541</v>
      </c>
      <c r="GJW538" s="1170">
        <v>8298541</v>
      </c>
      <c r="GJX538" s="1170">
        <v>8298541</v>
      </c>
      <c r="GJY538" s="1170">
        <v>8298541</v>
      </c>
      <c r="GJZ538" s="1170">
        <v>8298541</v>
      </c>
      <c r="GKA538" s="1170">
        <v>8298541</v>
      </c>
      <c r="GKB538" s="1170">
        <v>8298541</v>
      </c>
      <c r="GKC538" s="1170">
        <v>8298541</v>
      </c>
      <c r="GKD538" s="1170">
        <v>8298541</v>
      </c>
      <c r="GKE538" s="1170">
        <v>8298541</v>
      </c>
      <c r="GKF538" s="1170">
        <v>8298541</v>
      </c>
      <c r="GKG538" s="1170">
        <v>8298541</v>
      </c>
      <c r="GKH538" s="1170">
        <v>8298541</v>
      </c>
      <c r="GKI538" s="1170">
        <v>8298541</v>
      </c>
      <c r="GKJ538" s="1170">
        <v>8298541</v>
      </c>
      <c r="GKK538" s="1170">
        <v>8298541</v>
      </c>
      <c r="GKL538" s="1170">
        <v>8298541</v>
      </c>
      <c r="GKM538" s="1170">
        <v>8298541</v>
      </c>
      <c r="GKN538" s="1170">
        <v>8298541</v>
      </c>
      <c r="GKO538" s="1170">
        <v>8298541</v>
      </c>
      <c r="GKP538" s="1170">
        <v>8298541</v>
      </c>
      <c r="GKQ538" s="1170">
        <v>8298541</v>
      </c>
      <c r="GKR538" s="1170">
        <v>8298541</v>
      </c>
      <c r="GKS538" s="1170">
        <v>8298541</v>
      </c>
      <c r="GKT538" s="1170">
        <v>8298541</v>
      </c>
      <c r="GKU538" s="1170">
        <v>8298541</v>
      </c>
      <c r="GKV538" s="1170">
        <v>8298541</v>
      </c>
      <c r="GKW538" s="1170">
        <v>8298541</v>
      </c>
      <c r="GKX538" s="1170">
        <v>8298541</v>
      </c>
      <c r="GKY538" s="1170">
        <v>8298541</v>
      </c>
      <c r="GKZ538" s="1170">
        <v>8298541</v>
      </c>
      <c r="GLA538" s="1170">
        <v>8298541</v>
      </c>
      <c r="GLB538" s="1170">
        <v>8298541</v>
      </c>
      <c r="GLC538" s="1170">
        <v>8298541</v>
      </c>
      <c r="GLD538" s="1170">
        <v>8298541</v>
      </c>
      <c r="GLE538" s="1170">
        <v>8298541</v>
      </c>
      <c r="GLF538" s="1170">
        <v>8298541</v>
      </c>
      <c r="GLG538" s="1170">
        <v>8298541</v>
      </c>
      <c r="GLH538" s="1170">
        <v>8298541</v>
      </c>
      <c r="GLI538" s="1170">
        <v>8298541</v>
      </c>
      <c r="GLJ538" s="1170">
        <v>8298541</v>
      </c>
      <c r="GLK538" s="1170">
        <v>8298541</v>
      </c>
      <c r="GLL538" s="1170">
        <v>8298541</v>
      </c>
      <c r="GLM538" s="1170">
        <v>8298541</v>
      </c>
      <c r="GLN538" s="1170">
        <v>8298541</v>
      </c>
      <c r="GLO538" s="1170">
        <v>8298541</v>
      </c>
      <c r="GLP538" s="1170">
        <v>8298541</v>
      </c>
      <c r="GLQ538" s="1170">
        <v>8298541</v>
      </c>
      <c r="GLR538" s="1170">
        <v>8298541</v>
      </c>
      <c r="GLS538" s="1170">
        <v>8298541</v>
      </c>
      <c r="GLT538" s="1170">
        <v>8298541</v>
      </c>
      <c r="GLU538" s="1170">
        <v>8298541</v>
      </c>
      <c r="GLV538" s="1170">
        <v>8298541</v>
      </c>
      <c r="GLW538" s="1170">
        <v>8298541</v>
      </c>
      <c r="GLX538" s="1170">
        <v>8298541</v>
      </c>
      <c r="GLY538" s="1170">
        <v>8298541</v>
      </c>
      <c r="GLZ538" s="1170">
        <v>8298541</v>
      </c>
      <c r="GMA538" s="1170">
        <v>8298541</v>
      </c>
      <c r="GMB538" s="1170">
        <v>8298541</v>
      </c>
      <c r="GMC538" s="1170">
        <v>8298541</v>
      </c>
      <c r="GMD538" s="1170">
        <v>8298541</v>
      </c>
      <c r="GME538" s="1170">
        <v>8298541</v>
      </c>
      <c r="GMF538" s="1170">
        <v>8298541</v>
      </c>
      <c r="GMG538" s="1170">
        <v>8298541</v>
      </c>
      <c r="GMH538" s="1170">
        <v>8298541</v>
      </c>
      <c r="GMI538" s="1170">
        <v>8298541</v>
      </c>
      <c r="GMJ538" s="1170">
        <v>8298541</v>
      </c>
      <c r="GMK538" s="1170">
        <v>8298541</v>
      </c>
      <c r="GML538" s="1170">
        <v>8298541</v>
      </c>
      <c r="GMM538" s="1170">
        <v>8298541</v>
      </c>
      <c r="GMN538" s="1170">
        <v>8298541</v>
      </c>
      <c r="GMO538" s="1170">
        <v>8298541</v>
      </c>
      <c r="GMP538" s="1170">
        <v>8298541</v>
      </c>
      <c r="GMQ538" s="1170">
        <v>8298541</v>
      </c>
      <c r="GMR538" s="1170">
        <v>8298541</v>
      </c>
      <c r="GMS538" s="1170">
        <v>8298541</v>
      </c>
      <c r="GMT538" s="1170">
        <v>8298541</v>
      </c>
      <c r="GMU538" s="1170">
        <v>8298541</v>
      </c>
      <c r="GMV538" s="1170">
        <v>8298541</v>
      </c>
      <c r="GMW538" s="1170">
        <v>8298541</v>
      </c>
      <c r="GMX538" s="1170">
        <v>8298541</v>
      </c>
      <c r="GMY538" s="1170">
        <v>8298541</v>
      </c>
      <c r="GMZ538" s="1170">
        <v>8298541</v>
      </c>
      <c r="GNA538" s="1170">
        <v>8298541</v>
      </c>
      <c r="GNB538" s="1170">
        <v>8298541</v>
      </c>
      <c r="GNC538" s="1170">
        <v>8298541</v>
      </c>
      <c r="GND538" s="1170">
        <v>8298541</v>
      </c>
      <c r="GNE538" s="1170">
        <v>8298541</v>
      </c>
      <c r="GNF538" s="1170">
        <v>8298541</v>
      </c>
      <c r="GNG538" s="1170">
        <v>8298541</v>
      </c>
      <c r="GNH538" s="1170">
        <v>8298541</v>
      </c>
      <c r="GNI538" s="1170">
        <v>8298541</v>
      </c>
      <c r="GNJ538" s="1170">
        <v>8298541</v>
      </c>
      <c r="GNK538" s="1170">
        <v>8298541</v>
      </c>
      <c r="GNL538" s="1170">
        <v>8298541</v>
      </c>
      <c r="GNM538" s="1170">
        <v>8298541</v>
      </c>
      <c r="GNN538" s="1170">
        <v>8298541</v>
      </c>
      <c r="GNO538" s="1170">
        <v>8298541</v>
      </c>
      <c r="GNP538" s="1170">
        <v>8298541</v>
      </c>
      <c r="GNQ538" s="1170">
        <v>8298541</v>
      </c>
      <c r="GNR538" s="1170">
        <v>8298541</v>
      </c>
      <c r="GNS538" s="1170">
        <v>8298541</v>
      </c>
      <c r="GNT538" s="1170">
        <v>8298541</v>
      </c>
      <c r="GNU538" s="1170">
        <v>8298541</v>
      </c>
      <c r="GNV538" s="1170">
        <v>8298541</v>
      </c>
      <c r="GNW538" s="1170">
        <v>8298541</v>
      </c>
      <c r="GNX538" s="1170">
        <v>8298541</v>
      </c>
      <c r="GNY538" s="1170">
        <v>8298541</v>
      </c>
      <c r="GNZ538" s="1170">
        <v>8298541</v>
      </c>
      <c r="GOA538" s="1170">
        <v>8298541</v>
      </c>
      <c r="GOB538" s="1170">
        <v>8298541</v>
      </c>
      <c r="GOC538" s="1170">
        <v>8298541</v>
      </c>
      <c r="GOD538" s="1170">
        <v>8298541</v>
      </c>
      <c r="GOE538" s="1170">
        <v>8298541</v>
      </c>
      <c r="GOF538" s="1170">
        <v>8298541</v>
      </c>
      <c r="GOG538" s="1170">
        <v>8298541</v>
      </c>
      <c r="GOH538" s="1170">
        <v>8298541</v>
      </c>
      <c r="GOI538" s="1170">
        <v>8298541</v>
      </c>
      <c r="GOJ538" s="1170">
        <v>8298541</v>
      </c>
      <c r="GOK538" s="1170">
        <v>8298541</v>
      </c>
      <c r="GOL538" s="1170">
        <v>8298541</v>
      </c>
      <c r="GOM538" s="1170">
        <v>8298541</v>
      </c>
      <c r="GON538" s="1170">
        <v>8298541</v>
      </c>
      <c r="GOO538" s="1170">
        <v>8298541</v>
      </c>
      <c r="GOP538" s="1170">
        <v>8298541</v>
      </c>
      <c r="GOQ538" s="1170">
        <v>8298541</v>
      </c>
      <c r="GOR538" s="1170">
        <v>8298541</v>
      </c>
      <c r="GOS538" s="1170">
        <v>8298541</v>
      </c>
      <c r="GOT538" s="1170">
        <v>8298541</v>
      </c>
      <c r="GOU538" s="1170">
        <v>8298541</v>
      </c>
      <c r="GOV538" s="1170">
        <v>8298541</v>
      </c>
      <c r="GOW538" s="1170">
        <v>8298541</v>
      </c>
      <c r="GOX538" s="1170">
        <v>8298541</v>
      </c>
      <c r="GOY538" s="1170">
        <v>8298541</v>
      </c>
      <c r="GOZ538" s="1170">
        <v>8298541</v>
      </c>
      <c r="GPA538" s="1170">
        <v>8298541</v>
      </c>
      <c r="GPB538" s="1170">
        <v>8298541</v>
      </c>
      <c r="GPC538" s="1170">
        <v>8298541</v>
      </c>
      <c r="GPD538" s="1170">
        <v>8298541</v>
      </c>
      <c r="GPE538" s="1170">
        <v>8298541</v>
      </c>
      <c r="GPF538" s="1170">
        <v>8298541</v>
      </c>
      <c r="GPG538" s="1170">
        <v>8298541</v>
      </c>
      <c r="GPH538" s="1170">
        <v>8298541</v>
      </c>
      <c r="GPI538" s="1170">
        <v>8298541</v>
      </c>
      <c r="GPJ538" s="1170">
        <v>8298541</v>
      </c>
      <c r="GPK538" s="1170">
        <v>8298541</v>
      </c>
      <c r="GPL538" s="1170">
        <v>8298541</v>
      </c>
      <c r="GPM538" s="1170">
        <v>8298541</v>
      </c>
      <c r="GPN538" s="1170">
        <v>8298541</v>
      </c>
      <c r="GPO538" s="1170">
        <v>8298541</v>
      </c>
      <c r="GPP538" s="1170">
        <v>8298541</v>
      </c>
      <c r="GPQ538" s="1170">
        <v>8298541</v>
      </c>
      <c r="GPR538" s="1170">
        <v>8298541</v>
      </c>
      <c r="GPS538" s="1170">
        <v>8298541</v>
      </c>
      <c r="GPT538" s="1170">
        <v>8298541</v>
      </c>
      <c r="GPU538" s="1170">
        <v>8298541</v>
      </c>
      <c r="GPV538" s="1170">
        <v>8298541</v>
      </c>
      <c r="GPW538" s="1170">
        <v>8298541</v>
      </c>
      <c r="GPX538" s="1170">
        <v>8298541</v>
      </c>
      <c r="GPY538" s="1170">
        <v>8298541</v>
      </c>
      <c r="GPZ538" s="1170">
        <v>8298541</v>
      </c>
      <c r="GQA538" s="1170">
        <v>8298541</v>
      </c>
      <c r="GQB538" s="1170">
        <v>8298541</v>
      </c>
      <c r="GQC538" s="1170">
        <v>8298541</v>
      </c>
      <c r="GQD538" s="1170">
        <v>8298541</v>
      </c>
      <c r="GQE538" s="1170">
        <v>8298541</v>
      </c>
      <c r="GQF538" s="1170">
        <v>8298541</v>
      </c>
      <c r="GQG538" s="1170">
        <v>8298541</v>
      </c>
      <c r="GQH538" s="1170">
        <v>8298541</v>
      </c>
      <c r="GQI538" s="1170">
        <v>8298541</v>
      </c>
      <c r="GQJ538" s="1170">
        <v>8298541</v>
      </c>
      <c r="GQK538" s="1170">
        <v>8298541</v>
      </c>
      <c r="GQL538" s="1170">
        <v>8298541</v>
      </c>
      <c r="GQM538" s="1170">
        <v>8298541</v>
      </c>
      <c r="GQN538" s="1170">
        <v>8298541</v>
      </c>
      <c r="GQO538" s="1170">
        <v>8298541</v>
      </c>
      <c r="GQP538" s="1170">
        <v>8298541</v>
      </c>
      <c r="GQQ538" s="1170">
        <v>8298541</v>
      </c>
      <c r="GQR538" s="1170">
        <v>8298541</v>
      </c>
      <c r="GQS538" s="1170">
        <v>8298541</v>
      </c>
      <c r="GQT538" s="1170">
        <v>8298541</v>
      </c>
      <c r="GQU538" s="1170">
        <v>8298541</v>
      </c>
      <c r="GQV538" s="1170">
        <v>8298541</v>
      </c>
      <c r="GQW538" s="1170">
        <v>8298541</v>
      </c>
      <c r="GQX538" s="1170">
        <v>8298541</v>
      </c>
      <c r="GQY538" s="1170">
        <v>8298541</v>
      </c>
      <c r="GQZ538" s="1170">
        <v>8298541</v>
      </c>
      <c r="GRA538" s="1170">
        <v>8298541</v>
      </c>
      <c r="GRB538" s="1170">
        <v>8298541</v>
      </c>
      <c r="GRC538" s="1170">
        <v>8298541</v>
      </c>
      <c r="GRD538" s="1170">
        <v>8298541</v>
      </c>
      <c r="GRE538" s="1170">
        <v>8298541</v>
      </c>
      <c r="GRF538" s="1170">
        <v>8298541</v>
      </c>
      <c r="GRG538" s="1170">
        <v>8298541</v>
      </c>
      <c r="GRH538" s="1170">
        <v>8298541</v>
      </c>
      <c r="GRI538" s="1170">
        <v>8298541</v>
      </c>
      <c r="GRJ538" s="1170">
        <v>8298541</v>
      </c>
      <c r="GRK538" s="1170">
        <v>8298541</v>
      </c>
      <c r="GRL538" s="1170">
        <v>8298541</v>
      </c>
      <c r="GRM538" s="1170">
        <v>8298541</v>
      </c>
      <c r="GRN538" s="1170">
        <v>8298541</v>
      </c>
      <c r="GRO538" s="1170">
        <v>8298541</v>
      </c>
      <c r="GRP538" s="1170">
        <v>8298541</v>
      </c>
      <c r="GRQ538" s="1170">
        <v>8298541</v>
      </c>
      <c r="GRR538" s="1170">
        <v>8298541</v>
      </c>
      <c r="GRS538" s="1170">
        <v>8298541</v>
      </c>
      <c r="GRT538" s="1170">
        <v>8298541</v>
      </c>
      <c r="GRU538" s="1170">
        <v>8298541</v>
      </c>
      <c r="GRV538" s="1170">
        <v>8298541</v>
      </c>
      <c r="GRW538" s="1170">
        <v>8298541</v>
      </c>
      <c r="GRX538" s="1170">
        <v>8298541</v>
      </c>
      <c r="GRY538" s="1170">
        <v>8298541</v>
      </c>
      <c r="GRZ538" s="1170">
        <v>8298541</v>
      </c>
      <c r="GSA538" s="1170">
        <v>8298541</v>
      </c>
      <c r="GSB538" s="1170">
        <v>8298541</v>
      </c>
      <c r="GSC538" s="1170">
        <v>8298541</v>
      </c>
      <c r="GSD538" s="1170">
        <v>8298541</v>
      </c>
      <c r="GSE538" s="1170">
        <v>8298541</v>
      </c>
      <c r="GSF538" s="1170">
        <v>8298541</v>
      </c>
      <c r="GSG538" s="1170">
        <v>8298541</v>
      </c>
      <c r="GSH538" s="1170">
        <v>8298541</v>
      </c>
      <c r="GSI538" s="1170">
        <v>8298541</v>
      </c>
      <c r="GSJ538" s="1170">
        <v>8298541</v>
      </c>
      <c r="GSK538" s="1170">
        <v>8298541</v>
      </c>
      <c r="GSL538" s="1170">
        <v>8298541</v>
      </c>
      <c r="GSM538" s="1170">
        <v>8298541</v>
      </c>
      <c r="GSN538" s="1170">
        <v>8298541</v>
      </c>
      <c r="GSO538" s="1170">
        <v>8298541</v>
      </c>
      <c r="GSP538" s="1170">
        <v>8298541</v>
      </c>
      <c r="GSQ538" s="1170">
        <v>8298541</v>
      </c>
      <c r="GSR538" s="1170">
        <v>8298541</v>
      </c>
      <c r="GSS538" s="1170">
        <v>8298541</v>
      </c>
      <c r="GST538" s="1170">
        <v>8298541</v>
      </c>
      <c r="GSU538" s="1170">
        <v>8298541</v>
      </c>
      <c r="GSV538" s="1170">
        <v>8298541</v>
      </c>
      <c r="GSW538" s="1170">
        <v>8298541</v>
      </c>
      <c r="GSX538" s="1170">
        <v>8298541</v>
      </c>
      <c r="GSY538" s="1170">
        <v>8298541</v>
      </c>
      <c r="GSZ538" s="1170">
        <v>8298541</v>
      </c>
      <c r="GTA538" s="1170">
        <v>8298541</v>
      </c>
      <c r="GTB538" s="1170">
        <v>8298541</v>
      </c>
      <c r="GTC538" s="1170">
        <v>8298541</v>
      </c>
      <c r="GTD538" s="1170">
        <v>8298541</v>
      </c>
      <c r="GTE538" s="1170">
        <v>8298541</v>
      </c>
      <c r="GTF538" s="1170">
        <v>8298541</v>
      </c>
      <c r="GTG538" s="1170">
        <v>8298541</v>
      </c>
      <c r="GTH538" s="1170">
        <v>8298541</v>
      </c>
      <c r="GTI538" s="1170">
        <v>8298541</v>
      </c>
      <c r="GTJ538" s="1170">
        <v>8298541</v>
      </c>
      <c r="GTK538" s="1170">
        <v>8298541</v>
      </c>
      <c r="GTL538" s="1170">
        <v>8298541</v>
      </c>
      <c r="GTM538" s="1170">
        <v>8298541</v>
      </c>
      <c r="GTN538" s="1170">
        <v>8298541</v>
      </c>
      <c r="GTO538" s="1170">
        <v>8298541</v>
      </c>
      <c r="GTP538" s="1170">
        <v>8298541</v>
      </c>
      <c r="GTQ538" s="1170">
        <v>8298541</v>
      </c>
      <c r="GTR538" s="1170">
        <v>8298541</v>
      </c>
      <c r="GTS538" s="1170">
        <v>8298541</v>
      </c>
      <c r="GTT538" s="1170">
        <v>8298541</v>
      </c>
      <c r="GTU538" s="1170">
        <v>8298541</v>
      </c>
      <c r="GTV538" s="1170">
        <v>8298541</v>
      </c>
      <c r="GTW538" s="1170">
        <v>8298541</v>
      </c>
      <c r="GTX538" s="1170">
        <v>8298541</v>
      </c>
      <c r="GTY538" s="1170">
        <v>8298541</v>
      </c>
      <c r="GTZ538" s="1170">
        <v>8298541</v>
      </c>
      <c r="GUA538" s="1170">
        <v>8298541</v>
      </c>
      <c r="GUB538" s="1170">
        <v>8298541</v>
      </c>
      <c r="GUC538" s="1170">
        <v>8298541</v>
      </c>
      <c r="GUD538" s="1170">
        <v>8298541</v>
      </c>
      <c r="GUE538" s="1170">
        <v>8298541</v>
      </c>
      <c r="GUF538" s="1170">
        <v>8298541</v>
      </c>
      <c r="GUG538" s="1170">
        <v>8298541</v>
      </c>
      <c r="GUH538" s="1170">
        <v>8298541</v>
      </c>
      <c r="GUI538" s="1170">
        <v>8298541</v>
      </c>
      <c r="GUJ538" s="1170">
        <v>8298541</v>
      </c>
      <c r="GUK538" s="1170">
        <v>8298541</v>
      </c>
      <c r="GUL538" s="1170">
        <v>8298541</v>
      </c>
      <c r="GUM538" s="1170">
        <v>8298541</v>
      </c>
      <c r="GUN538" s="1170">
        <v>8298541</v>
      </c>
      <c r="GUO538" s="1170">
        <v>8298541</v>
      </c>
      <c r="GUP538" s="1170">
        <v>8298541</v>
      </c>
      <c r="GUQ538" s="1170">
        <v>8298541</v>
      </c>
      <c r="GUR538" s="1170">
        <v>8298541</v>
      </c>
      <c r="GUS538" s="1170">
        <v>8298541</v>
      </c>
      <c r="GUT538" s="1170">
        <v>8298541</v>
      </c>
      <c r="GUU538" s="1170">
        <v>8298541</v>
      </c>
      <c r="GUV538" s="1170">
        <v>8298541</v>
      </c>
      <c r="GUW538" s="1170">
        <v>8298541</v>
      </c>
      <c r="GUX538" s="1170">
        <v>8298541</v>
      </c>
      <c r="GUY538" s="1170">
        <v>8298541</v>
      </c>
      <c r="GUZ538" s="1170">
        <v>8298541</v>
      </c>
      <c r="GVA538" s="1170">
        <v>8298541</v>
      </c>
      <c r="GVB538" s="1170">
        <v>8298541</v>
      </c>
      <c r="GVC538" s="1170">
        <v>8298541</v>
      </c>
      <c r="GVD538" s="1170">
        <v>8298541</v>
      </c>
      <c r="GVE538" s="1170">
        <v>8298541</v>
      </c>
      <c r="GVF538" s="1170">
        <v>8298541</v>
      </c>
      <c r="GVG538" s="1170">
        <v>8298541</v>
      </c>
      <c r="GVH538" s="1170">
        <v>8298541</v>
      </c>
      <c r="GVI538" s="1170">
        <v>8298541</v>
      </c>
      <c r="GVJ538" s="1170">
        <v>8298541</v>
      </c>
      <c r="GVK538" s="1170">
        <v>8298541</v>
      </c>
      <c r="GVL538" s="1170">
        <v>8298541</v>
      </c>
      <c r="GVM538" s="1170">
        <v>8298541</v>
      </c>
      <c r="GVN538" s="1170">
        <v>8298541</v>
      </c>
      <c r="GVO538" s="1170">
        <v>8298541</v>
      </c>
      <c r="GVP538" s="1170">
        <v>8298541</v>
      </c>
      <c r="GVQ538" s="1170">
        <v>8298541</v>
      </c>
      <c r="GVR538" s="1170">
        <v>8298541</v>
      </c>
      <c r="GVS538" s="1170">
        <v>8298541</v>
      </c>
      <c r="GVT538" s="1170">
        <v>8298541</v>
      </c>
      <c r="GVU538" s="1170">
        <v>8298541</v>
      </c>
      <c r="GVV538" s="1170">
        <v>8298541</v>
      </c>
      <c r="GVW538" s="1170">
        <v>8298541</v>
      </c>
      <c r="GVX538" s="1170">
        <v>8298541</v>
      </c>
      <c r="GVY538" s="1170">
        <v>8298541</v>
      </c>
      <c r="GVZ538" s="1170">
        <v>8298541</v>
      </c>
      <c r="GWA538" s="1170">
        <v>8298541</v>
      </c>
      <c r="GWB538" s="1170">
        <v>8298541</v>
      </c>
      <c r="GWC538" s="1170">
        <v>8298541</v>
      </c>
      <c r="GWD538" s="1170">
        <v>8298541</v>
      </c>
      <c r="GWE538" s="1170">
        <v>8298541</v>
      </c>
      <c r="GWF538" s="1170">
        <v>8298541</v>
      </c>
      <c r="GWG538" s="1170">
        <v>8298541</v>
      </c>
      <c r="GWH538" s="1170">
        <v>8298541</v>
      </c>
      <c r="GWI538" s="1170">
        <v>8298541</v>
      </c>
      <c r="GWJ538" s="1170">
        <v>8298541</v>
      </c>
      <c r="GWK538" s="1170">
        <v>8298541</v>
      </c>
      <c r="GWL538" s="1170">
        <v>8298541</v>
      </c>
      <c r="GWM538" s="1170">
        <v>8298541</v>
      </c>
      <c r="GWN538" s="1170">
        <v>8298541</v>
      </c>
      <c r="GWO538" s="1170">
        <v>8298541</v>
      </c>
      <c r="GWP538" s="1170">
        <v>8298541</v>
      </c>
      <c r="GWQ538" s="1170">
        <v>8298541</v>
      </c>
      <c r="GWR538" s="1170">
        <v>8298541</v>
      </c>
      <c r="GWS538" s="1170">
        <v>8298541</v>
      </c>
      <c r="GWT538" s="1170">
        <v>8298541</v>
      </c>
      <c r="GWU538" s="1170">
        <v>8298541</v>
      </c>
      <c r="GWV538" s="1170">
        <v>8298541</v>
      </c>
      <c r="GWW538" s="1170">
        <v>8298541</v>
      </c>
      <c r="GWX538" s="1170">
        <v>8298541</v>
      </c>
      <c r="GWY538" s="1170">
        <v>8298541</v>
      </c>
      <c r="GWZ538" s="1170">
        <v>8298541</v>
      </c>
      <c r="GXA538" s="1170">
        <v>8298541</v>
      </c>
      <c r="GXB538" s="1170">
        <v>8298541</v>
      </c>
      <c r="GXC538" s="1170">
        <v>8298541</v>
      </c>
      <c r="GXD538" s="1170">
        <v>8298541</v>
      </c>
      <c r="GXE538" s="1170">
        <v>8298541</v>
      </c>
      <c r="GXF538" s="1170">
        <v>8298541</v>
      </c>
      <c r="GXG538" s="1170">
        <v>8298541</v>
      </c>
      <c r="GXH538" s="1170">
        <v>8298541</v>
      </c>
      <c r="GXI538" s="1170">
        <v>8298541</v>
      </c>
      <c r="GXJ538" s="1170">
        <v>8298541</v>
      </c>
      <c r="GXK538" s="1170">
        <v>8298541</v>
      </c>
      <c r="GXL538" s="1170">
        <v>8298541</v>
      </c>
      <c r="GXM538" s="1170">
        <v>8298541</v>
      </c>
      <c r="GXN538" s="1170">
        <v>8298541</v>
      </c>
      <c r="GXO538" s="1170">
        <v>8298541</v>
      </c>
      <c r="GXP538" s="1170">
        <v>8298541</v>
      </c>
      <c r="GXQ538" s="1170">
        <v>8298541</v>
      </c>
      <c r="GXR538" s="1170">
        <v>8298541</v>
      </c>
      <c r="GXS538" s="1170">
        <v>8298541</v>
      </c>
      <c r="GXT538" s="1170">
        <v>8298541</v>
      </c>
      <c r="GXU538" s="1170">
        <v>8298541</v>
      </c>
      <c r="GXV538" s="1170">
        <v>8298541</v>
      </c>
      <c r="GXW538" s="1170">
        <v>8298541</v>
      </c>
      <c r="GXX538" s="1170">
        <v>8298541</v>
      </c>
      <c r="GXY538" s="1170">
        <v>8298541</v>
      </c>
      <c r="GXZ538" s="1170">
        <v>8298541</v>
      </c>
      <c r="GYA538" s="1170">
        <v>8298541</v>
      </c>
      <c r="GYB538" s="1170">
        <v>8298541</v>
      </c>
      <c r="GYC538" s="1170">
        <v>8298541</v>
      </c>
      <c r="GYD538" s="1170">
        <v>8298541</v>
      </c>
      <c r="GYE538" s="1170">
        <v>8298541</v>
      </c>
      <c r="GYF538" s="1170">
        <v>8298541</v>
      </c>
      <c r="GYG538" s="1170">
        <v>8298541</v>
      </c>
      <c r="GYH538" s="1170">
        <v>8298541</v>
      </c>
      <c r="GYI538" s="1170">
        <v>8298541</v>
      </c>
      <c r="GYJ538" s="1170">
        <v>8298541</v>
      </c>
      <c r="GYK538" s="1170">
        <v>8298541</v>
      </c>
      <c r="GYL538" s="1170">
        <v>8298541</v>
      </c>
      <c r="GYM538" s="1170">
        <v>8298541</v>
      </c>
      <c r="GYN538" s="1170">
        <v>8298541</v>
      </c>
      <c r="GYO538" s="1170">
        <v>8298541</v>
      </c>
      <c r="GYP538" s="1170">
        <v>8298541</v>
      </c>
      <c r="GYQ538" s="1170">
        <v>8298541</v>
      </c>
      <c r="GYR538" s="1170">
        <v>8298541</v>
      </c>
      <c r="GYS538" s="1170">
        <v>8298541</v>
      </c>
      <c r="GYT538" s="1170">
        <v>8298541</v>
      </c>
      <c r="GYU538" s="1170">
        <v>8298541</v>
      </c>
      <c r="GYV538" s="1170">
        <v>8298541</v>
      </c>
      <c r="GYW538" s="1170">
        <v>8298541</v>
      </c>
      <c r="GYX538" s="1170">
        <v>8298541</v>
      </c>
      <c r="GYY538" s="1170">
        <v>8298541</v>
      </c>
      <c r="GYZ538" s="1170">
        <v>8298541</v>
      </c>
      <c r="GZA538" s="1170">
        <v>8298541</v>
      </c>
      <c r="GZB538" s="1170">
        <v>8298541</v>
      </c>
      <c r="GZC538" s="1170">
        <v>8298541</v>
      </c>
      <c r="GZD538" s="1170">
        <v>8298541</v>
      </c>
      <c r="GZE538" s="1170">
        <v>8298541</v>
      </c>
      <c r="GZF538" s="1170">
        <v>8298541</v>
      </c>
      <c r="GZG538" s="1170">
        <v>8298541</v>
      </c>
      <c r="GZH538" s="1170">
        <v>8298541</v>
      </c>
      <c r="GZI538" s="1170">
        <v>8298541</v>
      </c>
      <c r="GZJ538" s="1170">
        <v>8298541</v>
      </c>
      <c r="GZK538" s="1170">
        <v>8298541</v>
      </c>
      <c r="GZL538" s="1170">
        <v>8298541</v>
      </c>
      <c r="GZM538" s="1170">
        <v>8298541</v>
      </c>
      <c r="GZN538" s="1170">
        <v>8298541</v>
      </c>
      <c r="GZO538" s="1170">
        <v>8298541</v>
      </c>
      <c r="GZP538" s="1170">
        <v>8298541</v>
      </c>
      <c r="GZQ538" s="1170">
        <v>8298541</v>
      </c>
      <c r="GZR538" s="1170">
        <v>8298541</v>
      </c>
      <c r="GZS538" s="1170">
        <v>8298541</v>
      </c>
      <c r="GZT538" s="1170">
        <v>8298541</v>
      </c>
      <c r="GZU538" s="1170">
        <v>8298541</v>
      </c>
      <c r="GZV538" s="1170">
        <v>8298541</v>
      </c>
      <c r="GZW538" s="1170">
        <v>8298541</v>
      </c>
      <c r="GZX538" s="1170">
        <v>8298541</v>
      </c>
      <c r="GZY538" s="1170">
        <v>8298541</v>
      </c>
      <c r="GZZ538" s="1170">
        <v>8298541</v>
      </c>
      <c r="HAA538" s="1170">
        <v>8298541</v>
      </c>
      <c r="HAB538" s="1170">
        <v>8298541</v>
      </c>
      <c r="HAC538" s="1170">
        <v>8298541</v>
      </c>
      <c r="HAD538" s="1170">
        <v>8298541</v>
      </c>
      <c r="HAE538" s="1170">
        <v>8298541</v>
      </c>
      <c r="HAF538" s="1170">
        <v>8298541</v>
      </c>
      <c r="HAG538" s="1170">
        <v>8298541</v>
      </c>
      <c r="HAH538" s="1170">
        <v>8298541</v>
      </c>
      <c r="HAI538" s="1170">
        <v>8298541</v>
      </c>
      <c r="HAJ538" s="1170">
        <v>8298541</v>
      </c>
      <c r="HAK538" s="1170">
        <v>8298541</v>
      </c>
      <c r="HAL538" s="1170">
        <v>8298541</v>
      </c>
      <c r="HAM538" s="1170">
        <v>8298541</v>
      </c>
      <c r="HAN538" s="1170">
        <v>8298541</v>
      </c>
      <c r="HAO538" s="1170">
        <v>8298541</v>
      </c>
      <c r="HAP538" s="1170">
        <v>8298541</v>
      </c>
      <c r="HAQ538" s="1170">
        <v>8298541</v>
      </c>
      <c r="HAR538" s="1170">
        <v>8298541</v>
      </c>
      <c r="HAS538" s="1170">
        <v>8298541</v>
      </c>
      <c r="HAT538" s="1170">
        <v>8298541</v>
      </c>
      <c r="HAU538" s="1170">
        <v>8298541</v>
      </c>
      <c r="HAV538" s="1170">
        <v>8298541</v>
      </c>
      <c r="HAW538" s="1170">
        <v>8298541</v>
      </c>
      <c r="HAX538" s="1170">
        <v>8298541</v>
      </c>
      <c r="HAY538" s="1170">
        <v>8298541</v>
      </c>
      <c r="HAZ538" s="1170">
        <v>8298541</v>
      </c>
      <c r="HBA538" s="1170">
        <v>8298541</v>
      </c>
      <c r="HBB538" s="1170">
        <v>8298541</v>
      </c>
      <c r="HBC538" s="1170">
        <v>8298541</v>
      </c>
      <c r="HBD538" s="1170">
        <v>8298541</v>
      </c>
      <c r="HBE538" s="1170">
        <v>8298541</v>
      </c>
      <c r="HBF538" s="1170">
        <v>8298541</v>
      </c>
      <c r="HBG538" s="1170">
        <v>8298541</v>
      </c>
      <c r="HBH538" s="1170">
        <v>8298541</v>
      </c>
      <c r="HBI538" s="1170">
        <v>8298541</v>
      </c>
      <c r="HBJ538" s="1170">
        <v>8298541</v>
      </c>
      <c r="HBK538" s="1170">
        <v>8298541</v>
      </c>
      <c r="HBL538" s="1170">
        <v>8298541</v>
      </c>
      <c r="HBM538" s="1170">
        <v>8298541</v>
      </c>
      <c r="HBN538" s="1170">
        <v>8298541</v>
      </c>
      <c r="HBO538" s="1170">
        <v>8298541</v>
      </c>
      <c r="HBP538" s="1170">
        <v>8298541</v>
      </c>
      <c r="HBQ538" s="1170">
        <v>8298541</v>
      </c>
      <c r="HBR538" s="1170">
        <v>8298541</v>
      </c>
      <c r="HBS538" s="1170">
        <v>8298541</v>
      </c>
      <c r="HBT538" s="1170">
        <v>8298541</v>
      </c>
      <c r="HBU538" s="1170">
        <v>8298541</v>
      </c>
      <c r="HBV538" s="1170">
        <v>8298541</v>
      </c>
      <c r="HBW538" s="1170">
        <v>8298541</v>
      </c>
      <c r="HBX538" s="1170">
        <v>8298541</v>
      </c>
      <c r="HBY538" s="1170">
        <v>8298541</v>
      </c>
      <c r="HBZ538" s="1170">
        <v>8298541</v>
      </c>
      <c r="HCA538" s="1170">
        <v>8298541</v>
      </c>
      <c r="HCB538" s="1170">
        <v>8298541</v>
      </c>
      <c r="HCC538" s="1170">
        <v>8298541</v>
      </c>
      <c r="HCD538" s="1170">
        <v>8298541</v>
      </c>
      <c r="HCE538" s="1170">
        <v>8298541</v>
      </c>
      <c r="HCF538" s="1170">
        <v>8298541</v>
      </c>
      <c r="HCG538" s="1170">
        <v>8298541</v>
      </c>
      <c r="HCH538" s="1170">
        <v>8298541</v>
      </c>
      <c r="HCI538" s="1170">
        <v>8298541</v>
      </c>
      <c r="HCJ538" s="1170">
        <v>8298541</v>
      </c>
      <c r="HCK538" s="1170">
        <v>8298541</v>
      </c>
      <c r="HCL538" s="1170">
        <v>8298541</v>
      </c>
      <c r="HCM538" s="1170">
        <v>8298541</v>
      </c>
      <c r="HCN538" s="1170">
        <v>8298541</v>
      </c>
      <c r="HCO538" s="1170">
        <v>8298541</v>
      </c>
      <c r="HCP538" s="1170">
        <v>8298541</v>
      </c>
      <c r="HCQ538" s="1170">
        <v>8298541</v>
      </c>
      <c r="HCR538" s="1170">
        <v>8298541</v>
      </c>
      <c r="HCS538" s="1170">
        <v>8298541</v>
      </c>
      <c r="HCT538" s="1170">
        <v>8298541</v>
      </c>
      <c r="HCU538" s="1170">
        <v>8298541</v>
      </c>
      <c r="HCV538" s="1170">
        <v>8298541</v>
      </c>
      <c r="HCW538" s="1170">
        <v>8298541</v>
      </c>
      <c r="HCX538" s="1170">
        <v>8298541</v>
      </c>
      <c r="HCY538" s="1170">
        <v>8298541</v>
      </c>
      <c r="HCZ538" s="1170">
        <v>8298541</v>
      </c>
      <c r="HDA538" s="1170">
        <v>8298541</v>
      </c>
      <c r="HDB538" s="1170">
        <v>8298541</v>
      </c>
      <c r="HDC538" s="1170">
        <v>8298541</v>
      </c>
      <c r="HDD538" s="1170">
        <v>8298541</v>
      </c>
      <c r="HDE538" s="1170">
        <v>8298541</v>
      </c>
      <c r="HDF538" s="1170">
        <v>8298541</v>
      </c>
      <c r="HDG538" s="1170">
        <v>8298541</v>
      </c>
      <c r="HDH538" s="1170">
        <v>8298541</v>
      </c>
      <c r="HDI538" s="1170">
        <v>8298541</v>
      </c>
      <c r="HDJ538" s="1170">
        <v>8298541</v>
      </c>
      <c r="HDK538" s="1170">
        <v>8298541</v>
      </c>
      <c r="HDL538" s="1170">
        <v>8298541</v>
      </c>
      <c r="HDM538" s="1170">
        <v>8298541</v>
      </c>
      <c r="HDN538" s="1170">
        <v>8298541</v>
      </c>
      <c r="HDO538" s="1170">
        <v>8298541</v>
      </c>
      <c r="HDP538" s="1170">
        <v>8298541</v>
      </c>
      <c r="HDQ538" s="1170">
        <v>8298541</v>
      </c>
      <c r="HDR538" s="1170">
        <v>8298541</v>
      </c>
      <c r="HDS538" s="1170">
        <v>8298541</v>
      </c>
      <c r="HDT538" s="1170">
        <v>8298541</v>
      </c>
      <c r="HDU538" s="1170">
        <v>8298541</v>
      </c>
      <c r="HDV538" s="1170">
        <v>8298541</v>
      </c>
      <c r="HDW538" s="1170">
        <v>8298541</v>
      </c>
      <c r="HDX538" s="1170">
        <v>8298541</v>
      </c>
      <c r="HDY538" s="1170">
        <v>8298541</v>
      </c>
      <c r="HDZ538" s="1170">
        <v>8298541</v>
      </c>
      <c r="HEA538" s="1170">
        <v>8298541</v>
      </c>
      <c r="HEB538" s="1170">
        <v>8298541</v>
      </c>
      <c r="HEC538" s="1170">
        <v>8298541</v>
      </c>
      <c r="HED538" s="1170">
        <v>8298541</v>
      </c>
      <c r="HEE538" s="1170">
        <v>8298541</v>
      </c>
      <c r="HEF538" s="1170">
        <v>8298541</v>
      </c>
      <c r="HEG538" s="1170">
        <v>8298541</v>
      </c>
      <c r="HEH538" s="1170">
        <v>8298541</v>
      </c>
      <c r="HEI538" s="1170">
        <v>8298541</v>
      </c>
      <c r="HEJ538" s="1170">
        <v>8298541</v>
      </c>
      <c r="HEK538" s="1170">
        <v>8298541</v>
      </c>
      <c r="HEL538" s="1170">
        <v>8298541</v>
      </c>
      <c r="HEM538" s="1170">
        <v>8298541</v>
      </c>
      <c r="HEN538" s="1170">
        <v>8298541</v>
      </c>
      <c r="HEO538" s="1170">
        <v>8298541</v>
      </c>
      <c r="HEP538" s="1170">
        <v>8298541</v>
      </c>
      <c r="HEQ538" s="1170">
        <v>8298541</v>
      </c>
      <c r="HER538" s="1170">
        <v>8298541</v>
      </c>
      <c r="HES538" s="1170">
        <v>8298541</v>
      </c>
      <c r="HET538" s="1170">
        <v>8298541</v>
      </c>
      <c r="HEU538" s="1170">
        <v>8298541</v>
      </c>
      <c r="HEV538" s="1170">
        <v>8298541</v>
      </c>
      <c r="HEW538" s="1170">
        <v>8298541</v>
      </c>
      <c r="HEX538" s="1170">
        <v>8298541</v>
      </c>
      <c r="HEY538" s="1170">
        <v>8298541</v>
      </c>
      <c r="HEZ538" s="1170">
        <v>8298541</v>
      </c>
      <c r="HFA538" s="1170">
        <v>8298541</v>
      </c>
      <c r="HFB538" s="1170">
        <v>8298541</v>
      </c>
      <c r="HFC538" s="1170">
        <v>8298541</v>
      </c>
      <c r="HFD538" s="1170">
        <v>8298541</v>
      </c>
      <c r="HFE538" s="1170">
        <v>8298541</v>
      </c>
      <c r="HFF538" s="1170">
        <v>8298541</v>
      </c>
      <c r="HFG538" s="1170">
        <v>8298541</v>
      </c>
      <c r="HFH538" s="1170">
        <v>8298541</v>
      </c>
      <c r="HFI538" s="1170">
        <v>8298541</v>
      </c>
      <c r="HFJ538" s="1170">
        <v>8298541</v>
      </c>
      <c r="HFK538" s="1170">
        <v>8298541</v>
      </c>
      <c r="HFL538" s="1170">
        <v>8298541</v>
      </c>
      <c r="HFM538" s="1170">
        <v>8298541</v>
      </c>
      <c r="HFN538" s="1170">
        <v>8298541</v>
      </c>
      <c r="HFO538" s="1170">
        <v>8298541</v>
      </c>
      <c r="HFP538" s="1170">
        <v>8298541</v>
      </c>
      <c r="HFQ538" s="1170">
        <v>8298541</v>
      </c>
      <c r="HFR538" s="1170">
        <v>8298541</v>
      </c>
      <c r="HFS538" s="1170">
        <v>8298541</v>
      </c>
      <c r="HFT538" s="1170">
        <v>8298541</v>
      </c>
      <c r="HFU538" s="1170">
        <v>8298541</v>
      </c>
      <c r="HFV538" s="1170">
        <v>8298541</v>
      </c>
      <c r="HFW538" s="1170">
        <v>8298541</v>
      </c>
      <c r="HFX538" s="1170">
        <v>8298541</v>
      </c>
      <c r="HFY538" s="1170">
        <v>8298541</v>
      </c>
      <c r="HFZ538" s="1170">
        <v>8298541</v>
      </c>
      <c r="HGA538" s="1170">
        <v>8298541</v>
      </c>
      <c r="HGB538" s="1170">
        <v>8298541</v>
      </c>
      <c r="HGC538" s="1170">
        <v>8298541</v>
      </c>
      <c r="HGD538" s="1170">
        <v>8298541</v>
      </c>
      <c r="HGE538" s="1170">
        <v>8298541</v>
      </c>
      <c r="HGF538" s="1170">
        <v>8298541</v>
      </c>
      <c r="HGG538" s="1170">
        <v>8298541</v>
      </c>
      <c r="HGH538" s="1170">
        <v>8298541</v>
      </c>
      <c r="HGI538" s="1170">
        <v>8298541</v>
      </c>
      <c r="HGJ538" s="1170">
        <v>8298541</v>
      </c>
      <c r="HGK538" s="1170">
        <v>8298541</v>
      </c>
      <c r="HGL538" s="1170">
        <v>8298541</v>
      </c>
      <c r="HGM538" s="1170">
        <v>8298541</v>
      </c>
      <c r="HGN538" s="1170">
        <v>8298541</v>
      </c>
      <c r="HGO538" s="1170">
        <v>8298541</v>
      </c>
      <c r="HGP538" s="1170">
        <v>8298541</v>
      </c>
      <c r="HGQ538" s="1170">
        <v>8298541</v>
      </c>
      <c r="HGR538" s="1170">
        <v>8298541</v>
      </c>
      <c r="HGS538" s="1170">
        <v>8298541</v>
      </c>
      <c r="HGT538" s="1170">
        <v>8298541</v>
      </c>
      <c r="HGU538" s="1170">
        <v>8298541</v>
      </c>
      <c r="HGV538" s="1170">
        <v>8298541</v>
      </c>
      <c r="HGW538" s="1170">
        <v>8298541</v>
      </c>
      <c r="HGX538" s="1170">
        <v>8298541</v>
      </c>
      <c r="HGY538" s="1170">
        <v>8298541</v>
      </c>
      <c r="HGZ538" s="1170">
        <v>8298541</v>
      </c>
      <c r="HHA538" s="1170">
        <v>8298541</v>
      </c>
      <c r="HHB538" s="1170">
        <v>8298541</v>
      </c>
      <c r="HHC538" s="1170">
        <v>8298541</v>
      </c>
      <c r="HHD538" s="1170">
        <v>8298541</v>
      </c>
      <c r="HHE538" s="1170">
        <v>8298541</v>
      </c>
      <c r="HHF538" s="1170">
        <v>8298541</v>
      </c>
      <c r="HHG538" s="1170">
        <v>8298541</v>
      </c>
      <c r="HHH538" s="1170">
        <v>8298541</v>
      </c>
      <c r="HHI538" s="1170">
        <v>8298541</v>
      </c>
      <c r="HHJ538" s="1170">
        <v>8298541</v>
      </c>
      <c r="HHK538" s="1170">
        <v>8298541</v>
      </c>
      <c r="HHL538" s="1170">
        <v>8298541</v>
      </c>
      <c r="HHM538" s="1170">
        <v>8298541</v>
      </c>
      <c r="HHN538" s="1170">
        <v>8298541</v>
      </c>
      <c r="HHO538" s="1170">
        <v>8298541</v>
      </c>
      <c r="HHP538" s="1170">
        <v>8298541</v>
      </c>
      <c r="HHQ538" s="1170">
        <v>8298541</v>
      </c>
      <c r="HHR538" s="1170">
        <v>8298541</v>
      </c>
      <c r="HHS538" s="1170">
        <v>8298541</v>
      </c>
      <c r="HHT538" s="1170">
        <v>8298541</v>
      </c>
      <c r="HHU538" s="1170">
        <v>8298541</v>
      </c>
      <c r="HHV538" s="1170">
        <v>8298541</v>
      </c>
      <c r="HHW538" s="1170">
        <v>8298541</v>
      </c>
      <c r="HHX538" s="1170">
        <v>8298541</v>
      </c>
      <c r="HHY538" s="1170">
        <v>8298541</v>
      </c>
      <c r="HHZ538" s="1170">
        <v>8298541</v>
      </c>
      <c r="HIA538" s="1170">
        <v>8298541</v>
      </c>
      <c r="HIB538" s="1170">
        <v>8298541</v>
      </c>
      <c r="HIC538" s="1170">
        <v>8298541</v>
      </c>
      <c r="HID538" s="1170">
        <v>8298541</v>
      </c>
      <c r="HIE538" s="1170">
        <v>8298541</v>
      </c>
      <c r="HIF538" s="1170">
        <v>8298541</v>
      </c>
      <c r="HIG538" s="1170">
        <v>8298541</v>
      </c>
      <c r="HIH538" s="1170">
        <v>8298541</v>
      </c>
      <c r="HII538" s="1170">
        <v>8298541</v>
      </c>
      <c r="HIJ538" s="1170">
        <v>8298541</v>
      </c>
      <c r="HIK538" s="1170">
        <v>8298541</v>
      </c>
      <c r="HIL538" s="1170">
        <v>8298541</v>
      </c>
      <c r="HIM538" s="1170">
        <v>8298541</v>
      </c>
      <c r="HIN538" s="1170">
        <v>8298541</v>
      </c>
      <c r="HIO538" s="1170">
        <v>8298541</v>
      </c>
      <c r="HIP538" s="1170">
        <v>8298541</v>
      </c>
      <c r="HIQ538" s="1170">
        <v>8298541</v>
      </c>
      <c r="HIR538" s="1170">
        <v>8298541</v>
      </c>
      <c r="HIS538" s="1170">
        <v>8298541</v>
      </c>
      <c r="HIT538" s="1170">
        <v>8298541</v>
      </c>
      <c r="HIU538" s="1170">
        <v>8298541</v>
      </c>
      <c r="HIV538" s="1170">
        <v>8298541</v>
      </c>
      <c r="HIW538" s="1170">
        <v>8298541</v>
      </c>
      <c r="HIX538" s="1170">
        <v>8298541</v>
      </c>
      <c r="HIY538" s="1170">
        <v>8298541</v>
      </c>
      <c r="HIZ538" s="1170">
        <v>8298541</v>
      </c>
      <c r="HJA538" s="1170">
        <v>8298541</v>
      </c>
      <c r="HJB538" s="1170">
        <v>8298541</v>
      </c>
      <c r="HJC538" s="1170">
        <v>8298541</v>
      </c>
      <c r="HJD538" s="1170">
        <v>8298541</v>
      </c>
      <c r="HJE538" s="1170">
        <v>8298541</v>
      </c>
      <c r="HJF538" s="1170">
        <v>8298541</v>
      </c>
      <c r="HJG538" s="1170">
        <v>8298541</v>
      </c>
      <c r="HJH538" s="1170">
        <v>8298541</v>
      </c>
      <c r="HJI538" s="1170">
        <v>8298541</v>
      </c>
      <c r="HJJ538" s="1170">
        <v>8298541</v>
      </c>
      <c r="HJK538" s="1170">
        <v>8298541</v>
      </c>
      <c r="HJL538" s="1170">
        <v>8298541</v>
      </c>
      <c r="HJM538" s="1170">
        <v>8298541</v>
      </c>
      <c r="HJN538" s="1170">
        <v>8298541</v>
      </c>
      <c r="HJO538" s="1170">
        <v>8298541</v>
      </c>
      <c r="HJP538" s="1170">
        <v>8298541</v>
      </c>
      <c r="HJQ538" s="1170">
        <v>8298541</v>
      </c>
      <c r="HJR538" s="1170">
        <v>8298541</v>
      </c>
      <c r="HJS538" s="1170">
        <v>8298541</v>
      </c>
      <c r="HJT538" s="1170">
        <v>8298541</v>
      </c>
      <c r="HJU538" s="1170">
        <v>8298541</v>
      </c>
      <c r="HJV538" s="1170">
        <v>8298541</v>
      </c>
      <c r="HJW538" s="1170">
        <v>8298541</v>
      </c>
      <c r="HJX538" s="1170">
        <v>8298541</v>
      </c>
      <c r="HJY538" s="1170">
        <v>8298541</v>
      </c>
      <c r="HJZ538" s="1170">
        <v>8298541</v>
      </c>
      <c r="HKA538" s="1170">
        <v>8298541</v>
      </c>
      <c r="HKB538" s="1170">
        <v>8298541</v>
      </c>
      <c r="HKC538" s="1170">
        <v>8298541</v>
      </c>
      <c r="HKD538" s="1170">
        <v>8298541</v>
      </c>
      <c r="HKE538" s="1170">
        <v>8298541</v>
      </c>
      <c r="HKF538" s="1170">
        <v>8298541</v>
      </c>
      <c r="HKG538" s="1170">
        <v>8298541</v>
      </c>
      <c r="HKH538" s="1170">
        <v>8298541</v>
      </c>
      <c r="HKI538" s="1170">
        <v>8298541</v>
      </c>
      <c r="HKJ538" s="1170">
        <v>8298541</v>
      </c>
      <c r="HKK538" s="1170">
        <v>8298541</v>
      </c>
      <c r="HKL538" s="1170">
        <v>8298541</v>
      </c>
      <c r="HKM538" s="1170">
        <v>8298541</v>
      </c>
      <c r="HKN538" s="1170">
        <v>8298541</v>
      </c>
      <c r="HKO538" s="1170">
        <v>8298541</v>
      </c>
      <c r="HKP538" s="1170">
        <v>8298541</v>
      </c>
      <c r="HKQ538" s="1170">
        <v>8298541</v>
      </c>
      <c r="HKR538" s="1170">
        <v>8298541</v>
      </c>
      <c r="HKS538" s="1170">
        <v>8298541</v>
      </c>
      <c r="HKT538" s="1170">
        <v>8298541</v>
      </c>
      <c r="HKU538" s="1170">
        <v>8298541</v>
      </c>
      <c r="HKV538" s="1170">
        <v>8298541</v>
      </c>
      <c r="HKW538" s="1170">
        <v>8298541</v>
      </c>
      <c r="HKX538" s="1170">
        <v>8298541</v>
      </c>
      <c r="HKY538" s="1170">
        <v>8298541</v>
      </c>
      <c r="HKZ538" s="1170">
        <v>8298541</v>
      </c>
      <c r="HLA538" s="1170">
        <v>8298541</v>
      </c>
      <c r="HLB538" s="1170">
        <v>8298541</v>
      </c>
      <c r="HLC538" s="1170">
        <v>8298541</v>
      </c>
      <c r="HLD538" s="1170">
        <v>8298541</v>
      </c>
      <c r="HLE538" s="1170">
        <v>8298541</v>
      </c>
      <c r="HLF538" s="1170">
        <v>8298541</v>
      </c>
      <c r="HLG538" s="1170">
        <v>8298541</v>
      </c>
      <c r="HLH538" s="1170">
        <v>8298541</v>
      </c>
      <c r="HLI538" s="1170">
        <v>8298541</v>
      </c>
      <c r="HLJ538" s="1170">
        <v>8298541</v>
      </c>
      <c r="HLK538" s="1170">
        <v>8298541</v>
      </c>
      <c r="HLL538" s="1170">
        <v>8298541</v>
      </c>
      <c r="HLM538" s="1170">
        <v>8298541</v>
      </c>
      <c r="HLN538" s="1170">
        <v>8298541</v>
      </c>
      <c r="HLO538" s="1170">
        <v>8298541</v>
      </c>
      <c r="HLP538" s="1170">
        <v>8298541</v>
      </c>
      <c r="HLQ538" s="1170">
        <v>8298541</v>
      </c>
      <c r="HLR538" s="1170">
        <v>8298541</v>
      </c>
      <c r="HLS538" s="1170">
        <v>8298541</v>
      </c>
      <c r="HLT538" s="1170">
        <v>8298541</v>
      </c>
      <c r="HLU538" s="1170">
        <v>8298541</v>
      </c>
      <c r="HLV538" s="1170">
        <v>8298541</v>
      </c>
      <c r="HLW538" s="1170">
        <v>8298541</v>
      </c>
      <c r="HLX538" s="1170">
        <v>8298541</v>
      </c>
      <c r="HLY538" s="1170">
        <v>8298541</v>
      </c>
      <c r="HLZ538" s="1170">
        <v>8298541</v>
      </c>
      <c r="HMA538" s="1170">
        <v>8298541</v>
      </c>
      <c r="HMB538" s="1170">
        <v>8298541</v>
      </c>
      <c r="HMC538" s="1170">
        <v>8298541</v>
      </c>
      <c r="HMD538" s="1170">
        <v>8298541</v>
      </c>
      <c r="HME538" s="1170">
        <v>8298541</v>
      </c>
      <c r="HMF538" s="1170">
        <v>8298541</v>
      </c>
      <c r="HMG538" s="1170">
        <v>8298541</v>
      </c>
      <c r="HMH538" s="1170">
        <v>8298541</v>
      </c>
      <c r="HMI538" s="1170">
        <v>8298541</v>
      </c>
      <c r="HMJ538" s="1170">
        <v>8298541</v>
      </c>
      <c r="HMK538" s="1170">
        <v>8298541</v>
      </c>
      <c r="HML538" s="1170">
        <v>8298541</v>
      </c>
      <c r="HMM538" s="1170">
        <v>8298541</v>
      </c>
      <c r="HMN538" s="1170">
        <v>8298541</v>
      </c>
      <c r="HMO538" s="1170">
        <v>8298541</v>
      </c>
      <c r="HMP538" s="1170">
        <v>8298541</v>
      </c>
      <c r="HMQ538" s="1170">
        <v>8298541</v>
      </c>
      <c r="HMR538" s="1170">
        <v>8298541</v>
      </c>
      <c r="HMS538" s="1170">
        <v>8298541</v>
      </c>
      <c r="HMT538" s="1170">
        <v>8298541</v>
      </c>
      <c r="HMU538" s="1170">
        <v>8298541</v>
      </c>
      <c r="HMV538" s="1170">
        <v>8298541</v>
      </c>
      <c r="HMW538" s="1170">
        <v>8298541</v>
      </c>
      <c r="HMX538" s="1170">
        <v>8298541</v>
      </c>
      <c r="HMY538" s="1170">
        <v>8298541</v>
      </c>
      <c r="HMZ538" s="1170">
        <v>8298541</v>
      </c>
      <c r="HNA538" s="1170">
        <v>8298541</v>
      </c>
      <c r="HNB538" s="1170">
        <v>8298541</v>
      </c>
      <c r="HNC538" s="1170">
        <v>8298541</v>
      </c>
      <c r="HND538" s="1170">
        <v>8298541</v>
      </c>
      <c r="HNE538" s="1170">
        <v>8298541</v>
      </c>
      <c r="HNF538" s="1170">
        <v>8298541</v>
      </c>
      <c r="HNG538" s="1170">
        <v>8298541</v>
      </c>
      <c r="HNH538" s="1170">
        <v>8298541</v>
      </c>
      <c r="HNI538" s="1170">
        <v>8298541</v>
      </c>
      <c r="HNJ538" s="1170">
        <v>8298541</v>
      </c>
      <c r="HNK538" s="1170">
        <v>8298541</v>
      </c>
      <c r="HNL538" s="1170">
        <v>8298541</v>
      </c>
      <c r="HNM538" s="1170">
        <v>8298541</v>
      </c>
      <c r="HNN538" s="1170">
        <v>8298541</v>
      </c>
      <c r="HNO538" s="1170">
        <v>8298541</v>
      </c>
      <c r="HNP538" s="1170">
        <v>8298541</v>
      </c>
      <c r="HNQ538" s="1170">
        <v>8298541</v>
      </c>
      <c r="HNR538" s="1170">
        <v>8298541</v>
      </c>
      <c r="HNS538" s="1170">
        <v>8298541</v>
      </c>
      <c r="HNT538" s="1170">
        <v>8298541</v>
      </c>
      <c r="HNU538" s="1170">
        <v>8298541</v>
      </c>
      <c r="HNV538" s="1170">
        <v>8298541</v>
      </c>
      <c r="HNW538" s="1170">
        <v>8298541</v>
      </c>
      <c r="HNX538" s="1170">
        <v>8298541</v>
      </c>
      <c r="HNY538" s="1170">
        <v>8298541</v>
      </c>
      <c r="HNZ538" s="1170">
        <v>8298541</v>
      </c>
      <c r="HOA538" s="1170">
        <v>8298541</v>
      </c>
      <c r="HOB538" s="1170">
        <v>8298541</v>
      </c>
      <c r="HOC538" s="1170">
        <v>8298541</v>
      </c>
      <c r="HOD538" s="1170">
        <v>8298541</v>
      </c>
      <c r="HOE538" s="1170">
        <v>8298541</v>
      </c>
      <c r="HOF538" s="1170">
        <v>8298541</v>
      </c>
      <c r="HOG538" s="1170">
        <v>8298541</v>
      </c>
      <c r="HOH538" s="1170">
        <v>8298541</v>
      </c>
      <c r="HOI538" s="1170">
        <v>8298541</v>
      </c>
      <c r="HOJ538" s="1170">
        <v>8298541</v>
      </c>
      <c r="HOK538" s="1170">
        <v>8298541</v>
      </c>
      <c r="HOL538" s="1170">
        <v>8298541</v>
      </c>
      <c r="HOM538" s="1170">
        <v>8298541</v>
      </c>
      <c r="HON538" s="1170">
        <v>8298541</v>
      </c>
      <c r="HOO538" s="1170">
        <v>8298541</v>
      </c>
      <c r="HOP538" s="1170">
        <v>8298541</v>
      </c>
      <c r="HOQ538" s="1170">
        <v>8298541</v>
      </c>
      <c r="HOR538" s="1170">
        <v>8298541</v>
      </c>
      <c r="HOS538" s="1170">
        <v>8298541</v>
      </c>
      <c r="HOT538" s="1170">
        <v>8298541</v>
      </c>
      <c r="HOU538" s="1170">
        <v>8298541</v>
      </c>
      <c r="HOV538" s="1170">
        <v>8298541</v>
      </c>
      <c r="HOW538" s="1170">
        <v>8298541</v>
      </c>
      <c r="HOX538" s="1170">
        <v>8298541</v>
      </c>
      <c r="HOY538" s="1170">
        <v>8298541</v>
      </c>
      <c r="HOZ538" s="1170">
        <v>8298541</v>
      </c>
      <c r="HPA538" s="1170">
        <v>8298541</v>
      </c>
      <c r="HPB538" s="1170">
        <v>8298541</v>
      </c>
      <c r="HPC538" s="1170">
        <v>8298541</v>
      </c>
      <c r="HPD538" s="1170">
        <v>8298541</v>
      </c>
      <c r="HPE538" s="1170">
        <v>8298541</v>
      </c>
      <c r="HPF538" s="1170">
        <v>8298541</v>
      </c>
      <c r="HPG538" s="1170">
        <v>8298541</v>
      </c>
      <c r="HPH538" s="1170">
        <v>8298541</v>
      </c>
      <c r="HPI538" s="1170">
        <v>8298541</v>
      </c>
      <c r="HPJ538" s="1170">
        <v>8298541</v>
      </c>
      <c r="HPK538" s="1170">
        <v>8298541</v>
      </c>
      <c r="HPL538" s="1170">
        <v>8298541</v>
      </c>
      <c r="HPM538" s="1170">
        <v>8298541</v>
      </c>
      <c r="HPN538" s="1170">
        <v>8298541</v>
      </c>
      <c r="HPO538" s="1170">
        <v>8298541</v>
      </c>
      <c r="HPP538" s="1170">
        <v>8298541</v>
      </c>
      <c r="HPQ538" s="1170">
        <v>8298541</v>
      </c>
      <c r="HPR538" s="1170">
        <v>8298541</v>
      </c>
      <c r="HPS538" s="1170">
        <v>8298541</v>
      </c>
      <c r="HPT538" s="1170">
        <v>8298541</v>
      </c>
      <c r="HPU538" s="1170">
        <v>8298541</v>
      </c>
      <c r="HPV538" s="1170">
        <v>8298541</v>
      </c>
      <c r="HPW538" s="1170">
        <v>8298541</v>
      </c>
      <c r="HPX538" s="1170">
        <v>8298541</v>
      </c>
      <c r="HPY538" s="1170">
        <v>8298541</v>
      </c>
      <c r="HPZ538" s="1170">
        <v>8298541</v>
      </c>
      <c r="HQA538" s="1170">
        <v>8298541</v>
      </c>
      <c r="HQB538" s="1170">
        <v>8298541</v>
      </c>
      <c r="HQC538" s="1170">
        <v>8298541</v>
      </c>
      <c r="HQD538" s="1170">
        <v>8298541</v>
      </c>
      <c r="HQE538" s="1170">
        <v>8298541</v>
      </c>
      <c r="HQF538" s="1170">
        <v>8298541</v>
      </c>
      <c r="HQG538" s="1170">
        <v>8298541</v>
      </c>
      <c r="HQH538" s="1170">
        <v>8298541</v>
      </c>
      <c r="HQI538" s="1170">
        <v>8298541</v>
      </c>
      <c r="HQJ538" s="1170">
        <v>8298541</v>
      </c>
      <c r="HQK538" s="1170">
        <v>8298541</v>
      </c>
      <c r="HQL538" s="1170">
        <v>8298541</v>
      </c>
      <c r="HQM538" s="1170">
        <v>8298541</v>
      </c>
      <c r="HQN538" s="1170">
        <v>8298541</v>
      </c>
      <c r="HQO538" s="1170">
        <v>8298541</v>
      </c>
      <c r="HQP538" s="1170">
        <v>8298541</v>
      </c>
      <c r="HQQ538" s="1170">
        <v>8298541</v>
      </c>
      <c r="HQR538" s="1170">
        <v>8298541</v>
      </c>
      <c r="HQS538" s="1170">
        <v>8298541</v>
      </c>
      <c r="HQT538" s="1170">
        <v>8298541</v>
      </c>
      <c r="HQU538" s="1170">
        <v>8298541</v>
      </c>
      <c r="HQV538" s="1170">
        <v>8298541</v>
      </c>
      <c r="HQW538" s="1170">
        <v>8298541</v>
      </c>
      <c r="HQX538" s="1170">
        <v>8298541</v>
      </c>
      <c r="HQY538" s="1170">
        <v>8298541</v>
      </c>
      <c r="HQZ538" s="1170">
        <v>8298541</v>
      </c>
      <c r="HRA538" s="1170">
        <v>8298541</v>
      </c>
      <c r="HRB538" s="1170">
        <v>8298541</v>
      </c>
      <c r="HRC538" s="1170">
        <v>8298541</v>
      </c>
      <c r="HRD538" s="1170">
        <v>8298541</v>
      </c>
      <c r="HRE538" s="1170">
        <v>8298541</v>
      </c>
      <c r="HRF538" s="1170">
        <v>8298541</v>
      </c>
      <c r="HRG538" s="1170">
        <v>8298541</v>
      </c>
      <c r="HRH538" s="1170">
        <v>8298541</v>
      </c>
      <c r="HRI538" s="1170">
        <v>8298541</v>
      </c>
      <c r="HRJ538" s="1170">
        <v>8298541</v>
      </c>
      <c r="HRK538" s="1170">
        <v>8298541</v>
      </c>
      <c r="HRL538" s="1170">
        <v>8298541</v>
      </c>
      <c r="HRM538" s="1170">
        <v>8298541</v>
      </c>
      <c r="HRN538" s="1170">
        <v>8298541</v>
      </c>
      <c r="HRO538" s="1170">
        <v>8298541</v>
      </c>
      <c r="HRP538" s="1170">
        <v>8298541</v>
      </c>
      <c r="HRQ538" s="1170">
        <v>8298541</v>
      </c>
      <c r="HRR538" s="1170">
        <v>8298541</v>
      </c>
      <c r="HRS538" s="1170">
        <v>8298541</v>
      </c>
      <c r="HRT538" s="1170">
        <v>8298541</v>
      </c>
      <c r="HRU538" s="1170">
        <v>8298541</v>
      </c>
      <c r="HRV538" s="1170">
        <v>8298541</v>
      </c>
      <c r="HRW538" s="1170">
        <v>8298541</v>
      </c>
      <c r="HRX538" s="1170">
        <v>8298541</v>
      </c>
      <c r="HRY538" s="1170">
        <v>8298541</v>
      </c>
      <c r="HRZ538" s="1170">
        <v>8298541</v>
      </c>
      <c r="HSA538" s="1170">
        <v>8298541</v>
      </c>
      <c r="HSB538" s="1170">
        <v>8298541</v>
      </c>
      <c r="HSC538" s="1170">
        <v>8298541</v>
      </c>
      <c r="HSD538" s="1170">
        <v>8298541</v>
      </c>
      <c r="HSE538" s="1170">
        <v>8298541</v>
      </c>
      <c r="HSF538" s="1170">
        <v>8298541</v>
      </c>
      <c r="HSG538" s="1170">
        <v>8298541</v>
      </c>
      <c r="HSH538" s="1170">
        <v>8298541</v>
      </c>
      <c r="HSI538" s="1170">
        <v>8298541</v>
      </c>
      <c r="HSJ538" s="1170">
        <v>8298541</v>
      </c>
      <c r="HSK538" s="1170">
        <v>8298541</v>
      </c>
      <c r="HSL538" s="1170">
        <v>8298541</v>
      </c>
      <c r="HSM538" s="1170">
        <v>8298541</v>
      </c>
      <c r="HSN538" s="1170">
        <v>8298541</v>
      </c>
      <c r="HSO538" s="1170">
        <v>8298541</v>
      </c>
      <c r="HSP538" s="1170">
        <v>8298541</v>
      </c>
      <c r="HSQ538" s="1170">
        <v>8298541</v>
      </c>
      <c r="HSR538" s="1170">
        <v>8298541</v>
      </c>
      <c r="HSS538" s="1170">
        <v>8298541</v>
      </c>
      <c r="HST538" s="1170">
        <v>8298541</v>
      </c>
      <c r="HSU538" s="1170">
        <v>8298541</v>
      </c>
      <c r="HSV538" s="1170">
        <v>8298541</v>
      </c>
      <c r="HSW538" s="1170">
        <v>8298541</v>
      </c>
      <c r="HSX538" s="1170">
        <v>8298541</v>
      </c>
      <c r="HSY538" s="1170">
        <v>8298541</v>
      </c>
      <c r="HSZ538" s="1170">
        <v>8298541</v>
      </c>
      <c r="HTA538" s="1170">
        <v>8298541</v>
      </c>
      <c r="HTB538" s="1170">
        <v>8298541</v>
      </c>
      <c r="HTC538" s="1170">
        <v>8298541</v>
      </c>
      <c r="HTD538" s="1170">
        <v>8298541</v>
      </c>
      <c r="HTE538" s="1170">
        <v>8298541</v>
      </c>
      <c r="HTF538" s="1170">
        <v>8298541</v>
      </c>
      <c r="HTG538" s="1170">
        <v>8298541</v>
      </c>
      <c r="HTH538" s="1170">
        <v>8298541</v>
      </c>
      <c r="HTI538" s="1170">
        <v>8298541</v>
      </c>
      <c r="HTJ538" s="1170">
        <v>8298541</v>
      </c>
      <c r="HTK538" s="1170">
        <v>8298541</v>
      </c>
      <c r="HTL538" s="1170">
        <v>8298541</v>
      </c>
      <c r="HTM538" s="1170">
        <v>8298541</v>
      </c>
      <c r="HTN538" s="1170">
        <v>8298541</v>
      </c>
      <c r="HTO538" s="1170">
        <v>8298541</v>
      </c>
      <c r="HTP538" s="1170">
        <v>8298541</v>
      </c>
      <c r="HTQ538" s="1170">
        <v>8298541</v>
      </c>
      <c r="HTR538" s="1170">
        <v>8298541</v>
      </c>
      <c r="HTS538" s="1170">
        <v>8298541</v>
      </c>
      <c r="HTT538" s="1170">
        <v>8298541</v>
      </c>
      <c r="HTU538" s="1170">
        <v>8298541</v>
      </c>
      <c r="HTV538" s="1170">
        <v>8298541</v>
      </c>
      <c r="HTW538" s="1170">
        <v>8298541</v>
      </c>
      <c r="HTX538" s="1170">
        <v>8298541</v>
      </c>
      <c r="HTY538" s="1170">
        <v>8298541</v>
      </c>
      <c r="HTZ538" s="1170">
        <v>8298541</v>
      </c>
      <c r="HUA538" s="1170">
        <v>8298541</v>
      </c>
      <c r="HUB538" s="1170">
        <v>8298541</v>
      </c>
      <c r="HUC538" s="1170">
        <v>8298541</v>
      </c>
      <c r="HUD538" s="1170">
        <v>8298541</v>
      </c>
      <c r="HUE538" s="1170">
        <v>8298541</v>
      </c>
      <c r="HUF538" s="1170">
        <v>8298541</v>
      </c>
      <c r="HUG538" s="1170">
        <v>8298541</v>
      </c>
      <c r="HUH538" s="1170">
        <v>8298541</v>
      </c>
      <c r="HUI538" s="1170">
        <v>8298541</v>
      </c>
      <c r="HUJ538" s="1170">
        <v>8298541</v>
      </c>
      <c r="HUK538" s="1170">
        <v>8298541</v>
      </c>
      <c r="HUL538" s="1170">
        <v>8298541</v>
      </c>
      <c r="HUM538" s="1170">
        <v>8298541</v>
      </c>
      <c r="HUN538" s="1170">
        <v>8298541</v>
      </c>
      <c r="HUO538" s="1170">
        <v>8298541</v>
      </c>
      <c r="HUP538" s="1170">
        <v>8298541</v>
      </c>
      <c r="HUQ538" s="1170">
        <v>8298541</v>
      </c>
      <c r="HUR538" s="1170">
        <v>8298541</v>
      </c>
      <c r="HUS538" s="1170">
        <v>8298541</v>
      </c>
      <c r="HUT538" s="1170">
        <v>8298541</v>
      </c>
      <c r="HUU538" s="1170">
        <v>8298541</v>
      </c>
      <c r="HUV538" s="1170">
        <v>8298541</v>
      </c>
      <c r="HUW538" s="1170">
        <v>8298541</v>
      </c>
      <c r="HUX538" s="1170">
        <v>8298541</v>
      </c>
      <c r="HUY538" s="1170">
        <v>8298541</v>
      </c>
      <c r="HUZ538" s="1170">
        <v>8298541</v>
      </c>
      <c r="HVA538" s="1170">
        <v>8298541</v>
      </c>
      <c r="HVB538" s="1170">
        <v>8298541</v>
      </c>
      <c r="HVC538" s="1170">
        <v>8298541</v>
      </c>
      <c r="HVD538" s="1170">
        <v>8298541</v>
      </c>
      <c r="HVE538" s="1170">
        <v>8298541</v>
      </c>
      <c r="HVF538" s="1170">
        <v>8298541</v>
      </c>
      <c r="HVG538" s="1170">
        <v>8298541</v>
      </c>
      <c r="HVH538" s="1170">
        <v>8298541</v>
      </c>
      <c r="HVI538" s="1170">
        <v>8298541</v>
      </c>
      <c r="HVJ538" s="1170">
        <v>8298541</v>
      </c>
      <c r="HVK538" s="1170">
        <v>8298541</v>
      </c>
      <c r="HVL538" s="1170">
        <v>8298541</v>
      </c>
      <c r="HVM538" s="1170">
        <v>8298541</v>
      </c>
      <c r="HVN538" s="1170">
        <v>8298541</v>
      </c>
      <c r="HVO538" s="1170">
        <v>8298541</v>
      </c>
      <c r="HVP538" s="1170">
        <v>8298541</v>
      </c>
      <c r="HVQ538" s="1170">
        <v>8298541</v>
      </c>
      <c r="HVR538" s="1170">
        <v>8298541</v>
      </c>
      <c r="HVS538" s="1170">
        <v>8298541</v>
      </c>
      <c r="HVT538" s="1170">
        <v>8298541</v>
      </c>
      <c r="HVU538" s="1170">
        <v>8298541</v>
      </c>
      <c r="HVV538" s="1170">
        <v>8298541</v>
      </c>
      <c r="HVW538" s="1170">
        <v>8298541</v>
      </c>
      <c r="HVX538" s="1170">
        <v>8298541</v>
      </c>
      <c r="HVY538" s="1170">
        <v>8298541</v>
      </c>
      <c r="HVZ538" s="1170">
        <v>8298541</v>
      </c>
      <c r="HWA538" s="1170">
        <v>8298541</v>
      </c>
      <c r="HWB538" s="1170">
        <v>8298541</v>
      </c>
      <c r="HWC538" s="1170">
        <v>8298541</v>
      </c>
      <c r="HWD538" s="1170">
        <v>8298541</v>
      </c>
      <c r="HWE538" s="1170">
        <v>8298541</v>
      </c>
      <c r="HWF538" s="1170">
        <v>8298541</v>
      </c>
      <c r="HWG538" s="1170">
        <v>8298541</v>
      </c>
      <c r="HWH538" s="1170">
        <v>8298541</v>
      </c>
      <c r="HWI538" s="1170">
        <v>8298541</v>
      </c>
      <c r="HWJ538" s="1170">
        <v>8298541</v>
      </c>
      <c r="HWK538" s="1170">
        <v>8298541</v>
      </c>
      <c r="HWL538" s="1170">
        <v>8298541</v>
      </c>
      <c r="HWM538" s="1170">
        <v>8298541</v>
      </c>
      <c r="HWN538" s="1170">
        <v>8298541</v>
      </c>
      <c r="HWO538" s="1170">
        <v>8298541</v>
      </c>
      <c r="HWP538" s="1170">
        <v>8298541</v>
      </c>
      <c r="HWQ538" s="1170">
        <v>8298541</v>
      </c>
      <c r="HWR538" s="1170">
        <v>8298541</v>
      </c>
      <c r="HWS538" s="1170">
        <v>8298541</v>
      </c>
      <c r="HWT538" s="1170">
        <v>8298541</v>
      </c>
      <c r="HWU538" s="1170">
        <v>8298541</v>
      </c>
      <c r="HWV538" s="1170">
        <v>8298541</v>
      </c>
      <c r="HWW538" s="1170">
        <v>8298541</v>
      </c>
      <c r="HWX538" s="1170">
        <v>8298541</v>
      </c>
      <c r="HWY538" s="1170">
        <v>8298541</v>
      </c>
      <c r="HWZ538" s="1170">
        <v>8298541</v>
      </c>
      <c r="HXA538" s="1170">
        <v>8298541</v>
      </c>
      <c r="HXB538" s="1170">
        <v>8298541</v>
      </c>
      <c r="HXC538" s="1170">
        <v>8298541</v>
      </c>
      <c r="HXD538" s="1170">
        <v>8298541</v>
      </c>
      <c r="HXE538" s="1170">
        <v>8298541</v>
      </c>
      <c r="HXF538" s="1170">
        <v>8298541</v>
      </c>
      <c r="HXG538" s="1170">
        <v>8298541</v>
      </c>
      <c r="HXH538" s="1170">
        <v>8298541</v>
      </c>
      <c r="HXI538" s="1170">
        <v>8298541</v>
      </c>
      <c r="HXJ538" s="1170">
        <v>8298541</v>
      </c>
      <c r="HXK538" s="1170">
        <v>8298541</v>
      </c>
      <c r="HXL538" s="1170">
        <v>8298541</v>
      </c>
      <c r="HXM538" s="1170">
        <v>8298541</v>
      </c>
      <c r="HXN538" s="1170">
        <v>8298541</v>
      </c>
      <c r="HXO538" s="1170">
        <v>8298541</v>
      </c>
      <c r="HXP538" s="1170">
        <v>8298541</v>
      </c>
      <c r="HXQ538" s="1170">
        <v>8298541</v>
      </c>
      <c r="HXR538" s="1170">
        <v>8298541</v>
      </c>
      <c r="HXS538" s="1170">
        <v>8298541</v>
      </c>
      <c r="HXT538" s="1170">
        <v>8298541</v>
      </c>
      <c r="HXU538" s="1170">
        <v>8298541</v>
      </c>
      <c r="HXV538" s="1170">
        <v>8298541</v>
      </c>
      <c r="HXW538" s="1170">
        <v>8298541</v>
      </c>
      <c r="HXX538" s="1170">
        <v>8298541</v>
      </c>
      <c r="HXY538" s="1170">
        <v>8298541</v>
      </c>
      <c r="HXZ538" s="1170">
        <v>8298541</v>
      </c>
      <c r="HYA538" s="1170">
        <v>8298541</v>
      </c>
      <c r="HYB538" s="1170">
        <v>8298541</v>
      </c>
      <c r="HYC538" s="1170">
        <v>8298541</v>
      </c>
      <c r="HYD538" s="1170">
        <v>8298541</v>
      </c>
      <c r="HYE538" s="1170">
        <v>8298541</v>
      </c>
      <c r="HYF538" s="1170">
        <v>8298541</v>
      </c>
      <c r="HYG538" s="1170">
        <v>8298541</v>
      </c>
      <c r="HYH538" s="1170">
        <v>8298541</v>
      </c>
      <c r="HYI538" s="1170">
        <v>8298541</v>
      </c>
      <c r="HYJ538" s="1170">
        <v>8298541</v>
      </c>
      <c r="HYK538" s="1170">
        <v>8298541</v>
      </c>
      <c r="HYL538" s="1170">
        <v>8298541</v>
      </c>
      <c r="HYM538" s="1170">
        <v>8298541</v>
      </c>
      <c r="HYN538" s="1170">
        <v>8298541</v>
      </c>
      <c r="HYO538" s="1170">
        <v>8298541</v>
      </c>
      <c r="HYP538" s="1170">
        <v>8298541</v>
      </c>
      <c r="HYQ538" s="1170">
        <v>8298541</v>
      </c>
      <c r="HYR538" s="1170">
        <v>8298541</v>
      </c>
      <c r="HYS538" s="1170">
        <v>8298541</v>
      </c>
      <c r="HYT538" s="1170">
        <v>8298541</v>
      </c>
      <c r="HYU538" s="1170">
        <v>8298541</v>
      </c>
      <c r="HYV538" s="1170">
        <v>8298541</v>
      </c>
      <c r="HYW538" s="1170">
        <v>8298541</v>
      </c>
      <c r="HYX538" s="1170">
        <v>8298541</v>
      </c>
      <c r="HYY538" s="1170">
        <v>8298541</v>
      </c>
      <c r="HYZ538" s="1170">
        <v>8298541</v>
      </c>
      <c r="HZA538" s="1170">
        <v>8298541</v>
      </c>
      <c r="HZB538" s="1170">
        <v>8298541</v>
      </c>
      <c r="HZC538" s="1170">
        <v>8298541</v>
      </c>
      <c r="HZD538" s="1170">
        <v>8298541</v>
      </c>
      <c r="HZE538" s="1170">
        <v>8298541</v>
      </c>
      <c r="HZF538" s="1170">
        <v>8298541</v>
      </c>
      <c r="HZG538" s="1170">
        <v>8298541</v>
      </c>
      <c r="HZH538" s="1170">
        <v>8298541</v>
      </c>
      <c r="HZI538" s="1170">
        <v>8298541</v>
      </c>
      <c r="HZJ538" s="1170">
        <v>8298541</v>
      </c>
      <c r="HZK538" s="1170">
        <v>8298541</v>
      </c>
      <c r="HZL538" s="1170">
        <v>8298541</v>
      </c>
      <c r="HZM538" s="1170">
        <v>8298541</v>
      </c>
      <c r="HZN538" s="1170">
        <v>8298541</v>
      </c>
      <c r="HZO538" s="1170">
        <v>8298541</v>
      </c>
      <c r="HZP538" s="1170">
        <v>8298541</v>
      </c>
      <c r="HZQ538" s="1170">
        <v>8298541</v>
      </c>
      <c r="HZR538" s="1170">
        <v>8298541</v>
      </c>
      <c r="HZS538" s="1170">
        <v>8298541</v>
      </c>
      <c r="HZT538" s="1170">
        <v>8298541</v>
      </c>
      <c r="HZU538" s="1170">
        <v>8298541</v>
      </c>
      <c r="HZV538" s="1170">
        <v>8298541</v>
      </c>
      <c r="HZW538" s="1170">
        <v>8298541</v>
      </c>
      <c r="HZX538" s="1170">
        <v>8298541</v>
      </c>
      <c r="HZY538" s="1170">
        <v>8298541</v>
      </c>
      <c r="HZZ538" s="1170">
        <v>8298541</v>
      </c>
      <c r="IAA538" s="1170">
        <v>8298541</v>
      </c>
      <c r="IAB538" s="1170">
        <v>8298541</v>
      </c>
      <c r="IAC538" s="1170">
        <v>8298541</v>
      </c>
      <c r="IAD538" s="1170">
        <v>8298541</v>
      </c>
      <c r="IAE538" s="1170">
        <v>8298541</v>
      </c>
      <c r="IAF538" s="1170">
        <v>8298541</v>
      </c>
      <c r="IAG538" s="1170">
        <v>8298541</v>
      </c>
      <c r="IAH538" s="1170">
        <v>8298541</v>
      </c>
      <c r="IAI538" s="1170">
        <v>8298541</v>
      </c>
      <c r="IAJ538" s="1170">
        <v>8298541</v>
      </c>
      <c r="IAK538" s="1170">
        <v>8298541</v>
      </c>
      <c r="IAL538" s="1170">
        <v>8298541</v>
      </c>
      <c r="IAM538" s="1170">
        <v>8298541</v>
      </c>
      <c r="IAN538" s="1170">
        <v>8298541</v>
      </c>
      <c r="IAO538" s="1170">
        <v>8298541</v>
      </c>
      <c r="IAP538" s="1170">
        <v>8298541</v>
      </c>
      <c r="IAQ538" s="1170">
        <v>8298541</v>
      </c>
      <c r="IAR538" s="1170">
        <v>8298541</v>
      </c>
      <c r="IAS538" s="1170">
        <v>8298541</v>
      </c>
      <c r="IAT538" s="1170">
        <v>8298541</v>
      </c>
      <c r="IAU538" s="1170">
        <v>8298541</v>
      </c>
      <c r="IAV538" s="1170">
        <v>8298541</v>
      </c>
      <c r="IAW538" s="1170">
        <v>8298541</v>
      </c>
      <c r="IAX538" s="1170">
        <v>8298541</v>
      </c>
      <c r="IAY538" s="1170">
        <v>8298541</v>
      </c>
      <c r="IAZ538" s="1170">
        <v>8298541</v>
      </c>
      <c r="IBA538" s="1170">
        <v>8298541</v>
      </c>
      <c r="IBB538" s="1170">
        <v>8298541</v>
      </c>
      <c r="IBC538" s="1170">
        <v>8298541</v>
      </c>
      <c r="IBD538" s="1170">
        <v>8298541</v>
      </c>
      <c r="IBE538" s="1170">
        <v>8298541</v>
      </c>
      <c r="IBF538" s="1170">
        <v>8298541</v>
      </c>
      <c r="IBG538" s="1170">
        <v>8298541</v>
      </c>
      <c r="IBH538" s="1170">
        <v>8298541</v>
      </c>
      <c r="IBI538" s="1170">
        <v>8298541</v>
      </c>
      <c r="IBJ538" s="1170">
        <v>8298541</v>
      </c>
      <c r="IBK538" s="1170">
        <v>8298541</v>
      </c>
      <c r="IBL538" s="1170">
        <v>8298541</v>
      </c>
      <c r="IBM538" s="1170">
        <v>8298541</v>
      </c>
      <c r="IBN538" s="1170">
        <v>8298541</v>
      </c>
      <c r="IBO538" s="1170">
        <v>8298541</v>
      </c>
      <c r="IBP538" s="1170">
        <v>8298541</v>
      </c>
      <c r="IBQ538" s="1170">
        <v>8298541</v>
      </c>
      <c r="IBR538" s="1170">
        <v>8298541</v>
      </c>
      <c r="IBS538" s="1170">
        <v>8298541</v>
      </c>
      <c r="IBT538" s="1170">
        <v>8298541</v>
      </c>
      <c r="IBU538" s="1170">
        <v>8298541</v>
      </c>
      <c r="IBV538" s="1170">
        <v>8298541</v>
      </c>
      <c r="IBW538" s="1170">
        <v>8298541</v>
      </c>
      <c r="IBX538" s="1170">
        <v>8298541</v>
      </c>
      <c r="IBY538" s="1170">
        <v>8298541</v>
      </c>
      <c r="IBZ538" s="1170">
        <v>8298541</v>
      </c>
      <c r="ICA538" s="1170">
        <v>8298541</v>
      </c>
      <c r="ICB538" s="1170">
        <v>8298541</v>
      </c>
      <c r="ICC538" s="1170">
        <v>8298541</v>
      </c>
      <c r="ICD538" s="1170">
        <v>8298541</v>
      </c>
      <c r="ICE538" s="1170">
        <v>8298541</v>
      </c>
      <c r="ICF538" s="1170">
        <v>8298541</v>
      </c>
      <c r="ICG538" s="1170">
        <v>8298541</v>
      </c>
      <c r="ICH538" s="1170">
        <v>8298541</v>
      </c>
      <c r="ICI538" s="1170">
        <v>8298541</v>
      </c>
      <c r="ICJ538" s="1170">
        <v>8298541</v>
      </c>
      <c r="ICK538" s="1170">
        <v>8298541</v>
      </c>
      <c r="ICL538" s="1170">
        <v>8298541</v>
      </c>
      <c r="ICM538" s="1170">
        <v>8298541</v>
      </c>
      <c r="ICN538" s="1170">
        <v>8298541</v>
      </c>
      <c r="ICO538" s="1170">
        <v>8298541</v>
      </c>
      <c r="ICP538" s="1170">
        <v>8298541</v>
      </c>
      <c r="ICQ538" s="1170">
        <v>8298541</v>
      </c>
      <c r="ICR538" s="1170">
        <v>8298541</v>
      </c>
      <c r="ICS538" s="1170">
        <v>8298541</v>
      </c>
      <c r="ICT538" s="1170">
        <v>8298541</v>
      </c>
      <c r="ICU538" s="1170">
        <v>8298541</v>
      </c>
      <c r="ICV538" s="1170">
        <v>8298541</v>
      </c>
      <c r="ICW538" s="1170">
        <v>8298541</v>
      </c>
      <c r="ICX538" s="1170">
        <v>8298541</v>
      </c>
      <c r="ICY538" s="1170">
        <v>8298541</v>
      </c>
      <c r="ICZ538" s="1170">
        <v>8298541</v>
      </c>
      <c r="IDA538" s="1170">
        <v>8298541</v>
      </c>
      <c r="IDB538" s="1170">
        <v>8298541</v>
      </c>
      <c r="IDC538" s="1170">
        <v>8298541</v>
      </c>
      <c r="IDD538" s="1170">
        <v>8298541</v>
      </c>
      <c r="IDE538" s="1170">
        <v>8298541</v>
      </c>
      <c r="IDF538" s="1170">
        <v>8298541</v>
      </c>
      <c r="IDG538" s="1170">
        <v>8298541</v>
      </c>
      <c r="IDH538" s="1170">
        <v>8298541</v>
      </c>
      <c r="IDI538" s="1170">
        <v>8298541</v>
      </c>
      <c r="IDJ538" s="1170">
        <v>8298541</v>
      </c>
      <c r="IDK538" s="1170">
        <v>8298541</v>
      </c>
      <c r="IDL538" s="1170">
        <v>8298541</v>
      </c>
      <c r="IDM538" s="1170">
        <v>8298541</v>
      </c>
      <c r="IDN538" s="1170">
        <v>8298541</v>
      </c>
      <c r="IDO538" s="1170">
        <v>8298541</v>
      </c>
      <c r="IDP538" s="1170">
        <v>8298541</v>
      </c>
      <c r="IDQ538" s="1170">
        <v>8298541</v>
      </c>
      <c r="IDR538" s="1170">
        <v>8298541</v>
      </c>
      <c r="IDS538" s="1170">
        <v>8298541</v>
      </c>
      <c r="IDT538" s="1170">
        <v>8298541</v>
      </c>
      <c r="IDU538" s="1170">
        <v>8298541</v>
      </c>
      <c r="IDV538" s="1170">
        <v>8298541</v>
      </c>
      <c r="IDW538" s="1170">
        <v>8298541</v>
      </c>
      <c r="IDX538" s="1170">
        <v>8298541</v>
      </c>
      <c r="IDY538" s="1170">
        <v>8298541</v>
      </c>
      <c r="IDZ538" s="1170">
        <v>8298541</v>
      </c>
      <c r="IEA538" s="1170">
        <v>8298541</v>
      </c>
      <c r="IEB538" s="1170">
        <v>8298541</v>
      </c>
      <c r="IEC538" s="1170">
        <v>8298541</v>
      </c>
      <c r="IED538" s="1170">
        <v>8298541</v>
      </c>
      <c r="IEE538" s="1170">
        <v>8298541</v>
      </c>
      <c r="IEF538" s="1170">
        <v>8298541</v>
      </c>
      <c r="IEG538" s="1170">
        <v>8298541</v>
      </c>
      <c r="IEH538" s="1170">
        <v>8298541</v>
      </c>
      <c r="IEI538" s="1170">
        <v>8298541</v>
      </c>
      <c r="IEJ538" s="1170">
        <v>8298541</v>
      </c>
      <c r="IEK538" s="1170">
        <v>8298541</v>
      </c>
      <c r="IEL538" s="1170">
        <v>8298541</v>
      </c>
      <c r="IEM538" s="1170">
        <v>8298541</v>
      </c>
      <c r="IEN538" s="1170">
        <v>8298541</v>
      </c>
      <c r="IEO538" s="1170">
        <v>8298541</v>
      </c>
      <c r="IEP538" s="1170">
        <v>8298541</v>
      </c>
      <c r="IEQ538" s="1170">
        <v>8298541</v>
      </c>
      <c r="IER538" s="1170">
        <v>8298541</v>
      </c>
      <c r="IES538" s="1170">
        <v>8298541</v>
      </c>
      <c r="IET538" s="1170">
        <v>8298541</v>
      </c>
      <c r="IEU538" s="1170">
        <v>8298541</v>
      </c>
      <c r="IEV538" s="1170">
        <v>8298541</v>
      </c>
      <c r="IEW538" s="1170">
        <v>8298541</v>
      </c>
      <c r="IEX538" s="1170">
        <v>8298541</v>
      </c>
      <c r="IEY538" s="1170">
        <v>8298541</v>
      </c>
      <c r="IEZ538" s="1170">
        <v>8298541</v>
      </c>
      <c r="IFA538" s="1170">
        <v>8298541</v>
      </c>
      <c r="IFB538" s="1170">
        <v>8298541</v>
      </c>
      <c r="IFC538" s="1170">
        <v>8298541</v>
      </c>
      <c r="IFD538" s="1170">
        <v>8298541</v>
      </c>
      <c r="IFE538" s="1170">
        <v>8298541</v>
      </c>
      <c r="IFF538" s="1170">
        <v>8298541</v>
      </c>
      <c r="IFG538" s="1170">
        <v>8298541</v>
      </c>
      <c r="IFH538" s="1170">
        <v>8298541</v>
      </c>
      <c r="IFI538" s="1170">
        <v>8298541</v>
      </c>
      <c r="IFJ538" s="1170">
        <v>8298541</v>
      </c>
      <c r="IFK538" s="1170">
        <v>8298541</v>
      </c>
      <c r="IFL538" s="1170">
        <v>8298541</v>
      </c>
      <c r="IFM538" s="1170">
        <v>8298541</v>
      </c>
      <c r="IFN538" s="1170">
        <v>8298541</v>
      </c>
      <c r="IFO538" s="1170">
        <v>8298541</v>
      </c>
      <c r="IFP538" s="1170">
        <v>8298541</v>
      </c>
      <c r="IFQ538" s="1170">
        <v>8298541</v>
      </c>
      <c r="IFR538" s="1170">
        <v>8298541</v>
      </c>
      <c r="IFS538" s="1170">
        <v>8298541</v>
      </c>
      <c r="IFT538" s="1170">
        <v>8298541</v>
      </c>
      <c r="IFU538" s="1170">
        <v>8298541</v>
      </c>
      <c r="IFV538" s="1170">
        <v>8298541</v>
      </c>
      <c r="IFW538" s="1170">
        <v>8298541</v>
      </c>
      <c r="IFX538" s="1170">
        <v>8298541</v>
      </c>
      <c r="IFY538" s="1170">
        <v>8298541</v>
      </c>
      <c r="IFZ538" s="1170">
        <v>8298541</v>
      </c>
      <c r="IGA538" s="1170">
        <v>8298541</v>
      </c>
      <c r="IGB538" s="1170">
        <v>8298541</v>
      </c>
      <c r="IGC538" s="1170">
        <v>8298541</v>
      </c>
      <c r="IGD538" s="1170">
        <v>8298541</v>
      </c>
      <c r="IGE538" s="1170">
        <v>8298541</v>
      </c>
      <c r="IGF538" s="1170">
        <v>8298541</v>
      </c>
      <c r="IGG538" s="1170">
        <v>8298541</v>
      </c>
      <c r="IGH538" s="1170">
        <v>8298541</v>
      </c>
      <c r="IGI538" s="1170">
        <v>8298541</v>
      </c>
      <c r="IGJ538" s="1170">
        <v>8298541</v>
      </c>
      <c r="IGK538" s="1170">
        <v>8298541</v>
      </c>
      <c r="IGL538" s="1170">
        <v>8298541</v>
      </c>
      <c r="IGM538" s="1170">
        <v>8298541</v>
      </c>
      <c r="IGN538" s="1170">
        <v>8298541</v>
      </c>
      <c r="IGO538" s="1170">
        <v>8298541</v>
      </c>
      <c r="IGP538" s="1170">
        <v>8298541</v>
      </c>
      <c r="IGQ538" s="1170">
        <v>8298541</v>
      </c>
      <c r="IGR538" s="1170">
        <v>8298541</v>
      </c>
      <c r="IGS538" s="1170">
        <v>8298541</v>
      </c>
      <c r="IGT538" s="1170">
        <v>8298541</v>
      </c>
      <c r="IGU538" s="1170">
        <v>8298541</v>
      </c>
      <c r="IGV538" s="1170">
        <v>8298541</v>
      </c>
      <c r="IGW538" s="1170">
        <v>8298541</v>
      </c>
      <c r="IGX538" s="1170">
        <v>8298541</v>
      </c>
      <c r="IGY538" s="1170">
        <v>8298541</v>
      </c>
      <c r="IGZ538" s="1170">
        <v>8298541</v>
      </c>
      <c r="IHA538" s="1170">
        <v>8298541</v>
      </c>
      <c r="IHB538" s="1170">
        <v>8298541</v>
      </c>
      <c r="IHC538" s="1170">
        <v>8298541</v>
      </c>
      <c r="IHD538" s="1170">
        <v>8298541</v>
      </c>
      <c r="IHE538" s="1170">
        <v>8298541</v>
      </c>
      <c r="IHF538" s="1170">
        <v>8298541</v>
      </c>
      <c r="IHG538" s="1170">
        <v>8298541</v>
      </c>
      <c r="IHH538" s="1170">
        <v>8298541</v>
      </c>
      <c r="IHI538" s="1170">
        <v>8298541</v>
      </c>
      <c r="IHJ538" s="1170">
        <v>8298541</v>
      </c>
      <c r="IHK538" s="1170">
        <v>8298541</v>
      </c>
      <c r="IHL538" s="1170">
        <v>8298541</v>
      </c>
      <c r="IHM538" s="1170">
        <v>8298541</v>
      </c>
      <c r="IHN538" s="1170">
        <v>8298541</v>
      </c>
      <c r="IHO538" s="1170">
        <v>8298541</v>
      </c>
      <c r="IHP538" s="1170">
        <v>8298541</v>
      </c>
      <c r="IHQ538" s="1170">
        <v>8298541</v>
      </c>
      <c r="IHR538" s="1170">
        <v>8298541</v>
      </c>
      <c r="IHS538" s="1170">
        <v>8298541</v>
      </c>
      <c r="IHT538" s="1170">
        <v>8298541</v>
      </c>
      <c r="IHU538" s="1170">
        <v>8298541</v>
      </c>
      <c r="IHV538" s="1170">
        <v>8298541</v>
      </c>
      <c r="IHW538" s="1170">
        <v>8298541</v>
      </c>
      <c r="IHX538" s="1170">
        <v>8298541</v>
      </c>
      <c r="IHY538" s="1170">
        <v>8298541</v>
      </c>
      <c r="IHZ538" s="1170">
        <v>8298541</v>
      </c>
      <c r="IIA538" s="1170">
        <v>8298541</v>
      </c>
      <c r="IIB538" s="1170">
        <v>8298541</v>
      </c>
      <c r="IIC538" s="1170">
        <v>8298541</v>
      </c>
      <c r="IID538" s="1170">
        <v>8298541</v>
      </c>
      <c r="IIE538" s="1170">
        <v>8298541</v>
      </c>
      <c r="IIF538" s="1170">
        <v>8298541</v>
      </c>
      <c r="IIG538" s="1170">
        <v>8298541</v>
      </c>
      <c r="IIH538" s="1170">
        <v>8298541</v>
      </c>
      <c r="III538" s="1170">
        <v>8298541</v>
      </c>
      <c r="IIJ538" s="1170">
        <v>8298541</v>
      </c>
      <c r="IIK538" s="1170">
        <v>8298541</v>
      </c>
      <c r="IIL538" s="1170">
        <v>8298541</v>
      </c>
      <c r="IIM538" s="1170">
        <v>8298541</v>
      </c>
      <c r="IIN538" s="1170">
        <v>8298541</v>
      </c>
      <c r="IIO538" s="1170">
        <v>8298541</v>
      </c>
      <c r="IIP538" s="1170">
        <v>8298541</v>
      </c>
      <c r="IIQ538" s="1170">
        <v>8298541</v>
      </c>
      <c r="IIR538" s="1170">
        <v>8298541</v>
      </c>
      <c r="IIS538" s="1170">
        <v>8298541</v>
      </c>
      <c r="IIT538" s="1170">
        <v>8298541</v>
      </c>
      <c r="IIU538" s="1170">
        <v>8298541</v>
      </c>
      <c r="IIV538" s="1170">
        <v>8298541</v>
      </c>
      <c r="IIW538" s="1170">
        <v>8298541</v>
      </c>
      <c r="IIX538" s="1170">
        <v>8298541</v>
      </c>
      <c r="IIY538" s="1170">
        <v>8298541</v>
      </c>
      <c r="IIZ538" s="1170">
        <v>8298541</v>
      </c>
      <c r="IJA538" s="1170">
        <v>8298541</v>
      </c>
      <c r="IJB538" s="1170">
        <v>8298541</v>
      </c>
      <c r="IJC538" s="1170">
        <v>8298541</v>
      </c>
      <c r="IJD538" s="1170">
        <v>8298541</v>
      </c>
      <c r="IJE538" s="1170">
        <v>8298541</v>
      </c>
      <c r="IJF538" s="1170">
        <v>8298541</v>
      </c>
      <c r="IJG538" s="1170">
        <v>8298541</v>
      </c>
      <c r="IJH538" s="1170">
        <v>8298541</v>
      </c>
      <c r="IJI538" s="1170">
        <v>8298541</v>
      </c>
      <c r="IJJ538" s="1170">
        <v>8298541</v>
      </c>
      <c r="IJK538" s="1170">
        <v>8298541</v>
      </c>
      <c r="IJL538" s="1170">
        <v>8298541</v>
      </c>
      <c r="IJM538" s="1170">
        <v>8298541</v>
      </c>
      <c r="IJN538" s="1170">
        <v>8298541</v>
      </c>
      <c r="IJO538" s="1170">
        <v>8298541</v>
      </c>
      <c r="IJP538" s="1170">
        <v>8298541</v>
      </c>
      <c r="IJQ538" s="1170">
        <v>8298541</v>
      </c>
      <c r="IJR538" s="1170">
        <v>8298541</v>
      </c>
      <c r="IJS538" s="1170">
        <v>8298541</v>
      </c>
      <c r="IJT538" s="1170">
        <v>8298541</v>
      </c>
      <c r="IJU538" s="1170">
        <v>8298541</v>
      </c>
      <c r="IJV538" s="1170">
        <v>8298541</v>
      </c>
      <c r="IJW538" s="1170">
        <v>8298541</v>
      </c>
      <c r="IJX538" s="1170">
        <v>8298541</v>
      </c>
      <c r="IJY538" s="1170">
        <v>8298541</v>
      </c>
      <c r="IJZ538" s="1170">
        <v>8298541</v>
      </c>
      <c r="IKA538" s="1170">
        <v>8298541</v>
      </c>
      <c r="IKB538" s="1170">
        <v>8298541</v>
      </c>
      <c r="IKC538" s="1170">
        <v>8298541</v>
      </c>
      <c r="IKD538" s="1170">
        <v>8298541</v>
      </c>
      <c r="IKE538" s="1170">
        <v>8298541</v>
      </c>
      <c r="IKF538" s="1170">
        <v>8298541</v>
      </c>
      <c r="IKG538" s="1170">
        <v>8298541</v>
      </c>
      <c r="IKH538" s="1170">
        <v>8298541</v>
      </c>
      <c r="IKI538" s="1170">
        <v>8298541</v>
      </c>
      <c r="IKJ538" s="1170">
        <v>8298541</v>
      </c>
      <c r="IKK538" s="1170">
        <v>8298541</v>
      </c>
      <c r="IKL538" s="1170">
        <v>8298541</v>
      </c>
      <c r="IKM538" s="1170">
        <v>8298541</v>
      </c>
      <c r="IKN538" s="1170">
        <v>8298541</v>
      </c>
      <c r="IKO538" s="1170">
        <v>8298541</v>
      </c>
      <c r="IKP538" s="1170">
        <v>8298541</v>
      </c>
      <c r="IKQ538" s="1170">
        <v>8298541</v>
      </c>
      <c r="IKR538" s="1170">
        <v>8298541</v>
      </c>
      <c r="IKS538" s="1170">
        <v>8298541</v>
      </c>
      <c r="IKT538" s="1170">
        <v>8298541</v>
      </c>
      <c r="IKU538" s="1170">
        <v>8298541</v>
      </c>
      <c r="IKV538" s="1170">
        <v>8298541</v>
      </c>
      <c r="IKW538" s="1170">
        <v>8298541</v>
      </c>
      <c r="IKX538" s="1170">
        <v>8298541</v>
      </c>
      <c r="IKY538" s="1170">
        <v>8298541</v>
      </c>
      <c r="IKZ538" s="1170">
        <v>8298541</v>
      </c>
      <c r="ILA538" s="1170">
        <v>8298541</v>
      </c>
      <c r="ILB538" s="1170">
        <v>8298541</v>
      </c>
      <c r="ILC538" s="1170">
        <v>8298541</v>
      </c>
      <c r="ILD538" s="1170">
        <v>8298541</v>
      </c>
      <c r="ILE538" s="1170">
        <v>8298541</v>
      </c>
      <c r="ILF538" s="1170">
        <v>8298541</v>
      </c>
      <c r="ILG538" s="1170">
        <v>8298541</v>
      </c>
      <c r="ILH538" s="1170">
        <v>8298541</v>
      </c>
      <c r="ILI538" s="1170">
        <v>8298541</v>
      </c>
      <c r="ILJ538" s="1170">
        <v>8298541</v>
      </c>
      <c r="ILK538" s="1170">
        <v>8298541</v>
      </c>
      <c r="ILL538" s="1170">
        <v>8298541</v>
      </c>
      <c r="ILM538" s="1170">
        <v>8298541</v>
      </c>
      <c r="ILN538" s="1170">
        <v>8298541</v>
      </c>
      <c r="ILO538" s="1170">
        <v>8298541</v>
      </c>
      <c r="ILP538" s="1170">
        <v>8298541</v>
      </c>
      <c r="ILQ538" s="1170">
        <v>8298541</v>
      </c>
      <c r="ILR538" s="1170">
        <v>8298541</v>
      </c>
      <c r="ILS538" s="1170">
        <v>8298541</v>
      </c>
      <c r="ILT538" s="1170">
        <v>8298541</v>
      </c>
      <c r="ILU538" s="1170">
        <v>8298541</v>
      </c>
      <c r="ILV538" s="1170">
        <v>8298541</v>
      </c>
      <c r="ILW538" s="1170">
        <v>8298541</v>
      </c>
      <c r="ILX538" s="1170">
        <v>8298541</v>
      </c>
      <c r="ILY538" s="1170">
        <v>8298541</v>
      </c>
      <c r="ILZ538" s="1170">
        <v>8298541</v>
      </c>
      <c r="IMA538" s="1170">
        <v>8298541</v>
      </c>
      <c r="IMB538" s="1170">
        <v>8298541</v>
      </c>
      <c r="IMC538" s="1170">
        <v>8298541</v>
      </c>
      <c r="IMD538" s="1170">
        <v>8298541</v>
      </c>
      <c r="IME538" s="1170">
        <v>8298541</v>
      </c>
      <c r="IMF538" s="1170">
        <v>8298541</v>
      </c>
      <c r="IMG538" s="1170">
        <v>8298541</v>
      </c>
      <c r="IMH538" s="1170">
        <v>8298541</v>
      </c>
      <c r="IMI538" s="1170">
        <v>8298541</v>
      </c>
      <c r="IMJ538" s="1170">
        <v>8298541</v>
      </c>
      <c r="IMK538" s="1170">
        <v>8298541</v>
      </c>
      <c r="IML538" s="1170">
        <v>8298541</v>
      </c>
      <c r="IMM538" s="1170">
        <v>8298541</v>
      </c>
      <c r="IMN538" s="1170">
        <v>8298541</v>
      </c>
      <c r="IMO538" s="1170">
        <v>8298541</v>
      </c>
      <c r="IMP538" s="1170">
        <v>8298541</v>
      </c>
      <c r="IMQ538" s="1170">
        <v>8298541</v>
      </c>
      <c r="IMR538" s="1170">
        <v>8298541</v>
      </c>
      <c r="IMS538" s="1170">
        <v>8298541</v>
      </c>
      <c r="IMT538" s="1170">
        <v>8298541</v>
      </c>
      <c r="IMU538" s="1170">
        <v>8298541</v>
      </c>
      <c r="IMV538" s="1170">
        <v>8298541</v>
      </c>
      <c r="IMW538" s="1170">
        <v>8298541</v>
      </c>
      <c r="IMX538" s="1170">
        <v>8298541</v>
      </c>
      <c r="IMY538" s="1170">
        <v>8298541</v>
      </c>
      <c r="IMZ538" s="1170">
        <v>8298541</v>
      </c>
      <c r="INA538" s="1170">
        <v>8298541</v>
      </c>
      <c r="INB538" s="1170">
        <v>8298541</v>
      </c>
      <c r="INC538" s="1170">
        <v>8298541</v>
      </c>
      <c r="IND538" s="1170">
        <v>8298541</v>
      </c>
      <c r="INE538" s="1170">
        <v>8298541</v>
      </c>
      <c r="INF538" s="1170">
        <v>8298541</v>
      </c>
      <c r="ING538" s="1170">
        <v>8298541</v>
      </c>
      <c r="INH538" s="1170">
        <v>8298541</v>
      </c>
      <c r="INI538" s="1170">
        <v>8298541</v>
      </c>
      <c r="INJ538" s="1170">
        <v>8298541</v>
      </c>
      <c r="INK538" s="1170">
        <v>8298541</v>
      </c>
      <c r="INL538" s="1170">
        <v>8298541</v>
      </c>
      <c r="INM538" s="1170">
        <v>8298541</v>
      </c>
      <c r="INN538" s="1170">
        <v>8298541</v>
      </c>
      <c r="INO538" s="1170">
        <v>8298541</v>
      </c>
      <c r="INP538" s="1170">
        <v>8298541</v>
      </c>
      <c r="INQ538" s="1170">
        <v>8298541</v>
      </c>
      <c r="INR538" s="1170">
        <v>8298541</v>
      </c>
      <c r="INS538" s="1170">
        <v>8298541</v>
      </c>
      <c r="INT538" s="1170">
        <v>8298541</v>
      </c>
      <c r="INU538" s="1170">
        <v>8298541</v>
      </c>
      <c r="INV538" s="1170">
        <v>8298541</v>
      </c>
      <c r="INW538" s="1170">
        <v>8298541</v>
      </c>
      <c r="INX538" s="1170">
        <v>8298541</v>
      </c>
      <c r="INY538" s="1170">
        <v>8298541</v>
      </c>
      <c r="INZ538" s="1170">
        <v>8298541</v>
      </c>
      <c r="IOA538" s="1170">
        <v>8298541</v>
      </c>
      <c r="IOB538" s="1170">
        <v>8298541</v>
      </c>
      <c r="IOC538" s="1170">
        <v>8298541</v>
      </c>
      <c r="IOD538" s="1170">
        <v>8298541</v>
      </c>
      <c r="IOE538" s="1170">
        <v>8298541</v>
      </c>
      <c r="IOF538" s="1170">
        <v>8298541</v>
      </c>
      <c r="IOG538" s="1170">
        <v>8298541</v>
      </c>
      <c r="IOH538" s="1170">
        <v>8298541</v>
      </c>
      <c r="IOI538" s="1170">
        <v>8298541</v>
      </c>
      <c r="IOJ538" s="1170">
        <v>8298541</v>
      </c>
      <c r="IOK538" s="1170">
        <v>8298541</v>
      </c>
      <c r="IOL538" s="1170">
        <v>8298541</v>
      </c>
      <c r="IOM538" s="1170">
        <v>8298541</v>
      </c>
      <c r="ION538" s="1170">
        <v>8298541</v>
      </c>
      <c r="IOO538" s="1170">
        <v>8298541</v>
      </c>
      <c r="IOP538" s="1170">
        <v>8298541</v>
      </c>
      <c r="IOQ538" s="1170">
        <v>8298541</v>
      </c>
      <c r="IOR538" s="1170">
        <v>8298541</v>
      </c>
      <c r="IOS538" s="1170">
        <v>8298541</v>
      </c>
      <c r="IOT538" s="1170">
        <v>8298541</v>
      </c>
      <c r="IOU538" s="1170">
        <v>8298541</v>
      </c>
      <c r="IOV538" s="1170">
        <v>8298541</v>
      </c>
      <c r="IOW538" s="1170">
        <v>8298541</v>
      </c>
      <c r="IOX538" s="1170">
        <v>8298541</v>
      </c>
      <c r="IOY538" s="1170">
        <v>8298541</v>
      </c>
      <c r="IOZ538" s="1170">
        <v>8298541</v>
      </c>
      <c r="IPA538" s="1170">
        <v>8298541</v>
      </c>
      <c r="IPB538" s="1170">
        <v>8298541</v>
      </c>
      <c r="IPC538" s="1170">
        <v>8298541</v>
      </c>
      <c r="IPD538" s="1170">
        <v>8298541</v>
      </c>
      <c r="IPE538" s="1170">
        <v>8298541</v>
      </c>
      <c r="IPF538" s="1170">
        <v>8298541</v>
      </c>
      <c r="IPG538" s="1170">
        <v>8298541</v>
      </c>
      <c r="IPH538" s="1170">
        <v>8298541</v>
      </c>
      <c r="IPI538" s="1170">
        <v>8298541</v>
      </c>
      <c r="IPJ538" s="1170">
        <v>8298541</v>
      </c>
      <c r="IPK538" s="1170">
        <v>8298541</v>
      </c>
      <c r="IPL538" s="1170">
        <v>8298541</v>
      </c>
      <c r="IPM538" s="1170">
        <v>8298541</v>
      </c>
      <c r="IPN538" s="1170">
        <v>8298541</v>
      </c>
      <c r="IPO538" s="1170">
        <v>8298541</v>
      </c>
      <c r="IPP538" s="1170">
        <v>8298541</v>
      </c>
      <c r="IPQ538" s="1170">
        <v>8298541</v>
      </c>
      <c r="IPR538" s="1170">
        <v>8298541</v>
      </c>
      <c r="IPS538" s="1170">
        <v>8298541</v>
      </c>
      <c r="IPT538" s="1170">
        <v>8298541</v>
      </c>
      <c r="IPU538" s="1170">
        <v>8298541</v>
      </c>
      <c r="IPV538" s="1170">
        <v>8298541</v>
      </c>
      <c r="IPW538" s="1170">
        <v>8298541</v>
      </c>
      <c r="IPX538" s="1170">
        <v>8298541</v>
      </c>
      <c r="IPY538" s="1170">
        <v>8298541</v>
      </c>
      <c r="IPZ538" s="1170">
        <v>8298541</v>
      </c>
      <c r="IQA538" s="1170">
        <v>8298541</v>
      </c>
      <c r="IQB538" s="1170">
        <v>8298541</v>
      </c>
      <c r="IQC538" s="1170">
        <v>8298541</v>
      </c>
      <c r="IQD538" s="1170">
        <v>8298541</v>
      </c>
      <c r="IQE538" s="1170">
        <v>8298541</v>
      </c>
      <c r="IQF538" s="1170">
        <v>8298541</v>
      </c>
      <c r="IQG538" s="1170">
        <v>8298541</v>
      </c>
      <c r="IQH538" s="1170">
        <v>8298541</v>
      </c>
      <c r="IQI538" s="1170">
        <v>8298541</v>
      </c>
      <c r="IQJ538" s="1170">
        <v>8298541</v>
      </c>
      <c r="IQK538" s="1170">
        <v>8298541</v>
      </c>
      <c r="IQL538" s="1170">
        <v>8298541</v>
      </c>
      <c r="IQM538" s="1170">
        <v>8298541</v>
      </c>
      <c r="IQN538" s="1170">
        <v>8298541</v>
      </c>
      <c r="IQO538" s="1170">
        <v>8298541</v>
      </c>
      <c r="IQP538" s="1170">
        <v>8298541</v>
      </c>
      <c r="IQQ538" s="1170">
        <v>8298541</v>
      </c>
      <c r="IQR538" s="1170">
        <v>8298541</v>
      </c>
      <c r="IQS538" s="1170">
        <v>8298541</v>
      </c>
      <c r="IQT538" s="1170">
        <v>8298541</v>
      </c>
      <c r="IQU538" s="1170">
        <v>8298541</v>
      </c>
      <c r="IQV538" s="1170">
        <v>8298541</v>
      </c>
      <c r="IQW538" s="1170">
        <v>8298541</v>
      </c>
      <c r="IQX538" s="1170">
        <v>8298541</v>
      </c>
      <c r="IQY538" s="1170">
        <v>8298541</v>
      </c>
      <c r="IQZ538" s="1170">
        <v>8298541</v>
      </c>
      <c r="IRA538" s="1170">
        <v>8298541</v>
      </c>
      <c r="IRB538" s="1170">
        <v>8298541</v>
      </c>
      <c r="IRC538" s="1170">
        <v>8298541</v>
      </c>
      <c r="IRD538" s="1170">
        <v>8298541</v>
      </c>
      <c r="IRE538" s="1170">
        <v>8298541</v>
      </c>
      <c r="IRF538" s="1170">
        <v>8298541</v>
      </c>
      <c r="IRG538" s="1170">
        <v>8298541</v>
      </c>
      <c r="IRH538" s="1170">
        <v>8298541</v>
      </c>
      <c r="IRI538" s="1170">
        <v>8298541</v>
      </c>
      <c r="IRJ538" s="1170">
        <v>8298541</v>
      </c>
      <c r="IRK538" s="1170">
        <v>8298541</v>
      </c>
      <c r="IRL538" s="1170">
        <v>8298541</v>
      </c>
      <c r="IRM538" s="1170">
        <v>8298541</v>
      </c>
      <c r="IRN538" s="1170">
        <v>8298541</v>
      </c>
      <c r="IRO538" s="1170">
        <v>8298541</v>
      </c>
      <c r="IRP538" s="1170">
        <v>8298541</v>
      </c>
      <c r="IRQ538" s="1170">
        <v>8298541</v>
      </c>
      <c r="IRR538" s="1170">
        <v>8298541</v>
      </c>
      <c r="IRS538" s="1170">
        <v>8298541</v>
      </c>
      <c r="IRT538" s="1170">
        <v>8298541</v>
      </c>
      <c r="IRU538" s="1170">
        <v>8298541</v>
      </c>
      <c r="IRV538" s="1170">
        <v>8298541</v>
      </c>
      <c r="IRW538" s="1170">
        <v>8298541</v>
      </c>
      <c r="IRX538" s="1170">
        <v>8298541</v>
      </c>
      <c r="IRY538" s="1170">
        <v>8298541</v>
      </c>
      <c r="IRZ538" s="1170">
        <v>8298541</v>
      </c>
      <c r="ISA538" s="1170">
        <v>8298541</v>
      </c>
      <c r="ISB538" s="1170">
        <v>8298541</v>
      </c>
      <c r="ISC538" s="1170">
        <v>8298541</v>
      </c>
      <c r="ISD538" s="1170">
        <v>8298541</v>
      </c>
      <c r="ISE538" s="1170">
        <v>8298541</v>
      </c>
      <c r="ISF538" s="1170">
        <v>8298541</v>
      </c>
      <c r="ISG538" s="1170">
        <v>8298541</v>
      </c>
      <c r="ISH538" s="1170">
        <v>8298541</v>
      </c>
      <c r="ISI538" s="1170">
        <v>8298541</v>
      </c>
      <c r="ISJ538" s="1170">
        <v>8298541</v>
      </c>
      <c r="ISK538" s="1170">
        <v>8298541</v>
      </c>
      <c r="ISL538" s="1170">
        <v>8298541</v>
      </c>
      <c r="ISM538" s="1170">
        <v>8298541</v>
      </c>
      <c r="ISN538" s="1170">
        <v>8298541</v>
      </c>
      <c r="ISO538" s="1170">
        <v>8298541</v>
      </c>
      <c r="ISP538" s="1170">
        <v>8298541</v>
      </c>
      <c r="ISQ538" s="1170">
        <v>8298541</v>
      </c>
      <c r="ISR538" s="1170">
        <v>8298541</v>
      </c>
      <c r="ISS538" s="1170">
        <v>8298541</v>
      </c>
      <c r="IST538" s="1170">
        <v>8298541</v>
      </c>
      <c r="ISU538" s="1170">
        <v>8298541</v>
      </c>
      <c r="ISV538" s="1170">
        <v>8298541</v>
      </c>
      <c r="ISW538" s="1170">
        <v>8298541</v>
      </c>
      <c r="ISX538" s="1170">
        <v>8298541</v>
      </c>
      <c r="ISY538" s="1170">
        <v>8298541</v>
      </c>
      <c r="ISZ538" s="1170">
        <v>8298541</v>
      </c>
      <c r="ITA538" s="1170">
        <v>8298541</v>
      </c>
      <c r="ITB538" s="1170">
        <v>8298541</v>
      </c>
      <c r="ITC538" s="1170">
        <v>8298541</v>
      </c>
      <c r="ITD538" s="1170">
        <v>8298541</v>
      </c>
      <c r="ITE538" s="1170">
        <v>8298541</v>
      </c>
      <c r="ITF538" s="1170">
        <v>8298541</v>
      </c>
      <c r="ITG538" s="1170">
        <v>8298541</v>
      </c>
      <c r="ITH538" s="1170">
        <v>8298541</v>
      </c>
      <c r="ITI538" s="1170">
        <v>8298541</v>
      </c>
      <c r="ITJ538" s="1170">
        <v>8298541</v>
      </c>
      <c r="ITK538" s="1170">
        <v>8298541</v>
      </c>
      <c r="ITL538" s="1170">
        <v>8298541</v>
      </c>
      <c r="ITM538" s="1170">
        <v>8298541</v>
      </c>
      <c r="ITN538" s="1170">
        <v>8298541</v>
      </c>
      <c r="ITO538" s="1170">
        <v>8298541</v>
      </c>
      <c r="ITP538" s="1170">
        <v>8298541</v>
      </c>
      <c r="ITQ538" s="1170">
        <v>8298541</v>
      </c>
      <c r="ITR538" s="1170">
        <v>8298541</v>
      </c>
      <c r="ITS538" s="1170">
        <v>8298541</v>
      </c>
      <c r="ITT538" s="1170">
        <v>8298541</v>
      </c>
      <c r="ITU538" s="1170">
        <v>8298541</v>
      </c>
      <c r="ITV538" s="1170">
        <v>8298541</v>
      </c>
      <c r="ITW538" s="1170">
        <v>8298541</v>
      </c>
      <c r="ITX538" s="1170">
        <v>8298541</v>
      </c>
      <c r="ITY538" s="1170">
        <v>8298541</v>
      </c>
      <c r="ITZ538" s="1170">
        <v>8298541</v>
      </c>
      <c r="IUA538" s="1170">
        <v>8298541</v>
      </c>
      <c r="IUB538" s="1170">
        <v>8298541</v>
      </c>
      <c r="IUC538" s="1170">
        <v>8298541</v>
      </c>
      <c r="IUD538" s="1170">
        <v>8298541</v>
      </c>
      <c r="IUE538" s="1170">
        <v>8298541</v>
      </c>
      <c r="IUF538" s="1170">
        <v>8298541</v>
      </c>
      <c r="IUG538" s="1170">
        <v>8298541</v>
      </c>
      <c r="IUH538" s="1170">
        <v>8298541</v>
      </c>
      <c r="IUI538" s="1170">
        <v>8298541</v>
      </c>
      <c r="IUJ538" s="1170">
        <v>8298541</v>
      </c>
      <c r="IUK538" s="1170">
        <v>8298541</v>
      </c>
      <c r="IUL538" s="1170">
        <v>8298541</v>
      </c>
      <c r="IUM538" s="1170">
        <v>8298541</v>
      </c>
      <c r="IUN538" s="1170">
        <v>8298541</v>
      </c>
      <c r="IUO538" s="1170">
        <v>8298541</v>
      </c>
      <c r="IUP538" s="1170">
        <v>8298541</v>
      </c>
      <c r="IUQ538" s="1170">
        <v>8298541</v>
      </c>
      <c r="IUR538" s="1170">
        <v>8298541</v>
      </c>
      <c r="IUS538" s="1170">
        <v>8298541</v>
      </c>
      <c r="IUT538" s="1170">
        <v>8298541</v>
      </c>
      <c r="IUU538" s="1170">
        <v>8298541</v>
      </c>
      <c r="IUV538" s="1170">
        <v>8298541</v>
      </c>
      <c r="IUW538" s="1170">
        <v>8298541</v>
      </c>
      <c r="IUX538" s="1170">
        <v>8298541</v>
      </c>
      <c r="IUY538" s="1170">
        <v>8298541</v>
      </c>
      <c r="IUZ538" s="1170">
        <v>8298541</v>
      </c>
      <c r="IVA538" s="1170">
        <v>8298541</v>
      </c>
      <c r="IVB538" s="1170">
        <v>8298541</v>
      </c>
      <c r="IVC538" s="1170">
        <v>8298541</v>
      </c>
      <c r="IVD538" s="1170">
        <v>8298541</v>
      </c>
      <c r="IVE538" s="1170">
        <v>8298541</v>
      </c>
      <c r="IVF538" s="1170">
        <v>8298541</v>
      </c>
      <c r="IVG538" s="1170">
        <v>8298541</v>
      </c>
      <c r="IVH538" s="1170">
        <v>8298541</v>
      </c>
      <c r="IVI538" s="1170">
        <v>8298541</v>
      </c>
      <c r="IVJ538" s="1170">
        <v>8298541</v>
      </c>
      <c r="IVK538" s="1170">
        <v>8298541</v>
      </c>
      <c r="IVL538" s="1170">
        <v>8298541</v>
      </c>
      <c r="IVM538" s="1170">
        <v>8298541</v>
      </c>
      <c r="IVN538" s="1170">
        <v>8298541</v>
      </c>
      <c r="IVO538" s="1170">
        <v>8298541</v>
      </c>
      <c r="IVP538" s="1170">
        <v>8298541</v>
      </c>
      <c r="IVQ538" s="1170">
        <v>8298541</v>
      </c>
      <c r="IVR538" s="1170">
        <v>8298541</v>
      </c>
      <c r="IVS538" s="1170">
        <v>8298541</v>
      </c>
      <c r="IVT538" s="1170">
        <v>8298541</v>
      </c>
      <c r="IVU538" s="1170">
        <v>8298541</v>
      </c>
      <c r="IVV538" s="1170">
        <v>8298541</v>
      </c>
      <c r="IVW538" s="1170">
        <v>8298541</v>
      </c>
      <c r="IVX538" s="1170">
        <v>8298541</v>
      </c>
      <c r="IVY538" s="1170">
        <v>8298541</v>
      </c>
      <c r="IVZ538" s="1170">
        <v>8298541</v>
      </c>
      <c r="IWA538" s="1170">
        <v>8298541</v>
      </c>
      <c r="IWB538" s="1170">
        <v>8298541</v>
      </c>
      <c r="IWC538" s="1170">
        <v>8298541</v>
      </c>
      <c r="IWD538" s="1170">
        <v>8298541</v>
      </c>
      <c r="IWE538" s="1170">
        <v>8298541</v>
      </c>
      <c r="IWF538" s="1170">
        <v>8298541</v>
      </c>
      <c r="IWG538" s="1170">
        <v>8298541</v>
      </c>
      <c r="IWH538" s="1170">
        <v>8298541</v>
      </c>
      <c r="IWI538" s="1170">
        <v>8298541</v>
      </c>
      <c r="IWJ538" s="1170">
        <v>8298541</v>
      </c>
      <c r="IWK538" s="1170">
        <v>8298541</v>
      </c>
      <c r="IWL538" s="1170">
        <v>8298541</v>
      </c>
      <c r="IWM538" s="1170">
        <v>8298541</v>
      </c>
      <c r="IWN538" s="1170">
        <v>8298541</v>
      </c>
      <c r="IWO538" s="1170">
        <v>8298541</v>
      </c>
      <c r="IWP538" s="1170">
        <v>8298541</v>
      </c>
      <c r="IWQ538" s="1170">
        <v>8298541</v>
      </c>
      <c r="IWR538" s="1170">
        <v>8298541</v>
      </c>
      <c r="IWS538" s="1170">
        <v>8298541</v>
      </c>
      <c r="IWT538" s="1170">
        <v>8298541</v>
      </c>
      <c r="IWU538" s="1170">
        <v>8298541</v>
      </c>
      <c r="IWV538" s="1170">
        <v>8298541</v>
      </c>
      <c r="IWW538" s="1170">
        <v>8298541</v>
      </c>
      <c r="IWX538" s="1170">
        <v>8298541</v>
      </c>
      <c r="IWY538" s="1170">
        <v>8298541</v>
      </c>
      <c r="IWZ538" s="1170">
        <v>8298541</v>
      </c>
      <c r="IXA538" s="1170">
        <v>8298541</v>
      </c>
      <c r="IXB538" s="1170">
        <v>8298541</v>
      </c>
      <c r="IXC538" s="1170">
        <v>8298541</v>
      </c>
      <c r="IXD538" s="1170">
        <v>8298541</v>
      </c>
      <c r="IXE538" s="1170">
        <v>8298541</v>
      </c>
      <c r="IXF538" s="1170">
        <v>8298541</v>
      </c>
      <c r="IXG538" s="1170">
        <v>8298541</v>
      </c>
      <c r="IXH538" s="1170">
        <v>8298541</v>
      </c>
      <c r="IXI538" s="1170">
        <v>8298541</v>
      </c>
      <c r="IXJ538" s="1170">
        <v>8298541</v>
      </c>
      <c r="IXK538" s="1170">
        <v>8298541</v>
      </c>
      <c r="IXL538" s="1170">
        <v>8298541</v>
      </c>
      <c r="IXM538" s="1170">
        <v>8298541</v>
      </c>
      <c r="IXN538" s="1170">
        <v>8298541</v>
      </c>
      <c r="IXO538" s="1170">
        <v>8298541</v>
      </c>
      <c r="IXP538" s="1170">
        <v>8298541</v>
      </c>
      <c r="IXQ538" s="1170">
        <v>8298541</v>
      </c>
      <c r="IXR538" s="1170">
        <v>8298541</v>
      </c>
      <c r="IXS538" s="1170">
        <v>8298541</v>
      </c>
      <c r="IXT538" s="1170">
        <v>8298541</v>
      </c>
      <c r="IXU538" s="1170">
        <v>8298541</v>
      </c>
      <c r="IXV538" s="1170">
        <v>8298541</v>
      </c>
      <c r="IXW538" s="1170">
        <v>8298541</v>
      </c>
      <c r="IXX538" s="1170">
        <v>8298541</v>
      </c>
      <c r="IXY538" s="1170">
        <v>8298541</v>
      </c>
      <c r="IXZ538" s="1170">
        <v>8298541</v>
      </c>
      <c r="IYA538" s="1170">
        <v>8298541</v>
      </c>
      <c r="IYB538" s="1170">
        <v>8298541</v>
      </c>
      <c r="IYC538" s="1170">
        <v>8298541</v>
      </c>
      <c r="IYD538" s="1170">
        <v>8298541</v>
      </c>
      <c r="IYE538" s="1170">
        <v>8298541</v>
      </c>
      <c r="IYF538" s="1170">
        <v>8298541</v>
      </c>
      <c r="IYG538" s="1170">
        <v>8298541</v>
      </c>
      <c r="IYH538" s="1170">
        <v>8298541</v>
      </c>
      <c r="IYI538" s="1170">
        <v>8298541</v>
      </c>
      <c r="IYJ538" s="1170">
        <v>8298541</v>
      </c>
      <c r="IYK538" s="1170">
        <v>8298541</v>
      </c>
      <c r="IYL538" s="1170">
        <v>8298541</v>
      </c>
      <c r="IYM538" s="1170">
        <v>8298541</v>
      </c>
      <c r="IYN538" s="1170">
        <v>8298541</v>
      </c>
      <c r="IYO538" s="1170">
        <v>8298541</v>
      </c>
      <c r="IYP538" s="1170">
        <v>8298541</v>
      </c>
      <c r="IYQ538" s="1170">
        <v>8298541</v>
      </c>
      <c r="IYR538" s="1170">
        <v>8298541</v>
      </c>
      <c r="IYS538" s="1170">
        <v>8298541</v>
      </c>
      <c r="IYT538" s="1170">
        <v>8298541</v>
      </c>
      <c r="IYU538" s="1170">
        <v>8298541</v>
      </c>
      <c r="IYV538" s="1170">
        <v>8298541</v>
      </c>
      <c r="IYW538" s="1170">
        <v>8298541</v>
      </c>
      <c r="IYX538" s="1170">
        <v>8298541</v>
      </c>
      <c r="IYY538" s="1170">
        <v>8298541</v>
      </c>
      <c r="IYZ538" s="1170">
        <v>8298541</v>
      </c>
      <c r="IZA538" s="1170">
        <v>8298541</v>
      </c>
      <c r="IZB538" s="1170">
        <v>8298541</v>
      </c>
      <c r="IZC538" s="1170">
        <v>8298541</v>
      </c>
      <c r="IZD538" s="1170">
        <v>8298541</v>
      </c>
      <c r="IZE538" s="1170">
        <v>8298541</v>
      </c>
      <c r="IZF538" s="1170">
        <v>8298541</v>
      </c>
      <c r="IZG538" s="1170">
        <v>8298541</v>
      </c>
      <c r="IZH538" s="1170">
        <v>8298541</v>
      </c>
      <c r="IZI538" s="1170">
        <v>8298541</v>
      </c>
      <c r="IZJ538" s="1170">
        <v>8298541</v>
      </c>
      <c r="IZK538" s="1170">
        <v>8298541</v>
      </c>
      <c r="IZL538" s="1170">
        <v>8298541</v>
      </c>
      <c r="IZM538" s="1170">
        <v>8298541</v>
      </c>
      <c r="IZN538" s="1170">
        <v>8298541</v>
      </c>
      <c r="IZO538" s="1170">
        <v>8298541</v>
      </c>
      <c r="IZP538" s="1170">
        <v>8298541</v>
      </c>
      <c r="IZQ538" s="1170">
        <v>8298541</v>
      </c>
      <c r="IZR538" s="1170">
        <v>8298541</v>
      </c>
      <c r="IZS538" s="1170">
        <v>8298541</v>
      </c>
      <c r="IZT538" s="1170">
        <v>8298541</v>
      </c>
      <c r="IZU538" s="1170">
        <v>8298541</v>
      </c>
      <c r="IZV538" s="1170">
        <v>8298541</v>
      </c>
      <c r="IZW538" s="1170">
        <v>8298541</v>
      </c>
      <c r="IZX538" s="1170">
        <v>8298541</v>
      </c>
      <c r="IZY538" s="1170">
        <v>8298541</v>
      </c>
      <c r="IZZ538" s="1170">
        <v>8298541</v>
      </c>
      <c r="JAA538" s="1170">
        <v>8298541</v>
      </c>
      <c r="JAB538" s="1170">
        <v>8298541</v>
      </c>
      <c r="JAC538" s="1170">
        <v>8298541</v>
      </c>
      <c r="JAD538" s="1170">
        <v>8298541</v>
      </c>
      <c r="JAE538" s="1170">
        <v>8298541</v>
      </c>
      <c r="JAF538" s="1170">
        <v>8298541</v>
      </c>
      <c r="JAG538" s="1170">
        <v>8298541</v>
      </c>
      <c r="JAH538" s="1170">
        <v>8298541</v>
      </c>
      <c r="JAI538" s="1170">
        <v>8298541</v>
      </c>
      <c r="JAJ538" s="1170">
        <v>8298541</v>
      </c>
      <c r="JAK538" s="1170">
        <v>8298541</v>
      </c>
      <c r="JAL538" s="1170">
        <v>8298541</v>
      </c>
      <c r="JAM538" s="1170">
        <v>8298541</v>
      </c>
      <c r="JAN538" s="1170">
        <v>8298541</v>
      </c>
      <c r="JAO538" s="1170">
        <v>8298541</v>
      </c>
      <c r="JAP538" s="1170">
        <v>8298541</v>
      </c>
      <c r="JAQ538" s="1170">
        <v>8298541</v>
      </c>
      <c r="JAR538" s="1170">
        <v>8298541</v>
      </c>
      <c r="JAS538" s="1170">
        <v>8298541</v>
      </c>
      <c r="JAT538" s="1170">
        <v>8298541</v>
      </c>
      <c r="JAU538" s="1170">
        <v>8298541</v>
      </c>
      <c r="JAV538" s="1170">
        <v>8298541</v>
      </c>
      <c r="JAW538" s="1170">
        <v>8298541</v>
      </c>
      <c r="JAX538" s="1170">
        <v>8298541</v>
      </c>
      <c r="JAY538" s="1170">
        <v>8298541</v>
      </c>
      <c r="JAZ538" s="1170">
        <v>8298541</v>
      </c>
      <c r="JBA538" s="1170">
        <v>8298541</v>
      </c>
      <c r="JBB538" s="1170">
        <v>8298541</v>
      </c>
      <c r="JBC538" s="1170">
        <v>8298541</v>
      </c>
      <c r="JBD538" s="1170">
        <v>8298541</v>
      </c>
      <c r="JBE538" s="1170">
        <v>8298541</v>
      </c>
      <c r="JBF538" s="1170">
        <v>8298541</v>
      </c>
      <c r="JBG538" s="1170">
        <v>8298541</v>
      </c>
      <c r="JBH538" s="1170">
        <v>8298541</v>
      </c>
      <c r="JBI538" s="1170">
        <v>8298541</v>
      </c>
      <c r="JBJ538" s="1170">
        <v>8298541</v>
      </c>
      <c r="JBK538" s="1170">
        <v>8298541</v>
      </c>
      <c r="JBL538" s="1170">
        <v>8298541</v>
      </c>
      <c r="JBM538" s="1170">
        <v>8298541</v>
      </c>
      <c r="JBN538" s="1170">
        <v>8298541</v>
      </c>
      <c r="JBO538" s="1170">
        <v>8298541</v>
      </c>
      <c r="JBP538" s="1170">
        <v>8298541</v>
      </c>
      <c r="JBQ538" s="1170">
        <v>8298541</v>
      </c>
      <c r="JBR538" s="1170">
        <v>8298541</v>
      </c>
      <c r="JBS538" s="1170">
        <v>8298541</v>
      </c>
      <c r="JBT538" s="1170">
        <v>8298541</v>
      </c>
      <c r="JBU538" s="1170">
        <v>8298541</v>
      </c>
      <c r="JBV538" s="1170">
        <v>8298541</v>
      </c>
      <c r="JBW538" s="1170">
        <v>8298541</v>
      </c>
      <c r="JBX538" s="1170">
        <v>8298541</v>
      </c>
      <c r="JBY538" s="1170">
        <v>8298541</v>
      </c>
      <c r="JBZ538" s="1170">
        <v>8298541</v>
      </c>
      <c r="JCA538" s="1170">
        <v>8298541</v>
      </c>
      <c r="JCB538" s="1170">
        <v>8298541</v>
      </c>
      <c r="JCC538" s="1170">
        <v>8298541</v>
      </c>
      <c r="JCD538" s="1170">
        <v>8298541</v>
      </c>
      <c r="JCE538" s="1170">
        <v>8298541</v>
      </c>
      <c r="JCF538" s="1170">
        <v>8298541</v>
      </c>
      <c r="JCG538" s="1170">
        <v>8298541</v>
      </c>
      <c r="JCH538" s="1170">
        <v>8298541</v>
      </c>
      <c r="JCI538" s="1170">
        <v>8298541</v>
      </c>
      <c r="JCJ538" s="1170">
        <v>8298541</v>
      </c>
      <c r="JCK538" s="1170">
        <v>8298541</v>
      </c>
      <c r="JCL538" s="1170">
        <v>8298541</v>
      </c>
      <c r="JCM538" s="1170">
        <v>8298541</v>
      </c>
      <c r="JCN538" s="1170">
        <v>8298541</v>
      </c>
      <c r="JCO538" s="1170">
        <v>8298541</v>
      </c>
      <c r="JCP538" s="1170">
        <v>8298541</v>
      </c>
      <c r="JCQ538" s="1170">
        <v>8298541</v>
      </c>
      <c r="JCR538" s="1170">
        <v>8298541</v>
      </c>
      <c r="JCS538" s="1170">
        <v>8298541</v>
      </c>
      <c r="JCT538" s="1170">
        <v>8298541</v>
      </c>
      <c r="JCU538" s="1170">
        <v>8298541</v>
      </c>
      <c r="JCV538" s="1170">
        <v>8298541</v>
      </c>
      <c r="JCW538" s="1170">
        <v>8298541</v>
      </c>
      <c r="JCX538" s="1170">
        <v>8298541</v>
      </c>
      <c r="JCY538" s="1170">
        <v>8298541</v>
      </c>
      <c r="JCZ538" s="1170">
        <v>8298541</v>
      </c>
      <c r="JDA538" s="1170">
        <v>8298541</v>
      </c>
      <c r="JDB538" s="1170">
        <v>8298541</v>
      </c>
      <c r="JDC538" s="1170">
        <v>8298541</v>
      </c>
      <c r="JDD538" s="1170">
        <v>8298541</v>
      </c>
      <c r="JDE538" s="1170">
        <v>8298541</v>
      </c>
      <c r="JDF538" s="1170">
        <v>8298541</v>
      </c>
      <c r="JDG538" s="1170">
        <v>8298541</v>
      </c>
      <c r="JDH538" s="1170">
        <v>8298541</v>
      </c>
      <c r="JDI538" s="1170">
        <v>8298541</v>
      </c>
      <c r="JDJ538" s="1170">
        <v>8298541</v>
      </c>
      <c r="JDK538" s="1170">
        <v>8298541</v>
      </c>
      <c r="JDL538" s="1170">
        <v>8298541</v>
      </c>
      <c r="JDM538" s="1170">
        <v>8298541</v>
      </c>
      <c r="JDN538" s="1170">
        <v>8298541</v>
      </c>
      <c r="JDO538" s="1170">
        <v>8298541</v>
      </c>
      <c r="JDP538" s="1170">
        <v>8298541</v>
      </c>
      <c r="JDQ538" s="1170">
        <v>8298541</v>
      </c>
      <c r="JDR538" s="1170">
        <v>8298541</v>
      </c>
      <c r="JDS538" s="1170">
        <v>8298541</v>
      </c>
      <c r="JDT538" s="1170">
        <v>8298541</v>
      </c>
      <c r="JDU538" s="1170">
        <v>8298541</v>
      </c>
      <c r="JDV538" s="1170">
        <v>8298541</v>
      </c>
      <c r="JDW538" s="1170">
        <v>8298541</v>
      </c>
      <c r="JDX538" s="1170">
        <v>8298541</v>
      </c>
      <c r="JDY538" s="1170">
        <v>8298541</v>
      </c>
      <c r="JDZ538" s="1170">
        <v>8298541</v>
      </c>
      <c r="JEA538" s="1170">
        <v>8298541</v>
      </c>
      <c r="JEB538" s="1170">
        <v>8298541</v>
      </c>
      <c r="JEC538" s="1170">
        <v>8298541</v>
      </c>
      <c r="JED538" s="1170">
        <v>8298541</v>
      </c>
      <c r="JEE538" s="1170">
        <v>8298541</v>
      </c>
      <c r="JEF538" s="1170">
        <v>8298541</v>
      </c>
      <c r="JEG538" s="1170">
        <v>8298541</v>
      </c>
      <c r="JEH538" s="1170">
        <v>8298541</v>
      </c>
      <c r="JEI538" s="1170">
        <v>8298541</v>
      </c>
      <c r="JEJ538" s="1170">
        <v>8298541</v>
      </c>
      <c r="JEK538" s="1170">
        <v>8298541</v>
      </c>
      <c r="JEL538" s="1170">
        <v>8298541</v>
      </c>
      <c r="JEM538" s="1170">
        <v>8298541</v>
      </c>
      <c r="JEN538" s="1170">
        <v>8298541</v>
      </c>
      <c r="JEO538" s="1170">
        <v>8298541</v>
      </c>
      <c r="JEP538" s="1170">
        <v>8298541</v>
      </c>
      <c r="JEQ538" s="1170">
        <v>8298541</v>
      </c>
      <c r="JER538" s="1170">
        <v>8298541</v>
      </c>
      <c r="JES538" s="1170">
        <v>8298541</v>
      </c>
      <c r="JET538" s="1170">
        <v>8298541</v>
      </c>
      <c r="JEU538" s="1170">
        <v>8298541</v>
      </c>
      <c r="JEV538" s="1170">
        <v>8298541</v>
      </c>
      <c r="JEW538" s="1170">
        <v>8298541</v>
      </c>
      <c r="JEX538" s="1170">
        <v>8298541</v>
      </c>
      <c r="JEY538" s="1170">
        <v>8298541</v>
      </c>
      <c r="JEZ538" s="1170">
        <v>8298541</v>
      </c>
      <c r="JFA538" s="1170">
        <v>8298541</v>
      </c>
      <c r="JFB538" s="1170">
        <v>8298541</v>
      </c>
      <c r="JFC538" s="1170">
        <v>8298541</v>
      </c>
      <c r="JFD538" s="1170">
        <v>8298541</v>
      </c>
      <c r="JFE538" s="1170">
        <v>8298541</v>
      </c>
      <c r="JFF538" s="1170">
        <v>8298541</v>
      </c>
      <c r="JFG538" s="1170">
        <v>8298541</v>
      </c>
      <c r="JFH538" s="1170">
        <v>8298541</v>
      </c>
      <c r="JFI538" s="1170">
        <v>8298541</v>
      </c>
      <c r="JFJ538" s="1170">
        <v>8298541</v>
      </c>
      <c r="JFK538" s="1170">
        <v>8298541</v>
      </c>
      <c r="JFL538" s="1170">
        <v>8298541</v>
      </c>
      <c r="JFM538" s="1170">
        <v>8298541</v>
      </c>
      <c r="JFN538" s="1170">
        <v>8298541</v>
      </c>
      <c r="JFO538" s="1170">
        <v>8298541</v>
      </c>
      <c r="JFP538" s="1170">
        <v>8298541</v>
      </c>
      <c r="JFQ538" s="1170">
        <v>8298541</v>
      </c>
      <c r="JFR538" s="1170">
        <v>8298541</v>
      </c>
      <c r="JFS538" s="1170">
        <v>8298541</v>
      </c>
      <c r="JFT538" s="1170">
        <v>8298541</v>
      </c>
      <c r="JFU538" s="1170">
        <v>8298541</v>
      </c>
      <c r="JFV538" s="1170">
        <v>8298541</v>
      </c>
      <c r="JFW538" s="1170">
        <v>8298541</v>
      </c>
      <c r="JFX538" s="1170">
        <v>8298541</v>
      </c>
      <c r="JFY538" s="1170">
        <v>8298541</v>
      </c>
      <c r="JFZ538" s="1170">
        <v>8298541</v>
      </c>
      <c r="JGA538" s="1170">
        <v>8298541</v>
      </c>
      <c r="JGB538" s="1170">
        <v>8298541</v>
      </c>
      <c r="JGC538" s="1170">
        <v>8298541</v>
      </c>
      <c r="JGD538" s="1170">
        <v>8298541</v>
      </c>
      <c r="JGE538" s="1170">
        <v>8298541</v>
      </c>
      <c r="JGF538" s="1170">
        <v>8298541</v>
      </c>
      <c r="JGG538" s="1170">
        <v>8298541</v>
      </c>
      <c r="JGH538" s="1170">
        <v>8298541</v>
      </c>
      <c r="JGI538" s="1170">
        <v>8298541</v>
      </c>
      <c r="JGJ538" s="1170">
        <v>8298541</v>
      </c>
      <c r="JGK538" s="1170">
        <v>8298541</v>
      </c>
      <c r="JGL538" s="1170">
        <v>8298541</v>
      </c>
      <c r="JGM538" s="1170">
        <v>8298541</v>
      </c>
      <c r="JGN538" s="1170">
        <v>8298541</v>
      </c>
      <c r="JGO538" s="1170">
        <v>8298541</v>
      </c>
      <c r="JGP538" s="1170">
        <v>8298541</v>
      </c>
      <c r="JGQ538" s="1170">
        <v>8298541</v>
      </c>
      <c r="JGR538" s="1170">
        <v>8298541</v>
      </c>
      <c r="JGS538" s="1170">
        <v>8298541</v>
      </c>
      <c r="JGT538" s="1170">
        <v>8298541</v>
      </c>
      <c r="JGU538" s="1170">
        <v>8298541</v>
      </c>
      <c r="JGV538" s="1170">
        <v>8298541</v>
      </c>
      <c r="JGW538" s="1170">
        <v>8298541</v>
      </c>
      <c r="JGX538" s="1170">
        <v>8298541</v>
      </c>
      <c r="JGY538" s="1170">
        <v>8298541</v>
      </c>
      <c r="JGZ538" s="1170">
        <v>8298541</v>
      </c>
      <c r="JHA538" s="1170">
        <v>8298541</v>
      </c>
      <c r="JHB538" s="1170">
        <v>8298541</v>
      </c>
      <c r="JHC538" s="1170">
        <v>8298541</v>
      </c>
      <c r="JHD538" s="1170">
        <v>8298541</v>
      </c>
      <c r="JHE538" s="1170">
        <v>8298541</v>
      </c>
      <c r="JHF538" s="1170">
        <v>8298541</v>
      </c>
      <c r="JHG538" s="1170">
        <v>8298541</v>
      </c>
      <c r="JHH538" s="1170">
        <v>8298541</v>
      </c>
      <c r="JHI538" s="1170">
        <v>8298541</v>
      </c>
      <c r="JHJ538" s="1170">
        <v>8298541</v>
      </c>
      <c r="JHK538" s="1170">
        <v>8298541</v>
      </c>
      <c r="JHL538" s="1170">
        <v>8298541</v>
      </c>
      <c r="JHM538" s="1170">
        <v>8298541</v>
      </c>
      <c r="JHN538" s="1170">
        <v>8298541</v>
      </c>
      <c r="JHO538" s="1170">
        <v>8298541</v>
      </c>
      <c r="JHP538" s="1170">
        <v>8298541</v>
      </c>
      <c r="JHQ538" s="1170">
        <v>8298541</v>
      </c>
      <c r="JHR538" s="1170">
        <v>8298541</v>
      </c>
      <c r="JHS538" s="1170">
        <v>8298541</v>
      </c>
      <c r="JHT538" s="1170">
        <v>8298541</v>
      </c>
      <c r="JHU538" s="1170">
        <v>8298541</v>
      </c>
      <c r="JHV538" s="1170">
        <v>8298541</v>
      </c>
      <c r="JHW538" s="1170">
        <v>8298541</v>
      </c>
      <c r="JHX538" s="1170">
        <v>8298541</v>
      </c>
      <c r="JHY538" s="1170">
        <v>8298541</v>
      </c>
      <c r="JHZ538" s="1170">
        <v>8298541</v>
      </c>
      <c r="JIA538" s="1170">
        <v>8298541</v>
      </c>
      <c r="JIB538" s="1170">
        <v>8298541</v>
      </c>
      <c r="JIC538" s="1170">
        <v>8298541</v>
      </c>
      <c r="JID538" s="1170">
        <v>8298541</v>
      </c>
      <c r="JIE538" s="1170">
        <v>8298541</v>
      </c>
      <c r="JIF538" s="1170">
        <v>8298541</v>
      </c>
      <c r="JIG538" s="1170">
        <v>8298541</v>
      </c>
      <c r="JIH538" s="1170">
        <v>8298541</v>
      </c>
      <c r="JII538" s="1170">
        <v>8298541</v>
      </c>
      <c r="JIJ538" s="1170">
        <v>8298541</v>
      </c>
      <c r="JIK538" s="1170">
        <v>8298541</v>
      </c>
      <c r="JIL538" s="1170">
        <v>8298541</v>
      </c>
      <c r="JIM538" s="1170">
        <v>8298541</v>
      </c>
      <c r="JIN538" s="1170">
        <v>8298541</v>
      </c>
      <c r="JIO538" s="1170">
        <v>8298541</v>
      </c>
      <c r="JIP538" s="1170">
        <v>8298541</v>
      </c>
      <c r="JIQ538" s="1170">
        <v>8298541</v>
      </c>
      <c r="JIR538" s="1170">
        <v>8298541</v>
      </c>
      <c r="JIS538" s="1170">
        <v>8298541</v>
      </c>
      <c r="JIT538" s="1170">
        <v>8298541</v>
      </c>
      <c r="JIU538" s="1170">
        <v>8298541</v>
      </c>
      <c r="JIV538" s="1170">
        <v>8298541</v>
      </c>
      <c r="JIW538" s="1170">
        <v>8298541</v>
      </c>
      <c r="JIX538" s="1170">
        <v>8298541</v>
      </c>
      <c r="JIY538" s="1170">
        <v>8298541</v>
      </c>
      <c r="JIZ538" s="1170">
        <v>8298541</v>
      </c>
      <c r="JJA538" s="1170">
        <v>8298541</v>
      </c>
      <c r="JJB538" s="1170">
        <v>8298541</v>
      </c>
      <c r="JJC538" s="1170">
        <v>8298541</v>
      </c>
      <c r="JJD538" s="1170">
        <v>8298541</v>
      </c>
      <c r="JJE538" s="1170">
        <v>8298541</v>
      </c>
      <c r="JJF538" s="1170">
        <v>8298541</v>
      </c>
      <c r="JJG538" s="1170">
        <v>8298541</v>
      </c>
      <c r="JJH538" s="1170">
        <v>8298541</v>
      </c>
      <c r="JJI538" s="1170">
        <v>8298541</v>
      </c>
      <c r="JJJ538" s="1170">
        <v>8298541</v>
      </c>
      <c r="JJK538" s="1170">
        <v>8298541</v>
      </c>
      <c r="JJL538" s="1170">
        <v>8298541</v>
      </c>
      <c r="JJM538" s="1170">
        <v>8298541</v>
      </c>
      <c r="JJN538" s="1170">
        <v>8298541</v>
      </c>
      <c r="JJO538" s="1170">
        <v>8298541</v>
      </c>
      <c r="JJP538" s="1170">
        <v>8298541</v>
      </c>
      <c r="JJQ538" s="1170">
        <v>8298541</v>
      </c>
      <c r="JJR538" s="1170">
        <v>8298541</v>
      </c>
      <c r="JJS538" s="1170">
        <v>8298541</v>
      </c>
      <c r="JJT538" s="1170">
        <v>8298541</v>
      </c>
      <c r="JJU538" s="1170">
        <v>8298541</v>
      </c>
      <c r="JJV538" s="1170">
        <v>8298541</v>
      </c>
      <c r="JJW538" s="1170">
        <v>8298541</v>
      </c>
      <c r="JJX538" s="1170">
        <v>8298541</v>
      </c>
      <c r="JJY538" s="1170">
        <v>8298541</v>
      </c>
      <c r="JJZ538" s="1170">
        <v>8298541</v>
      </c>
      <c r="JKA538" s="1170">
        <v>8298541</v>
      </c>
      <c r="JKB538" s="1170">
        <v>8298541</v>
      </c>
      <c r="JKC538" s="1170">
        <v>8298541</v>
      </c>
      <c r="JKD538" s="1170">
        <v>8298541</v>
      </c>
      <c r="JKE538" s="1170">
        <v>8298541</v>
      </c>
      <c r="JKF538" s="1170">
        <v>8298541</v>
      </c>
      <c r="JKG538" s="1170">
        <v>8298541</v>
      </c>
      <c r="JKH538" s="1170">
        <v>8298541</v>
      </c>
      <c r="JKI538" s="1170">
        <v>8298541</v>
      </c>
      <c r="JKJ538" s="1170">
        <v>8298541</v>
      </c>
      <c r="JKK538" s="1170">
        <v>8298541</v>
      </c>
      <c r="JKL538" s="1170">
        <v>8298541</v>
      </c>
      <c r="JKM538" s="1170">
        <v>8298541</v>
      </c>
      <c r="JKN538" s="1170">
        <v>8298541</v>
      </c>
      <c r="JKO538" s="1170">
        <v>8298541</v>
      </c>
      <c r="JKP538" s="1170">
        <v>8298541</v>
      </c>
      <c r="JKQ538" s="1170">
        <v>8298541</v>
      </c>
      <c r="JKR538" s="1170">
        <v>8298541</v>
      </c>
      <c r="JKS538" s="1170">
        <v>8298541</v>
      </c>
      <c r="JKT538" s="1170">
        <v>8298541</v>
      </c>
      <c r="JKU538" s="1170">
        <v>8298541</v>
      </c>
      <c r="JKV538" s="1170">
        <v>8298541</v>
      </c>
      <c r="JKW538" s="1170">
        <v>8298541</v>
      </c>
      <c r="JKX538" s="1170">
        <v>8298541</v>
      </c>
      <c r="JKY538" s="1170">
        <v>8298541</v>
      </c>
      <c r="JKZ538" s="1170">
        <v>8298541</v>
      </c>
      <c r="JLA538" s="1170">
        <v>8298541</v>
      </c>
      <c r="JLB538" s="1170">
        <v>8298541</v>
      </c>
      <c r="JLC538" s="1170">
        <v>8298541</v>
      </c>
      <c r="JLD538" s="1170">
        <v>8298541</v>
      </c>
      <c r="JLE538" s="1170">
        <v>8298541</v>
      </c>
      <c r="JLF538" s="1170">
        <v>8298541</v>
      </c>
      <c r="JLG538" s="1170">
        <v>8298541</v>
      </c>
      <c r="JLH538" s="1170">
        <v>8298541</v>
      </c>
      <c r="JLI538" s="1170">
        <v>8298541</v>
      </c>
      <c r="JLJ538" s="1170">
        <v>8298541</v>
      </c>
      <c r="JLK538" s="1170">
        <v>8298541</v>
      </c>
      <c r="JLL538" s="1170">
        <v>8298541</v>
      </c>
      <c r="JLM538" s="1170">
        <v>8298541</v>
      </c>
      <c r="JLN538" s="1170">
        <v>8298541</v>
      </c>
      <c r="JLO538" s="1170">
        <v>8298541</v>
      </c>
      <c r="JLP538" s="1170">
        <v>8298541</v>
      </c>
      <c r="JLQ538" s="1170">
        <v>8298541</v>
      </c>
      <c r="JLR538" s="1170">
        <v>8298541</v>
      </c>
      <c r="JLS538" s="1170">
        <v>8298541</v>
      </c>
      <c r="JLT538" s="1170">
        <v>8298541</v>
      </c>
      <c r="JLU538" s="1170">
        <v>8298541</v>
      </c>
      <c r="JLV538" s="1170">
        <v>8298541</v>
      </c>
      <c r="JLW538" s="1170">
        <v>8298541</v>
      </c>
      <c r="JLX538" s="1170">
        <v>8298541</v>
      </c>
      <c r="JLY538" s="1170">
        <v>8298541</v>
      </c>
      <c r="JLZ538" s="1170">
        <v>8298541</v>
      </c>
      <c r="JMA538" s="1170">
        <v>8298541</v>
      </c>
      <c r="JMB538" s="1170">
        <v>8298541</v>
      </c>
      <c r="JMC538" s="1170">
        <v>8298541</v>
      </c>
      <c r="JMD538" s="1170">
        <v>8298541</v>
      </c>
      <c r="JME538" s="1170">
        <v>8298541</v>
      </c>
      <c r="JMF538" s="1170">
        <v>8298541</v>
      </c>
      <c r="JMG538" s="1170">
        <v>8298541</v>
      </c>
      <c r="JMH538" s="1170">
        <v>8298541</v>
      </c>
      <c r="JMI538" s="1170">
        <v>8298541</v>
      </c>
      <c r="JMJ538" s="1170">
        <v>8298541</v>
      </c>
      <c r="JMK538" s="1170">
        <v>8298541</v>
      </c>
      <c r="JML538" s="1170">
        <v>8298541</v>
      </c>
      <c r="JMM538" s="1170">
        <v>8298541</v>
      </c>
      <c r="JMN538" s="1170">
        <v>8298541</v>
      </c>
      <c r="JMO538" s="1170">
        <v>8298541</v>
      </c>
      <c r="JMP538" s="1170">
        <v>8298541</v>
      </c>
      <c r="JMQ538" s="1170">
        <v>8298541</v>
      </c>
      <c r="JMR538" s="1170">
        <v>8298541</v>
      </c>
      <c r="JMS538" s="1170">
        <v>8298541</v>
      </c>
      <c r="JMT538" s="1170">
        <v>8298541</v>
      </c>
      <c r="JMU538" s="1170">
        <v>8298541</v>
      </c>
      <c r="JMV538" s="1170">
        <v>8298541</v>
      </c>
      <c r="JMW538" s="1170">
        <v>8298541</v>
      </c>
      <c r="JMX538" s="1170">
        <v>8298541</v>
      </c>
      <c r="JMY538" s="1170">
        <v>8298541</v>
      </c>
      <c r="JMZ538" s="1170">
        <v>8298541</v>
      </c>
      <c r="JNA538" s="1170">
        <v>8298541</v>
      </c>
      <c r="JNB538" s="1170">
        <v>8298541</v>
      </c>
      <c r="JNC538" s="1170">
        <v>8298541</v>
      </c>
      <c r="JND538" s="1170">
        <v>8298541</v>
      </c>
      <c r="JNE538" s="1170">
        <v>8298541</v>
      </c>
      <c r="JNF538" s="1170">
        <v>8298541</v>
      </c>
      <c r="JNG538" s="1170">
        <v>8298541</v>
      </c>
      <c r="JNH538" s="1170">
        <v>8298541</v>
      </c>
      <c r="JNI538" s="1170">
        <v>8298541</v>
      </c>
      <c r="JNJ538" s="1170">
        <v>8298541</v>
      </c>
      <c r="JNK538" s="1170">
        <v>8298541</v>
      </c>
      <c r="JNL538" s="1170">
        <v>8298541</v>
      </c>
      <c r="JNM538" s="1170">
        <v>8298541</v>
      </c>
      <c r="JNN538" s="1170">
        <v>8298541</v>
      </c>
      <c r="JNO538" s="1170">
        <v>8298541</v>
      </c>
      <c r="JNP538" s="1170">
        <v>8298541</v>
      </c>
      <c r="JNQ538" s="1170">
        <v>8298541</v>
      </c>
      <c r="JNR538" s="1170">
        <v>8298541</v>
      </c>
      <c r="JNS538" s="1170">
        <v>8298541</v>
      </c>
      <c r="JNT538" s="1170">
        <v>8298541</v>
      </c>
      <c r="JNU538" s="1170">
        <v>8298541</v>
      </c>
      <c r="JNV538" s="1170">
        <v>8298541</v>
      </c>
      <c r="JNW538" s="1170">
        <v>8298541</v>
      </c>
      <c r="JNX538" s="1170">
        <v>8298541</v>
      </c>
      <c r="JNY538" s="1170">
        <v>8298541</v>
      </c>
      <c r="JNZ538" s="1170">
        <v>8298541</v>
      </c>
      <c r="JOA538" s="1170">
        <v>8298541</v>
      </c>
      <c r="JOB538" s="1170">
        <v>8298541</v>
      </c>
      <c r="JOC538" s="1170">
        <v>8298541</v>
      </c>
      <c r="JOD538" s="1170">
        <v>8298541</v>
      </c>
      <c r="JOE538" s="1170">
        <v>8298541</v>
      </c>
      <c r="JOF538" s="1170">
        <v>8298541</v>
      </c>
      <c r="JOG538" s="1170">
        <v>8298541</v>
      </c>
      <c r="JOH538" s="1170">
        <v>8298541</v>
      </c>
      <c r="JOI538" s="1170">
        <v>8298541</v>
      </c>
      <c r="JOJ538" s="1170">
        <v>8298541</v>
      </c>
      <c r="JOK538" s="1170">
        <v>8298541</v>
      </c>
      <c r="JOL538" s="1170">
        <v>8298541</v>
      </c>
      <c r="JOM538" s="1170">
        <v>8298541</v>
      </c>
      <c r="JON538" s="1170">
        <v>8298541</v>
      </c>
      <c r="JOO538" s="1170">
        <v>8298541</v>
      </c>
      <c r="JOP538" s="1170">
        <v>8298541</v>
      </c>
      <c r="JOQ538" s="1170">
        <v>8298541</v>
      </c>
      <c r="JOR538" s="1170">
        <v>8298541</v>
      </c>
      <c r="JOS538" s="1170">
        <v>8298541</v>
      </c>
      <c r="JOT538" s="1170">
        <v>8298541</v>
      </c>
      <c r="JOU538" s="1170">
        <v>8298541</v>
      </c>
      <c r="JOV538" s="1170">
        <v>8298541</v>
      </c>
      <c r="JOW538" s="1170">
        <v>8298541</v>
      </c>
      <c r="JOX538" s="1170">
        <v>8298541</v>
      </c>
      <c r="JOY538" s="1170">
        <v>8298541</v>
      </c>
      <c r="JOZ538" s="1170">
        <v>8298541</v>
      </c>
      <c r="JPA538" s="1170">
        <v>8298541</v>
      </c>
      <c r="JPB538" s="1170">
        <v>8298541</v>
      </c>
      <c r="JPC538" s="1170">
        <v>8298541</v>
      </c>
      <c r="JPD538" s="1170">
        <v>8298541</v>
      </c>
      <c r="JPE538" s="1170">
        <v>8298541</v>
      </c>
      <c r="JPF538" s="1170">
        <v>8298541</v>
      </c>
      <c r="JPG538" s="1170">
        <v>8298541</v>
      </c>
      <c r="JPH538" s="1170">
        <v>8298541</v>
      </c>
      <c r="JPI538" s="1170">
        <v>8298541</v>
      </c>
      <c r="JPJ538" s="1170">
        <v>8298541</v>
      </c>
      <c r="JPK538" s="1170">
        <v>8298541</v>
      </c>
      <c r="JPL538" s="1170">
        <v>8298541</v>
      </c>
      <c r="JPM538" s="1170">
        <v>8298541</v>
      </c>
      <c r="JPN538" s="1170">
        <v>8298541</v>
      </c>
      <c r="JPO538" s="1170">
        <v>8298541</v>
      </c>
      <c r="JPP538" s="1170">
        <v>8298541</v>
      </c>
      <c r="JPQ538" s="1170">
        <v>8298541</v>
      </c>
      <c r="JPR538" s="1170">
        <v>8298541</v>
      </c>
      <c r="JPS538" s="1170">
        <v>8298541</v>
      </c>
      <c r="JPT538" s="1170">
        <v>8298541</v>
      </c>
      <c r="JPU538" s="1170">
        <v>8298541</v>
      </c>
      <c r="JPV538" s="1170">
        <v>8298541</v>
      </c>
      <c r="JPW538" s="1170">
        <v>8298541</v>
      </c>
      <c r="JPX538" s="1170">
        <v>8298541</v>
      </c>
      <c r="JPY538" s="1170">
        <v>8298541</v>
      </c>
      <c r="JPZ538" s="1170">
        <v>8298541</v>
      </c>
      <c r="JQA538" s="1170">
        <v>8298541</v>
      </c>
      <c r="JQB538" s="1170">
        <v>8298541</v>
      </c>
      <c r="JQC538" s="1170">
        <v>8298541</v>
      </c>
      <c r="JQD538" s="1170">
        <v>8298541</v>
      </c>
      <c r="JQE538" s="1170">
        <v>8298541</v>
      </c>
      <c r="JQF538" s="1170">
        <v>8298541</v>
      </c>
      <c r="JQG538" s="1170">
        <v>8298541</v>
      </c>
      <c r="JQH538" s="1170">
        <v>8298541</v>
      </c>
      <c r="JQI538" s="1170">
        <v>8298541</v>
      </c>
      <c r="JQJ538" s="1170">
        <v>8298541</v>
      </c>
      <c r="JQK538" s="1170">
        <v>8298541</v>
      </c>
      <c r="JQL538" s="1170">
        <v>8298541</v>
      </c>
      <c r="JQM538" s="1170">
        <v>8298541</v>
      </c>
      <c r="JQN538" s="1170">
        <v>8298541</v>
      </c>
      <c r="JQO538" s="1170">
        <v>8298541</v>
      </c>
      <c r="JQP538" s="1170">
        <v>8298541</v>
      </c>
      <c r="JQQ538" s="1170">
        <v>8298541</v>
      </c>
      <c r="JQR538" s="1170">
        <v>8298541</v>
      </c>
      <c r="JQS538" s="1170">
        <v>8298541</v>
      </c>
      <c r="JQT538" s="1170">
        <v>8298541</v>
      </c>
      <c r="JQU538" s="1170">
        <v>8298541</v>
      </c>
      <c r="JQV538" s="1170">
        <v>8298541</v>
      </c>
      <c r="JQW538" s="1170">
        <v>8298541</v>
      </c>
      <c r="JQX538" s="1170">
        <v>8298541</v>
      </c>
      <c r="JQY538" s="1170">
        <v>8298541</v>
      </c>
      <c r="JQZ538" s="1170">
        <v>8298541</v>
      </c>
      <c r="JRA538" s="1170">
        <v>8298541</v>
      </c>
      <c r="JRB538" s="1170">
        <v>8298541</v>
      </c>
      <c r="JRC538" s="1170">
        <v>8298541</v>
      </c>
      <c r="JRD538" s="1170">
        <v>8298541</v>
      </c>
      <c r="JRE538" s="1170">
        <v>8298541</v>
      </c>
      <c r="JRF538" s="1170">
        <v>8298541</v>
      </c>
      <c r="JRG538" s="1170">
        <v>8298541</v>
      </c>
      <c r="JRH538" s="1170">
        <v>8298541</v>
      </c>
      <c r="JRI538" s="1170">
        <v>8298541</v>
      </c>
      <c r="JRJ538" s="1170">
        <v>8298541</v>
      </c>
      <c r="JRK538" s="1170">
        <v>8298541</v>
      </c>
      <c r="JRL538" s="1170">
        <v>8298541</v>
      </c>
      <c r="JRM538" s="1170">
        <v>8298541</v>
      </c>
      <c r="JRN538" s="1170">
        <v>8298541</v>
      </c>
      <c r="JRO538" s="1170">
        <v>8298541</v>
      </c>
      <c r="JRP538" s="1170">
        <v>8298541</v>
      </c>
      <c r="JRQ538" s="1170">
        <v>8298541</v>
      </c>
      <c r="JRR538" s="1170">
        <v>8298541</v>
      </c>
      <c r="JRS538" s="1170">
        <v>8298541</v>
      </c>
      <c r="JRT538" s="1170">
        <v>8298541</v>
      </c>
      <c r="JRU538" s="1170">
        <v>8298541</v>
      </c>
      <c r="JRV538" s="1170">
        <v>8298541</v>
      </c>
      <c r="JRW538" s="1170">
        <v>8298541</v>
      </c>
      <c r="JRX538" s="1170">
        <v>8298541</v>
      </c>
      <c r="JRY538" s="1170">
        <v>8298541</v>
      </c>
      <c r="JRZ538" s="1170">
        <v>8298541</v>
      </c>
      <c r="JSA538" s="1170">
        <v>8298541</v>
      </c>
      <c r="JSB538" s="1170">
        <v>8298541</v>
      </c>
      <c r="JSC538" s="1170">
        <v>8298541</v>
      </c>
      <c r="JSD538" s="1170">
        <v>8298541</v>
      </c>
      <c r="JSE538" s="1170">
        <v>8298541</v>
      </c>
      <c r="JSF538" s="1170">
        <v>8298541</v>
      </c>
      <c r="JSG538" s="1170">
        <v>8298541</v>
      </c>
      <c r="JSH538" s="1170">
        <v>8298541</v>
      </c>
      <c r="JSI538" s="1170">
        <v>8298541</v>
      </c>
      <c r="JSJ538" s="1170">
        <v>8298541</v>
      </c>
      <c r="JSK538" s="1170">
        <v>8298541</v>
      </c>
      <c r="JSL538" s="1170">
        <v>8298541</v>
      </c>
      <c r="JSM538" s="1170">
        <v>8298541</v>
      </c>
      <c r="JSN538" s="1170">
        <v>8298541</v>
      </c>
      <c r="JSO538" s="1170">
        <v>8298541</v>
      </c>
      <c r="JSP538" s="1170">
        <v>8298541</v>
      </c>
      <c r="JSQ538" s="1170">
        <v>8298541</v>
      </c>
      <c r="JSR538" s="1170">
        <v>8298541</v>
      </c>
      <c r="JSS538" s="1170">
        <v>8298541</v>
      </c>
      <c r="JST538" s="1170">
        <v>8298541</v>
      </c>
      <c r="JSU538" s="1170">
        <v>8298541</v>
      </c>
      <c r="JSV538" s="1170">
        <v>8298541</v>
      </c>
      <c r="JSW538" s="1170">
        <v>8298541</v>
      </c>
      <c r="JSX538" s="1170">
        <v>8298541</v>
      </c>
      <c r="JSY538" s="1170">
        <v>8298541</v>
      </c>
      <c r="JSZ538" s="1170">
        <v>8298541</v>
      </c>
      <c r="JTA538" s="1170">
        <v>8298541</v>
      </c>
      <c r="JTB538" s="1170">
        <v>8298541</v>
      </c>
      <c r="JTC538" s="1170">
        <v>8298541</v>
      </c>
      <c r="JTD538" s="1170">
        <v>8298541</v>
      </c>
      <c r="JTE538" s="1170">
        <v>8298541</v>
      </c>
      <c r="JTF538" s="1170">
        <v>8298541</v>
      </c>
      <c r="JTG538" s="1170">
        <v>8298541</v>
      </c>
      <c r="JTH538" s="1170">
        <v>8298541</v>
      </c>
      <c r="JTI538" s="1170">
        <v>8298541</v>
      </c>
      <c r="JTJ538" s="1170">
        <v>8298541</v>
      </c>
      <c r="JTK538" s="1170">
        <v>8298541</v>
      </c>
      <c r="JTL538" s="1170">
        <v>8298541</v>
      </c>
      <c r="JTM538" s="1170">
        <v>8298541</v>
      </c>
      <c r="JTN538" s="1170">
        <v>8298541</v>
      </c>
      <c r="JTO538" s="1170">
        <v>8298541</v>
      </c>
      <c r="JTP538" s="1170">
        <v>8298541</v>
      </c>
      <c r="JTQ538" s="1170">
        <v>8298541</v>
      </c>
      <c r="JTR538" s="1170">
        <v>8298541</v>
      </c>
      <c r="JTS538" s="1170">
        <v>8298541</v>
      </c>
      <c r="JTT538" s="1170">
        <v>8298541</v>
      </c>
      <c r="JTU538" s="1170">
        <v>8298541</v>
      </c>
      <c r="JTV538" s="1170">
        <v>8298541</v>
      </c>
      <c r="JTW538" s="1170">
        <v>8298541</v>
      </c>
      <c r="JTX538" s="1170">
        <v>8298541</v>
      </c>
      <c r="JTY538" s="1170">
        <v>8298541</v>
      </c>
      <c r="JTZ538" s="1170">
        <v>8298541</v>
      </c>
      <c r="JUA538" s="1170">
        <v>8298541</v>
      </c>
      <c r="JUB538" s="1170">
        <v>8298541</v>
      </c>
      <c r="JUC538" s="1170">
        <v>8298541</v>
      </c>
      <c r="JUD538" s="1170">
        <v>8298541</v>
      </c>
      <c r="JUE538" s="1170">
        <v>8298541</v>
      </c>
      <c r="JUF538" s="1170">
        <v>8298541</v>
      </c>
      <c r="JUG538" s="1170">
        <v>8298541</v>
      </c>
      <c r="JUH538" s="1170">
        <v>8298541</v>
      </c>
      <c r="JUI538" s="1170">
        <v>8298541</v>
      </c>
      <c r="JUJ538" s="1170">
        <v>8298541</v>
      </c>
      <c r="JUK538" s="1170">
        <v>8298541</v>
      </c>
      <c r="JUL538" s="1170">
        <v>8298541</v>
      </c>
      <c r="JUM538" s="1170">
        <v>8298541</v>
      </c>
      <c r="JUN538" s="1170">
        <v>8298541</v>
      </c>
      <c r="JUO538" s="1170">
        <v>8298541</v>
      </c>
      <c r="JUP538" s="1170">
        <v>8298541</v>
      </c>
      <c r="JUQ538" s="1170">
        <v>8298541</v>
      </c>
      <c r="JUR538" s="1170">
        <v>8298541</v>
      </c>
      <c r="JUS538" s="1170">
        <v>8298541</v>
      </c>
      <c r="JUT538" s="1170">
        <v>8298541</v>
      </c>
      <c r="JUU538" s="1170">
        <v>8298541</v>
      </c>
      <c r="JUV538" s="1170">
        <v>8298541</v>
      </c>
      <c r="JUW538" s="1170">
        <v>8298541</v>
      </c>
      <c r="JUX538" s="1170">
        <v>8298541</v>
      </c>
      <c r="JUY538" s="1170">
        <v>8298541</v>
      </c>
      <c r="JUZ538" s="1170">
        <v>8298541</v>
      </c>
      <c r="JVA538" s="1170">
        <v>8298541</v>
      </c>
      <c r="JVB538" s="1170">
        <v>8298541</v>
      </c>
      <c r="JVC538" s="1170">
        <v>8298541</v>
      </c>
      <c r="JVD538" s="1170">
        <v>8298541</v>
      </c>
      <c r="JVE538" s="1170">
        <v>8298541</v>
      </c>
      <c r="JVF538" s="1170">
        <v>8298541</v>
      </c>
      <c r="JVG538" s="1170">
        <v>8298541</v>
      </c>
      <c r="JVH538" s="1170">
        <v>8298541</v>
      </c>
      <c r="JVI538" s="1170">
        <v>8298541</v>
      </c>
      <c r="JVJ538" s="1170">
        <v>8298541</v>
      </c>
      <c r="JVK538" s="1170">
        <v>8298541</v>
      </c>
      <c r="JVL538" s="1170">
        <v>8298541</v>
      </c>
      <c r="JVM538" s="1170">
        <v>8298541</v>
      </c>
      <c r="JVN538" s="1170">
        <v>8298541</v>
      </c>
      <c r="JVO538" s="1170">
        <v>8298541</v>
      </c>
      <c r="JVP538" s="1170">
        <v>8298541</v>
      </c>
      <c r="JVQ538" s="1170">
        <v>8298541</v>
      </c>
      <c r="JVR538" s="1170">
        <v>8298541</v>
      </c>
      <c r="JVS538" s="1170">
        <v>8298541</v>
      </c>
      <c r="JVT538" s="1170">
        <v>8298541</v>
      </c>
      <c r="JVU538" s="1170">
        <v>8298541</v>
      </c>
      <c r="JVV538" s="1170">
        <v>8298541</v>
      </c>
      <c r="JVW538" s="1170">
        <v>8298541</v>
      </c>
      <c r="JVX538" s="1170">
        <v>8298541</v>
      </c>
      <c r="JVY538" s="1170">
        <v>8298541</v>
      </c>
      <c r="JVZ538" s="1170">
        <v>8298541</v>
      </c>
      <c r="JWA538" s="1170">
        <v>8298541</v>
      </c>
      <c r="JWB538" s="1170">
        <v>8298541</v>
      </c>
      <c r="JWC538" s="1170">
        <v>8298541</v>
      </c>
      <c r="JWD538" s="1170">
        <v>8298541</v>
      </c>
      <c r="JWE538" s="1170">
        <v>8298541</v>
      </c>
      <c r="JWF538" s="1170">
        <v>8298541</v>
      </c>
      <c r="JWG538" s="1170">
        <v>8298541</v>
      </c>
      <c r="JWH538" s="1170">
        <v>8298541</v>
      </c>
      <c r="JWI538" s="1170">
        <v>8298541</v>
      </c>
      <c r="JWJ538" s="1170">
        <v>8298541</v>
      </c>
      <c r="JWK538" s="1170">
        <v>8298541</v>
      </c>
      <c r="JWL538" s="1170">
        <v>8298541</v>
      </c>
      <c r="JWM538" s="1170">
        <v>8298541</v>
      </c>
      <c r="JWN538" s="1170">
        <v>8298541</v>
      </c>
      <c r="JWO538" s="1170">
        <v>8298541</v>
      </c>
      <c r="JWP538" s="1170">
        <v>8298541</v>
      </c>
      <c r="JWQ538" s="1170">
        <v>8298541</v>
      </c>
      <c r="JWR538" s="1170">
        <v>8298541</v>
      </c>
      <c r="JWS538" s="1170">
        <v>8298541</v>
      </c>
      <c r="JWT538" s="1170">
        <v>8298541</v>
      </c>
      <c r="JWU538" s="1170">
        <v>8298541</v>
      </c>
      <c r="JWV538" s="1170">
        <v>8298541</v>
      </c>
      <c r="JWW538" s="1170">
        <v>8298541</v>
      </c>
      <c r="JWX538" s="1170">
        <v>8298541</v>
      </c>
      <c r="JWY538" s="1170">
        <v>8298541</v>
      </c>
      <c r="JWZ538" s="1170">
        <v>8298541</v>
      </c>
      <c r="JXA538" s="1170">
        <v>8298541</v>
      </c>
      <c r="JXB538" s="1170">
        <v>8298541</v>
      </c>
      <c r="JXC538" s="1170">
        <v>8298541</v>
      </c>
      <c r="JXD538" s="1170">
        <v>8298541</v>
      </c>
      <c r="JXE538" s="1170">
        <v>8298541</v>
      </c>
      <c r="JXF538" s="1170">
        <v>8298541</v>
      </c>
      <c r="JXG538" s="1170">
        <v>8298541</v>
      </c>
      <c r="JXH538" s="1170">
        <v>8298541</v>
      </c>
      <c r="JXI538" s="1170">
        <v>8298541</v>
      </c>
      <c r="JXJ538" s="1170">
        <v>8298541</v>
      </c>
      <c r="JXK538" s="1170">
        <v>8298541</v>
      </c>
      <c r="JXL538" s="1170">
        <v>8298541</v>
      </c>
      <c r="JXM538" s="1170">
        <v>8298541</v>
      </c>
      <c r="JXN538" s="1170">
        <v>8298541</v>
      </c>
      <c r="JXO538" s="1170">
        <v>8298541</v>
      </c>
      <c r="JXP538" s="1170">
        <v>8298541</v>
      </c>
      <c r="JXQ538" s="1170">
        <v>8298541</v>
      </c>
      <c r="JXR538" s="1170">
        <v>8298541</v>
      </c>
      <c r="JXS538" s="1170">
        <v>8298541</v>
      </c>
      <c r="JXT538" s="1170">
        <v>8298541</v>
      </c>
      <c r="JXU538" s="1170">
        <v>8298541</v>
      </c>
      <c r="JXV538" s="1170">
        <v>8298541</v>
      </c>
      <c r="JXW538" s="1170">
        <v>8298541</v>
      </c>
      <c r="JXX538" s="1170">
        <v>8298541</v>
      </c>
      <c r="JXY538" s="1170">
        <v>8298541</v>
      </c>
      <c r="JXZ538" s="1170">
        <v>8298541</v>
      </c>
      <c r="JYA538" s="1170">
        <v>8298541</v>
      </c>
      <c r="JYB538" s="1170">
        <v>8298541</v>
      </c>
      <c r="JYC538" s="1170">
        <v>8298541</v>
      </c>
      <c r="JYD538" s="1170">
        <v>8298541</v>
      </c>
      <c r="JYE538" s="1170">
        <v>8298541</v>
      </c>
      <c r="JYF538" s="1170">
        <v>8298541</v>
      </c>
      <c r="JYG538" s="1170">
        <v>8298541</v>
      </c>
      <c r="JYH538" s="1170">
        <v>8298541</v>
      </c>
      <c r="JYI538" s="1170">
        <v>8298541</v>
      </c>
      <c r="JYJ538" s="1170">
        <v>8298541</v>
      </c>
      <c r="JYK538" s="1170">
        <v>8298541</v>
      </c>
      <c r="JYL538" s="1170">
        <v>8298541</v>
      </c>
      <c r="JYM538" s="1170">
        <v>8298541</v>
      </c>
      <c r="JYN538" s="1170">
        <v>8298541</v>
      </c>
      <c r="JYO538" s="1170">
        <v>8298541</v>
      </c>
      <c r="JYP538" s="1170">
        <v>8298541</v>
      </c>
      <c r="JYQ538" s="1170">
        <v>8298541</v>
      </c>
      <c r="JYR538" s="1170">
        <v>8298541</v>
      </c>
      <c r="JYS538" s="1170">
        <v>8298541</v>
      </c>
      <c r="JYT538" s="1170">
        <v>8298541</v>
      </c>
      <c r="JYU538" s="1170">
        <v>8298541</v>
      </c>
      <c r="JYV538" s="1170">
        <v>8298541</v>
      </c>
      <c r="JYW538" s="1170">
        <v>8298541</v>
      </c>
      <c r="JYX538" s="1170">
        <v>8298541</v>
      </c>
      <c r="JYY538" s="1170">
        <v>8298541</v>
      </c>
      <c r="JYZ538" s="1170">
        <v>8298541</v>
      </c>
      <c r="JZA538" s="1170">
        <v>8298541</v>
      </c>
      <c r="JZB538" s="1170">
        <v>8298541</v>
      </c>
      <c r="JZC538" s="1170">
        <v>8298541</v>
      </c>
      <c r="JZD538" s="1170">
        <v>8298541</v>
      </c>
      <c r="JZE538" s="1170">
        <v>8298541</v>
      </c>
      <c r="JZF538" s="1170">
        <v>8298541</v>
      </c>
      <c r="JZG538" s="1170">
        <v>8298541</v>
      </c>
      <c r="JZH538" s="1170">
        <v>8298541</v>
      </c>
      <c r="JZI538" s="1170">
        <v>8298541</v>
      </c>
      <c r="JZJ538" s="1170">
        <v>8298541</v>
      </c>
      <c r="JZK538" s="1170">
        <v>8298541</v>
      </c>
      <c r="JZL538" s="1170">
        <v>8298541</v>
      </c>
      <c r="JZM538" s="1170">
        <v>8298541</v>
      </c>
      <c r="JZN538" s="1170">
        <v>8298541</v>
      </c>
      <c r="JZO538" s="1170">
        <v>8298541</v>
      </c>
      <c r="JZP538" s="1170">
        <v>8298541</v>
      </c>
      <c r="JZQ538" s="1170">
        <v>8298541</v>
      </c>
      <c r="JZR538" s="1170">
        <v>8298541</v>
      </c>
      <c r="JZS538" s="1170">
        <v>8298541</v>
      </c>
      <c r="JZT538" s="1170">
        <v>8298541</v>
      </c>
      <c r="JZU538" s="1170">
        <v>8298541</v>
      </c>
      <c r="JZV538" s="1170">
        <v>8298541</v>
      </c>
      <c r="JZW538" s="1170">
        <v>8298541</v>
      </c>
      <c r="JZX538" s="1170">
        <v>8298541</v>
      </c>
      <c r="JZY538" s="1170">
        <v>8298541</v>
      </c>
      <c r="JZZ538" s="1170">
        <v>8298541</v>
      </c>
      <c r="KAA538" s="1170">
        <v>8298541</v>
      </c>
      <c r="KAB538" s="1170">
        <v>8298541</v>
      </c>
      <c r="KAC538" s="1170">
        <v>8298541</v>
      </c>
      <c r="KAD538" s="1170">
        <v>8298541</v>
      </c>
      <c r="KAE538" s="1170">
        <v>8298541</v>
      </c>
      <c r="KAF538" s="1170">
        <v>8298541</v>
      </c>
      <c r="KAG538" s="1170">
        <v>8298541</v>
      </c>
      <c r="KAH538" s="1170">
        <v>8298541</v>
      </c>
      <c r="KAI538" s="1170">
        <v>8298541</v>
      </c>
      <c r="KAJ538" s="1170">
        <v>8298541</v>
      </c>
      <c r="KAK538" s="1170">
        <v>8298541</v>
      </c>
      <c r="KAL538" s="1170">
        <v>8298541</v>
      </c>
      <c r="KAM538" s="1170">
        <v>8298541</v>
      </c>
      <c r="KAN538" s="1170">
        <v>8298541</v>
      </c>
      <c r="KAO538" s="1170">
        <v>8298541</v>
      </c>
      <c r="KAP538" s="1170">
        <v>8298541</v>
      </c>
      <c r="KAQ538" s="1170">
        <v>8298541</v>
      </c>
      <c r="KAR538" s="1170">
        <v>8298541</v>
      </c>
      <c r="KAS538" s="1170">
        <v>8298541</v>
      </c>
      <c r="KAT538" s="1170">
        <v>8298541</v>
      </c>
      <c r="KAU538" s="1170">
        <v>8298541</v>
      </c>
      <c r="KAV538" s="1170">
        <v>8298541</v>
      </c>
      <c r="KAW538" s="1170">
        <v>8298541</v>
      </c>
      <c r="KAX538" s="1170">
        <v>8298541</v>
      </c>
      <c r="KAY538" s="1170">
        <v>8298541</v>
      </c>
      <c r="KAZ538" s="1170">
        <v>8298541</v>
      </c>
      <c r="KBA538" s="1170">
        <v>8298541</v>
      </c>
      <c r="KBB538" s="1170">
        <v>8298541</v>
      </c>
      <c r="KBC538" s="1170">
        <v>8298541</v>
      </c>
      <c r="KBD538" s="1170">
        <v>8298541</v>
      </c>
      <c r="KBE538" s="1170">
        <v>8298541</v>
      </c>
      <c r="KBF538" s="1170">
        <v>8298541</v>
      </c>
      <c r="KBG538" s="1170">
        <v>8298541</v>
      </c>
      <c r="KBH538" s="1170">
        <v>8298541</v>
      </c>
      <c r="KBI538" s="1170">
        <v>8298541</v>
      </c>
      <c r="KBJ538" s="1170">
        <v>8298541</v>
      </c>
      <c r="KBK538" s="1170">
        <v>8298541</v>
      </c>
      <c r="KBL538" s="1170">
        <v>8298541</v>
      </c>
      <c r="KBM538" s="1170">
        <v>8298541</v>
      </c>
      <c r="KBN538" s="1170">
        <v>8298541</v>
      </c>
      <c r="KBO538" s="1170">
        <v>8298541</v>
      </c>
      <c r="KBP538" s="1170">
        <v>8298541</v>
      </c>
      <c r="KBQ538" s="1170">
        <v>8298541</v>
      </c>
      <c r="KBR538" s="1170">
        <v>8298541</v>
      </c>
      <c r="KBS538" s="1170">
        <v>8298541</v>
      </c>
      <c r="KBT538" s="1170">
        <v>8298541</v>
      </c>
      <c r="KBU538" s="1170">
        <v>8298541</v>
      </c>
      <c r="KBV538" s="1170">
        <v>8298541</v>
      </c>
      <c r="KBW538" s="1170">
        <v>8298541</v>
      </c>
      <c r="KBX538" s="1170">
        <v>8298541</v>
      </c>
      <c r="KBY538" s="1170">
        <v>8298541</v>
      </c>
      <c r="KBZ538" s="1170">
        <v>8298541</v>
      </c>
      <c r="KCA538" s="1170">
        <v>8298541</v>
      </c>
      <c r="KCB538" s="1170">
        <v>8298541</v>
      </c>
      <c r="KCC538" s="1170">
        <v>8298541</v>
      </c>
      <c r="KCD538" s="1170">
        <v>8298541</v>
      </c>
      <c r="KCE538" s="1170">
        <v>8298541</v>
      </c>
      <c r="KCF538" s="1170">
        <v>8298541</v>
      </c>
      <c r="KCG538" s="1170">
        <v>8298541</v>
      </c>
      <c r="KCH538" s="1170">
        <v>8298541</v>
      </c>
      <c r="KCI538" s="1170">
        <v>8298541</v>
      </c>
      <c r="KCJ538" s="1170">
        <v>8298541</v>
      </c>
      <c r="KCK538" s="1170">
        <v>8298541</v>
      </c>
      <c r="KCL538" s="1170">
        <v>8298541</v>
      </c>
      <c r="KCM538" s="1170">
        <v>8298541</v>
      </c>
      <c r="KCN538" s="1170">
        <v>8298541</v>
      </c>
      <c r="KCO538" s="1170">
        <v>8298541</v>
      </c>
      <c r="KCP538" s="1170">
        <v>8298541</v>
      </c>
      <c r="KCQ538" s="1170">
        <v>8298541</v>
      </c>
      <c r="KCR538" s="1170">
        <v>8298541</v>
      </c>
      <c r="KCS538" s="1170">
        <v>8298541</v>
      </c>
      <c r="KCT538" s="1170">
        <v>8298541</v>
      </c>
      <c r="KCU538" s="1170">
        <v>8298541</v>
      </c>
      <c r="KCV538" s="1170">
        <v>8298541</v>
      </c>
      <c r="KCW538" s="1170">
        <v>8298541</v>
      </c>
      <c r="KCX538" s="1170">
        <v>8298541</v>
      </c>
      <c r="KCY538" s="1170">
        <v>8298541</v>
      </c>
      <c r="KCZ538" s="1170">
        <v>8298541</v>
      </c>
      <c r="KDA538" s="1170">
        <v>8298541</v>
      </c>
      <c r="KDB538" s="1170">
        <v>8298541</v>
      </c>
      <c r="KDC538" s="1170">
        <v>8298541</v>
      </c>
      <c r="KDD538" s="1170">
        <v>8298541</v>
      </c>
      <c r="KDE538" s="1170">
        <v>8298541</v>
      </c>
      <c r="KDF538" s="1170">
        <v>8298541</v>
      </c>
      <c r="KDG538" s="1170">
        <v>8298541</v>
      </c>
      <c r="KDH538" s="1170">
        <v>8298541</v>
      </c>
      <c r="KDI538" s="1170">
        <v>8298541</v>
      </c>
      <c r="KDJ538" s="1170">
        <v>8298541</v>
      </c>
      <c r="KDK538" s="1170">
        <v>8298541</v>
      </c>
      <c r="KDL538" s="1170">
        <v>8298541</v>
      </c>
      <c r="KDM538" s="1170">
        <v>8298541</v>
      </c>
      <c r="KDN538" s="1170">
        <v>8298541</v>
      </c>
      <c r="KDO538" s="1170">
        <v>8298541</v>
      </c>
      <c r="KDP538" s="1170">
        <v>8298541</v>
      </c>
      <c r="KDQ538" s="1170">
        <v>8298541</v>
      </c>
      <c r="KDR538" s="1170">
        <v>8298541</v>
      </c>
      <c r="KDS538" s="1170">
        <v>8298541</v>
      </c>
      <c r="KDT538" s="1170">
        <v>8298541</v>
      </c>
      <c r="KDU538" s="1170">
        <v>8298541</v>
      </c>
      <c r="KDV538" s="1170">
        <v>8298541</v>
      </c>
      <c r="KDW538" s="1170">
        <v>8298541</v>
      </c>
      <c r="KDX538" s="1170">
        <v>8298541</v>
      </c>
      <c r="KDY538" s="1170">
        <v>8298541</v>
      </c>
      <c r="KDZ538" s="1170">
        <v>8298541</v>
      </c>
      <c r="KEA538" s="1170">
        <v>8298541</v>
      </c>
      <c r="KEB538" s="1170">
        <v>8298541</v>
      </c>
      <c r="KEC538" s="1170">
        <v>8298541</v>
      </c>
      <c r="KED538" s="1170">
        <v>8298541</v>
      </c>
      <c r="KEE538" s="1170">
        <v>8298541</v>
      </c>
      <c r="KEF538" s="1170">
        <v>8298541</v>
      </c>
      <c r="KEG538" s="1170">
        <v>8298541</v>
      </c>
      <c r="KEH538" s="1170">
        <v>8298541</v>
      </c>
      <c r="KEI538" s="1170">
        <v>8298541</v>
      </c>
      <c r="KEJ538" s="1170">
        <v>8298541</v>
      </c>
      <c r="KEK538" s="1170">
        <v>8298541</v>
      </c>
      <c r="KEL538" s="1170">
        <v>8298541</v>
      </c>
      <c r="KEM538" s="1170">
        <v>8298541</v>
      </c>
      <c r="KEN538" s="1170">
        <v>8298541</v>
      </c>
      <c r="KEO538" s="1170">
        <v>8298541</v>
      </c>
      <c r="KEP538" s="1170">
        <v>8298541</v>
      </c>
      <c r="KEQ538" s="1170">
        <v>8298541</v>
      </c>
      <c r="KER538" s="1170">
        <v>8298541</v>
      </c>
      <c r="KES538" s="1170">
        <v>8298541</v>
      </c>
      <c r="KET538" s="1170">
        <v>8298541</v>
      </c>
      <c r="KEU538" s="1170">
        <v>8298541</v>
      </c>
      <c r="KEV538" s="1170">
        <v>8298541</v>
      </c>
      <c r="KEW538" s="1170">
        <v>8298541</v>
      </c>
      <c r="KEX538" s="1170">
        <v>8298541</v>
      </c>
      <c r="KEY538" s="1170">
        <v>8298541</v>
      </c>
      <c r="KEZ538" s="1170">
        <v>8298541</v>
      </c>
      <c r="KFA538" s="1170">
        <v>8298541</v>
      </c>
      <c r="KFB538" s="1170">
        <v>8298541</v>
      </c>
      <c r="KFC538" s="1170">
        <v>8298541</v>
      </c>
      <c r="KFD538" s="1170">
        <v>8298541</v>
      </c>
      <c r="KFE538" s="1170">
        <v>8298541</v>
      </c>
      <c r="KFF538" s="1170">
        <v>8298541</v>
      </c>
      <c r="KFG538" s="1170">
        <v>8298541</v>
      </c>
      <c r="KFH538" s="1170">
        <v>8298541</v>
      </c>
      <c r="KFI538" s="1170">
        <v>8298541</v>
      </c>
      <c r="KFJ538" s="1170">
        <v>8298541</v>
      </c>
      <c r="KFK538" s="1170">
        <v>8298541</v>
      </c>
      <c r="KFL538" s="1170">
        <v>8298541</v>
      </c>
      <c r="KFM538" s="1170">
        <v>8298541</v>
      </c>
      <c r="KFN538" s="1170">
        <v>8298541</v>
      </c>
      <c r="KFO538" s="1170">
        <v>8298541</v>
      </c>
      <c r="KFP538" s="1170">
        <v>8298541</v>
      </c>
      <c r="KFQ538" s="1170">
        <v>8298541</v>
      </c>
      <c r="KFR538" s="1170">
        <v>8298541</v>
      </c>
      <c r="KFS538" s="1170">
        <v>8298541</v>
      </c>
      <c r="KFT538" s="1170">
        <v>8298541</v>
      </c>
      <c r="KFU538" s="1170">
        <v>8298541</v>
      </c>
      <c r="KFV538" s="1170">
        <v>8298541</v>
      </c>
      <c r="KFW538" s="1170">
        <v>8298541</v>
      </c>
      <c r="KFX538" s="1170">
        <v>8298541</v>
      </c>
      <c r="KFY538" s="1170">
        <v>8298541</v>
      </c>
      <c r="KFZ538" s="1170">
        <v>8298541</v>
      </c>
      <c r="KGA538" s="1170">
        <v>8298541</v>
      </c>
      <c r="KGB538" s="1170">
        <v>8298541</v>
      </c>
      <c r="KGC538" s="1170">
        <v>8298541</v>
      </c>
      <c r="KGD538" s="1170">
        <v>8298541</v>
      </c>
      <c r="KGE538" s="1170">
        <v>8298541</v>
      </c>
      <c r="KGF538" s="1170">
        <v>8298541</v>
      </c>
      <c r="KGG538" s="1170">
        <v>8298541</v>
      </c>
      <c r="KGH538" s="1170">
        <v>8298541</v>
      </c>
      <c r="KGI538" s="1170">
        <v>8298541</v>
      </c>
      <c r="KGJ538" s="1170">
        <v>8298541</v>
      </c>
      <c r="KGK538" s="1170">
        <v>8298541</v>
      </c>
      <c r="KGL538" s="1170">
        <v>8298541</v>
      </c>
      <c r="KGM538" s="1170">
        <v>8298541</v>
      </c>
      <c r="KGN538" s="1170">
        <v>8298541</v>
      </c>
      <c r="KGO538" s="1170">
        <v>8298541</v>
      </c>
      <c r="KGP538" s="1170">
        <v>8298541</v>
      </c>
      <c r="KGQ538" s="1170">
        <v>8298541</v>
      </c>
      <c r="KGR538" s="1170">
        <v>8298541</v>
      </c>
      <c r="KGS538" s="1170">
        <v>8298541</v>
      </c>
      <c r="KGT538" s="1170">
        <v>8298541</v>
      </c>
      <c r="KGU538" s="1170">
        <v>8298541</v>
      </c>
      <c r="KGV538" s="1170">
        <v>8298541</v>
      </c>
      <c r="KGW538" s="1170">
        <v>8298541</v>
      </c>
      <c r="KGX538" s="1170">
        <v>8298541</v>
      </c>
      <c r="KGY538" s="1170">
        <v>8298541</v>
      </c>
      <c r="KGZ538" s="1170">
        <v>8298541</v>
      </c>
      <c r="KHA538" s="1170">
        <v>8298541</v>
      </c>
      <c r="KHB538" s="1170">
        <v>8298541</v>
      </c>
      <c r="KHC538" s="1170">
        <v>8298541</v>
      </c>
      <c r="KHD538" s="1170">
        <v>8298541</v>
      </c>
      <c r="KHE538" s="1170">
        <v>8298541</v>
      </c>
      <c r="KHF538" s="1170">
        <v>8298541</v>
      </c>
      <c r="KHG538" s="1170">
        <v>8298541</v>
      </c>
      <c r="KHH538" s="1170">
        <v>8298541</v>
      </c>
      <c r="KHI538" s="1170">
        <v>8298541</v>
      </c>
      <c r="KHJ538" s="1170">
        <v>8298541</v>
      </c>
      <c r="KHK538" s="1170">
        <v>8298541</v>
      </c>
      <c r="KHL538" s="1170">
        <v>8298541</v>
      </c>
      <c r="KHM538" s="1170">
        <v>8298541</v>
      </c>
      <c r="KHN538" s="1170">
        <v>8298541</v>
      </c>
      <c r="KHO538" s="1170">
        <v>8298541</v>
      </c>
      <c r="KHP538" s="1170">
        <v>8298541</v>
      </c>
      <c r="KHQ538" s="1170">
        <v>8298541</v>
      </c>
      <c r="KHR538" s="1170">
        <v>8298541</v>
      </c>
      <c r="KHS538" s="1170">
        <v>8298541</v>
      </c>
      <c r="KHT538" s="1170">
        <v>8298541</v>
      </c>
      <c r="KHU538" s="1170">
        <v>8298541</v>
      </c>
      <c r="KHV538" s="1170">
        <v>8298541</v>
      </c>
      <c r="KHW538" s="1170">
        <v>8298541</v>
      </c>
      <c r="KHX538" s="1170">
        <v>8298541</v>
      </c>
      <c r="KHY538" s="1170">
        <v>8298541</v>
      </c>
      <c r="KHZ538" s="1170">
        <v>8298541</v>
      </c>
      <c r="KIA538" s="1170">
        <v>8298541</v>
      </c>
      <c r="KIB538" s="1170">
        <v>8298541</v>
      </c>
      <c r="KIC538" s="1170">
        <v>8298541</v>
      </c>
      <c r="KID538" s="1170">
        <v>8298541</v>
      </c>
      <c r="KIE538" s="1170">
        <v>8298541</v>
      </c>
      <c r="KIF538" s="1170">
        <v>8298541</v>
      </c>
      <c r="KIG538" s="1170">
        <v>8298541</v>
      </c>
      <c r="KIH538" s="1170">
        <v>8298541</v>
      </c>
      <c r="KII538" s="1170">
        <v>8298541</v>
      </c>
      <c r="KIJ538" s="1170">
        <v>8298541</v>
      </c>
      <c r="KIK538" s="1170">
        <v>8298541</v>
      </c>
      <c r="KIL538" s="1170">
        <v>8298541</v>
      </c>
      <c r="KIM538" s="1170">
        <v>8298541</v>
      </c>
      <c r="KIN538" s="1170">
        <v>8298541</v>
      </c>
      <c r="KIO538" s="1170">
        <v>8298541</v>
      </c>
      <c r="KIP538" s="1170">
        <v>8298541</v>
      </c>
      <c r="KIQ538" s="1170">
        <v>8298541</v>
      </c>
      <c r="KIR538" s="1170">
        <v>8298541</v>
      </c>
      <c r="KIS538" s="1170">
        <v>8298541</v>
      </c>
      <c r="KIT538" s="1170">
        <v>8298541</v>
      </c>
      <c r="KIU538" s="1170">
        <v>8298541</v>
      </c>
      <c r="KIV538" s="1170">
        <v>8298541</v>
      </c>
      <c r="KIW538" s="1170">
        <v>8298541</v>
      </c>
      <c r="KIX538" s="1170">
        <v>8298541</v>
      </c>
      <c r="KIY538" s="1170">
        <v>8298541</v>
      </c>
      <c r="KIZ538" s="1170">
        <v>8298541</v>
      </c>
      <c r="KJA538" s="1170">
        <v>8298541</v>
      </c>
      <c r="KJB538" s="1170">
        <v>8298541</v>
      </c>
      <c r="KJC538" s="1170">
        <v>8298541</v>
      </c>
      <c r="KJD538" s="1170">
        <v>8298541</v>
      </c>
      <c r="KJE538" s="1170">
        <v>8298541</v>
      </c>
      <c r="KJF538" s="1170">
        <v>8298541</v>
      </c>
      <c r="KJG538" s="1170">
        <v>8298541</v>
      </c>
      <c r="KJH538" s="1170">
        <v>8298541</v>
      </c>
      <c r="KJI538" s="1170">
        <v>8298541</v>
      </c>
      <c r="KJJ538" s="1170">
        <v>8298541</v>
      </c>
      <c r="KJK538" s="1170">
        <v>8298541</v>
      </c>
      <c r="KJL538" s="1170">
        <v>8298541</v>
      </c>
      <c r="KJM538" s="1170">
        <v>8298541</v>
      </c>
      <c r="KJN538" s="1170">
        <v>8298541</v>
      </c>
      <c r="KJO538" s="1170">
        <v>8298541</v>
      </c>
      <c r="KJP538" s="1170">
        <v>8298541</v>
      </c>
      <c r="KJQ538" s="1170">
        <v>8298541</v>
      </c>
      <c r="KJR538" s="1170">
        <v>8298541</v>
      </c>
      <c r="KJS538" s="1170">
        <v>8298541</v>
      </c>
      <c r="KJT538" s="1170">
        <v>8298541</v>
      </c>
      <c r="KJU538" s="1170">
        <v>8298541</v>
      </c>
      <c r="KJV538" s="1170">
        <v>8298541</v>
      </c>
      <c r="KJW538" s="1170">
        <v>8298541</v>
      </c>
      <c r="KJX538" s="1170">
        <v>8298541</v>
      </c>
      <c r="KJY538" s="1170">
        <v>8298541</v>
      </c>
      <c r="KJZ538" s="1170">
        <v>8298541</v>
      </c>
      <c r="KKA538" s="1170">
        <v>8298541</v>
      </c>
      <c r="KKB538" s="1170">
        <v>8298541</v>
      </c>
      <c r="KKC538" s="1170">
        <v>8298541</v>
      </c>
      <c r="KKD538" s="1170">
        <v>8298541</v>
      </c>
      <c r="KKE538" s="1170">
        <v>8298541</v>
      </c>
      <c r="KKF538" s="1170">
        <v>8298541</v>
      </c>
      <c r="KKG538" s="1170">
        <v>8298541</v>
      </c>
      <c r="KKH538" s="1170">
        <v>8298541</v>
      </c>
      <c r="KKI538" s="1170">
        <v>8298541</v>
      </c>
      <c r="KKJ538" s="1170">
        <v>8298541</v>
      </c>
      <c r="KKK538" s="1170">
        <v>8298541</v>
      </c>
      <c r="KKL538" s="1170">
        <v>8298541</v>
      </c>
      <c r="KKM538" s="1170">
        <v>8298541</v>
      </c>
      <c r="KKN538" s="1170">
        <v>8298541</v>
      </c>
      <c r="KKO538" s="1170">
        <v>8298541</v>
      </c>
      <c r="KKP538" s="1170">
        <v>8298541</v>
      </c>
      <c r="KKQ538" s="1170">
        <v>8298541</v>
      </c>
      <c r="KKR538" s="1170">
        <v>8298541</v>
      </c>
      <c r="KKS538" s="1170">
        <v>8298541</v>
      </c>
      <c r="KKT538" s="1170">
        <v>8298541</v>
      </c>
      <c r="KKU538" s="1170">
        <v>8298541</v>
      </c>
      <c r="KKV538" s="1170">
        <v>8298541</v>
      </c>
      <c r="KKW538" s="1170">
        <v>8298541</v>
      </c>
      <c r="KKX538" s="1170">
        <v>8298541</v>
      </c>
      <c r="KKY538" s="1170">
        <v>8298541</v>
      </c>
      <c r="KKZ538" s="1170">
        <v>8298541</v>
      </c>
      <c r="KLA538" s="1170">
        <v>8298541</v>
      </c>
      <c r="KLB538" s="1170">
        <v>8298541</v>
      </c>
      <c r="KLC538" s="1170">
        <v>8298541</v>
      </c>
      <c r="KLD538" s="1170">
        <v>8298541</v>
      </c>
      <c r="KLE538" s="1170">
        <v>8298541</v>
      </c>
      <c r="KLF538" s="1170">
        <v>8298541</v>
      </c>
      <c r="KLG538" s="1170">
        <v>8298541</v>
      </c>
      <c r="KLH538" s="1170">
        <v>8298541</v>
      </c>
      <c r="KLI538" s="1170">
        <v>8298541</v>
      </c>
      <c r="KLJ538" s="1170">
        <v>8298541</v>
      </c>
      <c r="KLK538" s="1170">
        <v>8298541</v>
      </c>
      <c r="KLL538" s="1170">
        <v>8298541</v>
      </c>
      <c r="KLM538" s="1170">
        <v>8298541</v>
      </c>
      <c r="KLN538" s="1170">
        <v>8298541</v>
      </c>
      <c r="KLO538" s="1170">
        <v>8298541</v>
      </c>
      <c r="KLP538" s="1170">
        <v>8298541</v>
      </c>
      <c r="KLQ538" s="1170">
        <v>8298541</v>
      </c>
      <c r="KLR538" s="1170">
        <v>8298541</v>
      </c>
      <c r="KLS538" s="1170">
        <v>8298541</v>
      </c>
      <c r="KLT538" s="1170">
        <v>8298541</v>
      </c>
      <c r="KLU538" s="1170">
        <v>8298541</v>
      </c>
      <c r="KLV538" s="1170">
        <v>8298541</v>
      </c>
      <c r="KLW538" s="1170">
        <v>8298541</v>
      </c>
      <c r="KLX538" s="1170">
        <v>8298541</v>
      </c>
      <c r="KLY538" s="1170">
        <v>8298541</v>
      </c>
      <c r="KLZ538" s="1170">
        <v>8298541</v>
      </c>
      <c r="KMA538" s="1170">
        <v>8298541</v>
      </c>
      <c r="KMB538" s="1170">
        <v>8298541</v>
      </c>
      <c r="KMC538" s="1170">
        <v>8298541</v>
      </c>
      <c r="KMD538" s="1170">
        <v>8298541</v>
      </c>
      <c r="KME538" s="1170">
        <v>8298541</v>
      </c>
      <c r="KMF538" s="1170">
        <v>8298541</v>
      </c>
      <c r="KMG538" s="1170">
        <v>8298541</v>
      </c>
      <c r="KMH538" s="1170">
        <v>8298541</v>
      </c>
      <c r="KMI538" s="1170">
        <v>8298541</v>
      </c>
      <c r="KMJ538" s="1170">
        <v>8298541</v>
      </c>
      <c r="KMK538" s="1170">
        <v>8298541</v>
      </c>
      <c r="KML538" s="1170">
        <v>8298541</v>
      </c>
      <c r="KMM538" s="1170">
        <v>8298541</v>
      </c>
      <c r="KMN538" s="1170">
        <v>8298541</v>
      </c>
      <c r="KMO538" s="1170">
        <v>8298541</v>
      </c>
      <c r="KMP538" s="1170">
        <v>8298541</v>
      </c>
      <c r="KMQ538" s="1170">
        <v>8298541</v>
      </c>
      <c r="KMR538" s="1170">
        <v>8298541</v>
      </c>
      <c r="KMS538" s="1170">
        <v>8298541</v>
      </c>
      <c r="KMT538" s="1170">
        <v>8298541</v>
      </c>
      <c r="KMU538" s="1170">
        <v>8298541</v>
      </c>
      <c r="KMV538" s="1170">
        <v>8298541</v>
      </c>
      <c r="KMW538" s="1170">
        <v>8298541</v>
      </c>
      <c r="KMX538" s="1170">
        <v>8298541</v>
      </c>
      <c r="KMY538" s="1170">
        <v>8298541</v>
      </c>
      <c r="KMZ538" s="1170">
        <v>8298541</v>
      </c>
      <c r="KNA538" s="1170">
        <v>8298541</v>
      </c>
      <c r="KNB538" s="1170">
        <v>8298541</v>
      </c>
      <c r="KNC538" s="1170">
        <v>8298541</v>
      </c>
      <c r="KND538" s="1170">
        <v>8298541</v>
      </c>
      <c r="KNE538" s="1170">
        <v>8298541</v>
      </c>
      <c r="KNF538" s="1170">
        <v>8298541</v>
      </c>
      <c r="KNG538" s="1170">
        <v>8298541</v>
      </c>
      <c r="KNH538" s="1170">
        <v>8298541</v>
      </c>
      <c r="KNI538" s="1170">
        <v>8298541</v>
      </c>
      <c r="KNJ538" s="1170">
        <v>8298541</v>
      </c>
      <c r="KNK538" s="1170">
        <v>8298541</v>
      </c>
      <c r="KNL538" s="1170">
        <v>8298541</v>
      </c>
      <c r="KNM538" s="1170">
        <v>8298541</v>
      </c>
      <c r="KNN538" s="1170">
        <v>8298541</v>
      </c>
      <c r="KNO538" s="1170">
        <v>8298541</v>
      </c>
      <c r="KNP538" s="1170">
        <v>8298541</v>
      </c>
      <c r="KNQ538" s="1170">
        <v>8298541</v>
      </c>
      <c r="KNR538" s="1170">
        <v>8298541</v>
      </c>
      <c r="KNS538" s="1170">
        <v>8298541</v>
      </c>
      <c r="KNT538" s="1170">
        <v>8298541</v>
      </c>
      <c r="KNU538" s="1170">
        <v>8298541</v>
      </c>
      <c r="KNV538" s="1170">
        <v>8298541</v>
      </c>
      <c r="KNW538" s="1170">
        <v>8298541</v>
      </c>
      <c r="KNX538" s="1170">
        <v>8298541</v>
      </c>
      <c r="KNY538" s="1170">
        <v>8298541</v>
      </c>
      <c r="KNZ538" s="1170">
        <v>8298541</v>
      </c>
      <c r="KOA538" s="1170">
        <v>8298541</v>
      </c>
      <c r="KOB538" s="1170">
        <v>8298541</v>
      </c>
      <c r="KOC538" s="1170">
        <v>8298541</v>
      </c>
      <c r="KOD538" s="1170">
        <v>8298541</v>
      </c>
      <c r="KOE538" s="1170">
        <v>8298541</v>
      </c>
      <c r="KOF538" s="1170">
        <v>8298541</v>
      </c>
      <c r="KOG538" s="1170">
        <v>8298541</v>
      </c>
      <c r="KOH538" s="1170">
        <v>8298541</v>
      </c>
      <c r="KOI538" s="1170">
        <v>8298541</v>
      </c>
      <c r="KOJ538" s="1170">
        <v>8298541</v>
      </c>
      <c r="KOK538" s="1170">
        <v>8298541</v>
      </c>
      <c r="KOL538" s="1170">
        <v>8298541</v>
      </c>
      <c r="KOM538" s="1170">
        <v>8298541</v>
      </c>
      <c r="KON538" s="1170">
        <v>8298541</v>
      </c>
      <c r="KOO538" s="1170">
        <v>8298541</v>
      </c>
      <c r="KOP538" s="1170">
        <v>8298541</v>
      </c>
      <c r="KOQ538" s="1170">
        <v>8298541</v>
      </c>
      <c r="KOR538" s="1170">
        <v>8298541</v>
      </c>
      <c r="KOS538" s="1170">
        <v>8298541</v>
      </c>
      <c r="KOT538" s="1170">
        <v>8298541</v>
      </c>
      <c r="KOU538" s="1170">
        <v>8298541</v>
      </c>
      <c r="KOV538" s="1170">
        <v>8298541</v>
      </c>
      <c r="KOW538" s="1170">
        <v>8298541</v>
      </c>
      <c r="KOX538" s="1170">
        <v>8298541</v>
      </c>
      <c r="KOY538" s="1170">
        <v>8298541</v>
      </c>
      <c r="KOZ538" s="1170">
        <v>8298541</v>
      </c>
      <c r="KPA538" s="1170">
        <v>8298541</v>
      </c>
      <c r="KPB538" s="1170">
        <v>8298541</v>
      </c>
      <c r="KPC538" s="1170">
        <v>8298541</v>
      </c>
      <c r="KPD538" s="1170">
        <v>8298541</v>
      </c>
      <c r="KPE538" s="1170">
        <v>8298541</v>
      </c>
      <c r="KPF538" s="1170">
        <v>8298541</v>
      </c>
      <c r="KPG538" s="1170">
        <v>8298541</v>
      </c>
      <c r="KPH538" s="1170">
        <v>8298541</v>
      </c>
      <c r="KPI538" s="1170">
        <v>8298541</v>
      </c>
      <c r="KPJ538" s="1170">
        <v>8298541</v>
      </c>
      <c r="KPK538" s="1170">
        <v>8298541</v>
      </c>
      <c r="KPL538" s="1170">
        <v>8298541</v>
      </c>
      <c r="KPM538" s="1170">
        <v>8298541</v>
      </c>
      <c r="KPN538" s="1170">
        <v>8298541</v>
      </c>
      <c r="KPO538" s="1170">
        <v>8298541</v>
      </c>
      <c r="KPP538" s="1170">
        <v>8298541</v>
      </c>
      <c r="KPQ538" s="1170">
        <v>8298541</v>
      </c>
      <c r="KPR538" s="1170">
        <v>8298541</v>
      </c>
      <c r="KPS538" s="1170">
        <v>8298541</v>
      </c>
      <c r="KPT538" s="1170">
        <v>8298541</v>
      </c>
      <c r="KPU538" s="1170">
        <v>8298541</v>
      </c>
      <c r="KPV538" s="1170">
        <v>8298541</v>
      </c>
      <c r="KPW538" s="1170">
        <v>8298541</v>
      </c>
      <c r="KPX538" s="1170">
        <v>8298541</v>
      </c>
      <c r="KPY538" s="1170">
        <v>8298541</v>
      </c>
      <c r="KPZ538" s="1170">
        <v>8298541</v>
      </c>
      <c r="KQA538" s="1170">
        <v>8298541</v>
      </c>
      <c r="KQB538" s="1170">
        <v>8298541</v>
      </c>
      <c r="KQC538" s="1170">
        <v>8298541</v>
      </c>
      <c r="KQD538" s="1170">
        <v>8298541</v>
      </c>
      <c r="KQE538" s="1170">
        <v>8298541</v>
      </c>
      <c r="KQF538" s="1170">
        <v>8298541</v>
      </c>
      <c r="KQG538" s="1170">
        <v>8298541</v>
      </c>
      <c r="KQH538" s="1170">
        <v>8298541</v>
      </c>
      <c r="KQI538" s="1170">
        <v>8298541</v>
      </c>
      <c r="KQJ538" s="1170">
        <v>8298541</v>
      </c>
      <c r="KQK538" s="1170">
        <v>8298541</v>
      </c>
      <c r="KQL538" s="1170">
        <v>8298541</v>
      </c>
      <c r="KQM538" s="1170">
        <v>8298541</v>
      </c>
      <c r="KQN538" s="1170">
        <v>8298541</v>
      </c>
      <c r="KQO538" s="1170">
        <v>8298541</v>
      </c>
      <c r="KQP538" s="1170">
        <v>8298541</v>
      </c>
      <c r="KQQ538" s="1170">
        <v>8298541</v>
      </c>
      <c r="KQR538" s="1170">
        <v>8298541</v>
      </c>
      <c r="KQS538" s="1170">
        <v>8298541</v>
      </c>
      <c r="KQT538" s="1170">
        <v>8298541</v>
      </c>
      <c r="KQU538" s="1170">
        <v>8298541</v>
      </c>
      <c r="KQV538" s="1170">
        <v>8298541</v>
      </c>
      <c r="KQW538" s="1170">
        <v>8298541</v>
      </c>
      <c r="KQX538" s="1170">
        <v>8298541</v>
      </c>
      <c r="KQY538" s="1170">
        <v>8298541</v>
      </c>
      <c r="KQZ538" s="1170">
        <v>8298541</v>
      </c>
      <c r="KRA538" s="1170">
        <v>8298541</v>
      </c>
      <c r="KRB538" s="1170">
        <v>8298541</v>
      </c>
      <c r="KRC538" s="1170">
        <v>8298541</v>
      </c>
      <c r="KRD538" s="1170">
        <v>8298541</v>
      </c>
      <c r="KRE538" s="1170">
        <v>8298541</v>
      </c>
      <c r="KRF538" s="1170">
        <v>8298541</v>
      </c>
      <c r="KRG538" s="1170">
        <v>8298541</v>
      </c>
      <c r="KRH538" s="1170">
        <v>8298541</v>
      </c>
      <c r="KRI538" s="1170">
        <v>8298541</v>
      </c>
      <c r="KRJ538" s="1170">
        <v>8298541</v>
      </c>
      <c r="KRK538" s="1170">
        <v>8298541</v>
      </c>
      <c r="KRL538" s="1170">
        <v>8298541</v>
      </c>
      <c r="KRM538" s="1170">
        <v>8298541</v>
      </c>
      <c r="KRN538" s="1170">
        <v>8298541</v>
      </c>
      <c r="KRO538" s="1170">
        <v>8298541</v>
      </c>
      <c r="KRP538" s="1170">
        <v>8298541</v>
      </c>
      <c r="KRQ538" s="1170">
        <v>8298541</v>
      </c>
      <c r="KRR538" s="1170">
        <v>8298541</v>
      </c>
      <c r="KRS538" s="1170">
        <v>8298541</v>
      </c>
      <c r="KRT538" s="1170">
        <v>8298541</v>
      </c>
      <c r="KRU538" s="1170">
        <v>8298541</v>
      </c>
      <c r="KRV538" s="1170">
        <v>8298541</v>
      </c>
      <c r="KRW538" s="1170">
        <v>8298541</v>
      </c>
      <c r="KRX538" s="1170">
        <v>8298541</v>
      </c>
      <c r="KRY538" s="1170">
        <v>8298541</v>
      </c>
      <c r="KRZ538" s="1170">
        <v>8298541</v>
      </c>
      <c r="KSA538" s="1170">
        <v>8298541</v>
      </c>
      <c r="KSB538" s="1170">
        <v>8298541</v>
      </c>
      <c r="KSC538" s="1170">
        <v>8298541</v>
      </c>
      <c r="KSD538" s="1170">
        <v>8298541</v>
      </c>
      <c r="KSE538" s="1170">
        <v>8298541</v>
      </c>
      <c r="KSF538" s="1170">
        <v>8298541</v>
      </c>
      <c r="KSG538" s="1170">
        <v>8298541</v>
      </c>
      <c r="KSH538" s="1170">
        <v>8298541</v>
      </c>
      <c r="KSI538" s="1170">
        <v>8298541</v>
      </c>
      <c r="KSJ538" s="1170">
        <v>8298541</v>
      </c>
      <c r="KSK538" s="1170">
        <v>8298541</v>
      </c>
      <c r="KSL538" s="1170">
        <v>8298541</v>
      </c>
      <c r="KSM538" s="1170">
        <v>8298541</v>
      </c>
      <c r="KSN538" s="1170">
        <v>8298541</v>
      </c>
      <c r="KSO538" s="1170">
        <v>8298541</v>
      </c>
      <c r="KSP538" s="1170">
        <v>8298541</v>
      </c>
      <c r="KSQ538" s="1170">
        <v>8298541</v>
      </c>
      <c r="KSR538" s="1170">
        <v>8298541</v>
      </c>
      <c r="KSS538" s="1170">
        <v>8298541</v>
      </c>
      <c r="KST538" s="1170">
        <v>8298541</v>
      </c>
      <c r="KSU538" s="1170">
        <v>8298541</v>
      </c>
      <c r="KSV538" s="1170">
        <v>8298541</v>
      </c>
      <c r="KSW538" s="1170">
        <v>8298541</v>
      </c>
      <c r="KSX538" s="1170">
        <v>8298541</v>
      </c>
      <c r="KSY538" s="1170">
        <v>8298541</v>
      </c>
      <c r="KSZ538" s="1170">
        <v>8298541</v>
      </c>
      <c r="KTA538" s="1170">
        <v>8298541</v>
      </c>
      <c r="KTB538" s="1170">
        <v>8298541</v>
      </c>
      <c r="KTC538" s="1170">
        <v>8298541</v>
      </c>
      <c r="KTD538" s="1170">
        <v>8298541</v>
      </c>
      <c r="KTE538" s="1170">
        <v>8298541</v>
      </c>
      <c r="KTF538" s="1170">
        <v>8298541</v>
      </c>
      <c r="KTG538" s="1170">
        <v>8298541</v>
      </c>
      <c r="KTH538" s="1170">
        <v>8298541</v>
      </c>
      <c r="KTI538" s="1170">
        <v>8298541</v>
      </c>
      <c r="KTJ538" s="1170">
        <v>8298541</v>
      </c>
      <c r="KTK538" s="1170">
        <v>8298541</v>
      </c>
      <c r="KTL538" s="1170">
        <v>8298541</v>
      </c>
      <c r="KTM538" s="1170">
        <v>8298541</v>
      </c>
      <c r="KTN538" s="1170">
        <v>8298541</v>
      </c>
      <c r="KTO538" s="1170">
        <v>8298541</v>
      </c>
      <c r="KTP538" s="1170">
        <v>8298541</v>
      </c>
      <c r="KTQ538" s="1170">
        <v>8298541</v>
      </c>
      <c r="KTR538" s="1170">
        <v>8298541</v>
      </c>
      <c r="KTS538" s="1170">
        <v>8298541</v>
      </c>
      <c r="KTT538" s="1170">
        <v>8298541</v>
      </c>
      <c r="KTU538" s="1170">
        <v>8298541</v>
      </c>
      <c r="KTV538" s="1170">
        <v>8298541</v>
      </c>
      <c r="KTW538" s="1170">
        <v>8298541</v>
      </c>
      <c r="KTX538" s="1170">
        <v>8298541</v>
      </c>
      <c r="KTY538" s="1170">
        <v>8298541</v>
      </c>
      <c r="KTZ538" s="1170">
        <v>8298541</v>
      </c>
      <c r="KUA538" s="1170">
        <v>8298541</v>
      </c>
      <c r="KUB538" s="1170">
        <v>8298541</v>
      </c>
      <c r="KUC538" s="1170">
        <v>8298541</v>
      </c>
      <c r="KUD538" s="1170">
        <v>8298541</v>
      </c>
      <c r="KUE538" s="1170">
        <v>8298541</v>
      </c>
      <c r="KUF538" s="1170">
        <v>8298541</v>
      </c>
      <c r="KUG538" s="1170">
        <v>8298541</v>
      </c>
      <c r="KUH538" s="1170">
        <v>8298541</v>
      </c>
      <c r="KUI538" s="1170">
        <v>8298541</v>
      </c>
      <c r="KUJ538" s="1170">
        <v>8298541</v>
      </c>
      <c r="KUK538" s="1170">
        <v>8298541</v>
      </c>
      <c r="KUL538" s="1170">
        <v>8298541</v>
      </c>
      <c r="KUM538" s="1170">
        <v>8298541</v>
      </c>
      <c r="KUN538" s="1170">
        <v>8298541</v>
      </c>
      <c r="KUO538" s="1170">
        <v>8298541</v>
      </c>
      <c r="KUP538" s="1170">
        <v>8298541</v>
      </c>
      <c r="KUQ538" s="1170">
        <v>8298541</v>
      </c>
      <c r="KUR538" s="1170">
        <v>8298541</v>
      </c>
      <c r="KUS538" s="1170">
        <v>8298541</v>
      </c>
      <c r="KUT538" s="1170">
        <v>8298541</v>
      </c>
      <c r="KUU538" s="1170">
        <v>8298541</v>
      </c>
      <c r="KUV538" s="1170">
        <v>8298541</v>
      </c>
      <c r="KUW538" s="1170">
        <v>8298541</v>
      </c>
      <c r="KUX538" s="1170">
        <v>8298541</v>
      </c>
      <c r="KUY538" s="1170">
        <v>8298541</v>
      </c>
      <c r="KUZ538" s="1170">
        <v>8298541</v>
      </c>
      <c r="KVA538" s="1170">
        <v>8298541</v>
      </c>
      <c r="KVB538" s="1170">
        <v>8298541</v>
      </c>
      <c r="KVC538" s="1170">
        <v>8298541</v>
      </c>
      <c r="KVD538" s="1170">
        <v>8298541</v>
      </c>
      <c r="KVE538" s="1170">
        <v>8298541</v>
      </c>
      <c r="KVF538" s="1170">
        <v>8298541</v>
      </c>
      <c r="KVG538" s="1170">
        <v>8298541</v>
      </c>
      <c r="KVH538" s="1170">
        <v>8298541</v>
      </c>
      <c r="KVI538" s="1170">
        <v>8298541</v>
      </c>
      <c r="KVJ538" s="1170">
        <v>8298541</v>
      </c>
      <c r="KVK538" s="1170">
        <v>8298541</v>
      </c>
      <c r="KVL538" s="1170">
        <v>8298541</v>
      </c>
      <c r="KVM538" s="1170">
        <v>8298541</v>
      </c>
      <c r="KVN538" s="1170">
        <v>8298541</v>
      </c>
      <c r="KVO538" s="1170">
        <v>8298541</v>
      </c>
      <c r="KVP538" s="1170">
        <v>8298541</v>
      </c>
      <c r="KVQ538" s="1170">
        <v>8298541</v>
      </c>
      <c r="KVR538" s="1170">
        <v>8298541</v>
      </c>
      <c r="KVS538" s="1170">
        <v>8298541</v>
      </c>
      <c r="KVT538" s="1170">
        <v>8298541</v>
      </c>
      <c r="KVU538" s="1170">
        <v>8298541</v>
      </c>
      <c r="KVV538" s="1170">
        <v>8298541</v>
      </c>
      <c r="KVW538" s="1170">
        <v>8298541</v>
      </c>
      <c r="KVX538" s="1170">
        <v>8298541</v>
      </c>
      <c r="KVY538" s="1170">
        <v>8298541</v>
      </c>
      <c r="KVZ538" s="1170">
        <v>8298541</v>
      </c>
      <c r="KWA538" s="1170">
        <v>8298541</v>
      </c>
      <c r="KWB538" s="1170">
        <v>8298541</v>
      </c>
      <c r="KWC538" s="1170">
        <v>8298541</v>
      </c>
      <c r="KWD538" s="1170">
        <v>8298541</v>
      </c>
      <c r="KWE538" s="1170">
        <v>8298541</v>
      </c>
      <c r="KWF538" s="1170">
        <v>8298541</v>
      </c>
      <c r="KWG538" s="1170">
        <v>8298541</v>
      </c>
      <c r="KWH538" s="1170">
        <v>8298541</v>
      </c>
      <c r="KWI538" s="1170">
        <v>8298541</v>
      </c>
      <c r="KWJ538" s="1170">
        <v>8298541</v>
      </c>
      <c r="KWK538" s="1170">
        <v>8298541</v>
      </c>
      <c r="KWL538" s="1170">
        <v>8298541</v>
      </c>
      <c r="KWM538" s="1170">
        <v>8298541</v>
      </c>
      <c r="KWN538" s="1170">
        <v>8298541</v>
      </c>
      <c r="KWO538" s="1170">
        <v>8298541</v>
      </c>
      <c r="KWP538" s="1170">
        <v>8298541</v>
      </c>
      <c r="KWQ538" s="1170">
        <v>8298541</v>
      </c>
      <c r="KWR538" s="1170">
        <v>8298541</v>
      </c>
      <c r="KWS538" s="1170">
        <v>8298541</v>
      </c>
      <c r="KWT538" s="1170">
        <v>8298541</v>
      </c>
      <c r="KWU538" s="1170">
        <v>8298541</v>
      </c>
      <c r="KWV538" s="1170">
        <v>8298541</v>
      </c>
      <c r="KWW538" s="1170">
        <v>8298541</v>
      </c>
      <c r="KWX538" s="1170">
        <v>8298541</v>
      </c>
      <c r="KWY538" s="1170">
        <v>8298541</v>
      </c>
      <c r="KWZ538" s="1170">
        <v>8298541</v>
      </c>
      <c r="KXA538" s="1170">
        <v>8298541</v>
      </c>
      <c r="KXB538" s="1170">
        <v>8298541</v>
      </c>
      <c r="KXC538" s="1170">
        <v>8298541</v>
      </c>
      <c r="KXD538" s="1170">
        <v>8298541</v>
      </c>
      <c r="KXE538" s="1170">
        <v>8298541</v>
      </c>
      <c r="KXF538" s="1170">
        <v>8298541</v>
      </c>
      <c r="KXG538" s="1170">
        <v>8298541</v>
      </c>
      <c r="KXH538" s="1170">
        <v>8298541</v>
      </c>
      <c r="KXI538" s="1170">
        <v>8298541</v>
      </c>
      <c r="KXJ538" s="1170">
        <v>8298541</v>
      </c>
      <c r="KXK538" s="1170">
        <v>8298541</v>
      </c>
      <c r="KXL538" s="1170">
        <v>8298541</v>
      </c>
      <c r="KXM538" s="1170">
        <v>8298541</v>
      </c>
      <c r="KXN538" s="1170">
        <v>8298541</v>
      </c>
      <c r="KXO538" s="1170">
        <v>8298541</v>
      </c>
      <c r="KXP538" s="1170">
        <v>8298541</v>
      </c>
      <c r="KXQ538" s="1170">
        <v>8298541</v>
      </c>
      <c r="KXR538" s="1170">
        <v>8298541</v>
      </c>
      <c r="KXS538" s="1170">
        <v>8298541</v>
      </c>
      <c r="KXT538" s="1170">
        <v>8298541</v>
      </c>
      <c r="KXU538" s="1170">
        <v>8298541</v>
      </c>
      <c r="KXV538" s="1170">
        <v>8298541</v>
      </c>
      <c r="KXW538" s="1170">
        <v>8298541</v>
      </c>
      <c r="KXX538" s="1170">
        <v>8298541</v>
      </c>
      <c r="KXY538" s="1170">
        <v>8298541</v>
      </c>
      <c r="KXZ538" s="1170">
        <v>8298541</v>
      </c>
      <c r="KYA538" s="1170">
        <v>8298541</v>
      </c>
      <c r="KYB538" s="1170">
        <v>8298541</v>
      </c>
      <c r="KYC538" s="1170">
        <v>8298541</v>
      </c>
      <c r="KYD538" s="1170">
        <v>8298541</v>
      </c>
      <c r="KYE538" s="1170">
        <v>8298541</v>
      </c>
      <c r="KYF538" s="1170">
        <v>8298541</v>
      </c>
      <c r="KYG538" s="1170">
        <v>8298541</v>
      </c>
      <c r="KYH538" s="1170">
        <v>8298541</v>
      </c>
      <c r="KYI538" s="1170">
        <v>8298541</v>
      </c>
      <c r="KYJ538" s="1170">
        <v>8298541</v>
      </c>
      <c r="KYK538" s="1170">
        <v>8298541</v>
      </c>
      <c r="KYL538" s="1170">
        <v>8298541</v>
      </c>
      <c r="KYM538" s="1170">
        <v>8298541</v>
      </c>
      <c r="KYN538" s="1170">
        <v>8298541</v>
      </c>
      <c r="KYO538" s="1170">
        <v>8298541</v>
      </c>
      <c r="KYP538" s="1170">
        <v>8298541</v>
      </c>
      <c r="KYQ538" s="1170">
        <v>8298541</v>
      </c>
      <c r="KYR538" s="1170">
        <v>8298541</v>
      </c>
      <c r="KYS538" s="1170">
        <v>8298541</v>
      </c>
      <c r="KYT538" s="1170">
        <v>8298541</v>
      </c>
      <c r="KYU538" s="1170">
        <v>8298541</v>
      </c>
      <c r="KYV538" s="1170">
        <v>8298541</v>
      </c>
      <c r="KYW538" s="1170">
        <v>8298541</v>
      </c>
      <c r="KYX538" s="1170">
        <v>8298541</v>
      </c>
      <c r="KYY538" s="1170">
        <v>8298541</v>
      </c>
      <c r="KYZ538" s="1170">
        <v>8298541</v>
      </c>
      <c r="KZA538" s="1170">
        <v>8298541</v>
      </c>
      <c r="KZB538" s="1170">
        <v>8298541</v>
      </c>
      <c r="KZC538" s="1170">
        <v>8298541</v>
      </c>
      <c r="KZD538" s="1170">
        <v>8298541</v>
      </c>
      <c r="KZE538" s="1170">
        <v>8298541</v>
      </c>
      <c r="KZF538" s="1170">
        <v>8298541</v>
      </c>
      <c r="KZG538" s="1170">
        <v>8298541</v>
      </c>
      <c r="KZH538" s="1170">
        <v>8298541</v>
      </c>
      <c r="KZI538" s="1170">
        <v>8298541</v>
      </c>
      <c r="KZJ538" s="1170">
        <v>8298541</v>
      </c>
      <c r="KZK538" s="1170">
        <v>8298541</v>
      </c>
      <c r="KZL538" s="1170">
        <v>8298541</v>
      </c>
      <c r="KZM538" s="1170">
        <v>8298541</v>
      </c>
      <c r="KZN538" s="1170">
        <v>8298541</v>
      </c>
      <c r="KZO538" s="1170">
        <v>8298541</v>
      </c>
      <c r="KZP538" s="1170">
        <v>8298541</v>
      </c>
      <c r="KZQ538" s="1170">
        <v>8298541</v>
      </c>
      <c r="KZR538" s="1170">
        <v>8298541</v>
      </c>
      <c r="KZS538" s="1170">
        <v>8298541</v>
      </c>
      <c r="KZT538" s="1170">
        <v>8298541</v>
      </c>
      <c r="KZU538" s="1170">
        <v>8298541</v>
      </c>
      <c r="KZV538" s="1170">
        <v>8298541</v>
      </c>
      <c r="KZW538" s="1170">
        <v>8298541</v>
      </c>
      <c r="KZX538" s="1170">
        <v>8298541</v>
      </c>
      <c r="KZY538" s="1170">
        <v>8298541</v>
      </c>
      <c r="KZZ538" s="1170">
        <v>8298541</v>
      </c>
      <c r="LAA538" s="1170">
        <v>8298541</v>
      </c>
      <c r="LAB538" s="1170">
        <v>8298541</v>
      </c>
      <c r="LAC538" s="1170">
        <v>8298541</v>
      </c>
      <c r="LAD538" s="1170">
        <v>8298541</v>
      </c>
      <c r="LAE538" s="1170">
        <v>8298541</v>
      </c>
      <c r="LAF538" s="1170">
        <v>8298541</v>
      </c>
      <c r="LAG538" s="1170">
        <v>8298541</v>
      </c>
      <c r="LAH538" s="1170">
        <v>8298541</v>
      </c>
      <c r="LAI538" s="1170">
        <v>8298541</v>
      </c>
      <c r="LAJ538" s="1170">
        <v>8298541</v>
      </c>
      <c r="LAK538" s="1170">
        <v>8298541</v>
      </c>
      <c r="LAL538" s="1170">
        <v>8298541</v>
      </c>
      <c r="LAM538" s="1170">
        <v>8298541</v>
      </c>
      <c r="LAN538" s="1170">
        <v>8298541</v>
      </c>
      <c r="LAO538" s="1170">
        <v>8298541</v>
      </c>
      <c r="LAP538" s="1170">
        <v>8298541</v>
      </c>
      <c r="LAQ538" s="1170">
        <v>8298541</v>
      </c>
      <c r="LAR538" s="1170">
        <v>8298541</v>
      </c>
      <c r="LAS538" s="1170">
        <v>8298541</v>
      </c>
      <c r="LAT538" s="1170">
        <v>8298541</v>
      </c>
      <c r="LAU538" s="1170">
        <v>8298541</v>
      </c>
      <c r="LAV538" s="1170">
        <v>8298541</v>
      </c>
      <c r="LAW538" s="1170">
        <v>8298541</v>
      </c>
      <c r="LAX538" s="1170">
        <v>8298541</v>
      </c>
      <c r="LAY538" s="1170">
        <v>8298541</v>
      </c>
      <c r="LAZ538" s="1170">
        <v>8298541</v>
      </c>
      <c r="LBA538" s="1170">
        <v>8298541</v>
      </c>
      <c r="LBB538" s="1170">
        <v>8298541</v>
      </c>
      <c r="LBC538" s="1170">
        <v>8298541</v>
      </c>
      <c r="LBD538" s="1170">
        <v>8298541</v>
      </c>
      <c r="LBE538" s="1170">
        <v>8298541</v>
      </c>
      <c r="LBF538" s="1170">
        <v>8298541</v>
      </c>
      <c r="LBG538" s="1170">
        <v>8298541</v>
      </c>
      <c r="LBH538" s="1170">
        <v>8298541</v>
      </c>
      <c r="LBI538" s="1170">
        <v>8298541</v>
      </c>
      <c r="LBJ538" s="1170">
        <v>8298541</v>
      </c>
      <c r="LBK538" s="1170">
        <v>8298541</v>
      </c>
      <c r="LBL538" s="1170">
        <v>8298541</v>
      </c>
      <c r="LBM538" s="1170">
        <v>8298541</v>
      </c>
      <c r="LBN538" s="1170">
        <v>8298541</v>
      </c>
      <c r="LBO538" s="1170">
        <v>8298541</v>
      </c>
      <c r="LBP538" s="1170">
        <v>8298541</v>
      </c>
      <c r="LBQ538" s="1170">
        <v>8298541</v>
      </c>
      <c r="LBR538" s="1170">
        <v>8298541</v>
      </c>
      <c r="LBS538" s="1170">
        <v>8298541</v>
      </c>
      <c r="LBT538" s="1170">
        <v>8298541</v>
      </c>
      <c r="LBU538" s="1170">
        <v>8298541</v>
      </c>
      <c r="LBV538" s="1170">
        <v>8298541</v>
      </c>
      <c r="LBW538" s="1170">
        <v>8298541</v>
      </c>
      <c r="LBX538" s="1170">
        <v>8298541</v>
      </c>
      <c r="LBY538" s="1170">
        <v>8298541</v>
      </c>
      <c r="LBZ538" s="1170">
        <v>8298541</v>
      </c>
      <c r="LCA538" s="1170">
        <v>8298541</v>
      </c>
      <c r="LCB538" s="1170">
        <v>8298541</v>
      </c>
      <c r="LCC538" s="1170">
        <v>8298541</v>
      </c>
      <c r="LCD538" s="1170">
        <v>8298541</v>
      </c>
      <c r="LCE538" s="1170">
        <v>8298541</v>
      </c>
      <c r="LCF538" s="1170">
        <v>8298541</v>
      </c>
      <c r="LCG538" s="1170">
        <v>8298541</v>
      </c>
      <c r="LCH538" s="1170">
        <v>8298541</v>
      </c>
      <c r="LCI538" s="1170">
        <v>8298541</v>
      </c>
      <c r="LCJ538" s="1170">
        <v>8298541</v>
      </c>
      <c r="LCK538" s="1170">
        <v>8298541</v>
      </c>
      <c r="LCL538" s="1170">
        <v>8298541</v>
      </c>
      <c r="LCM538" s="1170">
        <v>8298541</v>
      </c>
      <c r="LCN538" s="1170">
        <v>8298541</v>
      </c>
      <c r="LCO538" s="1170">
        <v>8298541</v>
      </c>
      <c r="LCP538" s="1170">
        <v>8298541</v>
      </c>
      <c r="LCQ538" s="1170">
        <v>8298541</v>
      </c>
      <c r="LCR538" s="1170">
        <v>8298541</v>
      </c>
      <c r="LCS538" s="1170">
        <v>8298541</v>
      </c>
      <c r="LCT538" s="1170">
        <v>8298541</v>
      </c>
      <c r="LCU538" s="1170">
        <v>8298541</v>
      </c>
      <c r="LCV538" s="1170">
        <v>8298541</v>
      </c>
      <c r="LCW538" s="1170">
        <v>8298541</v>
      </c>
      <c r="LCX538" s="1170">
        <v>8298541</v>
      </c>
      <c r="LCY538" s="1170">
        <v>8298541</v>
      </c>
      <c r="LCZ538" s="1170">
        <v>8298541</v>
      </c>
      <c r="LDA538" s="1170">
        <v>8298541</v>
      </c>
      <c r="LDB538" s="1170">
        <v>8298541</v>
      </c>
      <c r="LDC538" s="1170">
        <v>8298541</v>
      </c>
      <c r="LDD538" s="1170">
        <v>8298541</v>
      </c>
      <c r="LDE538" s="1170">
        <v>8298541</v>
      </c>
      <c r="LDF538" s="1170">
        <v>8298541</v>
      </c>
      <c r="LDG538" s="1170">
        <v>8298541</v>
      </c>
      <c r="LDH538" s="1170">
        <v>8298541</v>
      </c>
      <c r="LDI538" s="1170">
        <v>8298541</v>
      </c>
      <c r="LDJ538" s="1170">
        <v>8298541</v>
      </c>
      <c r="LDK538" s="1170">
        <v>8298541</v>
      </c>
      <c r="LDL538" s="1170">
        <v>8298541</v>
      </c>
      <c r="LDM538" s="1170">
        <v>8298541</v>
      </c>
      <c r="LDN538" s="1170">
        <v>8298541</v>
      </c>
      <c r="LDO538" s="1170">
        <v>8298541</v>
      </c>
      <c r="LDP538" s="1170">
        <v>8298541</v>
      </c>
      <c r="LDQ538" s="1170">
        <v>8298541</v>
      </c>
      <c r="LDR538" s="1170">
        <v>8298541</v>
      </c>
      <c r="LDS538" s="1170">
        <v>8298541</v>
      </c>
      <c r="LDT538" s="1170">
        <v>8298541</v>
      </c>
      <c r="LDU538" s="1170">
        <v>8298541</v>
      </c>
      <c r="LDV538" s="1170">
        <v>8298541</v>
      </c>
      <c r="LDW538" s="1170">
        <v>8298541</v>
      </c>
      <c r="LDX538" s="1170">
        <v>8298541</v>
      </c>
      <c r="LDY538" s="1170">
        <v>8298541</v>
      </c>
      <c r="LDZ538" s="1170">
        <v>8298541</v>
      </c>
      <c r="LEA538" s="1170">
        <v>8298541</v>
      </c>
      <c r="LEB538" s="1170">
        <v>8298541</v>
      </c>
      <c r="LEC538" s="1170">
        <v>8298541</v>
      </c>
      <c r="LED538" s="1170">
        <v>8298541</v>
      </c>
      <c r="LEE538" s="1170">
        <v>8298541</v>
      </c>
      <c r="LEF538" s="1170">
        <v>8298541</v>
      </c>
      <c r="LEG538" s="1170">
        <v>8298541</v>
      </c>
      <c r="LEH538" s="1170">
        <v>8298541</v>
      </c>
      <c r="LEI538" s="1170">
        <v>8298541</v>
      </c>
      <c r="LEJ538" s="1170">
        <v>8298541</v>
      </c>
      <c r="LEK538" s="1170">
        <v>8298541</v>
      </c>
      <c r="LEL538" s="1170">
        <v>8298541</v>
      </c>
      <c r="LEM538" s="1170">
        <v>8298541</v>
      </c>
      <c r="LEN538" s="1170">
        <v>8298541</v>
      </c>
      <c r="LEO538" s="1170">
        <v>8298541</v>
      </c>
      <c r="LEP538" s="1170">
        <v>8298541</v>
      </c>
      <c r="LEQ538" s="1170">
        <v>8298541</v>
      </c>
      <c r="LER538" s="1170">
        <v>8298541</v>
      </c>
      <c r="LES538" s="1170">
        <v>8298541</v>
      </c>
      <c r="LET538" s="1170">
        <v>8298541</v>
      </c>
      <c r="LEU538" s="1170">
        <v>8298541</v>
      </c>
      <c r="LEV538" s="1170">
        <v>8298541</v>
      </c>
      <c r="LEW538" s="1170">
        <v>8298541</v>
      </c>
      <c r="LEX538" s="1170">
        <v>8298541</v>
      </c>
      <c r="LEY538" s="1170">
        <v>8298541</v>
      </c>
      <c r="LEZ538" s="1170">
        <v>8298541</v>
      </c>
      <c r="LFA538" s="1170">
        <v>8298541</v>
      </c>
      <c r="LFB538" s="1170">
        <v>8298541</v>
      </c>
      <c r="LFC538" s="1170">
        <v>8298541</v>
      </c>
      <c r="LFD538" s="1170">
        <v>8298541</v>
      </c>
      <c r="LFE538" s="1170">
        <v>8298541</v>
      </c>
      <c r="LFF538" s="1170">
        <v>8298541</v>
      </c>
      <c r="LFG538" s="1170">
        <v>8298541</v>
      </c>
      <c r="LFH538" s="1170">
        <v>8298541</v>
      </c>
      <c r="LFI538" s="1170">
        <v>8298541</v>
      </c>
      <c r="LFJ538" s="1170">
        <v>8298541</v>
      </c>
      <c r="LFK538" s="1170">
        <v>8298541</v>
      </c>
      <c r="LFL538" s="1170">
        <v>8298541</v>
      </c>
      <c r="LFM538" s="1170">
        <v>8298541</v>
      </c>
      <c r="LFN538" s="1170">
        <v>8298541</v>
      </c>
      <c r="LFO538" s="1170">
        <v>8298541</v>
      </c>
      <c r="LFP538" s="1170">
        <v>8298541</v>
      </c>
      <c r="LFQ538" s="1170">
        <v>8298541</v>
      </c>
      <c r="LFR538" s="1170">
        <v>8298541</v>
      </c>
      <c r="LFS538" s="1170">
        <v>8298541</v>
      </c>
      <c r="LFT538" s="1170">
        <v>8298541</v>
      </c>
      <c r="LFU538" s="1170">
        <v>8298541</v>
      </c>
      <c r="LFV538" s="1170">
        <v>8298541</v>
      </c>
      <c r="LFW538" s="1170">
        <v>8298541</v>
      </c>
      <c r="LFX538" s="1170">
        <v>8298541</v>
      </c>
      <c r="LFY538" s="1170">
        <v>8298541</v>
      </c>
      <c r="LFZ538" s="1170">
        <v>8298541</v>
      </c>
      <c r="LGA538" s="1170">
        <v>8298541</v>
      </c>
      <c r="LGB538" s="1170">
        <v>8298541</v>
      </c>
      <c r="LGC538" s="1170">
        <v>8298541</v>
      </c>
      <c r="LGD538" s="1170">
        <v>8298541</v>
      </c>
      <c r="LGE538" s="1170">
        <v>8298541</v>
      </c>
      <c r="LGF538" s="1170">
        <v>8298541</v>
      </c>
      <c r="LGG538" s="1170">
        <v>8298541</v>
      </c>
      <c r="LGH538" s="1170">
        <v>8298541</v>
      </c>
      <c r="LGI538" s="1170">
        <v>8298541</v>
      </c>
      <c r="LGJ538" s="1170">
        <v>8298541</v>
      </c>
      <c r="LGK538" s="1170">
        <v>8298541</v>
      </c>
      <c r="LGL538" s="1170">
        <v>8298541</v>
      </c>
      <c r="LGM538" s="1170">
        <v>8298541</v>
      </c>
      <c r="LGN538" s="1170">
        <v>8298541</v>
      </c>
      <c r="LGO538" s="1170">
        <v>8298541</v>
      </c>
      <c r="LGP538" s="1170">
        <v>8298541</v>
      </c>
      <c r="LGQ538" s="1170">
        <v>8298541</v>
      </c>
      <c r="LGR538" s="1170">
        <v>8298541</v>
      </c>
      <c r="LGS538" s="1170">
        <v>8298541</v>
      </c>
      <c r="LGT538" s="1170">
        <v>8298541</v>
      </c>
      <c r="LGU538" s="1170">
        <v>8298541</v>
      </c>
      <c r="LGV538" s="1170">
        <v>8298541</v>
      </c>
      <c r="LGW538" s="1170">
        <v>8298541</v>
      </c>
      <c r="LGX538" s="1170">
        <v>8298541</v>
      </c>
      <c r="LGY538" s="1170">
        <v>8298541</v>
      </c>
      <c r="LGZ538" s="1170">
        <v>8298541</v>
      </c>
      <c r="LHA538" s="1170">
        <v>8298541</v>
      </c>
      <c r="LHB538" s="1170">
        <v>8298541</v>
      </c>
      <c r="LHC538" s="1170">
        <v>8298541</v>
      </c>
      <c r="LHD538" s="1170">
        <v>8298541</v>
      </c>
      <c r="LHE538" s="1170">
        <v>8298541</v>
      </c>
      <c r="LHF538" s="1170">
        <v>8298541</v>
      </c>
      <c r="LHG538" s="1170">
        <v>8298541</v>
      </c>
      <c r="LHH538" s="1170">
        <v>8298541</v>
      </c>
      <c r="LHI538" s="1170">
        <v>8298541</v>
      </c>
      <c r="LHJ538" s="1170">
        <v>8298541</v>
      </c>
      <c r="LHK538" s="1170">
        <v>8298541</v>
      </c>
      <c r="LHL538" s="1170">
        <v>8298541</v>
      </c>
      <c r="LHM538" s="1170">
        <v>8298541</v>
      </c>
      <c r="LHN538" s="1170">
        <v>8298541</v>
      </c>
      <c r="LHO538" s="1170">
        <v>8298541</v>
      </c>
      <c r="LHP538" s="1170">
        <v>8298541</v>
      </c>
      <c r="LHQ538" s="1170">
        <v>8298541</v>
      </c>
      <c r="LHR538" s="1170">
        <v>8298541</v>
      </c>
      <c r="LHS538" s="1170">
        <v>8298541</v>
      </c>
      <c r="LHT538" s="1170">
        <v>8298541</v>
      </c>
      <c r="LHU538" s="1170">
        <v>8298541</v>
      </c>
      <c r="LHV538" s="1170">
        <v>8298541</v>
      </c>
      <c r="LHW538" s="1170">
        <v>8298541</v>
      </c>
      <c r="LHX538" s="1170">
        <v>8298541</v>
      </c>
      <c r="LHY538" s="1170">
        <v>8298541</v>
      </c>
      <c r="LHZ538" s="1170">
        <v>8298541</v>
      </c>
      <c r="LIA538" s="1170">
        <v>8298541</v>
      </c>
      <c r="LIB538" s="1170">
        <v>8298541</v>
      </c>
      <c r="LIC538" s="1170">
        <v>8298541</v>
      </c>
      <c r="LID538" s="1170">
        <v>8298541</v>
      </c>
      <c r="LIE538" s="1170">
        <v>8298541</v>
      </c>
      <c r="LIF538" s="1170">
        <v>8298541</v>
      </c>
      <c r="LIG538" s="1170">
        <v>8298541</v>
      </c>
      <c r="LIH538" s="1170">
        <v>8298541</v>
      </c>
      <c r="LII538" s="1170">
        <v>8298541</v>
      </c>
      <c r="LIJ538" s="1170">
        <v>8298541</v>
      </c>
      <c r="LIK538" s="1170">
        <v>8298541</v>
      </c>
      <c r="LIL538" s="1170">
        <v>8298541</v>
      </c>
      <c r="LIM538" s="1170">
        <v>8298541</v>
      </c>
      <c r="LIN538" s="1170">
        <v>8298541</v>
      </c>
      <c r="LIO538" s="1170">
        <v>8298541</v>
      </c>
      <c r="LIP538" s="1170">
        <v>8298541</v>
      </c>
      <c r="LIQ538" s="1170">
        <v>8298541</v>
      </c>
      <c r="LIR538" s="1170">
        <v>8298541</v>
      </c>
      <c r="LIS538" s="1170">
        <v>8298541</v>
      </c>
      <c r="LIT538" s="1170">
        <v>8298541</v>
      </c>
      <c r="LIU538" s="1170">
        <v>8298541</v>
      </c>
      <c r="LIV538" s="1170">
        <v>8298541</v>
      </c>
      <c r="LIW538" s="1170">
        <v>8298541</v>
      </c>
      <c r="LIX538" s="1170">
        <v>8298541</v>
      </c>
      <c r="LIY538" s="1170">
        <v>8298541</v>
      </c>
      <c r="LIZ538" s="1170">
        <v>8298541</v>
      </c>
      <c r="LJA538" s="1170">
        <v>8298541</v>
      </c>
      <c r="LJB538" s="1170">
        <v>8298541</v>
      </c>
      <c r="LJC538" s="1170">
        <v>8298541</v>
      </c>
      <c r="LJD538" s="1170">
        <v>8298541</v>
      </c>
      <c r="LJE538" s="1170">
        <v>8298541</v>
      </c>
      <c r="LJF538" s="1170">
        <v>8298541</v>
      </c>
      <c r="LJG538" s="1170">
        <v>8298541</v>
      </c>
      <c r="LJH538" s="1170">
        <v>8298541</v>
      </c>
      <c r="LJI538" s="1170">
        <v>8298541</v>
      </c>
      <c r="LJJ538" s="1170">
        <v>8298541</v>
      </c>
      <c r="LJK538" s="1170">
        <v>8298541</v>
      </c>
      <c r="LJL538" s="1170">
        <v>8298541</v>
      </c>
      <c r="LJM538" s="1170">
        <v>8298541</v>
      </c>
      <c r="LJN538" s="1170">
        <v>8298541</v>
      </c>
      <c r="LJO538" s="1170">
        <v>8298541</v>
      </c>
      <c r="LJP538" s="1170">
        <v>8298541</v>
      </c>
      <c r="LJQ538" s="1170">
        <v>8298541</v>
      </c>
      <c r="LJR538" s="1170">
        <v>8298541</v>
      </c>
      <c r="LJS538" s="1170">
        <v>8298541</v>
      </c>
      <c r="LJT538" s="1170">
        <v>8298541</v>
      </c>
      <c r="LJU538" s="1170">
        <v>8298541</v>
      </c>
      <c r="LJV538" s="1170">
        <v>8298541</v>
      </c>
      <c r="LJW538" s="1170">
        <v>8298541</v>
      </c>
      <c r="LJX538" s="1170">
        <v>8298541</v>
      </c>
      <c r="LJY538" s="1170">
        <v>8298541</v>
      </c>
      <c r="LJZ538" s="1170">
        <v>8298541</v>
      </c>
      <c r="LKA538" s="1170">
        <v>8298541</v>
      </c>
      <c r="LKB538" s="1170">
        <v>8298541</v>
      </c>
      <c r="LKC538" s="1170">
        <v>8298541</v>
      </c>
      <c r="LKD538" s="1170">
        <v>8298541</v>
      </c>
      <c r="LKE538" s="1170">
        <v>8298541</v>
      </c>
      <c r="LKF538" s="1170">
        <v>8298541</v>
      </c>
      <c r="LKG538" s="1170">
        <v>8298541</v>
      </c>
      <c r="LKH538" s="1170">
        <v>8298541</v>
      </c>
      <c r="LKI538" s="1170">
        <v>8298541</v>
      </c>
      <c r="LKJ538" s="1170">
        <v>8298541</v>
      </c>
      <c r="LKK538" s="1170">
        <v>8298541</v>
      </c>
      <c r="LKL538" s="1170">
        <v>8298541</v>
      </c>
      <c r="LKM538" s="1170">
        <v>8298541</v>
      </c>
      <c r="LKN538" s="1170">
        <v>8298541</v>
      </c>
      <c r="LKO538" s="1170">
        <v>8298541</v>
      </c>
      <c r="LKP538" s="1170">
        <v>8298541</v>
      </c>
      <c r="LKQ538" s="1170">
        <v>8298541</v>
      </c>
      <c r="LKR538" s="1170">
        <v>8298541</v>
      </c>
      <c r="LKS538" s="1170">
        <v>8298541</v>
      </c>
      <c r="LKT538" s="1170">
        <v>8298541</v>
      </c>
      <c r="LKU538" s="1170">
        <v>8298541</v>
      </c>
      <c r="LKV538" s="1170">
        <v>8298541</v>
      </c>
      <c r="LKW538" s="1170">
        <v>8298541</v>
      </c>
      <c r="LKX538" s="1170">
        <v>8298541</v>
      </c>
      <c r="LKY538" s="1170">
        <v>8298541</v>
      </c>
      <c r="LKZ538" s="1170">
        <v>8298541</v>
      </c>
      <c r="LLA538" s="1170">
        <v>8298541</v>
      </c>
      <c r="LLB538" s="1170">
        <v>8298541</v>
      </c>
      <c r="LLC538" s="1170">
        <v>8298541</v>
      </c>
      <c r="LLD538" s="1170">
        <v>8298541</v>
      </c>
      <c r="LLE538" s="1170">
        <v>8298541</v>
      </c>
      <c r="LLF538" s="1170">
        <v>8298541</v>
      </c>
      <c r="LLG538" s="1170">
        <v>8298541</v>
      </c>
      <c r="LLH538" s="1170">
        <v>8298541</v>
      </c>
      <c r="LLI538" s="1170">
        <v>8298541</v>
      </c>
      <c r="LLJ538" s="1170">
        <v>8298541</v>
      </c>
      <c r="LLK538" s="1170">
        <v>8298541</v>
      </c>
      <c r="LLL538" s="1170">
        <v>8298541</v>
      </c>
      <c r="LLM538" s="1170">
        <v>8298541</v>
      </c>
      <c r="LLN538" s="1170">
        <v>8298541</v>
      </c>
      <c r="LLO538" s="1170">
        <v>8298541</v>
      </c>
      <c r="LLP538" s="1170">
        <v>8298541</v>
      </c>
      <c r="LLQ538" s="1170">
        <v>8298541</v>
      </c>
      <c r="LLR538" s="1170">
        <v>8298541</v>
      </c>
      <c r="LLS538" s="1170">
        <v>8298541</v>
      </c>
      <c r="LLT538" s="1170">
        <v>8298541</v>
      </c>
      <c r="LLU538" s="1170">
        <v>8298541</v>
      </c>
      <c r="LLV538" s="1170">
        <v>8298541</v>
      </c>
      <c r="LLW538" s="1170">
        <v>8298541</v>
      </c>
      <c r="LLX538" s="1170">
        <v>8298541</v>
      </c>
      <c r="LLY538" s="1170">
        <v>8298541</v>
      </c>
      <c r="LLZ538" s="1170">
        <v>8298541</v>
      </c>
      <c r="LMA538" s="1170">
        <v>8298541</v>
      </c>
      <c r="LMB538" s="1170">
        <v>8298541</v>
      </c>
      <c r="LMC538" s="1170">
        <v>8298541</v>
      </c>
      <c r="LMD538" s="1170">
        <v>8298541</v>
      </c>
      <c r="LME538" s="1170">
        <v>8298541</v>
      </c>
      <c r="LMF538" s="1170">
        <v>8298541</v>
      </c>
      <c r="LMG538" s="1170">
        <v>8298541</v>
      </c>
      <c r="LMH538" s="1170">
        <v>8298541</v>
      </c>
      <c r="LMI538" s="1170">
        <v>8298541</v>
      </c>
      <c r="LMJ538" s="1170">
        <v>8298541</v>
      </c>
      <c r="LMK538" s="1170">
        <v>8298541</v>
      </c>
      <c r="LML538" s="1170">
        <v>8298541</v>
      </c>
      <c r="LMM538" s="1170">
        <v>8298541</v>
      </c>
      <c r="LMN538" s="1170">
        <v>8298541</v>
      </c>
      <c r="LMO538" s="1170">
        <v>8298541</v>
      </c>
      <c r="LMP538" s="1170">
        <v>8298541</v>
      </c>
      <c r="LMQ538" s="1170">
        <v>8298541</v>
      </c>
      <c r="LMR538" s="1170">
        <v>8298541</v>
      </c>
      <c r="LMS538" s="1170">
        <v>8298541</v>
      </c>
      <c r="LMT538" s="1170">
        <v>8298541</v>
      </c>
      <c r="LMU538" s="1170">
        <v>8298541</v>
      </c>
      <c r="LMV538" s="1170">
        <v>8298541</v>
      </c>
      <c r="LMW538" s="1170">
        <v>8298541</v>
      </c>
      <c r="LMX538" s="1170">
        <v>8298541</v>
      </c>
      <c r="LMY538" s="1170">
        <v>8298541</v>
      </c>
      <c r="LMZ538" s="1170">
        <v>8298541</v>
      </c>
      <c r="LNA538" s="1170">
        <v>8298541</v>
      </c>
      <c r="LNB538" s="1170">
        <v>8298541</v>
      </c>
      <c r="LNC538" s="1170">
        <v>8298541</v>
      </c>
      <c r="LND538" s="1170">
        <v>8298541</v>
      </c>
      <c r="LNE538" s="1170">
        <v>8298541</v>
      </c>
      <c r="LNF538" s="1170">
        <v>8298541</v>
      </c>
      <c r="LNG538" s="1170">
        <v>8298541</v>
      </c>
      <c r="LNH538" s="1170">
        <v>8298541</v>
      </c>
      <c r="LNI538" s="1170">
        <v>8298541</v>
      </c>
      <c r="LNJ538" s="1170">
        <v>8298541</v>
      </c>
      <c r="LNK538" s="1170">
        <v>8298541</v>
      </c>
      <c r="LNL538" s="1170">
        <v>8298541</v>
      </c>
      <c r="LNM538" s="1170">
        <v>8298541</v>
      </c>
      <c r="LNN538" s="1170">
        <v>8298541</v>
      </c>
      <c r="LNO538" s="1170">
        <v>8298541</v>
      </c>
      <c r="LNP538" s="1170">
        <v>8298541</v>
      </c>
      <c r="LNQ538" s="1170">
        <v>8298541</v>
      </c>
      <c r="LNR538" s="1170">
        <v>8298541</v>
      </c>
      <c r="LNS538" s="1170">
        <v>8298541</v>
      </c>
      <c r="LNT538" s="1170">
        <v>8298541</v>
      </c>
      <c r="LNU538" s="1170">
        <v>8298541</v>
      </c>
      <c r="LNV538" s="1170">
        <v>8298541</v>
      </c>
      <c r="LNW538" s="1170">
        <v>8298541</v>
      </c>
      <c r="LNX538" s="1170">
        <v>8298541</v>
      </c>
      <c r="LNY538" s="1170">
        <v>8298541</v>
      </c>
      <c r="LNZ538" s="1170">
        <v>8298541</v>
      </c>
      <c r="LOA538" s="1170">
        <v>8298541</v>
      </c>
      <c r="LOB538" s="1170">
        <v>8298541</v>
      </c>
      <c r="LOC538" s="1170">
        <v>8298541</v>
      </c>
      <c r="LOD538" s="1170">
        <v>8298541</v>
      </c>
      <c r="LOE538" s="1170">
        <v>8298541</v>
      </c>
      <c r="LOF538" s="1170">
        <v>8298541</v>
      </c>
      <c r="LOG538" s="1170">
        <v>8298541</v>
      </c>
      <c r="LOH538" s="1170">
        <v>8298541</v>
      </c>
      <c r="LOI538" s="1170">
        <v>8298541</v>
      </c>
      <c r="LOJ538" s="1170">
        <v>8298541</v>
      </c>
      <c r="LOK538" s="1170">
        <v>8298541</v>
      </c>
      <c r="LOL538" s="1170">
        <v>8298541</v>
      </c>
      <c r="LOM538" s="1170">
        <v>8298541</v>
      </c>
      <c r="LON538" s="1170">
        <v>8298541</v>
      </c>
      <c r="LOO538" s="1170">
        <v>8298541</v>
      </c>
      <c r="LOP538" s="1170">
        <v>8298541</v>
      </c>
      <c r="LOQ538" s="1170">
        <v>8298541</v>
      </c>
      <c r="LOR538" s="1170">
        <v>8298541</v>
      </c>
      <c r="LOS538" s="1170">
        <v>8298541</v>
      </c>
      <c r="LOT538" s="1170">
        <v>8298541</v>
      </c>
      <c r="LOU538" s="1170">
        <v>8298541</v>
      </c>
      <c r="LOV538" s="1170">
        <v>8298541</v>
      </c>
      <c r="LOW538" s="1170">
        <v>8298541</v>
      </c>
      <c r="LOX538" s="1170">
        <v>8298541</v>
      </c>
      <c r="LOY538" s="1170">
        <v>8298541</v>
      </c>
      <c r="LOZ538" s="1170">
        <v>8298541</v>
      </c>
      <c r="LPA538" s="1170">
        <v>8298541</v>
      </c>
      <c r="LPB538" s="1170">
        <v>8298541</v>
      </c>
      <c r="LPC538" s="1170">
        <v>8298541</v>
      </c>
      <c r="LPD538" s="1170">
        <v>8298541</v>
      </c>
      <c r="LPE538" s="1170">
        <v>8298541</v>
      </c>
      <c r="LPF538" s="1170">
        <v>8298541</v>
      </c>
      <c r="LPG538" s="1170">
        <v>8298541</v>
      </c>
      <c r="LPH538" s="1170">
        <v>8298541</v>
      </c>
      <c r="LPI538" s="1170">
        <v>8298541</v>
      </c>
      <c r="LPJ538" s="1170">
        <v>8298541</v>
      </c>
      <c r="LPK538" s="1170">
        <v>8298541</v>
      </c>
      <c r="LPL538" s="1170">
        <v>8298541</v>
      </c>
      <c r="LPM538" s="1170">
        <v>8298541</v>
      </c>
      <c r="LPN538" s="1170">
        <v>8298541</v>
      </c>
      <c r="LPO538" s="1170">
        <v>8298541</v>
      </c>
      <c r="LPP538" s="1170">
        <v>8298541</v>
      </c>
      <c r="LPQ538" s="1170">
        <v>8298541</v>
      </c>
      <c r="LPR538" s="1170">
        <v>8298541</v>
      </c>
      <c r="LPS538" s="1170">
        <v>8298541</v>
      </c>
      <c r="LPT538" s="1170">
        <v>8298541</v>
      </c>
      <c r="LPU538" s="1170">
        <v>8298541</v>
      </c>
      <c r="LPV538" s="1170">
        <v>8298541</v>
      </c>
      <c r="LPW538" s="1170">
        <v>8298541</v>
      </c>
      <c r="LPX538" s="1170">
        <v>8298541</v>
      </c>
      <c r="LPY538" s="1170">
        <v>8298541</v>
      </c>
      <c r="LPZ538" s="1170">
        <v>8298541</v>
      </c>
      <c r="LQA538" s="1170">
        <v>8298541</v>
      </c>
      <c r="LQB538" s="1170">
        <v>8298541</v>
      </c>
      <c r="LQC538" s="1170">
        <v>8298541</v>
      </c>
      <c r="LQD538" s="1170">
        <v>8298541</v>
      </c>
      <c r="LQE538" s="1170">
        <v>8298541</v>
      </c>
      <c r="LQF538" s="1170">
        <v>8298541</v>
      </c>
      <c r="LQG538" s="1170">
        <v>8298541</v>
      </c>
      <c r="LQH538" s="1170">
        <v>8298541</v>
      </c>
      <c r="LQI538" s="1170">
        <v>8298541</v>
      </c>
      <c r="LQJ538" s="1170">
        <v>8298541</v>
      </c>
      <c r="LQK538" s="1170">
        <v>8298541</v>
      </c>
      <c r="LQL538" s="1170">
        <v>8298541</v>
      </c>
      <c r="LQM538" s="1170">
        <v>8298541</v>
      </c>
      <c r="LQN538" s="1170">
        <v>8298541</v>
      </c>
      <c r="LQO538" s="1170">
        <v>8298541</v>
      </c>
      <c r="LQP538" s="1170">
        <v>8298541</v>
      </c>
      <c r="LQQ538" s="1170">
        <v>8298541</v>
      </c>
      <c r="LQR538" s="1170">
        <v>8298541</v>
      </c>
      <c r="LQS538" s="1170">
        <v>8298541</v>
      </c>
      <c r="LQT538" s="1170">
        <v>8298541</v>
      </c>
      <c r="LQU538" s="1170">
        <v>8298541</v>
      </c>
      <c r="LQV538" s="1170">
        <v>8298541</v>
      </c>
      <c r="LQW538" s="1170">
        <v>8298541</v>
      </c>
      <c r="LQX538" s="1170">
        <v>8298541</v>
      </c>
      <c r="LQY538" s="1170">
        <v>8298541</v>
      </c>
      <c r="LQZ538" s="1170">
        <v>8298541</v>
      </c>
      <c r="LRA538" s="1170">
        <v>8298541</v>
      </c>
      <c r="LRB538" s="1170">
        <v>8298541</v>
      </c>
      <c r="LRC538" s="1170">
        <v>8298541</v>
      </c>
      <c r="LRD538" s="1170">
        <v>8298541</v>
      </c>
      <c r="LRE538" s="1170">
        <v>8298541</v>
      </c>
      <c r="LRF538" s="1170">
        <v>8298541</v>
      </c>
      <c r="LRG538" s="1170">
        <v>8298541</v>
      </c>
      <c r="LRH538" s="1170">
        <v>8298541</v>
      </c>
      <c r="LRI538" s="1170">
        <v>8298541</v>
      </c>
      <c r="LRJ538" s="1170">
        <v>8298541</v>
      </c>
      <c r="LRK538" s="1170">
        <v>8298541</v>
      </c>
      <c r="LRL538" s="1170">
        <v>8298541</v>
      </c>
      <c r="LRM538" s="1170">
        <v>8298541</v>
      </c>
      <c r="LRN538" s="1170">
        <v>8298541</v>
      </c>
      <c r="LRO538" s="1170">
        <v>8298541</v>
      </c>
      <c r="LRP538" s="1170">
        <v>8298541</v>
      </c>
      <c r="LRQ538" s="1170">
        <v>8298541</v>
      </c>
      <c r="LRR538" s="1170">
        <v>8298541</v>
      </c>
      <c r="LRS538" s="1170">
        <v>8298541</v>
      </c>
      <c r="LRT538" s="1170">
        <v>8298541</v>
      </c>
      <c r="LRU538" s="1170">
        <v>8298541</v>
      </c>
      <c r="LRV538" s="1170">
        <v>8298541</v>
      </c>
      <c r="LRW538" s="1170">
        <v>8298541</v>
      </c>
      <c r="LRX538" s="1170">
        <v>8298541</v>
      </c>
      <c r="LRY538" s="1170">
        <v>8298541</v>
      </c>
      <c r="LRZ538" s="1170">
        <v>8298541</v>
      </c>
      <c r="LSA538" s="1170">
        <v>8298541</v>
      </c>
      <c r="LSB538" s="1170">
        <v>8298541</v>
      </c>
      <c r="LSC538" s="1170">
        <v>8298541</v>
      </c>
      <c r="LSD538" s="1170">
        <v>8298541</v>
      </c>
      <c r="LSE538" s="1170">
        <v>8298541</v>
      </c>
      <c r="LSF538" s="1170">
        <v>8298541</v>
      </c>
      <c r="LSG538" s="1170">
        <v>8298541</v>
      </c>
      <c r="LSH538" s="1170">
        <v>8298541</v>
      </c>
      <c r="LSI538" s="1170">
        <v>8298541</v>
      </c>
      <c r="LSJ538" s="1170">
        <v>8298541</v>
      </c>
      <c r="LSK538" s="1170">
        <v>8298541</v>
      </c>
      <c r="LSL538" s="1170">
        <v>8298541</v>
      </c>
      <c r="LSM538" s="1170">
        <v>8298541</v>
      </c>
      <c r="LSN538" s="1170">
        <v>8298541</v>
      </c>
      <c r="LSO538" s="1170">
        <v>8298541</v>
      </c>
      <c r="LSP538" s="1170">
        <v>8298541</v>
      </c>
      <c r="LSQ538" s="1170">
        <v>8298541</v>
      </c>
      <c r="LSR538" s="1170">
        <v>8298541</v>
      </c>
      <c r="LSS538" s="1170">
        <v>8298541</v>
      </c>
      <c r="LST538" s="1170">
        <v>8298541</v>
      </c>
      <c r="LSU538" s="1170">
        <v>8298541</v>
      </c>
      <c r="LSV538" s="1170">
        <v>8298541</v>
      </c>
      <c r="LSW538" s="1170">
        <v>8298541</v>
      </c>
      <c r="LSX538" s="1170">
        <v>8298541</v>
      </c>
      <c r="LSY538" s="1170">
        <v>8298541</v>
      </c>
      <c r="LSZ538" s="1170">
        <v>8298541</v>
      </c>
      <c r="LTA538" s="1170">
        <v>8298541</v>
      </c>
      <c r="LTB538" s="1170">
        <v>8298541</v>
      </c>
      <c r="LTC538" s="1170">
        <v>8298541</v>
      </c>
      <c r="LTD538" s="1170">
        <v>8298541</v>
      </c>
      <c r="LTE538" s="1170">
        <v>8298541</v>
      </c>
      <c r="LTF538" s="1170">
        <v>8298541</v>
      </c>
      <c r="LTG538" s="1170">
        <v>8298541</v>
      </c>
      <c r="LTH538" s="1170">
        <v>8298541</v>
      </c>
      <c r="LTI538" s="1170">
        <v>8298541</v>
      </c>
      <c r="LTJ538" s="1170">
        <v>8298541</v>
      </c>
      <c r="LTK538" s="1170">
        <v>8298541</v>
      </c>
      <c r="LTL538" s="1170">
        <v>8298541</v>
      </c>
      <c r="LTM538" s="1170">
        <v>8298541</v>
      </c>
      <c r="LTN538" s="1170">
        <v>8298541</v>
      </c>
      <c r="LTO538" s="1170">
        <v>8298541</v>
      </c>
      <c r="LTP538" s="1170">
        <v>8298541</v>
      </c>
      <c r="LTQ538" s="1170">
        <v>8298541</v>
      </c>
      <c r="LTR538" s="1170">
        <v>8298541</v>
      </c>
      <c r="LTS538" s="1170">
        <v>8298541</v>
      </c>
      <c r="LTT538" s="1170">
        <v>8298541</v>
      </c>
      <c r="LTU538" s="1170">
        <v>8298541</v>
      </c>
      <c r="LTV538" s="1170">
        <v>8298541</v>
      </c>
      <c r="LTW538" s="1170">
        <v>8298541</v>
      </c>
      <c r="LTX538" s="1170">
        <v>8298541</v>
      </c>
      <c r="LTY538" s="1170">
        <v>8298541</v>
      </c>
      <c r="LTZ538" s="1170">
        <v>8298541</v>
      </c>
      <c r="LUA538" s="1170">
        <v>8298541</v>
      </c>
      <c r="LUB538" s="1170">
        <v>8298541</v>
      </c>
      <c r="LUC538" s="1170">
        <v>8298541</v>
      </c>
      <c r="LUD538" s="1170">
        <v>8298541</v>
      </c>
      <c r="LUE538" s="1170">
        <v>8298541</v>
      </c>
      <c r="LUF538" s="1170">
        <v>8298541</v>
      </c>
      <c r="LUG538" s="1170">
        <v>8298541</v>
      </c>
      <c r="LUH538" s="1170">
        <v>8298541</v>
      </c>
      <c r="LUI538" s="1170">
        <v>8298541</v>
      </c>
      <c r="LUJ538" s="1170">
        <v>8298541</v>
      </c>
      <c r="LUK538" s="1170">
        <v>8298541</v>
      </c>
      <c r="LUL538" s="1170">
        <v>8298541</v>
      </c>
      <c r="LUM538" s="1170">
        <v>8298541</v>
      </c>
      <c r="LUN538" s="1170">
        <v>8298541</v>
      </c>
      <c r="LUO538" s="1170">
        <v>8298541</v>
      </c>
      <c r="LUP538" s="1170">
        <v>8298541</v>
      </c>
      <c r="LUQ538" s="1170">
        <v>8298541</v>
      </c>
      <c r="LUR538" s="1170">
        <v>8298541</v>
      </c>
      <c r="LUS538" s="1170">
        <v>8298541</v>
      </c>
      <c r="LUT538" s="1170">
        <v>8298541</v>
      </c>
      <c r="LUU538" s="1170">
        <v>8298541</v>
      </c>
      <c r="LUV538" s="1170">
        <v>8298541</v>
      </c>
      <c r="LUW538" s="1170">
        <v>8298541</v>
      </c>
      <c r="LUX538" s="1170">
        <v>8298541</v>
      </c>
      <c r="LUY538" s="1170">
        <v>8298541</v>
      </c>
      <c r="LUZ538" s="1170">
        <v>8298541</v>
      </c>
      <c r="LVA538" s="1170">
        <v>8298541</v>
      </c>
      <c r="LVB538" s="1170">
        <v>8298541</v>
      </c>
      <c r="LVC538" s="1170">
        <v>8298541</v>
      </c>
      <c r="LVD538" s="1170">
        <v>8298541</v>
      </c>
      <c r="LVE538" s="1170">
        <v>8298541</v>
      </c>
      <c r="LVF538" s="1170">
        <v>8298541</v>
      </c>
      <c r="LVG538" s="1170">
        <v>8298541</v>
      </c>
      <c r="LVH538" s="1170">
        <v>8298541</v>
      </c>
      <c r="LVI538" s="1170">
        <v>8298541</v>
      </c>
      <c r="LVJ538" s="1170">
        <v>8298541</v>
      </c>
      <c r="LVK538" s="1170">
        <v>8298541</v>
      </c>
      <c r="LVL538" s="1170">
        <v>8298541</v>
      </c>
      <c r="LVM538" s="1170">
        <v>8298541</v>
      </c>
      <c r="LVN538" s="1170">
        <v>8298541</v>
      </c>
      <c r="LVO538" s="1170">
        <v>8298541</v>
      </c>
      <c r="LVP538" s="1170">
        <v>8298541</v>
      </c>
      <c r="LVQ538" s="1170">
        <v>8298541</v>
      </c>
      <c r="LVR538" s="1170">
        <v>8298541</v>
      </c>
      <c r="LVS538" s="1170">
        <v>8298541</v>
      </c>
      <c r="LVT538" s="1170">
        <v>8298541</v>
      </c>
      <c r="LVU538" s="1170">
        <v>8298541</v>
      </c>
      <c r="LVV538" s="1170">
        <v>8298541</v>
      </c>
      <c r="LVW538" s="1170">
        <v>8298541</v>
      </c>
      <c r="LVX538" s="1170">
        <v>8298541</v>
      </c>
      <c r="LVY538" s="1170">
        <v>8298541</v>
      </c>
      <c r="LVZ538" s="1170">
        <v>8298541</v>
      </c>
      <c r="LWA538" s="1170">
        <v>8298541</v>
      </c>
      <c r="LWB538" s="1170">
        <v>8298541</v>
      </c>
      <c r="LWC538" s="1170">
        <v>8298541</v>
      </c>
      <c r="LWD538" s="1170">
        <v>8298541</v>
      </c>
      <c r="LWE538" s="1170">
        <v>8298541</v>
      </c>
      <c r="LWF538" s="1170">
        <v>8298541</v>
      </c>
      <c r="LWG538" s="1170">
        <v>8298541</v>
      </c>
      <c r="LWH538" s="1170">
        <v>8298541</v>
      </c>
      <c r="LWI538" s="1170">
        <v>8298541</v>
      </c>
      <c r="LWJ538" s="1170">
        <v>8298541</v>
      </c>
      <c r="LWK538" s="1170">
        <v>8298541</v>
      </c>
      <c r="LWL538" s="1170">
        <v>8298541</v>
      </c>
      <c r="LWM538" s="1170">
        <v>8298541</v>
      </c>
      <c r="LWN538" s="1170">
        <v>8298541</v>
      </c>
      <c r="LWO538" s="1170">
        <v>8298541</v>
      </c>
      <c r="LWP538" s="1170">
        <v>8298541</v>
      </c>
      <c r="LWQ538" s="1170">
        <v>8298541</v>
      </c>
      <c r="LWR538" s="1170">
        <v>8298541</v>
      </c>
      <c r="LWS538" s="1170">
        <v>8298541</v>
      </c>
      <c r="LWT538" s="1170">
        <v>8298541</v>
      </c>
      <c r="LWU538" s="1170">
        <v>8298541</v>
      </c>
      <c r="LWV538" s="1170">
        <v>8298541</v>
      </c>
      <c r="LWW538" s="1170">
        <v>8298541</v>
      </c>
      <c r="LWX538" s="1170">
        <v>8298541</v>
      </c>
      <c r="LWY538" s="1170">
        <v>8298541</v>
      </c>
      <c r="LWZ538" s="1170">
        <v>8298541</v>
      </c>
      <c r="LXA538" s="1170">
        <v>8298541</v>
      </c>
      <c r="LXB538" s="1170">
        <v>8298541</v>
      </c>
      <c r="LXC538" s="1170">
        <v>8298541</v>
      </c>
      <c r="LXD538" s="1170">
        <v>8298541</v>
      </c>
      <c r="LXE538" s="1170">
        <v>8298541</v>
      </c>
      <c r="LXF538" s="1170">
        <v>8298541</v>
      </c>
      <c r="LXG538" s="1170">
        <v>8298541</v>
      </c>
      <c r="LXH538" s="1170">
        <v>8298541</v>
      </c>
      <c r="LXI538" s="1170">
        <v>8298541</v>
      </c>
      <c r="LXJ538" s="1170">
        <v>8298541</v>
      </c>
      <c r="LXK538" s="1170">
        <v>8298541</v>
      </c>
      <c r="LXL538" s="1170">
        <v>8298541</v>
      </c>
      <c r="LXM538" s="1170">
        <v>8298541</v>
      </c>
      <c r="LXN538" s="1170">
        <v>8298541</v>
      </c>
      <c r="LXO538" s="1170">
        <v>8298541</v>
      </c>
      <c r="LXP538" s="1170">
        <v>8298541</v>
      </c>
      <c r="LXQ538" s="1170">
        <v>8298541</v>
      </c>
      <c r="LXR538" s="1170">
        <v>8298541</v>
      </c>
      <c r="LXS538" s="1170">
        <v>8298541</v>
      </c>
      <c r="LXT538" s="1170">
        <v>8298541</v>
      </c>
      <c r="LXU538" s="1170">
        <v>8298541</v>
      </c>
      <c r="LXV538" s="1170">
        <v>8298541</v>
      </c>
      <c r="LXW538" s="1170">
        <v>8298541</v>
      </c>
      <c r="LXX538" s="1170">
        <v>8298541</v>
      </c>
      <c r="LXY538" s="1170">
        <v>8298541</v>
      </c>
      <c r="LXZ538" s="1170">
        <v>8298541</v>
      </c>
      <c r="LYA538" s="1170">
        <v>8298541</v>
      </c>
      <c r="LYB538" s="1170">
        <v>8298541</v>
      </c>
      <c r="LYC538" s="1170">
        <v>8298541</v>
      </c>
      <c r="LYD538" s="1170">
        <v>8298541</v>
      </c>
      <c r="LYE538" s="1170">
        <v>8298541</v>
      </c>
      <c r="LYF538" s="1170">
        <v>8298541</v>
      </c>
      <c r="LYG538" s="1170">
        <v>8298541</v>
      </c>
      <c r="LYH538" s="1170">
        <v>8298541</v>
      </c>
      <c r="LYI538" s="1170">
        <v>8298541</v>
      </c>
      <c r="LYJ538" s="1170">
        <v>8298541</v>
      </c>
      <c r="LYK538" s="1170">
        <v>8298541</v>
      </c>
      <c r="LYL538" s="1170">
        <v>8298541</v>
      </c>
      <c r="LYM538" s="1170">
        <v>8298541</v>
      </c>
      <c r="LYN538" s="1170">
        <v>8298541</v>
      </c>
      <c r="LYO538" s="1170">
        <v>8298541</v>
      </c>
      <c r="LYP538" s="1170">
        <v>8298541</v>
      </c>
      <c r="LYQ538" s="1170">
        <v>8298541</v>
      </c>
      <c r="LYR538" s="1170">
        <v>8298541</v>
      </c>
      <c r="LYS538" s="1170">
        <v>8298541</v>
      </c>
      <c r="LYT538" s="1170">
        <v>8298541</v>
      </c>
      <c r="LYU538" s="1170">
        <v>8298541</v>
      </c>
      <c r="LYV538" s="1170">
        <v>8298541</v>
      </c>
      <c r="LYW538" s="1170">
        <v>8298541</v>
      </c>
      <c r="LYX538" s="1170">
        <v>8298541</v>
      </c>
      <c r="LYY538" s="1170">
        <v>8298541</v>
      </c>
      <c r="LYZ538" s="1170">
        <v>8298541</v>
      </c>
      <c r="LZA538" s="1170">
        <v>8298541</v>
      </c>
      <c r="LZB538" s="1170">
        <v>8298541</v>
      </c>
      <c r="LZC538" s="1170">
        <v>8298541</v>
      </c>
      <c r="LZD538" s="1170">
        <v>8298541</v>
      </c>
      <c r="LZE538" s="1170">
        <v>8298541</v>
      </c>
      <c r="LZF538" s="1170">
        <v>8298541</v>
      </c>
      <c r="LZG538" s="1170">
        <v>8298541</v>
      </c>
      <c r="LZH538" s="1170">
        <v>8298541</v>
      </c>
      <c r="LZI538" s="1170">
        <v>8298541</v>
      </c>
      <c r="LZJ538" s="1170">
        <v>8298541</v>
      </c>
      <c r="LZK538" s="1170">
        <v>8298541</v>
      </c>
      <c r="LZL538" s="1170">
        <v>8298541</v>
      </c>
      <c r="LZM538" s="1170">
        <v>8298541</v>
      </c>
      <c r="LZN538" s="1170">
        <v>8298541</v>
      </c>
      <c r="LZO538" s="1170">
        <v>8298541</v>
      </c>
      <c r="LZP538" s="1170">
        <v>8298541</v>
      </c>
      <c r="LZQ538" s="1170">
        <v>8298541</v>
      </c>
      <c r="LZR538" s="1170">
        <v>8298541</v>
      </c>
      <c r="LZS538" s="1170">
        <v>8298541</v>
      </c>
      <c r="LZT538" s="1170">
        <v>8298541</v>
      </c>
      <c r="LZU538" s="1170">
        <v>8298541</v>
      </c>
      <c r="LZV538" s="1170">
        <v>8298541</v>
      </c>
      <c r="LZW538" s="1170">
        <v>8298541</v>
      </c>
      <c r="LZX538" s="1170">
        <v>8298541</v>
      </c>
      <c r="LZY538" s="1170">
        <v>8298541</v>
      </c>
      <c r="LZZ538" s="1170">
        <v>8298541</v>
      </c>
      <c r="MAA538" s="1170">
        <v>8298541</v>
      </c>
      <c r="MAB538" s="1170">
        <v>8298541</v>
      </c>
      <c r="MAC538" s="1170">
        <v>8298541</v>
      </c>
      <c r="MAD538" s="1170">
        <v>8298541</v>
      </c>
      <c r="MAE538" s="1170">
        <v>8298541</v>
      </c>
      <c r="MAF538" s="1170">
        <v>8298541</v>
      </c>
      <c r="MAG538" s="1170">
        <v>8298541</v>
      </c>
      <c r="MAH538" s="1170">
        <v>8298541</v>
      </c>
      <c r="MAI538" s="1170">
        <v>8298541</v>
      </c>
      <c r="MAJ538" s="1170">
        <v>8298541</v>
      </c>
      <c r="MAK538" s="1170">
        <v>8298541</v>
      </c>
      <c r="MAL538" s="1170">
        <v>8298541</v>
      </c>
      <c r="MAM538" s="1170">
        <v>8298541</v>
      </c>
      <c r="MAN538" s="1170">
        <v>8298541</v>
      </c>
      <c r="MAO538" s="1170">
        <v>8298541</v>
      </c>
      <c r="MAP538" s="1170">
        <v>8298541</v>
      </c>
      <c r="MAQ538" s="1170">
        <v>8298541</v>
      </c>
      <c r="MAR538" s="1170">
        <v>8298541</v>
      </c>
      <c r="MAS538" s="1170">
        <v>8298541</v>
      </c>
      <c r="MAT538" s="1170">
        <v>8298541</v>
      </c>
      <c r="MAU538" s="1170">
        <v>8298541</v>
      </c>
      <c r="MAV538" s="1170">
        <v>8298541</v>
      </c>
      <c r="MAW538" s="1170">
        <v>8298541</v>
      </c>
      <c r="MAX538" s="1170">
        <v>8298541</v>
      </c>
      <c r="MAY538" s="1170">
        <v>8298541</v>
      </c>
      <c r="MAZ538" s="1170">
        <v>8298541</v>
      </c>
      <c r="MBA538" s="1170">
        <v>8298541</v>
      </c>
      <c r="MBB538" s="1170">
        <v>8298541</v>
      </c>
      <c r="MBC538" s="1170">
        <v>8298541</v>
      </c>
      <c r="MBD538" s="1170">
        <v>8298541</v>
      </c>
      <c r="MBE538" s="1170">
        <v>8298541</v>
      </c>
      <c r="MBF538" s="1170">
        <v>8298541</v>
      </c>
      <c r="MBG538" s="1170">
        <v>8298541</v>
      </c>
      <c r="MBH538" s="1170">
        <v>8298541</v>
      </c>
      <c r="MBI538" s="1170">
        <v>8298541</v>
      </c>
      <c r="MBJ538" s="1170">
        <v>8298541</v>
      </c>
      <c r="MBK538" s="1170">
        <v>8298541</v>
      </c>
      <c r="MBL538" s="1170">
        <v>8298541</v>
      </c>
      <c r="MBM538" s="1170">
        <v>8298541</v>
      </c>
      <c r="MBN538" s="1170">
        <v>8298541</v>
      </c>
      <c r="MBO538" s="1170">
        <v>8298541</v>
      </c>
      <c r="MBP538" s="1170">
        <v>8298541</v>
      </c>
      <c r="MBQ538" s="1170">
        <v>8298541</v>
      </c>
      <c r="MBR538" s="1170">
        <v>8298541</v>
      </c>
      <c r="MBS538" s="1170">
        <v>8298541</v>
      </c>
      <c r="MBT538" s="1170">
        <v>8298541</v>
      </c>
      <c r="MBU538" s="1170">
        <v>8298541</v>
      </c>
      <c r="MBV538" s="1170">
        <v>8298541</v>
      </c>
      <c r="MBW538" s="1170">
        <v>8298541</v>
      </c>
      <c r="MBX538" s="1170">
        <v>8298541</v>
      </c>
      <c r="MBY538" s="1170">
        <v>8298541</v>
      </c>
      <c r="MBZ538" s="1170">
        <v>8298541</v>
      </c>
      <c r="MCA538" s="1170">
        <v>8298541</v>
      </c>
      <c r="MCB538" s="1170">
        <v>8298541</v>
      </c>
      <c r="MCC538" s="1170">
        <v>8298541</v>
      </c>
      <c r="MCD538" s="1170">
        <v>8298541</v>
      </c>
      <c r="MCE538" s="1170">
        <v>8298541</v>
      </c>
      <c r="MCF538" s="1170">
        <v>8298541</v>
      </c>
      <c r="MCG538" s="1170">
        <v>8298541</v>
      </c>
      <c r="MCH538" s="1170">
        <v>8298541</v>
      </c>
      <c r="MCI538" s="1170">
        <v>8298541</v>
      </c>
      <c r="MCJ538" s="1170">
        <v>8298541</v>
      </c>
      <c r="MCK538" s="1170">
        <v>8298541</v>
      </c>
      <c r="MCL538" s="1170">
        <v>8298541</v>
      </c>
      <c r="MCM538" s="1170">
        <v>8298541</v>
      </c>
      <c r="MCN538" s="1170">
        <v>8298541</v>
      </c>
      <c r="MCO538" s="1170">
        <v>8298541</v>
      </c>
      <c r="MCP538" s="1170">
        <v>8298541</v>
      </c>
      <c r="MCQ538" s="1170">
        <v>8298541</v>
      </c>
      <c r="MCR538" s="1170">
        <v>8298541</v>
      </c>
      <c r="MCS538" s="1170">
        <v>8298541</v>
      </c>
      <c r="MCT538" s="1170">
        <v>8298541</v>
      </c>
      <c r="MCU538" s="1170">
        <v>8298541</v>
      </c>
      <c r="MCV538" s="1170">
        <v>8298541</v>
      </c>
      <c r="MCW538" s="1170">
        <v>8298541</v>
      </c>
      <c r="MCX538" s="1170">
        <v>8298541</v>
      </c>
      <c r="MCY538" s="1170">
        <v>8298541</v>
      </c>
      <c r="MCZ538" s="1170">
        <v>8298541</v>
      </c>
      <c r="MDA538" s="1170">
        <v>8298541</v>
      </c>
      <c r="MDB538" s="1170">
        <v>8298541</v>
      </c>
      <c r="MDC538" s="1170">
        <v>8298541</v>
      </c>
      <c r="MDD538" s="1170">
        <v>8298541</v>
      </c>
      <c r="MDE538" s="1170">
        <v>8298541</v>
      </c>
      <c r="MDF538" s="1170">
        <v>8298541</v>
      </c>
      <c r="MDG538" s="1170">
        <v>8298541</v>
      </c>
      <c r="MDH538" s="1170">
        <v>8298541</v>
      </c>
      <c r="MDI538" s="1170">
        <v>8298541</v>
      </c>
      <c r="MDJ538" s="1170">
        <v>8298541</v>
      </c>
      <c r="MDK538" s="1170">
        <v>8298541</v>
      </c>
      <c r="MDL538" s="1170">
        <v>8298541</v>
      </c>
      <c r="MDM538" s="1170">
        <v>8298541</v>
      </c>
      <c r="MDN538" s="1170">
        <v>8298541</v>
      </c>
      <c r="MDO538" s="1170">
        <v>8298541</v>
      </c>
      <c r="MDP538" s="1170">
        <v>8298541</v>
      </c>
      <c r="MDQ538" s="1170">
        <v>8298541</v>
      </c>
      <c r="MDR538" s="1170">
        <v>8298541</v>
      </c>
      <c r="MDS538" s="1170">
        <v>8298541</v>
      </c>
      <c r="MDT538" s="1170">
        <v>8298541</v>
      </c>
      <c r="MDU538" s="1170">
        <v>8298541</v>
      </c>
      <c r="MDV538" s="1170">
        <v>8298541</v>
      </c>
      <c r="MDW538" s="1170">
        <v>8298541</v>
      </c>
      <c r="MDX538" s="1170">
        <v>8298541</v>
      </c>
      <c r="MDY538" s="1170">
        <v>8298541</v>
      </c>
      <c r="MDZ538" s="1170">
        <v>8298541</v>
      </c>
      <c r="MEA538" s="1170">
        <v>8298541</v>
      </c>
      <c r="MEB538" s="1170">
        <v>8298541</v>
      </c>
      <c r="MEC538" s="1170">
        <v>8298541</v>
      </c>
      <c r="MED538" s="1170">
        <v>8298541</v>
      </c>
      <c r="MEE538" s="1170">
        <v>8298541</v>
      </c>
      <c r="MEF538" s="1170">
        <v>8298541</v>
      </c>
      <c r="MEG538" s="1170">
        <v>8298541</v>
      </c>
      <c r="MEH538" s="1170">
        <v>8298541</v>
      </c>
      <c r="MEI538" s="1170">
        <v>8298541</v>
      </c>
      <c r="MEJ538" s="1170">
        <v>8298541</v>
      </c>
      <c r="MEK538" s="1170">
        <v>8298541</v>
      </c>
      <c r="MEL538" s="1170">
        <v>8298541</v>
      </c>
      <c r="MEM538" s="1170">
        <v>8298541</v>
      </c>
      <c r="MEN538" s="1170">
        <v>8298541</v>
      </c>
      <c r="MEO538" s="1170">
        <v>8298541</v>
      </c>
      <c r="MEP538" s="1170">
        <v>8298541</v>
      </c>
      <c r="MEQ538" s="1170">
        <v>8298541</v>
      </c>
      <c r="MER538" s="1170">
        <v>8298541</v>
      </c>
      <c r="MES538" s="1170">
        <v>8298541</v>
      </c>
      <c r="MET538" s="1170">
        <v>8298541</v>
      </c>
      <c r="MEU538" s="1170">
        <v>8298541</v>
      </c>
      <c r="MEV538" s="1170">
        <v>8298541</v>
      </c>
      <c r="MEW538" s="1170">
        <v>8298541</v>
      </c>
      <c r="MEX538" s="1170">
        <v>8298541</v>
      </c>
      <c r="MEY538" s="1170">
        <v>8298541</v>
      </c>
      <c r="MEZ538" s="1170">
        <v>8298541</v>
      </c>
      <c r="MFA538" s="1170">
        <v>8298541</v>
      </c>
      <c r="MFB538" s="1170">
        <v>8298541</v>
      </c>
      <c r="MFC538" s="1170">
        <v>8298541</v>
      </c>
      <c r="MFD538" s="1170">
        <v>8298541</v>
      </c>
      <c r="MFE538" s="1170">
        <v>8298541</v>
      </c>
      <c r="MFF538" s="1170">
        <v>8298541</v>
      </c>
      <c r="MFG538" s="1170">
        <v>8298541</v>
      </c>
      <c r="MFH538" s="1170">
        <v>8298541</v>
      </c>
      <c r="MFI538" s="1170">
        <v>8298541</v>
      </c>
      <c r="MFJ538" s="1170">
        <v>8298541</v>
      </c>
      <c r="MFK538" s="1170">
        <v>8298541</v>
      </c>
      <c r="MFL538" s="1170">
        <v>8298541</v>
      </c>
      <c r="MFM538" s="1170">
        <v>8298541</v>
      </c>
      <c r="MFN538" s="1170">
        <v>8298541</v>
      </c>
      <c r="MFO538" s="1170">
        <v>8298541</v>
      </c>
      <c r="MFP538" s="1170">
        <v>8298541</v>
      </c>
      <c r="MFQ538" s="1170">
        <v>8298541</v>
      </c>
      <c r="MFR538" s="1170">
        <v>8298541</v>
      </c>
      <c r="MFS538" s="1170">
        <v>8298541</v>
      </c>
      <c r="MFT538" s="1170">
        <v>8298541</v>
      </c>
      <c r="MFU538" s="1170">
        <v>8298541</v>
      </c>
      <c r="MFV538" s="1170">
        <v>8298541</v>
      </c>
      <c r="MFW538" s="1170">
        <v>8298541</v>
      </c>
      <c r="MFX538" s="1170">
        <v>8298541</v>
      </c>
      <c r="MFY538" s="1170">
        <v>8298541</v>
      </c>
      <c r="MFZ538" s="1170">
        <v>8298541</v>
      </c>
      <c r="MGA538" s="1170">
        <v>8298541</v>
      </c>
      <c r="MGB538" s="1170">
        <v>8298541</v>
      </c>
      <c r="MGC538" s="1170">
        <v>8298541</v>
      </c>
      <c r="MGD538" s="1170">
        <v>8298541</v>
      </c>
      <c r="MGE538" s="1170">
        <v>8298541</v>
      </c>
      <c r="MGF538" s="1170">
        <v>8298541</v>
      </c>
      <c r="MGG538" s="1170">
        <v>8298541</v>
      </c>
      <c r="MGH538" s="1170">
        <v>8298541</v>
      </c>
      <c r="MGI538" s="1170">
        <v>8298541</v>
      </c>
      <c r="MGJ538" s="1170">
        <v>8298541</v>
      </c>
      <c r="MGK538" s="1170">
        <v>8298541</v>
      </c>
      <c r="MGL538" s="1170">
        <v>8298541</v>
      </c>
      <c r="MGM538" s="1170">
        <v>8298541</v>
      </c>
      <c r="MGN538" s="1170">
        <v>8298541</v>
      </c>
      <c r="MGO538" s="1170">
        <v>8298541</v>
      </c>
      <c r="MGP538" s="1170">
        <v>8298541</v>
      </c>
      <c r="MGQ538" s="1170">
        <v>8298541</v>
      </c>
      <c r="MGR538" s="1170">
        <v>8298541</v>
      </c>
      <c r="MGS538" s="1170">
        <v>8298541</v>
      </c>
      <c r="MGT538" s="1170">
        <v>8298541</v>
      </c>
      <c r="MGU538" s="1170">
        <v>8298541</v>
      </c>
      <c r="MGV538" s="1170">
        <v>8298541</v>
      </c>
      <c r="MGW538" s="1170">
        <v>8298541</v>
      </c>
      <c r="MGX538" s="1170">
        <v>8298541</v>
      </c>
      <c r="MGY538" s="1170">
        <v>8298541</v>
      </c>
      <c r="MGZ538" s="1170">
        <v>8298541</v>
      </c>
      <c r="MHA538" s="1170">
        <v>8298541</v>
      </c>
      <c r="MHB538" s="1170">
        <v>8298541</v>
      </c>
      <c r="MHC538" s="1170">
        <v>8298541</v>
      </c>
      <c r="MHD538" s="1170">
        <v>8298541</v>
      </c>
      <c r="MHE538" s="1170">
        <v>8298541</v>
      </c>
      <c r="MHF538" s="1170">
        <v>8298541</v>
      </c>
      <c r="MHG538" s="1170">
        <v>8298541</v>
      </c>
      <c r="MHH538" s="1170">
        <v>8298541</v>
      </c>
      <c r="MHI538" s="1170">
        <v>8298541</v>
      </c>
      <c r="MHJ538" s="1170">
        <v>8298541</v>
      </c>
      <c r="MHK538" s="1170">
        <v>8298541</v>
      </c>
      <c r="MHL538" s="1170">
        <v>8298541</v>
      </c>
      <c r="MHM538" s="1170">
        <v>8298541</v>
      </c>
      <c r="MHN538" s="1170">
        <v>8298541</v>
      </c>
      <c r="MHO538" s="1170">
        <v>8298541</v>
      </c>
      <c r="MHP538" s="1170">
        <v>8298541</v>
      </c>
      <c r="MHQ538" s="1170">
        <v>8298541</v>
      </c>
      <c r="MHR538" s="1170">
        <v>8298541</v>
      </c>
      <c r="MHS538" s="1170">
        <v>8298541</v>
      </c>
      <c r="MHT538" s="1170">
        <v>8298541</v>
      </c>
      <c r="MHU538" s="1170">
        <v>8298541</v>
      </c>
      <c r="MHV538" s="1170">
        <v>8298541</v>
      </c>
      <c r="MHW538" s="1170">
        <v>8298541</v>
      </c>
      <c r="MHX538" s="1170">
        <v>8298541</v>
      </c>
      <c r="MHY538" s="1170">
        <v>8298541</v>
      </c>
      <c r="MHZ538" s="1170">
        <v>8298541</v>
      </c>
      <c r="MIA538" s="1170">
        <v>8298541</v>
      </c>
      <c r="MIB538" s="1170">
        <v>8298541</v>
      </c>
      <c r="MIC538" s="1170">
        <v>8298541</v>
      </c>
      <c r="MID538" s="1170">
        <v>8298541</v>
      </c>
      <c r="MIE538" s="1170">
        <v>8298541</v>
      </c>
      <c r="MIF538" s="1170">
        <v>8298541</v>
      </c>
      <c r="MIG538" s="1170">
        <v>8298541</v>
      </c>
      <c r="MIH538" s="1170">
        <v>8298541</v>
      </c>
      <c r="MII538" s="1170">
        <v>8298541</v>
      </c>
      <c r="MIJ538" s="1170">
        <v>8298541</v>
      </c>
      <c r="MIK538" s="1170">
        <v>8298541</v>
      </c>
      <c r="MIL538" s="1170">
        <v>8298541</v>
      </c>
      <c r="MIM538" s="1170">
        <v>8298541</v>
      </c>
      <c r="MIN538" s="1170">
        <v>8298541</v>
      </c>
      <c r="MIO538" s="1170">
        <v>8298541</v>
      </c>
      <c r="MIP538" s="1170">
        <v>8298541</v>
      </c>
      <c r="MIQ538" s="1170">
        <v>8298541</v>
      </c>
      <c r="MIR538" s="1170">
        <v>8298541</v>
      </c>
      <c r="MIS538" s="1170">
        <v>8298541</v>
      </c>
      <c r="MIT538" s="1170">
        <v>8298541</v>
      </c>
      <c r="MIU538" s="1170">
        <v>8298541</v>
      </c>
      <c r="MIV538" s="1170">
        <v>8298541</v>
      </c>
      <c r="MIW538" s="1170">
        <v>8298541</v>
      </c>
      <c r="MIX538" s="1170">
        <v>8298541</v>
      </c>
      <c r="MIY538" s="1170">
        <v>8298541</v>
      </c>
      <c r="MIZ538" s="1170">
        <v>8298541</v>
      </c>
      <c r="MJA538" s="1170">
        <v>8298541</v>
      </c>
      <c r="MJB538" s="1170">
        <v>8298541</v>
      </c>
      <c r="MJC538" s="1170">
        <v>8298541</v>
      </c>
      <c r="MJD538" s="1170">
        <v>8298541</v>
      </c>
      <c r="MJE538" s="1170">
        <v>8298541</v>
      </c>
      <c r="MJF538" s="1170">
        <v>8298541</v>
      </c>
      <c r="MJG538" s="1170">
        <v>8298541</v>
      </c>
      <c r="MJH538" s="1170">
        <v>8298541</v>
      </c>
      <c r="MJI538" s="1170">
        <v>8298541</v>
      </c>
      <c r="MJJ538" s="1170">
        <v>8298541</v>
      </c>
      <c r="MJK538" s="1170">
        <v>8298541</v>
      </c>
      <c r="MJL538" s="1170">
        <v>8298541</v>
      </c>
      <c r="MJM538" s="1170">
        <v>8298541</v>
      </c>
      <c r="MJN538" s="1170">
        <v>8298541</v>
      </c>
      <c r="MJO538" s="1170">
        <v>8298541</v>
      </c>
      <c r="MJP538" s="1170">
        <v>8298541</v>
      </c>
      <c r="MJQ538" s="1170">
        <v>8298541</v>
      </c>
      <c r="MJR538" s="1170">
        <v>8298541</v>
      </c>
      <c r="MJS538" s="1170">
        <v>8298541</v>
      </c>
      <c r="MJT538" s="1170">
        <v>8298541</v>
      </c>
      <c r="MJU538" s="1170">
        <v>8298541</v>
      </c>
      <c r="MJV538" s="1170">
        <v>8298541</v>
      </c>
      <c r="MJW538" s="1170">
        <v>8298541</v>
      </c>
      <c r="MJX538" s="1170">
        <v>8298541</v>
      </c>
      <c r="MJY538" s="1170">
        <v>8298541</v>
      </c>
      <c r="MJZ538" s="1170">
        <v>8298541</v>
      </c>
      <c r="MKA538" s="1170">
        <v>8298541</v>
      </c>
      <c r="MKB538" s="1170">
        <v>8298541</v>
      </c>
      <c r="MKC538" s="1170">
        <v>8298541</v>
      </c>
      <c r="MKD538" s="1170">
        <v>8298541</v>
      </c>
      <c r="MKE538" s="1170">
        <v>8298541</v>
      </c>
      <c r="MKF538" s="1170">
        <v>8298541</v>
      </c>
      <c r="MKG538" s="1170">
        <v>8298541</v>
      </c>
      <c r="MKH538" s="1170">
        <v>8298541</v>
      </c>
      <c r="MKI538" s="1170">
        <v>8298541</v>
      </c>
      <c r="MKJ538" s="1170">
        <v>8298541</v>
      </c>
      <c r="MKK538" s="1170">
        <v>8298541</v>
      </c>
      <c r="MKL538" s="1170">
        <v>8298541</v>
      </c>
      <c r="MKM538" s="1170">
        <v>8298541</v>
      </c>
      <c r="MKN538" s="1170">
        <v>8298541</v>
      </c>
      <c r="MKO538" s="1170">
        <v>8298541</v>
      </c>
      <c r="MKP538" s="1170">
        <v>8298541</v>
      </c>
      <c r="MKQ538" s="1170">
        <v>8298541</v>
      </c>
      <c r="MKR538" s="1170">
        <v>8298541</v>
      </c>
      <c r="MKS538" s="1170">
        <v>8298541</v>
      </c>
      <c r="MKT538" s="1170">
        <v>8298541</v>
      </c>
      <c r="MKU538" s="1170">
        <v>8298541</v>
      </c>
      <c r="MKV538" s="1170">
        <v>8298541</v>
      </c>
      <c r="MKW538" s="1170">
        <v>8298541</v>
      </c>
      <c r="MKX538" s="1170">
        <v>8298541</v>
      </c>
      <c r="MKY538" s="1170">
        <v>8298541</v>
      </c>
      <c r="MKZ538" s="1170">
        <v>8298541</v>
      </c>
      <c r="MLA538" s="1170">
        <v>8298541</v>
      </c>
      <c r="MLB538" s="1170">
        <v>8298541</v>
      </c>
      <c r="MLC538" s="1170">
        <v>8298541</v>
      </c>
      <c r="MLD538" s="1170">
        <v>8298541</v>
      </c>
      <c r="MLE538" s="1170">
        <v>8298541</v>
      </c>
      <c r="MLF538" s="1170">
        <v>8298541</v>
      </c>
      <c r="MLG538" s="1170">
        <v>8298541</v>
      </c>
      <c r="MLH538" s="1170">
        <v>8298541</v>
      </c>
      <c r="MLI538" s="1170">
        <v>8298541</v>
      </c>
      <c r="MLJ538" s="1170">
        <v>8298541</v>
      </c>
      <c r="MLK538" s="1170">
        <v>8298541</v>
      </c>
      <c r="MLL538" s="1170">
        <v>8298541</v>
      </c>
      <c r="MLM538" s="1170">
        <v>8298541</v>
      </c>
      <c r="MLN538" s="1170">
        <v>8298541</v>
      </c>
      <c r="MLO538" s="1170">
        <v>8298541</v>
      </c>
      <c r="MLP538" s="1170">
        <v>8298541</v>
      </c>
      <c r="MLQ538" s="1170">
        <v>8298541</v>
      </c>
      <c r="MLR538" s="1170">
        <v>8298541</v>
      </c>
      <c r="MLS538" s="1170">
        <v>8298541</v>
      </c>
      <c r="MLT538" s="1170">
        <v>8298541</v>
      </c>
      <c r="MLU538" s="1170">
        <v>8298541</v>
      </c>
      <c r="MLV538" s="1170">
        <v>8298541</v>
      </c>
      <c r="MLW538" s="1170">
        <v>8298541</v>
      </c>
      <c r="MLX538" s="1170">
        <v>8298541</v>
      </c>
      <c r="MLY538" s="1170">
        <v>8298541</v>
      </c>
      <c r="MLZ538" s="1170">
        <v>8298541</v>
      </c>
      <c r="MMA538" s="1170">
        <v>8298541</v>
      </c>
      <c r="MMB538" s="1170">
        <v>8298541</v>
      </c>
      <c r="MMC538" s="1170">
        <v>8298541</v>
      </c>
      <c r="MMD538" s="1170">
        <v>8298541</v>
      </c>
      <c r="MME538" s="1170">
        <v>8298541</v>
      </c>
      <c r="MMF538" s="1170">
        <v>8298541</v>
      </c>
      <c r="MMG538" s="1170">
        <v>8298541</v>
      </c>
      <c r="MMH538" s="1170">
        <v>8298541</v>
      </c>
      <c r="MMI538" s="1170">
        <v>8298541</v>
      </c>
      <c r="MMJ538" s="1170">
        <v>8298541</v>
      </c>
      <c r="MMK538" s="1170">
        <v>8298541</v>
      </c>
      <c r="MML538" s="1170">
        <v>8298541</v>
      </c>
      <c r="MMM538" s="1170">
        <v>8298541</v>
      </c>
      <c r="MMN538" s="1170">
        <v>8298541</v>
      </c>
      <c r="MMO538" s="1170">
        <v>8298541</v>
      </c>
      <c r="MMP538" s="1170">
        <v>8298541</v>
      </c>
      <c r="MMQ538" s="1170">
        <v>8298541</v>
      </c>
      <c r="MMR538" s="1170">
        <v>8298541</v>
      </c>
      <c r="MMS538" s="1170">
        <v>8298541</v>
      </c>
      <c r="MMT538" s="1170">
        <v>8298541</v>
      </c>
      <c r="MMU538" s="1170">
        <v>8298541</v>
      </c>
      <c r="MMV538" s="1170">
        <v>8298541</v>
      </c>
      <c r="MMW538" s="1170">
        <v>8298541</v>
      </c>
      <c r="MMX538" s="1170">
        <v>8298541</v>
      </c>
      <c r="MMY538" s="1170">
        <v>8298541</v>
      </c>
      <c r="MMZ538" s="1170">
        <v>8298541</v>
      </c>
      <c r="MNA538" s="1170">
        <v>8298541</v>
      </c>
      <c r="MNB538" s="1170">
        <v>8298541</v>
      </c>
      <c r="MNC538" s="1170">
        <v>8298541</v>
      </c>
      <c r="MND538" s="1170">
        <v>8298541</v>
      </c>
      <c r="MNE538" s="1170">
        <v>8298541</v>
      </c>
      <c r="MNF538" s="1170">
        <v>8298541</v>
      </c>
      <c r="MNG538" s="1170">
        <v>8298541</v>
      </c>
      <c r="MNH538" s="1170">
        <v>8298541</v>
      </c>
      <c r="MNI538" s="1170">
        <v>8298541</v>
      </c>
      <c r="MNJ538" s="1170">
        <v>8298541</v>
      </c>
      <c r="MNK538" s="1170">
        <v>8298541</v>
      </c>
      <c r="MNL538" s="1170">
        <v>8298541</v>
      </c>
      <c r="MNM538" s="1170">
        <v>8298541</v>
      </c>
      <c r="MNN538" s="1170">
        <v>8298541</v>
      </c>
      <c r="MNO538" s="1170">
        <v>8298541</v>
      </c>
      <c r="MNP538" s="1170">
        <v>8298541</v>
      </c>
      <c r="MNQ538" s="1170">
        <v>8298541</v>
      </c>
      <c r="MNR538" s="1170">
        <v>8298541</v>
      </c>
      <c r="MNS538" s="1170">
        <v>8298541</v>
      </c>
      <c r="MNT538" s="1170">
        <v>8298541</v>
      </c>
      <c r="MNU538" s="1170">
        <v>8298541</v>
      </c>
      <c r="MNV538" s="1170">
        <v>8298541</v>
      </c>
      <c r="MNW538" s="1170">
        <v>8298541</v>
      </c>
      <c r="MNX538" s="1170">
        <v>8298541</v>
      </c>
      <c r="MNY538" s="1170">
        <v>8298541</v>
      </c>
      <c r="MNZ538" s="1170">
        <v>8298541</v>
      </c>
      <c r="MOA538" s="1170">
        <v>8298541</v>
      </c>
      <c r="MOB538" s="1170">
        <v>8298541</v>
      </c>
      <c r="MOC538" s="1170">
        <v>8298541</v>
      </c>
      <c r="MOD538" s="1170">
        <v>8298541</v>
      </c>
      <c r="MOE538" s="1170">
        <v>8298541</v>
      </c>
      <c r="MOF538" s="1170">
        <v>8298541</v>
      </c>
      <c r="MOG538" s="1170">
        <v>8298541</v>
      </c>
      <c r="MOH538" s="1170">
        <v>8298541</v>
      </c>
      <c r="MOI538" s="1170">
        <v>8298541</v>
      </c>
      <c r="MOJ538" s="1170">
        <v>8298541</v>
      </c>
      <c r="MOK538" s="1170">
        <v>8298541</v>
      </c>
      <c r="MOL538" s="1170">
        <v>8298541</v>
      </c>
      <c r="MOM538" s="1170">
        <v>8298541</v>
      </c>
      <c r="MON538" s="1170">
        <v>8298541</v>
      </c>
      <c r="MOO538" s="1170">
        <v>8298541</v>
      </c>
      <c r="MOP538" s="1170">
        <v>8298541</v>
      </c>
      <c r="MOQ538" s="1170">
        <v>8298541</v>
      </c>
      <c r="MOR538" s="1170">
        <v>8298541</v>
      </c>
      <c r="MOS538" s="1170">
        <v>8298541</v>
      </c>
      <c r="MOT538" s="1170">
        <v>8298541</v>
      </c>
      <c r="MOU538" s="1170">
        <v>8298541</v>
      </c>
      <c r="MOV538" s="1170">
        <v>8298541</v>
      </c>
      <c r="MOW538" s="1170">
        <v>8298541</v>
      </c>
      <c r="MOX538" s="1170">
        <v>8298541</v>
      </c>
      <c r="MOY538" s="1170">
        <v>8298541</v>
      </c>
      <c r="MOZ538" s="1170">
        <v>8298541</v>
      </c>
      <c r="MPA538" s="1170">
        <v>8298541</v>
      </c>
      <c r="MPB538" s="1170">
        <v>8298541</v>
      </c>
      <c r="MPC538" s="1170">
        <v>8298541</v>
      </c>
      <c r="MPD538" s="1170">
        <v>8298541</v>
      </c>
      <c r="MPE538" s="1170">
        <v>8298541</v>
      </c>
      <c r="MPF538" s="1170">
        <v>8298541</v>
      </c>
      <c r="MPG538" s="1170">
        <v>8298541</v>
      </c>
      <c r="MPH538" s="1170">
        <v>8298541</v>
      </c>
      <c r="MPI538" s="1170">
        <v>8298541</v>
      </c>
      <c r="MPJ538" s="1170">
        <v>8298541</v>
      </c>
      <c r="MPK538" s="1170">
        <v>8298541</v>
      </c>
      <c r="MPL538" s="1170">
        <v>8298541</v>
      </c>
      <c r="MPM538" s="1170">
        <v>8298541</v>
      </c>
      <c r="MPN538" s="1170">
        <v>8298541</v>
      </c>
      <c r="MPO538" s="1170">
        <v>8298541</v>
      </c>
      <c r="MPP538" s="1170">
        <v>8298541</v>
      </c>
      <c r="MPQ538" s="1170">
        <v>8298541</v>
      </c>
      <c r="MPR538" s="1170">
        <v>8298541</v>
      </c>
      <c r="MPS538" s="1170">
        <v>8298541</v>
      </c>
      <c r="MPT538" s="1170">
        <v>8298541</v>
      </c>
      <c r="MPU538" s="1170">
        <v>8298541</v>
      </c>
      <c r="MPV538" s="1170">
        <v>8298541</v>
      </c>
      <c r="MPW538" s="1170">
        <v>8298541</v>
      </c>
      <c r="MPX538" s="1170">
        <v>8298541</v>
      </c>
      <c r="MPY538" s="1170">
        <v>8298541</v>
      </c>
      <c r="MPZ538" s="1170">
        <v>8298541</v>
      </c>
      <c r="MQA538" s="1170">
        <v>8298541</v>
      </c>
      <c r="MQB538" s="1170">
        <v>8298541</v>
      </c>
      <c r="MQC538" s="1170">
        <v>8298541</v>
      </c>
      <c r="MQD538" s="1170">
        <v>8298541</v>
      </c>
      <c r="MQE538" s="1170">
        <v>8298541</v>
      </c>
      <c r="MQF538" s="1170">
        <v>8298541</v>
      </c>
      <c r="MQG538" s="1170">
        <v>8298541</v>
      </c>
      <c r="MQH538" s="1170">
        <v>8298541</v>
      </c>
      <c r="MQI538" s="1170">
        <v>8298541</v>
      </c>
      <c r="MQJ538" s="1170">
        <v>8298541</v>
      </c>
      <c r="MQK538" s="1170">
        <v>8298541</v>
      </c>
      <c r="MQL538" s="1170">
        <v>8298541</v>
      </c>
      <c r="MQM538" s="1170">
        <v>8298541</v>
      </c>
      <c r="MQN538" s="1170">
        <v>8298541</v>
      </c>
      <c r="MQO538" s="1170">
        <v>8298541</v>
      </c>
      <c r="MQP538" s="1170">
        <v>8298541</v>
      </c>
      <c r="MQQ538" s="1170">
        <v>8298541</v>
      </c>
      <c r="MQR538" s="1170">
        <v>8298541</v>
      </c>
      <c r="MQS538" s="1170">
        <v>8298541</v>
      </c>
      <c r="MQT538" s="1170">
        <v>8298541</v>
      </c>
      <c r="MQU538" s="1170">
        <v>8298541</v>
      </c>
      <c r="MQV538" s="1170">
        <v>8298541</v>
      </c>
      <c r="MQW538" s="1170">
        <v>8298541</v>
      </c>
      <c r="MQX538" s="1170">
        <v>8298541</v>
      </c>
      <c r="MQY538" s="1170">
        <v>8298541</v>
      </c>
      <c r="MQZ538" s="1170">
        <v>8298541</v>
      </c>
      <c r="MRA538" s="1170">
        <v>8298541</v>
      </c>
      <c r="MRB538" s="1170">
        <v>8298541</v>
      </c>
      <c r="MRC538" s="1170">
        <v>8298541</v>
      </c>
      <c r="MRD538" s="1170">
        <v>8298541</v>
      </c>
      <c r="MRE538" s="1170">
        <v>8298541</v>
      </c>
      <c r="MRF538" s="1170">
        <v>8298541</v>
      </c>
      <c r="MRG538" s="1170">
        <v>8298541</v>
      </c>
      <c r="MRH538" s="1170">
        <v>8298541</v>
      </c>
      <c r="MRI538" s="1170">
        <v>8298541</v>
      </c>
      <c r="MRJ538" s="1170">
        <v>8298541</v>
      </c>
      <c r="MRK538" s="1170">
        <v>8298541</v>
      </c>
      <c r="MRL538" s="1170">
        <v>8298541</v>
      </c>
      <c r="MRM538" s="1170">
        <v>8298541</v>
      </c>
      <c r="MRN538" s="1170">
        <v>8298541</v>
      </c>
      <c r="MRO538" s="1170">
        <v>8298541</v>
      </c>
      <c r="MRP538" s="1170">
        <v>8298541</v>
      </c>
      <c r="MRQ538" s="1170">
        <v>8298541</v>
      </c>
      <c r="MRR538" s="1170">
        <v>8298541</v>
      </c>
      <c r="MRS538" s="1170">
        <v>8298541</v>
      </c>
      <c r="MRT538" s="1170">
        <v>8298541</v>
      </c>
      <c r="MRU538" s="1170">
        <v>8298541</v>
      </c>
      <c r="MRV538" s="1170">
        <v>8298541</v>
      </c>
      <c r="MRW538" s="1170">
        <v>8298541</v>
      </c>
      <c r="MRX538" s="1170">
        <v>8298541</v>
      </c>
      <c r="MRY538" s="1170">
        <v>8298541</v>
      </c>
      <c r="MRZ538" s="1170">
        <v>8298541</v>
      </c>
      <c r="MSA538" s="1170">
        <v>8298541</v>
      </c>
      <c r="MSB538" s="1170">
        <v>8298541</v>
      </c>
      <c r="MSC538" s="1170">
        <v>8298541</v>
      </c>
      <c r="MSD538" s="1170">
        <v>8298541</v>
      </c>
      <c r="MSE538" s="1170">
        <v>8298541</v>
      </c>
      <c r="MSF538" s="1170">
        <v>8298541</v>
      </c>
      <c r="MSG538" s="1170">
        <v>8298541</v>
      </c>
      <c r="MSH538" s="1170">
        <v>8298541</v>
      </c>
      <c r="MSI538" s="1170">
        <v>8298541</v>
      </c>
      <c r="MSJ538" s="1170">
        <v>8298541</v>
      </c>
      <c r="MSK538" s="1170">
        <v>8298541</v>
      </c>
      <c r="MSL538" s="1170">
        <v>8298541</v>
      </c>
      <c r="MSM538" s="1170">
        <v>8298541</v>
      </c>
      <c r="MSN538" s="1170">
        <v>8298541</v>
      </c>
      <c r="MSO538" s="1170">
        <v>8298541</v>
      </c>
      <c r="MSP538" s="1170">
        <v>8298541</v>
      </c>
      <c r="MSQ538" s="1170">
        <v>8298541</v>
      </c>
      <c r="MSR538" s="1170">
        <v>8298541</v>
      </c>
      <c r="MSS538" s="1170">
        <v>8298541</v>
      </c>
      <c r="MST538" s="1170">
        <v>8298541</v>
      </c>
      <c r="MSU538" s="1170">
        <v>8298541</v>
      </c>
      <c r="MSV538" s="1170">
        <v>8298541</v>
      </c>
      <c r="MSW538" s="1170">
        <v>8298541</v>
      </c>
      <c r="MSX538" s="1170">
        <v>8298541</v>
      </c>
      <c r="MSY538" s="1170">
        <v>8298541</v>
      </c>
      <c r="MSZ538" s="1170">
        <v>8298541</v>
      </c>
      <c r="MTA538" s="1170">
        <v>8298541</v>
      </c>
      <c r="MTB538" s="1170">
        <v>8298541</v>
      </c>
      <c r="MTC538" s="1170">
        <v>8298541</v>
      </c>
      <c r="MTD538" s="1170">
        <v>8298541</v>
      </c>
      <c r="MTE538" s="1170">
        <v>8298541</v>
      </c>
      <c r="MTF538" s="1170">
        <v>8298541</v>
      </c>
      <c r="MTG538" s="1170">
        <v>8298541</v>
      </c>
      <c r="MTH538" s="1170">
        <v>8298541</v>
      </c>
      <c r="MTI538" s="1170">
        <v>8298541</v>
      </c>
      <c r="MTJ538" s="1170">
        <v>8298541</v>
      </c>
      <c r="MTK538" s="1170">
        <v>8298541</v>
      </c>
      <c r="MTL538" s="1170">
        <v>8298541</v>
      </c>
      <c r="MTM538" s="1170">
        <v>8298541</v>
      </c>
      <c r="MTN538" s="1170">
        <v>8298541</v>
      </c>
      <c r="MTO538" s="1170">
        <v>8298541</v>
      </c>
      <c r="MTP538" s="1170">
        <v>8298541</v>
      </c>
      <c r="MTQ538" s="1170">
        <v>8298541</v>
      </c>
      <c r="MTR538" s="1170">
        <v>8298541</v>
      </c>
      <c r="MTS538" s="1170">
        <v>8298541</v>
      </c>
      <c r="MTT538" s="1170">
        <v>8298541</v>
      </c>
      <c r="MTU538" s="1170">
        <v>8298541</v>
      </c>
      <c r="MTV538" s="1170">
        <v>8298541</v>
      </c>
      <c r="MTW538" s="1170">
        <v>8298541</v>
      </c>
      <c r="MTX538" s="1170">
        <v>8298541</v>
      </c>
      <c r="MTY538" s="1170">
        <v>8298541</v>
      </c>
      <c r="MTZ538" s="1170">
        <v>8298541</v>
      </c>
      <c r="MUA538" s="1170">
        <v>8298541</v>
      </c>
      <c r="MUB538" s="1170">
        <v>8298541</v>
      </c>
      <c r="MUC538" s="1170">
        <v>8298541</v>
      </c>
      <c r="MUD538" s="1170">
        <v>8298541</v>
      </c>
      <c r="MUE538" s="1170">
        <v>8298541</v>
      </c>
      <c r="MUF538" s="1170">
        <v>8298541</v>
      </c>
      <c r="MUG538" s="1170">
        <v>8298541</v>
      </c>
      <c r="MUH538" s="1170">
        <v>8298541</v>
      </c>
      <c r="MUI538" s="1170">
        <v>8298541</v>
      </c>
      <c r="MUJ538" s="1170">
        <v>8298541</v>
      </c>
      <c r="MUK538" s="1170">
        <v>8298541</v>
      </c>
      <c r="MUL538" s="1170">
        <v>8298541</v>
      </c>
      <c r="MUM538" s="1170">
        <v>8298541</v>
      </c>
      <c r="MUN538" s="1170">
        <v>8298541</v>
      </c>
      <c r="MUO538" s="1170">
        <v>8298541</v>
      </c>
      <c r="MUP538" s="1170">
        <v>8298541</v>
      </c>
      <c r="MUQ538" s="1170">
        <v>8298541</v>
      </c>
      <c r="MUR538" s="1170">
        <v>8298541</v>
      </c>
      <c r="MUS538" s="1170">
        <v>8298541</v>
      </c>
      <c r="MUT538" s="1170">
        <v>8298541</v>
      </c>
      <c r="MUU538" s="1170">
        <v>8298541</v>
      </c>
      <c r="MUV538" s="1170">
        <v>8298541</v>
      </c>
      <c r="MUW538" s="1170">
        <v>8298541</v>
      </c>
      <c r="MUX538" s="1170">
        <v>8298541</v>
      </c>
      <c r="MUY538" s="1170">
        <v>8298541</v>
      </c>
      <c r="MUZ538" s="1170">
        <v>8298541</v>
      </c>
      <c r="MVA538" s="1170">
        <v>8298541</v>
      </c>
      <c r="MVB538" s="1170">
        <v>8298541</v>
      </c>
      <c r="MVC538" s="1170">
        <v>8298541</v>
      </c>
      <c r="MVD538" s="1170">
        <v>8298541</v>
      </c>
      <c r="MVE538" s="1170">
        <v>8298541</v>
      </c>
      <c r="MVF538" s="1170">
        <v>8298541</v>
      </c>
      <c r="MVG538" s="1170">
        <v>8298541</v>
      </c>
      <c r="MVH538" s="1170">
        <v>8298541</v>
      </c>
      <c r="MVI538" s="1170">
        <v>8298541</v>
      </c>
      <c r="MVJ538" s="1170">
        <v>8298541</v>
      </c>
      <c r="MVK538" s="1170">
        <v>8298541</v>
      </c>
      <c r="MVL538" s="1170">
        <v>8298541</v>
      </c>
      <c r="MVM538" s="1170">
        <v>8298541</v>
      </c>
      <c r="MVN538" s="1170">
        <v>8298541</v>
      </c>
      <c r="MVO538" s="1170">
        <v>8298541</v>
      </c>
      <c r="MVP538" s="1170">
        <v>8298541</v>
      </c>
      <c r="MVQ538" s="1170">
        <v>8298541</v>
      </c>
      <c r="MVR538" s="1170">
        <v>8298541</v>
      </c>
      <c r="MVS538" s="1170">
        <v>8298541</v>
      </c>
      <c r="MVT538" s="1170">
        <v>8298541</v>
      </c>
      <c r="MVU538" s="1170">
        <v>8298541</v>
      </c>
      <c r="MVV538" s="1170">
        <v>8298541</v>
      </c>
      <c r="MVW538" s="1170">
        <v>8298541</v>
      </c>
      <c r="MVX538" s="1170">
        <v>8298541</v>
      </c>
      <c r="MVY538" s="1170">
        <v>8298541</v>
      </c>
      <c r="MVZ538" s="1170">
        <v>8298541</v>
      </c>
      <c r="MWA538" s="1170">
        <v>8298541</v>
      </c>
      <c r="MWB538" s="1170">
        <v>8298541</v>
      </c>
      <c r="MWC538" s="1170">
        <v>8298541</v>
      </c>
      <c r="MWD538" s="1170">
        <v>8298541</v>
      </c>
      <c r="MWE538" s="1170">
        <v>8298541</v>
      </c>
      <c r="MWF538" s="1170">
        <v>8298541</v>
      </c>
      <c r="MWG538" s="1170">
        <v>8298541</v>
      </c>
      <c r="MWH538" s="1170">
        <v>8298541</v>
      </c>
      <c r="MWI538" s="1170">
        <v>8298541</v>
      </c>
      <c r="MWJ538" s="1170">
        <v>8298541</v>
      </c>
      <c r="MWK538" s="1170">
        <v>8298541</v>
      </c>
      <c r="MWL538" s="1170">
        <v>8298541</v>
      </c>
      <c r="MWM538" s="1170">
        <v>8298541</v>
      </c>
      <c r="MWN538" s="1170">
        <v>8298541</v>
      </c>
      <c r="MWO538" s="1170">
        <v>8298541</v>
      </c>
      <c r="MWP538" s="1170">
        <v>8298541</v>
      </c>
      <c r="MWQ538" s="1170">
        <v>8298541</v>
      </c>
      <c r="MWR538" s="1170">
        <v>8298541</v>
      </c>
      <c r="MWS538" s="1170">
        <v>8298541</v>
      </c>
      <c r="MWT538" s="1170">
        <v>8298541</v>
      </c>
      <c r="MWU538" s="1170">
        <v>8298541</v>
      </c>
      <c r="MWV538" s="1170">
        <v>8298541</v>
      </c>
      <c r="MWW538" s="1170">
        <v>8298541</v>
      </c>
      <c r="MWX538" s="1170">
        <v>8298541</v>
      </c>
      <c r="MWY538" s="1170">
        <v>8298541</v>
      </c>
      <c r="MWZ538" s="1170">
        <v>8298541</v>
      </c>
      <c r="MXA538" s="1170">
        <v>8298541</v>
      </c>
      <c r="MXB538" s="1170">
        <v>8298541</v>
      </c>
      <c r="MXC538" s="1170">
        <v>8298541</v>
      </c>
      <c r="MXD538" s="1170">
        <v>8298541</v>
      </c>
      <c r="MXE538" s="1170">
        <v>8298541</v>
      </c>
      <c r="MXF538" s="1170">
        <v>8298541</v>
      </c>
      <c r="MXG538" s="1170">
        <v>8298541</v>
      </c>
      <c r="MXH538" s="1170">
        <v>8298541</v>
      </c>
      <c r="MXI538" s="1170">
        <v>8298541</v>
      </c>
      <c r="MXJ538" s="1170">
        <v>8298541</v>
      </c>
      <c r="MXK538" s="1170">
        <v>8298541</v>
      </c>
      <c r="MXL538" s="1170">
        <v>8298541</v>
      </c>
      <c r="MXM538" s="1170">
        <v>8298541</v>
      </c>
      <c r="MXN538" s="1170">
        <v>8298541</v>
      </c>
      <c r="MXO538" s="1170">
        <v>8298541</v>
      </c>
      <c r="MXP538" s="1170">
        <v>8298541</v>
      </c>
      <c r="MXQ538" s="1170">
        <v>8298541</v>
      </c>
      <c r="MXR538" s="1170">
        <v>8298541</v>
      </c>
      <c r="MXS538" s="1170">
        <v>8298541</v>
      </c>
      <c r="MXT538" s="1170">
        <v>8298541</v>
      </c>
      <c r="MXU538" s="1170">
        <v>8298541</v>
      </c>
      <c r="MXV538" s="1170">
        <v>8298541</v>
      </c>
      <c r="MXW538" s="1170">
        <v>8298541</v>
      </c>
      <c r="MXX538" s="1170">
        <v>8298541</v>
      </c>
      <c r="MXY538" s="1170">
        <v>8298541</v>
      </c>
      <c r="MXZ538" s="1170">
        <v>8298541</v>
      </c>
      <c r="MYA538" s="1170">
        <v>8298541</v>
      </c>
      <c r="MYB538" s="1170">
        <v>8298541</v>
      </c>
      <c r="MYC538" s="1170">
        <v>8298541</v>
      </c>
      <c r="MYD538" s="1170">
        <v>8298541</v>
      </c>
      <c r="MYE538" s="1170">
        <v>8298541</v>
      </c>
      <c r="MYF538" s="1170">
        <v>8298541</v>
      </c>
      <c r="MYG538" s="1170">
        <v>8298541</v>
      </c>
      <c r="MYH538" s="1170">
        <v>8298541</v>
      </c>
      <c r="MYI538" s="1170">
        <v>8298541</v>
      </c>
      <c r="MYJ538" s="1170">
        <v>8298541</v>
      </c>
      <c r="MYK538" s="1170">
        <v>8298541</v>
      </c>
      <c r="MYL538" s="1170">
        <v>8298541</v>
      </c>
      <c r="MYM538" s="1170">
        <v>8298541</v>
      </c>
      <c r="MYN538" s="1170">
        <v>8298541</v>
      </c>
      <c r="MYO538" s="1170">
        <v>8298541</v>
      </c>
      <c r="MYP538" s="1170">
        <v>8298541</v>
      </c>
      <c r="MYQ538" s="1170">
        <v>8298541</v>
      </c>
      <c r="MYR538" s="1170">
        <v>8298541</v>
      </c>
      <c r="MYS538" s="1170">
        <v>8298541</v>
      </c>
      <c r="MYT538" s="1170">
        <v>8298541</v>
      </c>
      <c r="MYU538" s="1170">
        <v>8298541</v>
      </c>
      <c r="MYV538" s="1170">
        <v>8298541</v>
      </c>
      <c r="MYW538" s="1170">
        <v>8298541</v>
      </c>
      <c r="MYX538" s="1170">
        <v>8298541</v>
      </c>
      <c r="MYY538" s="1170">
        <v>8298541</v>
      </c>
      <c r="MYZ538" s="1170">
        <v>8298541</v>
      </c>
      <c r="MZA538" s="1170">
        <v>8298541</v>
      </c>
      <c r="MZB538" s="1170">
        <v>8298541</v>
      </c>
      <c r="MZC538" s="1170">
        <v>8298541</v>
      </c>
      <c r="MZD538" s="1170">
        <v>8298541</v>
      </c>
      <c r="MZE538" s="1170">
        <v>8298541</v>
      </c>
      <c r="MZF538" s="1170">
        <v>8298541</v>
      </c>
      <c r="MZG538" s="1170">
        <v>8298541</v>
      </c>
      <c r="MZH538" s="1170">
        <v>8298541</v>
      </c>
      <c r="MZI538" s="1170">
        <v>8298541</v>
      </c>
      <c r="MZJ538" s="1170">
        <v>8298541</v>
      </c>
      <c r="MZK538" s="1170">
        <v>8298541</v>
      </c>
      <c r="MZL538" s="1170">
        <v>8298541</v>
      </c>
      <c r="MZM538" s="1170">
        <v>8298541</v>
      </c>
      <c r="MZN538" s="1170">
        <v>8298541</v>
      </c>
      <c r="MZO538" s="1170">
        <v>8298541</v>
      </c>
      <c r="MZP538" s="1170">
        <v>8298541</v>
      </c>
      <c r="MZQ538" s="1170">
        <v>8298541</v>
      </c>
      <c r="MZR538" s="1170">
        <v>8298541</v>
      </c>
      <c r="MZS538" s="1170">
        <v>8298541</v>
      </c>
      <c r="MZT538" s="1170">
        <v>8298541</v>
      </c>
      <c r="MZU538" s="1170">
        <v>8298541</v>
      </c>
      <c r="MZV538" s="1170">
        <v>8298541</v>
      </c>
      <c r="MZW538" s="1170">
        <v>8298541</v>
      </c>
      <c r="MZX538" s="1170">
        <v>8298541</v>
      </c>
      <c r="MZY538" s="1170">
        <v>8298541</v>
      </c>
      <c r="MZZ538" s="1170">
        <v>8298541</v>
      </c>
      <c r="NAA538" s="1170">
        <v>8298541</v>
      </c>
      <c r="NAB538" s="1170">
        <v>8298541</v>
      </c>
      <c r="NAC538" s="1170">
        <v>8298541</v>
      </c>
      <c r="NAD538" s="1170">
        <v>8298541</v>
      </c>
      <c r="NAE538" s="1170">
        <v>8298541</v>
      </c>
      <c r="NAF538" s="1170">
        <v>8298541</v>
      </c>
      <c r="NAG538" s="1170">
        <v>8298541</v>
      </c>
      <c r="NAH538" s="1170">
        <v>8298541</v>
      </c>
      <c r="NAI538" s="1170">
        <v>8298541</v>
      </c>
      <c r="NAJ538" s="1170">
        <v>8298541</v>
      </c>
      <c r="NAK538" s="1170">
        <v>8298541</v>
      </c>
      <c r="NAL538" s="1170">
        <v>8298541</v>
      </c>
      <c r="NAM538" s="1170">
        <v>8298541</v>
      </c>
      <c r="NAN538" s="1170">
        <v>8298541</v>
      </c>
      <c r="NAO538" s="1170">
        <v>8298541</v>
      </c>
      <c r="NAP538" s="1170">
        <v>8298541</v>
      </c>
      <c r="NAQ538" s="1170">
        <v>8298541</v>
      </c>
      <c r="NAR538" s="1170">
        <v>8298541</v>
      </c>
      <c r="NAS538" s="1170">
        <v>8298541</v>
      </c>
      <c r="NAT538" s="1170">
        <v>8298541</v>
      </c>
      <c r="NAU538" s="1170">
        <v>8298541</v>
      </c>
      <c r="NAV538" s="1170">
        <v>8298541</v>
      </c>
      <c r="NAW538" s="1170">
        <v>8298541</v>
      </c>
      <c r="NAX538" s="1170">
        <v>8298541</v>
      </c>
      <c r="NAY538" s="1170">
        <v>8298541</v>
      </c>
      <c r="NAZ538" s="1170">
        <v>8298541</v>
      </c>
      <c r="NBA538" s="1170">
        <v>8298541</v>
      </c>
      <c r="NBB538" s="1170">
        <v>8298541</v>
      </c>
      <c r="NBC538" s="1170">
        <v>8298541</v>
      </c>
      <c r="NBD538" s="1170">
        <v>8298541</v>
      </c>
      <c r="NBE538" s="1170">
        <v>8298541</v>
      </c>
      <c r="NBF538" s="1170">
        <v>8298541</v>
      </c>
      <c r="NBG538" s="1170">
        <v>8298541</v>
      </c>
      <c r="NBH538" s="1170">
        <v>8298541</v>
      </c>
      <c r="NBI538" s="1170">
        <v>8298541</v>
      </c>
      <c r="NBJ538" s="1170">
        <v>8298541</v>
      </c>
      <c r="NBK538" s="1170">
        <v>8298541</v>
      </c>
      <c r="NBL538" s="1170">
        <v>8298541</v>
      </c>
      <c r="NBM538" s="1170">
        <v>8298541</v>
      </c>
      <c r="NBN538" s="1170">
        <v>8298541</v>
      </c>
      <c r="NBO538" s="1170">
        <v>8298541</v>
      </c>
      <c r="NBP538" s="1170">
        <v>8298541</v>
      </c>
      <c r="NBQ538" s="1170">
        <v>8298541</v>
      </c>
      <c r="NBR538" s="1170">
        <v>8298541</v>
      </c>
      <c r="NBS538" s="1170">
        <v>8298541</v>
      </c>
      <c r="NBT538" s="1170">
        <v>8298541</v>
      </c>
      <c r="NBU538" s="1170">
        <v>8298541</v>
      </c>
      <c r="NBV538" s="1170">
        <v>8298541</v>
      </c>
      <c r="NBW538" s="1170">
        <v>8298541</v>
      </c>
      <c r="NBX538" s="1170">
        <v>8298541</v>
      </c>
      <c r="NBY538" s="1170">
        <v>8298541</v>
      </c>
      <c r="NBZ538" s="1170">
        <v>8298541</v>
      </c>
      <c r="NCA538" s="1170">
        <v>8298541</v>
      </c>
      <c r="NCB538" s="1170">
        <v>8298541</v>
      </c>
      <c r="NCC538" s="1170">
        <v>8298541</v>
      </c>
      <c r="NCD538" s="1170">
        <v>8298541</v>
      </c>
      <c r="NCE538" s="1170">
        <v>8298541</v>
      </c>
      <c r="NCF538" s="1170">
        <v>8298541</v>
      </c>
      <c r="NCG538" s="1170">
        <v>8298541</v>
      </c>
      <c r="NCH538" s="1170">
        <v>8298541</v>
      </c>
      <c r="NCI538" s="1170">
        <v>8298541</v>
      </c>
      <c r="NCJ538" s="1170">
        <v>8298541</v>
      </c>
      <c r="NCK538" s="1170">
        <v>8298541</v>
      </c>
      <c r="NCL538" s="1170">
        <v>8298541</v>
      </c>
      <c r="NCM538" s="1170">
        <v>8298541</v>
      </c>
      <c r="NCN538" s="1170">
        <v>8298541</v>
      </c>
      <c r="NCO538" s="1170">
        <v>8298541</v>
      </c>
      <c r="NCP538" s="1170">
        <v>8298541</v>
      </c>
      <c r="NCQ538" s="1170">
        <v>8298541</v>
      </c>
      <c r="NCR538" s="1170">
        <v>8298541</v>
      </c>
      <c r="NCS538" s="1170">
        <v>8298541</v>
      </c>
      <c r="NCT538" s="1170">
        <v>8298541</v>
      </c>
      <c r="NCU538" s="1170">
        <v>8298541</v>
      </c>
      <c r="NCV538" s="1170">
        <v>8298541</v>
      </c>
      <c r="NCW538" s="1170">
        <v>8298541</v>
      </c>
      <c r="NCX538" s="1170">
        <v>8298541</v>
      </c>
      <c r="NCY538" s="1170">
        <v>8298541</v>
      </c>
      <c r="NCZ538" s="1170">
        <v>8298541</v>
      </c>
      <c r="NDA538" s="1170">
        <v>8298541</v>
      </c>
      <c r="NDB538" s="1170">
        <v>8298541</v>
      </c>
      <c r="NDC538" s="1170">
        <v>8298541</v>
      </c>
      <c r="NDD538" s="1170">
        <v>8298541</v>
      </c>
      <c r="NDE538" s="1170">
        <v>8298541</v>
      </c>
      <c r="NDF538" s="1170">
        <v>8298541</v>
      </c>
      <c r="NDG538" s="1170">
        <v>8298541</v>
      </c>
      <c r="NDH538" s="1170">
        <v>8298541</v>
      </c>
      <c r="NDI538" s="1170">
        <v>8298541</v>
      </c>
      <c r="NDJ538" s="1170">
        <v>8298541</v>
      </c>
      <c r="NDK538" s="1170">
        <v>8298541</v>
      </c>
      <c r="NDL538" s="1170">
        <v>8298541</v>
      </c>
      <c r="NDM538" s="1170">
        <v>8298541</v>
      </c>
      <c r="NDN538" s="1170">
        <v>8298541</v>
      </c>
      <c r="NDO538" s="1170">
        <v>8298541</v>
      </c>
      <c r="NDP538" s="1170">
        <v>8298541</v>
      </c>
      <c r="NDQ538" s="1170">
        <v>8298541</v>
      </c>
      <c r="NDR538" s="1170">
        <v>8298541</v>
      </c>
      <c r="NDS538" s="1170">
        <v>8298541</v>
      </c>
      <c r="NDT538" s="1170">
        <v>8298541</v>
      </c>
      <c r="NDU538" s="1170">
        <v>8298541</v>
      </c>
      <c r="NDV538" s="1170">
        <v>8298541</v>
      </c>
      <c r="NDW538" s="1170">
        <v>8298541</v>
      </c>
      <c r="NDX538" s="1170">
        <v>8298541</v>
      </c>
      <c r="NDY538" s="1170">
        <v>8298541</v>
      </c>
      <c r="NDZ538" s="1170">
        <v>8298541</v>
      </c>
      <c r="NEA538" s="1170">
        <v>8298541</v>
      </c>
      <c r="NEB538" s="1170">
        <v>8298541</v>
      </c>
      <c r="NEC538" s="1170">
        <v>8298541</v>
      </c>
      <c r="NED538" s="1170">
        <v>8298541</v>
      </c>
      <c r="NEE538" s="1170">
        <v>8298541</v>
      </c>
      <c r="NEF538" s="1170">
        <v>8298541</v>
      </c>
      <c r="NEG538" s="1170">
        <v>8298541</v>
      </c>
      <c r="NEH538" s="1170">
        <v>8298541</v>
      </c>
      <c r="NEI538" s="1170">
        <v>8298541</v>
      </c>
      <c r="NEJ538" s="1170">
        <v>8298541</v>
      </c>
      <c r="NEK538" s="1170">
        <v>8298541</v>
      </c>
      <c r="NEL538" s="1170">
        <v>8298541</v>
      </c>
      <c r="NEM538" s="1170">
        <v>8298541</v>
      </c>
      <c r="NEN538" s="1170">
        <v>8298541</v>
      </c>
      <c r="NEO538" s="1170">
        <v>8298541</v>
      </c>
      <c r="NEP538" s="1170">
        <v>8298541</v>
      </c>
      <c r="NEQ538" s="1170">
        <v>8298541</v>
      </c>
      <c r="NER538" s="1170">
        <v>8298541</v>
      </c>
      <c r="NES538" s="1170">
        <v>8298541</v>
      </c>
      <c r="NET538" s="1170">
        <v>8298541</v>
      </c>
      <c r="NEU538" s="1170">
        <v>8298541</v>
      </c>
      <c r="NEV538" s="1170">
        <v>8298541</v>
      </c>
      <c r="NEW538" s="1170">
        <v>8298541</v>
      </c>
      <c r="NEX538" s="1170">
        <v>8298541</v>
      </c>
      <c r="NEY538" s="1170">
        <v>8298541</v>
      </c>
      <c r="NEZ538" s="1170">
        <v>8298541</v>
      </c>
      <c r="NFA538" s="1170">
        <v>8298541</v>
      </c>
      <c r="NFB538" s="1170">
        <v>8298541</v>
      </c>
      <c r="NFC538" s="1170">
        <v>8298541</v>
      </c>
      <c r="NFD538" s="1170">
        <v>8298541</v>
      </c>
      <c r="NFE538" s="1170">
        <v>8298541</v>
      </c>
      <c r="NFF538" s="1170">
        <v>8298541</v>
      </c>
      <c r="NFG538" s="1170">
        <v>8298541</v>
      </c>
      <c r="NFH538" s="1170">
        <v>8298541</v>
      </c>
      <c r="NFI538" s="1170">
        <v>8298541</v>
      </c>
      <c r="NFJ538" s="1170">
        <v>8298541</v>
      </c>
      <c r="NFK538" s="1170">
        <v>8298541</v>
      </c>
      <c r="NFL538" s="1170">
        <v>8298541</v>
      </c>
      <c r="NFM538" s="1170">
        <v>8298541</v>
      </c>
      <c r="NFN538" s="1170">
        <v>8298541</v>
      </c>
      <c r="NFO538" s="1170">
        <v>8298541</v>
      </c>
      <c r="NFP538" s="1170">
        <v>8298541</v>
      </c>
      <c r="NFQ538" s="1170">
        <v>8298541</v>
      </c>
      <c r="NFR538" s="1170">
        <v>8298541</v>
      </c>
      <c r="NFS538" s="1170">
        <v>8298541</v>
      </c>
      <c r="NFT538" s="1170">
        <v>8298541</v>
      </c>
      <c r="NFU538" s="1170">
        <v>8298541</v>
      </c>
      <c r="NFV538" s="1170">
        <v>8298541</v>
      </c>
      <c r="NFW538" s="1170">
        <v>8298541</v>
      </c>
      <c r="NFX538" s="1170">
        <v>8298541</v>
      </c>
      <c r="NFY538" s="1170">
        <v>8298541</v>
      </c>
      <c r="NFZ538" s="1170">
        <v>8298541</v>
      </c>
      <c r="NGA538" s="1170">
        <v>8298541</v>
      </c>
      <c r="NGB538" s="1170">
        <v>8298541</v>
      </c>
      <c r="NGC538" s="1170">
        <v>8298541</v>
      </c>
      <c r="NGD538" s="1170">
        <v>8298541</v>
      </c>
      <c r="NGE538" s="1170">
        <v>8298541</v>
      </c>
      <c r="NGF538" s="1170">
        <v>8298541</v>
      </c>
      <c r="NGG538" s="1170">
        <v>8298541</v>
      </c>
      <c r="NGH538" s="1170">
        <v>8298541</v>
      </c>
      <c r="NGI538" s="1170">
        <v>8298541</v>
      </c>
      <c r="NGJ538" s="1170">
        <v>8298541</v>
      </c>
      <c r="NGK538" s="1170">
        <v>8298541</v>
      </c>
      <c r="NGL538" s="1170">
        <v>8298541</v>
      </c>
      <c r="NGM538" s="1170">
        <v>8298541</v>
      </c>
      <c r="NGN538" s="1170">
        <v>8298541</v>
      </c>
      <c r="NGO538" s="1170">
        <v>8298541</v>
      </c>
      <c r="NGP538" s="1170">
        <v>8298541</v>
      </c>
      <c r="NGQ538" s="1170">
        <v>8298541</v>
      </c>
      <c r="NGR538" s="1170">
        <v>8298541</v>
      </c>
      <c r="NGS538" s="1170">
        <v>8298541</v>
      </c>
      <c r="NGT538" s="1170">
        <v>8298541</v>
      </c>
      <c r="NGU538" s="1170">
        <v>8298541</v>
      </c>
      <c r="NGV538" s="1170">
        <v>8298541</v>
      </c>
      <c r="NGW538" s="1170">
        <v>8298541</v>
      </c>
      <c r="NGX538" s="1170">
        <v>8298541</v>
      </c>
      <c r="NGY538" s="1170">
        <v>8298541</v>
      </c>
      <c r="NGZ538" s="1170">
        <v>8298541</v>
      </c>
      <c r="NHA538" s="1170">
        <v>8298541</v>
      </c>
      <c r="NHB538" s="1170">
        <v>8298541</v>
      </c>
      <c r="NHC538" s="1170">
        <v>8298541</v>
      </c>
      <c r="NHD538" s="1170">
        <v>8298541</v>
      </c>
      <c r="NHE538" s="1170">
        <v>8298541</v>
      </c>
      <c r="NHF538" s="1170">
        <v>8298541</v>
      </c>
      <c r="NHG538" s="1170">
        <v>8298541</v>
      </c>
      <c r="NHH538" s="1170">
        <v>8298541</v>
      </c>
      <c r="NHI538" s="1170">
        <v>8298541</v>
      </c>
      <c r="NHJ538" s="1170">
        <v>8298541</v>
      </c>
      <c r="NHK538" s="1170">
        <v>8298541</v>
      </c>
      <c r="NHL538" s="1170">
        <v>8298541</v>
      </c>
      <c r="NHM538" s="1170">
        <v>8298541</v>
      </c>
      <c r="NHN538" s="1170">
        <v>8298541</v>
      </c>
      <c r="NHO538" s="1170">
        <v>8298541</v>
      </c>
      <c r="NHP538" s="1170">
        <v>8298541</v>
      </c>
      <c r="NHQ538" s="1170">
        <v>8298541</v>
      </c>
      <c r="NHR538" s="1170">
        <v>8298541</v>
      </c>
      <c r="NHS538" s="1170">
        <v>8298541</v>
      </c>
      <c r="NHT538" s="1170">
        <v>8298541</v>
      </c>
      <c r="NHU538" s="1170">
        <v>8298541</v>
      </c>
      <c r="NHV538" s="1170">
        <v>8298541</v>
      </c>
      <c r="NHW538" s="1170">
        <v>8298541</v>
      </c>
      <c r="NHX538" s="1170">
        <v>8298541</v>
      </c>
      <c r="NHY538" s="1170">
        <v>8298541</v>
      </c>
      <c r="NHZ538" s="1170">
        <v>8298541</v>
      </c>
      <c r="NIA538" s="1170">
        <v>8298541</v>
      </c>
      <c r="NIB538" s="1170">
        <v>8298541</v>
      </c>
      <c r="NIC538" s="1170">
        <v>8298541</v>
      </c>
      <c r="NID538" s="1170">
        <v>8298541</v>
      </c>
      <c r="NIE538" s="1170">
        <v>8298541</v>
      </c>
      <c r="NIF538" s="1170">
        <v>8298541</v>
      </c>
      <c r="NIG538" s="1170">
        <v>8298541</v>
      </c>
      <c r="NIH538" s="1170">
        <v>8298541</v>
      </c>
      <c r="NII538" s="1170">
        <v>8298541</v>
      </c>
      <c r="NIJ538" s="1170">
        <v>8298541</v>
      </c>
      <c r="NIK538" s="1170">
        <v>8298541</v>
      </c>
      <c r="NIL538" s="1170">
        <v>8298541</v>
      </c>
      <c r="NIM538" s="1170">
        <v>8298541</v>
      </c>
      <c r="NIN538" s="1170">
        <v>8298541</v>
      </c>
      <c r="NIO538" s="1170">
        <v>8298541</v>
      </c>
      <c r="NIP538" s="1170">
        <v>8298541</v>
      </c>
      <c r="NIQ538" s="1170">
        <v>8298541</v>
      </c>
      <c r="NIR538" s="1170">
        <v>8298541</v>
      </c>
      <c r="NIS538" s="1170">
        <v>8298541</v>
      </c>
      <c r="NIT538" s="1170">
        <v>8298541</v>
      </c>
      <c r="NIU538" s="1170">
        <v>8298541</v>
      </c>
      <c r="NIV538" s="1170">
        <v>8298541</v>
      </c>
      <c r="NIW538" s="1170">
        <v>8298541</v>
      </c>
      <c r="NIX538" s="1170">
        <v>8298541</v>
      </c>
      <c r="NIY538" s="1170">
        <v>8298541</v>
      </c>
      <c r="NIZ538" s="1170">
        <v>8298541</v>
      </c>
      <c r="NJA538" s="1170">
        <v>8298541</v>
      </c>
      <c r="NJB538" s="1170">
        <v>8298541</v>
      </c>
      <c r="NJC538" s="1170">
        <v>8298541</v>
      </c>
      <c r="NJD538" s="1170">
        <v>8298541</v>
      </c>
      <c r="NJE538" s="1170">
        <v>8298541</v>
      </c>
      <c r="NJF538" s="1170">
        <v>8298541</v>
      </c>
      <c r="NJG538" s="1170">
        <v>8298541</v>
      </c>
      <c r="NJH538" s="1170">
        <v>8298541</v>
      </c>
      <c r="NJI538" s="1170">
        <v>8298541</v>
      </c>
      <c r="NJJ538" s="1170">
        <v>8298541</v>
      </c>
      <c r="NJK538" s="1170">
        <v>8298541</v>
      </c>
      <c r="NJL538" s="1170">
        <v>8298541</v>
      </c>
      <c r="NJM538" s="1170">
        <v>8298541</v>
      </c>
      <c r="NJN538" s="1170">
        <v>8298541</v>
      </c>
      <c r="NJO538" s="1170">
        <v>8298541</v>
      </c>
      <c r="NJP538" s="1170">
        <v>8298541</v>
      </c>
      <c r="NJQ538" s="1170">
        <v>8298541</v>
      </c>
      <c r="NJR538" s="1170">
        <v>8298541</v>
      </c>
      <c r="NJS538" s="1170">
        <v>8298541</v>
      </c>
      <c r="NJT538" s="1170">
        <v>8298541</v>
      </c>
      <c r="NJU538" s="1170">
        <v>8298541</v>
      </c>
      <c r="NJV538" s="1170">
        <v>8298541</v>
      </c>
      <c r="NJW538" s="1170">
        <v>8298541</v>
      </c>
      <c r="NJX538" s="1170">
        <v>8298541</v>
      </c>
      <c r="NJY538" s="1170">
        <v>8298541</v>
      </c>
      <c r="NJZ538" s="1170">
        <v>8298541</v>
      </c>
      <c r="NKA538" s="1170">
        <v>8298541</v>
      </c>
      <c r="NKB538" s="1170">
        <v>8298541</v>
      </c>
      <c r="NKC538" s="1170">
        <v>8298541</v>
      </c>
      <c r="NKD538" s="1170">
        <v>8298541</v>
      </c>
      <c r="NKE538" s="1170">
        <v>8298541</v>
      </c>
      <c r="NKF538" s="1170">
        <v>8298541</v>
      </c>
      <c r="NKG538" s="1170">
        <v>8298541</v>
      </c>
      <c r="NKH538" s="1170">
        <v>8298541</v>
      </c>
      <c r="NKI538" s="1170">
        <v>8298541</v>
      </c>
      <c r="NKJ538" s="1170">
        <v>8298541</v>
      </c>
      <c r="NKK538" s="1170">
        <v>8298541</v>
      </c>
      <c r="NKL538" s="1170">
        <v>8298541</v>
      </c>
      <c r="NKM538" s="1170">
        <v>8298541</v>
      </c>
      <c r="NKN538" s="1170">
        <v>8298541</v>
      </c>
      <c r="NKO538" s="1170">
        <v>8298541</v>
      </c>
      <c r="NKP538" s="1170">
        <v>8298541</v>
      </c>
      <c r="NKQ538" s="1170">
        <v>8298541</v>
      </c>
      <c r="NKR538" s="1170">
        <v>8298541</v>
      </c>
      <c r="NKS538" s="1170">
        <v>8298541</v>
      </c>
      <c r="NKT538" s="1170">
        <v>8298541</v>
      </c>
      <c r="NKU538" s="1170">
        <v>8298541</v>
      </c>
      <c r="NKV538" s="1170">
        <v>8298541</v>
      </c>
      <c r="NKW538" s="1170">
        <v>8298541</v>
      </c>
      <c r="NKX538" s="1170">
        <v>8298541</v>
      </c>
      <c r="NKY538" s="1170">
        <v>8298541</v>
      </c>
      <c r="NKZ538" s="1170">
        <v>8298541</v>
      </c>
      <c r="NLA538" s="1170">
        <v>8298541</v>
      </c>
      <c r="NLB538" s="1170">
        <v>8298541</v>
      </c>
      <c r="NLC538" s="1170">
        <v>8298541</v>
      </c>
      <c r="NLD538" s="1170">
        <v>8298541</v>
      </c>
      <c r="NLE538" s="1170">
        <v>8298541</v>
      </c>
      <c r="NLF538" s="1170">
        <v>8298541</v>
      </c>
      <c r="NLG538" s="1170">
        <v>8298541</v>
      </c>
      <c r="NLH538" s="1170">
        <v>8298541</v>
      </c>
      <c r="NLI538" s="1170">
        <v>8298541</v>
      </c>
      <c r="NLJ538" s="1170">
        <v>8298541</v>
      </c>
      <c r="NLK538" s="1170">
        <v>8298541</v>
      </c>
      <c r="NLL538" s="1170">
        <v>8298541</v>
      </c>
      <c r="NLM538" s="1170">
        <v>8298541</v>
      </c>
      <c r="NLN538" s="1170">
        <v>8298541</v>
      </c>
      <c r="NLO538" s="1170">
        <v>8298541</v>
      </c>
      <c r="NLP538" s="1170">
        <v>8298541</v>
      </c>
      <c r="NLQ538" s="1170">
        <v>8298541</v>
      </c>
      <c r="NLR538" s="1170">
        <v>8298541</v>
      </c>
      <c r="NLS538" s="1170">
        <v>8298541</v>
      </c>
      <c r="NLT538" s="1170">
        <v>8298541</v>
      </c>
      <c r="NLU538" s="1170">
        <v>8298541</v>
      </c>
      <c r="NLV538" s="1170">
        <v>8298541</v>
      </c>
      <c r="NLW538" s="1170">
        <v>8298541</v>
      </c>
      <c r="NLX538" s="1170">
        <v>8298541</v>
      </c>
      <c r="NLY538" s="1170">
        <v>8298541</v>
      </c>
      <c r="NLZ538" s="1170">
        <v>8298541</v>
      </c>
      <c r="NMA538" s="1170">
        <v>8298541</v>
      </c>
      <c r="NMB538" s="1170">
        <v>8298541</v>
      </c>
      <c r="NMC538" s="1170">
        <v>8298541</v>
      </c>
      <c r="NMD538" s="1170">
        <v>8298541</v>
      </c>
      <c r="NME538" s="1170">
        <v>8298541</v>
      </c>
      <c r="NMF538" s="1170">
        <v>8298541</v>
      </c>
      <c r="NMG538" s="1170">
        <v>8298541</v>
      </c>
      <c r="NMH538" s="1170">
        <v>8298541</v>
      </c>
      <c r="NMI538" s="1170">
        <v>8298541</v>
      </c>
      <c r="NMJ538" s="1170">
        <v>8298541</v>
      </c>
      <c r="NMK538" s="1170">
        <v>8298541</v>
      </c>
      <c r="NML538" s="1170">
        <v>8298541</v>
      </c>
      <c r="NMM538" s="1170">
        <v>8298541</v>
      </c>
      <c r="NMN538" s="1170">
        <v>8298541</v>
      </c>
      <c r="NMO538" s="1170">
        <v>8298541</v>
      </c>
      <c r="NMP538" s="1170">
        <v>8298541</v>
      </c>
      <c r="NMQ538" s="1170">
        <v>8298541</v>
      </c>
      <c r="NMR538" s="1170">
        <v>8298541</v>
      </c>
      <c r="NMS538" s="1170">
        <v>8298541</v>
      </c>
      <c r="NMT538" s="1170">
        <v>8298541</v>
      </c>
      <c r="NMU538" s="1170">
        <v>8298541</v>
      </c>
      <c r="NMV538" s="1170">
        <v>8298541</v>
      </c>
      <c r="NMW538" s="1170">
        <v>8298541</v>
      </c>
      <c r="NMX538" s="1170">
        <v>8298541</v>
      </c>
      <c r="NMY538" s="1170">
        <v>8298541</v>
      </c>
      <c r="NMZ538" s="1170">
        <v>8298541</v>
      </c>
      <c r="NNA538" s="1170">
        <v>8298541</v>
      </c>
      <c r="NNB538" s="1170">
        <v>8298541</v>
      </c>
      <c r="NNC538" s="1170">
        <v>8298541</v>
      </c>
      <c r="NND538" s="1170">
        <v>8298541</v>
      </c>
      <c r="NNE538" s="1170">
        <v>8298541</v>
      </c>
      <c r="NNF538" s="1170">
        <v>8298541</v>
      </c>
      <c r="NNG538" s="1170">
        <v>8298541</v>
      </c>
      <c r="NNH538" s="1170">
        <v>8298541</v>
      </c>
      <c r="NNI538" s="1170">
        <v>8298541</v>
      </c>
      <c r="NNJ538" s="1170">
        <v>8298541</v>
      </c>
      <c r="NNK538" s="1170">
        <v>8298541</v>
      </c>
      <c r="NNL538" s="1170">
        <v>8298541</v>
      </c>
      <c r="NNM538" s="1170">
        <v>8298541</v>
      </c>
      <c r="NNN538" s="1170">
        <v>8298541</v>
      </c>
      <c r="NNO538" s="1170">
        <v>8298541</v>
      </c>
      <c r="NNP538" s="1170">
        <v>8298541</v>
      </c>
      <c r="NNQ538" s="1170">
        <v>8298541</v>
      </c>
      <c r="NNR538" s="1170">
        <v>8298541</v>
      </c>
      <c r="NNS538" s="1170">
        <v>8298541</v>
      </c>
      <c r="NNT538" s="1170">
        <v>8298541</v>
      </c>
      <c r="NNU538" s="1170">
        <v>8298541</v>
      </c>
      <c r="NNV538" s="1170">
        <v>8298541</v>
      </c>
      <c r="NNW538" s="1170">
        <v>8298541</v>
      </c>
      <c r="NNX538" s="1170">
        <v>8298541</v>
      </c>
      <c r="NNY538" s="1170">
        <v>8298541</v>
      </c>
      <c r="NNZ538" s="1170">
        <v>8298541</v>
      </c>
      <c r="NOA538" s="1170">
        <v>8298541</v>
      </c>
      <c r="NOB538" s="1170">
        <v>8298541</v>
      </c>
      <c r="NOC538" s="1170">
        <v>8298541</v>
      </c>
      <c r="NOD538" s="1170">
        <v>8298541</v>
      </c>
      <c r="NOE538" s="1170">
        <v>8298541</v>
      </c>
      <c r="NOF538" s="1170">
        <v>8298541</v>
      </c>
      <c r="NOG538" s="1170">
        <v>8298541</v>
      </c>
      <c r="NOH538" s="1170">
        <v>8298541</v>
      </c>
      <c r="NOI538" s="1170">
        <v>8298541</v>
      </c>
      <c r="NOJ538" s="1170">
        <v>8298541</v>
      </c>
      <c r="NOK538" s="1170">
        <v>8298541</v>
      </c>
      <c r="NOL538" s="1170">
        <v>8298541</v>
      </c>
      <c r="NOM538" s="1170">
        <v>8298541</v>
      </c>
      <c r="NON538" s="1170">
        <v>8298541</v>
      </c>
      <c r="NOO538" s="1170">
        <v>8298541</v>
      </c>
      <c r="NOP538" s="1170">
        <v>8298541</v>
      </c>
      <c r="NOQ538" s="1170">
        <v>8298541</v>
      </c>
      <c r="NOR538" s="1170">
        <v>8298541</v>
      </c>
      <c r="NOS538" s="1170">
        <v>8298541</v>
      </c>
      <c r="NOT538" s="1170">
        <v>8298541</v>
      </c>
      <c r="NOU538" s="1170">
        <v>8298541</v>
      </c>
      <c r="NOV538" s="1170">
        <v>8298541</v>
      </c>
      <c r="NOW538" s="1170">
        <v>8298541</v>
      </c>
      <c r="NOX538" s="1170">
        <v>8298541</v>
      </c>
      <c r="NOY538" s="1170">
        <v>8298541</v>
      </c>
      <c r="NOZ538" s="1170">
        <v>8298541</v>
      </c>
      <c r="NPA538" s="1170">
        <v>8298541</v>
      </c>
      <c r="NPB538" s="1170">
        <v>8298541</v>
      </c>
      <c r="NPC538" s="1170">
        <v>8298541</v>
      </c>
      <c r="NPD538" s="1170">
        <v>8298541</v>
      </c>
      <c r="NPE538" s="1170">
        <v>8298541</v>
      </c>
      <c r="NPF538" s="1170">
        <v>8298541</v>
      </c>
      <c r="NPG538" s="1170">
        <v>8298541</v>
      </c>
      <c r="NPH538" s="1170">
        <v>8298541</v>
      </c>
      <c r="NPI538" s="1170">
        <v>8298541</v>
      </c>
      <c r="NPJ538" s="1170">
        <v>8298541</v>
      </c>
      <c r="NPK538" s="1170">
        <v>8298541</v>
      </c>
      <c r="NPL538" s="1170">
        <v>8298541</v>
      </c>
      <c r="NPM538" s="1170">
        <v>8298541</v>
      </c>
      <c r="NPN538" s="1170">
        <v>8298541</v>
      </c>
      <c r="NPO538" s="1170">
        <v>8298541</v>
      </c>
      <c r="NPP538" s="1170">
        <v>8298541</v>
      </c>
      <c r="NPQ538" s="1170">
        <v>8298541</v>
      </c>
      <c r="NPR538" s="1170">
        <v>8298541</v>
      </c>
      <c r="NPS538" s="1170">
        <v>8298541</v>
      </c>
      <c r="NPT538" s="1170">
        <v>8298541</v>
      </c>
      <c r="NPU538" s="1170">
        <v>8298541</v>
      </c>
      <c r="NPV538" s="1170">
        <v>8298541</v>
      </c>
      <c r="NPW538" s="1170">
        <v>8298541</v>
      </c>
      <c r="NPX538" s="1170">
        <v>8298541</v>
      </c>
      <c r="NPY538" s="1170">
        <v>8298541</v>
      </c>
      <c r="NPZ538" s="1170">
        <v>8298541</v>
      </c>
      <c r="NQA538" s="1170">
        <v>8298541</v>
      </c>
      <c r="NQB538" s="1170">
        <v>8298541</v>
      </c>
      <c r="NQC538" s="1170">
        <v>8298541</v>
      </c>
      <c r="NQD538" s="1170">
        <v>8298541</v>
      </c>
      <c r="NQE538" s="1170">
        <v>8298541</v>
      </c>
      <c r="NQF538" s="1170">
        <v>8298541</v>
      </c>
      <c r="NQG538" s="1170">
        <v>8298541</v>
      </c>
      <c r="NQH538" s="1170">
        <v>8298541</v>
      </c>
      <c r="NQI538" s="1170">
        <v>8298541</v>
      </c>
      <c r="NQJ538" s="1170">
        <v>8298541</v>
      </c>
      <c r="NQK538" s="1170">
        <v>8298541</v>
      </c>
      <c r="NQL538" s="1170">
        <v>8298541</v>
      </c>
      <c r="NQM538" s="1170">
        <v>8298541</v>
      </c>
      <c r="NQN538" s="1170">
        <v>8298541</v>
      </c>
      <c r="NQO538" s="1170">
        <v>8298541</v>
      </c>
      <c r="NQP538" s="1170">
        <v>8298541</v>
      </c>
      <c r="NQQ538" s="1170">
        <v>8298541</v>
      </c>
      <c r="NQR538" s="1170">
        <v>8298541</v>
      </c>
      <c r="NQS538" s="1170">
        <v>8298541</v>
      </c>
      <c r="NQT538" s="1170">
        <v>8298541</v>
      </c>
      <c r="NQU538" s="1170">
        <v>8298541</v>
      </c>
      <c r="NQV538" s="1170">
        <v>8298541</v>
      </c>
      <c r="NQW538" s="1170">
        <v>8298541</v>
      </c>
      <c r="NQX538" s="1170">
        <v>8298541</v>
      </c>
      <c r="NQY538" s="1170">
        <v>8298541</v>
      </c>
      <c r="NQZ538" s="1170">
        <v>8298541</v>
      </c>
      <c r="NRA538" s="1170">
        <v>8298541</v>
      </c>
      <c r="NRB538" s="1170">
        <v>8298541</v>
      </c>
      <c r="NRC538" s="1170">
        <v>8298541</v>
      </c>
      <c r="NRD538" s="1170">
        <v>8298541</v>
      </c>
      <c r="NRE538" s="1170">
        <v>8298541</v>
      </c>
      <c r="NRF538" s="1170">
        <v>8298541</v>
      </c>
      <c r="NRG538" s="1170">
        <v>8298541</v>
      </c>
      <c r="NRH538" s="1170">
        <v>8298541</v>
      </c>
      <c r="NRI538" s="1170">
        <v>8298541</v>
      </c>
      <c r="NRJ538" s="1170">
        <v>8298541</v>
      </c>
      <c r="NRK538" s="1170">
        <v>8298541</v>
      </c>
      <c r="NRL538" s="1170">
        <v>8298541</v>
      </c>
      <c r="NRM538" s="1170">
        <v>8298541</v>
      </c>
      <c r="NRN538" s="1170">
        <v>8298541</v>
      </c>
      <c r="NRO538" s="1170">
        <v>8298541</v>
      </c>
      <c r="NRP538" s="1170">
        <v>8298541</v>
      </c>
      <c r="NRQ538" s="1170">
        <v>8298541</v>
      </c>
      <c r="NRR538" s="1170">
        <v>8298541</v>
      </c>
      <c r="NRS538" s="1170">
        <v>8298541</v>
      </c>
      <c r="NRT538" s="1170">
        <v>8298541</v>
      </c>
      <c r="NRU538" s="1170">
        <v>8298541</v>
      </c>
      <c r="NRV538" s="1170">
        <v>8298541</v>
      </c>
      <c r="NRW538" s="1170">
        <v>8298541</v>
      </c>
      <c r="NRX538" s="1170">
        <v>8298541</v>
      </c>
      <c r="NRY538" s="1170">
        <v>8298541</v>
      </c>
      <c r="NRZ538" s="1170">
        <v>8298541</v>
      </c>
      <c r="NSA538" s="1170">
        <v>8298541</v>
      </c>
      <c r="NSB538" s="1170">
        <v>8298541</v>
      </c>
      <c r="NSC538" s="1170">
        <v>8298541</v>
      </c>
      <c r="NSD538" s="1170">
        <v>8298541</v>
      </c>
      <c r="NSE538" s="1170">
        <v>8298541</v>
      </c>
      <c r="NSF538" s="1170">
        <v>8298541</v>
      </c>
      <c r="NSG538" s="1170">
        <v>8298541</v>
      </c>
      <c r="NSH538" s="1170">
        <v>8298541</v>
      </c>
      <c r="NSI538" s="1170">
        <v>8298541</v>
      </c>
      <c r="NSJ538" s="1170">
        <v>8298541</v>
      </c>
      <c r="NSK538" s="1170">
        <v>8298541</v>
      </c>
      <c r="NSL538" s="1170">
        <v>8298541</v>
      </c>
      <c r="NSM538" s="1170">
        <v>8298541</v>
      </c>
      <c r="NSN538" s="1170">
        <v>8298541</v>
      </c>
      <c r="NSO538" s="1170">
        <v>8298541</v>
      </c>
      <c r="NSP538" s="1170">
        <v>8298541</v>
      </c>
      <c r="NSQ538" s="1170">
        <v>8298541</v>
      </c>
      <c r="NSR538" s="1170">
        <v>8298541</v>
      </c>
      <c r="NSS538" s="1170">
        <v>8298541</v>
      </c>
      <c r="NST538" s="1170">
        <v>8298541</v>
      </c>
      <c r="NSU538" s="1170">
        <v>8298541</v>
      </c>
      <c r="NSV538" s="1170">
        <v>8298541</v>
      </c>
      <c r="NSW538" s="1170">
        <v>8298541</v>
      </c>
      <c r="NSX538" s="1170">
        <v>8298541</v>
      </c>
      <c r="NSY538" s="1170">
        <v>8298541</v>
      </c>
      <c r="NSZ538" s="1170">
        <v>8298541</v>
      </c>
      <c r="NTA538" s="1170">
        <v>8298541</v>
      </c>
      <c r="NTB538" s="1170">
        <v>8298541</v>
      </c>
      <c r="NTC538" s="1170">
        <v>8298541</v>
      </c>
      <c r="NTD538" s="1170">
        <v>8298541</v>
      </c>
      <c r="NTE538" s="1170">
        <v>8298541</v>
      </c>
      <c r="NTF538" s="1170">
        <v>8298541</v>
      </c>
      <c r="NTG538" s="1170">
        <v>8298541</v>
      </c>
      <c r="NTH538" s="1170">
        <v>8298541</v>
      </c>
      <c r="NTI538" s="1170">
        <v>8298541</v>
      </c>
      <c r="NTJ538" s="1170">
        <v>8298541</v>
      </c>
      <c r="NTK538" s="1170">
        <v>8298541</v>
      </c>
      <c r="NTL538" s="1170">
        <v>8298541</v>
      </c>
      <c r="NTM538" s="1170">
        <v>8298541</v>
      </c>
      <c r="NTN538" s="1170">
        <v>8298541</v>
      </c>
      <c r="NTO538" s="1170">
        <v>8298541</v>
      </c>
      <c r="NTP538" s="1170">
        <v>8298541</v>
      </c>
      <c r="NTQ538" s="1170">
        <v>8298541</v>
      </c>
      <c r="NTR538" s="1170">
        <v>8298541</v>
      </c>
      <c r="NTS538" s="1170">
        <v>8298541</v>
      </c>
      <c r="NTT538" s="1170">
        <v>8298541</v>
      </c>
      <c r="NTU538" s="1170">
        <v>8298541</v>
      </c>
      <c r="NTV538" s="1170">
        <v>8298541</v>
      </c>
      <c r="NTW538" s="1170">
        <v>8298541</v>
      </c>
      <c r="NTX538" s="1170">
        <v>8298541</v>
      </c>
      <c r="NTY538" s="1170">
        <v>8298541</v>
      </c>
      <c r="NTZ538" s="1170">
        <v>8298541</v>
      </c>
      <c r="NUA538" s="1170">
        <v>8298541</v>
      </c>
      <c r="NUB538" s="1170">
        <v>8298541</v>
      </c>
      <c r="NUC538" s="1170">
        <v>8298541</v>
      </c>
      <c r="NUD538" s="1170">
        <v>8298541</v>
      </c>
      <c r="NUE538" s="1170">
        <v>8298541</v>
      </c>
      <c r="NUF538" s="1170">
        <v>8298541</v>
      </c>
      <c r="NUG538" s="1170">
        <v>8298541</v>
      </c>
      <c r="NUH538" s="1170">
        <v>8298541</v>
      </c>
      <c r="NUI538" s="1170">
        <v>8298541</v>
      </c>
      <c r="NUJ538" s="1170">
        <v>8298541</v>
      </c>
      <c r="NUK538" s="1170">
        <v>8298541</v>
      </c>
      <c r="NUL538" s="1170">
        <v>8298541</v>
      </c>
      <c r="NUM538" s="1170">
        <v>8298541</v>
      </c>
      <c r="NUN538" s="1170">
        <v>8298541</v>
      </c>
      <c r="NUO538" s="1170">
        <v>8298541</v>
      </c>
      <c r="NUP538" s="1170">
        <v>8298541</v>
      </c>
      <c r="NUQ538" s="1170">
        <v>8298541</v>
      </c>
      <c r="NUR538" s="1170">
        <v>8298541</v>
      </c>
      <c r="NUS538" s="1170">
        <v>8298541</v>
      </c>
      <c r="NUT538" s="1170">
        <v>8298541</v>
      </c>
      <c r="NUU538" s="1170">
        <v>8298541</v>
      </c>
      <c r="NUV538" s="1170">
        <v>8298541</v>
      </c>
      <c r="NUW538" s="1170">
        <v>8298541</v>
      </c>
      <c r="NUX538" s="1170">
        <v>8298541</v>
      </c>
      <c r="NUY538" s="1170">
        <v>8298541</v>
      </c>
      <c r="NUZ538" s="1170">
        <v>8298541</v>
      </c>
      <c r="NVA538" s="1170">
        <v>8298541</v>
      </c>
      <c r="NVB538" s="1170">
        <v>8298541</v>
      </c>
      <c r="NVC538" s="1170">
        <v>8298541</v>
      </c>
      <c r="NVD538" s="1170">
        <v>8298541</v>
      </c>
      <c r="NVE538" s="1170">
        <v>8298541</v>
      </c>
      <c r="NVF538" s="1170">
        <v>8298541</v>
      </c>
      <c r="NVG538" s="1170">
        <v>8298541</v>
      </c>
      <c r="NVH538" s="1170">
        <v>8298541</v>
      </c>
      <c r="NVI538" s="1170">
        <v>8298541</v>
      </c>
      <c r="NVJ538" s="1170">
        <v>8298541</v>
      </c>
      <c r="NVK538" s="1170">
        <v>8298541</v>
      </c>
      <c r="NVL538" s="1170">
        <v>8298541</v>
      </c>
      <c r="NVM538" s="1170">
        <v>8298541</v>
      </c>
      <c r="NVN538" s="1170">
        <v>8298541</v>
      </c>
      <c r="NVO538" s="1170">
        <v>8298541</v>
      </c>
      <c r="NVP538" s="1170">
        <v>8298541</v>
      </c>
      <c r="NVQ538" s="1170">
        <v>8298541</v>
      </c>
      <c r="NVR538" s="1170">
        <v>8298541</v>
      </c>
      <c r="NVS538" s="1170">
        <v>8298541</v>
      </c>
      <c r="NVT538" s="1170">
        <v>8298541</v>
      </c>
      <c r="NVU538" s="1170">
        <v>8298541</v>
      </c>
      <c r="NVV538" s="1170">
        <v>8298541</v>
      </c>
      <c r="NVW538" s="1170">
        <v>8298541</v>
      </c>
      <c r="NVX538" s="1170">
        <v>8298541</v>
      </c>
      <c r="NVY538" s="1170">
        <v>8298541</v>
      </c>
      <c r="NVZ538" s="1170">
        <v>8298541</v>
      </c>
      <c r="NWA538" s="1170">
        <v>8298541</v>
      </c>
      <c r="NWB538" s="1170">
        <v>8298541</v>
      </c>
      <c r="NWC538" s="1170">
        <v>8298541</v>
      </c>
      <c r="NWD538" s="1170">
        <v>8298541</v>
      </c>
      <c r="NWE538" s="1170">
        <v>8298541</v>
      </c>
      <c r="NWF538" s="1170">
        <v>8298541</v>
      </c>
      <c r="NWG538" s="1170">
        <v>8298541</v>
      </c>
      <c r="NWH538" s="1170">
        <v>8298541</v>
      </c>
      <c r="NWI538" s="1170">
        <v>8298541</v>
      </c>
      <c r="NWJ538" s="1170">
        <v>8298541</v>
      </c>
      <c r="NWK538" s="1170">
        <v>8298541</v>
      </c>
      <c r="NWL538" s="1170">
        <v>8298541</v>
      </c>
      <c r="NWM538" s="1170">
        <v>8298541</v>
      </c>
      <c r="NWN538" s="1170">
        <v>8298541</v>
      </c>
      <c r="NWO538" s="1170">
        <v>8298541</v>
      </c>
      <c r="NWP538" s="1170">
        <v>8298541</v>
      </c>
      <c r="NWQ538" s="1170">
        <v>8298541</v>
      </c>
      <c r="NWR538" s="1170">
        <v>8298541</v>
      </c>
      <c r="NWS538" s="1170">
        <v>8298541</v>
      </c>
      <c r="NWT538" s="1170">
        <v>8298541</v>
      </c>
      <c r="NWU538" s="1170">
        <v>8298541</v>
      </c>
      <c r="NWV538" s="1170">
        <v>8298541</v>
      </c>
      <c r="NWW538" s="1170">
        <v>8298541</v>
      </c>
      <c r="NWX538" s="1170">
        <v>8298541</v>
      </c>
      <c r="NWY538" s="1170">
        <v>8298541</v>
      </c>
      <c r="NWZ538" s="1170">
        <v>8298541</v>
      </c>
      <c r="NXA538" s="1170">
        <v>8298541</v>
      </c>
      <c r="NXB538" s="1170">
        <v>8298541</v>
      </c>
      <c r="NXC538" s="1170">
        <v>8298541</v>
      </c>
      <c r="NXD538" s="1170">
        <v>8298541</v>
      </c>
      <c r="NXE538" s="1170">
        <v>8298541</v>
      </c>
      <c r="NXF538" s="1170">
        <v>8298541</v>
      </c>
      <c r="NXG538" s="1170">
        <v>8298541</v>
      </c>
      <c r="NXH538" s="1170">
        <v>8298541</v>
      </c>
      <c r="NXI538" s="1170">
        <v>8298541</v>
      </c>
      <c r="NXJ538" s="1170">
        <v>8298541</v>
      </c>
      <c r="NXK538" s="1170">
        <v>8298541</v>
      </c>
      <c r="NXL538" s="1170">
        <v>8298541</v>
      </c>
      <c r="NXM538" s="1170">
        <v>8298541</v>
      </c>
      <c r="NXN538" s="1170">
        <v>8298541</v>
      </c>
      <c r="NXO538" s="1170">
        <v>8298541</v>
      </c>
      <c r="NXP538" s="1170">
        <v>8298541</v>
      </c>
      <c r="NXQ538" s="1170">
        <v>8298541</v>
      </c>
      <c r="NXR538" s="1170">
        <v>8298541</v>
      </c>
      <c r="NXS538" s="1170">
        <v>8298541</v>
      </c>
      <c r="NXT538" s="1170">
        <v>8298541</v>
      </c>
      <c r="NXU538" s="1170">
        <v>8298541</v>
      </c>
      <c r="NXV538" s="1170">
        <v>8298541</v>
      </c>
      <c r="NXW538" s="1170">
        <v>8298541</v>
      </c>
      <c r="NXX538" s="1170">
        <v>8298541</v>
      </c>
      <c r="NXY538" s="1170">
        <v>8298541</v>
      </c>
      <c r="NXZ538" s="1170">
        <v>8298541</v>
      </c>
      <c r="NYA538" s="1170">
        <v>8298541</v>
      </c>
      <c r="NYB538" s="1170">
        <v>8298541</v>
      </c>
      <c r="NYC538" s="1170">
        <v>8298541</v>
      </c>
      <c r="NYD538" s="1170">
        <v>8298541</v>
      </c>
      <c r="NYE538" s="1170">
        <v>8298541</v>
      </c>
      <c r="NYF538" s="1170">
        <v>8298541</v>
      </c>
      <c r="NYG538" s="1170">
        <v>8298541</v>
      </c>
      <c r="NYH538" s="1170">
        <v>8298541</v>
      </c>
      <c r="NYI538" s="1170">
        <v>8298541</v>
      </c>
      <c r="NYJ538" s="1170">
        <v>8298541</v>
      </c>
      <c r="NYK538" s="1170">
        <v>8298541</v>
      </c>
      <c r="NYL538" s="1170">
        <v>8298541</v>
      </c>
      <c r="NYM538" s="1170">
        <v>8298541</v>
      </c>
      <c r="NYN538" s="1170">
        <v>8298541</v>
      </c>
      <c r="NYO538" s="1170">
        <v>8298541</v>
      </c>
      <c r="NYP538" s="1170">
        <v>8298541</v>
      </c>
      <c r="NYQ538" s="1170">
        <v>8298541</v>
      </c>
      <c r="NYR538" s="1170">
        <v>8298541</v>
      </c>
      <c r="NYS538" s="1170">
        <v>8298541</v>
      </c>
      <c r="NYT538" s="1170">
        <v>8298541</v>
      </c>
      <c r="NYU538" s="1170">
        <v>8298541</v>
      </c>
      <c r="NYV538" s="1170">
        <v>8298541</v>
      </c>
      <c r="NYW538" s="1170">
        <v>8298541</v>
      </c>
      <c r="NYX538" s="1170">
        <v>8298541</v>
      </c>
      <c r="NYY538" s="1170">
        <v>8298541</v>
      </c>
      <c r="NYZ538" s="1170">
        <v>8298541</v>
      </c>
      <c r="NZA538" s="1170">
        <v>8298541</v>
      </c>
      <c r="NZB538" s="1170">
        <v>8298541</v>
      </c>
      <c r="NZC538" s="1170">
        <v>8298541</v>
      </c>
      <c r="NZD538" s="1170">
        <v>8298541</v>
      </c>
      <c r="NZE538" s="1170">
        <v>8298541</v>
      </c>
      <c r="NZF538" s="1170">
        <v>8298541</v>
      </c>
      <c r="NZG538" s="1170">
        <v>8298541</v>
      </c>
      <c r="NZH538" s="1170">
        <v>8298541</v>
      </c>
      <c r="NZI538" s="1170">
        <v>8298541</v>
      </c>
      <c r="NZJ538" s="1170">
        <v>8298541</v>
      </c>
      <c r="NZK538" s="1170">
        <v>8298541</v>
      </c>
      <c r="NZL538" s="1170">
        <v>8298541</v>
      </c>
      <c r="NZM538" s="1170">
        <v>8298541</v>
      </c>
      <c r="NZN538" s="1170">
        <v>8298541</v>
      </c>
      <c r="NZO538" s="1170">
        <v>8298541</v>
      </c>
      <c r="NZP538" s="1170">
        <v>8298541</v>
      </c>
      <c r="NZQ538" s="1170">
        <v>8298541</v>
      </c>
      <c r="NZR538" s="1170">
        <v>8298541</v>
      </c>
      <c r="NZS538" s="1170">
        <v>8298541</v>
      </c>
      <c r="NZT538" s="1170">
        <v>8298541</v>
      </c>
      <c r="NZU538" s="1170">
        <v>8298541</v>
      </c>
      <c r="NZV538" s="1170">
        <v>8298541</v>
      </c>
      <c r="NZW538" s="1170">
        <v>8298541</v>
      </c>
      <c r="NZX538" s="1170">
        <v>8298541</v>
      </c>
      <c r="NZY538" s="1170">
        <v>8298541</v>
      </c>
      <c r="NZZ538" s="1170">
        <v>8298541</v>
      </c>
      <c r="OAA538" s="1170">
        <v>8298541</v>
      </c>
      <c r="OAB538" s="1170">
        <v>8298541</v>
      </c>
      <c r="OAC538" s="1170">
        <v>8298541</v>
      </c>
      <c r="OAD538" s="1170">
        <v>8298541</v>
      </c>
      <c r="OAE538" s="1170">
        <v>8298541</v>
      </c>
      <c r="OAF538" s="1170">
        <v>8298541</v>
      </c>
      <c r="OAG538" s="1170">
        <v>8298541</v>
      </c>
      <c r="OAH538" s="1170">
        <v>8298541</v>
      </c>
      <c r="OAI538" s="1170">
        <v>8298541</v>
      </c>
      <c r="OAJ538" s="1170">
        <v>8298541</v>
      </c>
      <c r="OAK538" s="1170">
        <v>8298541</v>
      </c>
      <c r="OAL538" s="1170">
        <v>8298541</v>
      </c>
      <c r="OAM538" s="1170">
        <v>8298541</v>
      </c>
      <c r="OAN538" s="1170">
        <v>8298541</v>
      </c>
      <c r="OAO538" s="1170">
        <v>8298541</v>
      </c>
      <c r="OAP538" s="1170">
        <v>8298541</v>
      </c>
      <c r="OAQ538" s="1170">
        <v>8298541</v>
      </c>
      <c r="OAR538" s="1170">
        <v>8298541</v>
      </c>
      <c r="OAS538" s="1170">
        <v>8298541</v>
      </c>
      <c r="OAT538" s="1170">
        <v>8298541</v>
      </c>
      <c r="OAU538" s="1170">
        <v>8298541</v>
      </c>
      <c r="OAV538" s="1170">
        <v>8298541</v>
      </c>
      <c r="OAW538" s="1170">
        <v>8298541</v>
      </c>
      <c r="OAX538" s="1170">
        <v>8298541</v>
      </c>
      <c r="OAY538" s="1170">
        <v>8298541</v>
      </c>
      <c r="OAZ538" s="1170">
        <v>8298541</v>
      </c>
      <c r="OBA538" s="1170">
        <v>8298541</v>
      </c>
      <c r="OBB538" s="1170">
        <v>8298541</v>
      </c>
      <c r="OBC538" s="1170">
        <v>8298541</v>
      </c>
      <c r="OBD538" s="1170">
        <v>8298541</v>
      </c>
      <c r="OBE538" s="1170">
        <v>8298541</v>
      </c>
      <c r="OBF538" s="1170">
        <v>8298541</v>
      </c>
      <c r="OBG538" s="1170">
        <v>8298541</v>
      </c>
      <c r="OBH538" s="1170">
        <v>8298541</v>
      </c>
      <c r="OBI538" s="1170">
        <v>8298541</v>
      </c>
      <c r="OBJ538" s="1170">
        <v>8298541</v>
      </c>
      <c r="OBK538" s="1170">
        <v>8298541</v>
      </c>
      <c r="OBL538" s="1170">
        <v>8298541</v>
      </c>
      <c r="OBM538" s="1170">
        <v>8298541</v>
      </c>
      <c r="OBN538" s="1170">
        <v>8298541</v>
      </c>
      <c r="OBO538" s="1170">
        <v>8298541</v>
      </c>
      <c r="OBP538" s="1170">
        <v>8298541</v>
      </c>
      <c r="OBQ538" s="1170">
        <v>8298541</v>
      </c>
      <c r="OBR538" s="1170">
        <v>8298541</v>
      </c>
      <c r="OBS538" s="1170">
        <v>8298541</v>
      </c>
      <c r="OBT538" s="1170">
        <v>8298541</v>
      </c>
      <c r="OBU538" s="1170">
        <v>8298541</v>
      </c>
      <c r="OBV538" s="1170">
        <v>8298541</v>
      </c>
      <c r="OBW538" s="1170">
        <v>8298541</v>
      </c>
      <c r="OBX538" s="1170">
        <v>8298541</v>
      </c>
      <c r="OBY538" s="1170">
        <v>8298541</v>
      </c>
      <c r="OBZ538" s="1170">
        <v>8298541</v>
      </c>
      <c r="OCA538" s="1170">
        <v>8298541</v>
      </c>
      <c r="OCB538" s="1170">
        <v>8298541</v>
      </c>
      <c r="OCC538" s="1170">
        <v>8298541</v>
      </c>
      <c r="OCD538" s="1170">
        <v>8298541</v>
      </c>
      <c r="OCE538" s="1170">
        <v>8298541</v>
      </c>
      <c r="OCF538" s="1170">
        <v>8298541</v>
      </c>
      <c r="OCG538" s="1170">
        <v>8298541</v>
      </c>
      <c r="OCH538" s="1170">
        <v>8298541</v>
      </c>
      <c r="OCI538" s="1170">
        <v>8298541</v>
      </c>
      <c r="OCJ538" s="1170">
        <v>8298541</v>
      </c>
      <c r="OCK538" s="1170">
        <v>8298541</v>
      </c>
      <c r="OCL538" s="1170">
        <v>8298541</v>
      </c>
      <c r="OCM538" s="1170">
        <v>8298541</v>
      </c>
      <c r="OCN538" s="1170">
        <v>8298541</v>
      </c>
      <c r="OCO538" s="1170">
        <v>8298541</v>
      </c>
      <c r="OCP538" s="1170">
        <v>8298541</v>
      </c>
      <c r="OCQ538" s="1170">
        <v>8298541</v>
      </c>
      <c r="OCR538" s="1170">
        <v>8298541</v>
      </c>
      <c r="OCS538" s="1170">
        <v>8298541</v>
      </c>
      <c r="OCT538" s="1170">
        <v>8298541</v>
      </c>
      <c r="OCU538" s="1170">
        <v>8298541</v>
      </c>
      <c r="OCV538" s="1170">
        <v>8298541</v>
      </c>
      <c r="OCW538" s="1170">
        <v>8298541</v>
      </c>
      <c r="OCX538" s="1170">
        <v>8298541</v>
      </c>
      <c r="OCY538" s="1170">
        <v>8298541</v>
      </c>
      <c r="OCZ538" s="1170">
        <v>8298541</v>
      </c>
      <c r="ODA538" s="1170">
        <v>8298541</v>
      </c>
      <c r="ODB538" s="1170">
        <v>8298541</v>
      </c>
      <c r="ODC538" s="1170">
        <v>8298541</v>
      </c>
      <c r="ODD538" s="1170">
        <v>8298541</v>
      </c>
      <c r="ODE538" s="1170">
        <v>8298541</v>
      </c>
      <c r="ODF538" s="1170">
        <v>8298541</v>
      </c>
      <c r="ODG538" s="1170">
        <v>8298541</v>
      </c>
      <c r="ODH538" s="1170">
        <v>8298541</v>
      </c>
      <c r="ODI538" s="1170">
        <v>8298541</v>
      </c>
      <c r="ODJ538" s="1170">
        <v>8298541</v>
      </c>
      <c r="ODK538" s="1170">
        <v>8298541</v>
      </c>
      <c r="ODL538" s="1170">
        <v>8298541</v>
      </c>
      <c r="ODM538" s="1170">
        <v>8298541</v>
      </c>
      <c r="ODN538" s="1170">
        <v>8298541</v>
      </c>
      <c r="ODO538" s="1170">
        <v>8298541</v>
      </c>
      <c r="ODP538" s="1170">
        <v>8298541</v>
      </c>
      <c r="ODQ538" s="1170">
        <v>8298541</v>
      </c>
      <c r="ODR538" s="1170">
        <v>8298541</v>
      </c>
      <c r="ODS538" s="1170">
        <v>8298541</v>
      </c>
      <c r="ODT538" s="1170">
        <v>8298541</v>
      </c>
      <c r="ODU538" s="1170">
        <v>8298541</v>
      </c>
      <c r="ODV538" s="1170">
        <v>8298541</v>
      </c>
      <c r="ODW538" s="1170">
        <v>8298541</v>
      </c>
      <c r="ODX538" s="1170">
        <v>8298541</v>
      </c>
      <c r="ODY538" s="1170">
        <v>8298541</v>
      </c>
      <c r="ODZ538" s="1170">
        <v>8298541</v>
      </c>
      <c r="OEA538" s="1170">
        <v>8298541</v>
      </c>
      <c r="OEB538" s="1170">
        <v>8298541</v>
      </c>
      <c r="OEC538" s="1170">
        <v>8298541</v>
      </c>
      <c r="OED538" s="1170">
        <v>8298541</v>
      </c>
      <c r="OEE538" s="1170">
        <v>8298541</v>
      </c>
      <c r="OEF538" s="1170">
        <v>8298541</v>
      </c>
      <c r="OEG538" s="1170">
        <v>8298541</v>
      </c>
      <c r="OEH538" s="1170">
        <v>8298541</v>
      </c>
      <c r="OEI538" s="1170">
        <v>8298541</v>
      </c>
      <c r="OEJ538" s="1170">
        <v>8298541</v>
      </c>
      <c r="OEK538" s="1170">
        <v>8298541</v>
      </c>
      <c r="OEL538" s="1170">
        <v>8298541</v>
      </c>
      <c r="OEM538" s="1170">
        <v>8298541</v>
      </c>
      <c r="OEN538" s="1170">
        <v>8298541</v>
      </c>
      <c r="OEO538" s="1170">
        <v>8298541</v>
      </c>
      <c r="OEP538" s="1170">
        <v>8298541</v>
      </c>
      <c r="OEQ538" s="1170">
        <v>8298541</v>
      </c>
      <c r="OER538" s="1170">
        <v>8298541</v>
      </c>
      <c r="OES538" s="1170">
        <v>8298541</v>
      </c>
      <c r="OET538" s="1170">
        <v>8298541</v>
      </c>
      <c r="OEU538" s="1170">
        <v>8298541</v>
      </c>
      <c r="OEV538" s="1170">
        <v>8298541</v>
      </c>
      <c r="OEW538" s="1170">
        <v>8298541</v>
      </c>
      <c r="OEX538" s="1170">
        <v>8298541</v>
      </c>
      <c r="OEY538" s="1170">
        <v>8298541</v>
      </c>
      <c r="OEZ538" s="1170">
        <v>8298541</v>
      </c>
      <c r="OFA538" s="1170">
        <v>8298541</v>
      </c>
      <c r="OFB538" s="1170">
        <v>8298541</v>
      </c>
      <c r="OFC538" s="1170">
        <v>8298541</v>
      </c>
      <c r="OFD538" s="1170">
        <v>8298541</v>
      </c>
      <c r="OFE538" s="1170">
        <v>8298541</v>
      </c>
      <c r="OFF538" s="1170">
        <v>8298541</v>
      </c>
      <c r="OFG538" s="1170">
        <v>8298541</v>
      </c>
      <c r="OFH538" s="1170">
        <v>8298541</v>
      </c>
      <c r="OFI538" s="1170">
        <v>8298541</v>
      </c>
      <c r="OFJ538" s="1170">
        <v>8298541</v>
      </c>
      <c r="OFK538" s="1170">
        <v>8298541</v>
      </c>
      <c r="OFL538" s="1170">
        <v>8298541</v>
      </c>
      <c r="OFM538" s="1170">
        <v>8298541</v>
      </c>
      <c r="OFN538" s="1170">
        <v>8298541</v>
      </c>
      <c r="OFO538" s="1170">
        <v>8298541</v>
      </c>
      <c r="OFP538" s="1170">
        <v>8298541</v>
      </c>
      <c r="OFQ538" s="1170">
        <v>8298541</v>
      </c>
      <c r="OFR538" s="1170">
        <v>8298541</v>
      </c>
      <c r="OFS538" s="1170">
        <v>8298541</v>
      </c>
      <c r="OFT538" s="1170">
        <v>8298541</v>
      </c>
      <c r="OFU538" s="1170">
        <v>8298541</v>
      </c>
      <c r="OFV538" s="1170">
        <v>8298541</v>
      </c>
      <c r="OFW538" s="1170">
        <v>8298541</v>
      </c>
      <c r="OFX538" s="1170">
        <v>8298541</v>
      </c>
      <c r="OFY538" s="1170">
        <v>8298541</v>
      </c>
      <c r="OFZ538" s="1170">
        <v>8298541</v>
      </c>
      <c r="OGA538" s="1170">
        <v>8298541</v>
      </c>
      <c r="OGB538" s="1170">
        <v>8298541</v>
      </c>
      <c r="OGC538" s="1170">
        <v>8298541</v>
      </c>
      <c r="OGD538" s="1170">
        <v>8298541</v>
      </c>
      <c r="OGE538" s="1170">
        <v>8298541</v>
      </c>
      <c r="OGF538" s="1170">
        <v>8298541</v>
      </c>
      <c r="OGG538" s="1170">
        <v>8298541</v>
      </c>
      <c r="OGH538" s="1170">
        <v>8298541</v>
      </c>
      <c r="OGI538" s="1170">
        <v>8298541</v>
      </c>
      <c r="OGJ538" s="1170">
        <v>8298541</v>
      </c>
      <c r="OGK538" s="1170">
        <v>8298541</v>
      </c>
      <c r="OGL538" s="1170">
        <v>8298541</v>
      </c>
      <c r="OGM538" s="1170">
        <v>8298541</v>
      </c>
      <c r="OGN538" s="1170">
        <v>8298541</v>
      </c>
      <c r="OGO538" s="1170">
        <v>8298541</v>
      </c>
      <c r="OGP538" s="1170">
        <v>8298541</v>
      </c>
      <c r="OGQ538" s="1170">
        <v>8298541</v>
      </c>
      <c r="OGR538" s="1170">
        <v>8298541</v>
      </c>
      <c r="OGS538" s="1170">
        <v>8298541</v>
      </c>
      <c r="OGT538" s="1170">
        <v>8298541</v>
      </c>
      <c r="OGU538" s="1170">
        <v>8298541</v>
      </c>
      <c r="OGV538" s="1170">
        <v>8298541</v>
      </c>
      <c r="OGW538" s="1170">
        <v>8298541</v>
      </c>
      <c r="OGX538" s="1170">
        <v>8298541</v>
      </c>
      <c r="OGY538" s="1170">
        <v>8298541</v>
      </c>
      <c r="OGZ538" s="1170">
        <v>8298541</v>
      </c>
      <c r="OHA538" s="1170">
        <v>8298541</v>
      </c>
      <c r="OHB538" s="1170">
        <v>8298541</v>
      </c>
      <c r="OHC538" s="1170">
        <v>8298541</v>
      </c>
      <c r="OHD538" s="1170">
        <v>8298541</v>
      </c>
      <c r="OHE538" s="1170">
        <v>8298541</v>
      </c>
      <c r="OHF538" s="1170">
        <v>8298541</v>
      </c>
      <c r="OHG538" s="1170">
        <v>8298541</v>
      </c>
      <c r="OHH538" s="1170">
        <v>8298541</v>
      </c>
      <c r="OHI538" s="1170">
        <v>8298541</v>
      </c>
      <c r="OHJ538" s="1170">
        <v>8298541</v>
      </c>
      <c r="OHK538" s="1170">
        <v>8298541</v>
      </c>
      <c r="OHL538" s="1170">
        <v>8298541</v>
      </c>
      <c r="OHM538" s="1170">
        <v>8298541</v>
      </c>
      <c r="OHN538" s="1170">
        <v>8298541</v>
      </c>
      <c r="OHO538" s="1170">
        <v>8298541</v>
      </c>
      <c r="OHP538" s="1170">
        <v>8298541</v>
      </c>
      <c r="OHQ538" s="1170">
        <v>8298541</v>
      </c>
      <c r="OHR538" s="1170">
        <v>8298541</v>
      </c>
      <c r="OHS538" s="1170">
        <v>8298541</v>
      </c>
      <c r="OHT538" s="1170">
        <v>8298541</v>
      </c>
      <c r="OHU538" s="1170">
        <v>8298541</v>
      </c>
      <c r="OHV538" s="1170">
        <v>8298541</v>
      </c>
      <c r="OHW538" s="1170">
        <v>8298541</v>
      </c>
      <c r="OHX538" s="1170">
        <v>8298541</v>
      </c>
      <c r="OHY538" s="1170">
        <v>8298541</v>
      </c>
      <c r="OHZ538" s="1170">
        <v>8298541</v>
      </c>
      <c r="OIA538" s="1170">
        <v>8298541</v>
      </c>
      <c r="OIB538" s="1170">
        <v>8298541</v>
      </c>
      <c r="OIC538" s="1170">
        <v>8298541</v>
      </c>
      <c r="OID538" s="1170">
        <v>8298541</v>
      </c>
      <c r="OIE538" s="1170">
        <v>8298541</v>
      </c>
      <c r="OIF538" s="1170">
        <v>8298541</v>
      </c>
      <c r="OIG538" s="1170">
        <v>8298541</v>
      </c>
      <c r="OIH538" s="1170">
        <v>8298541</v>
      </c>
      <c r="OII538" s="1170">
        <v>8298541</v>
      </c>
      <c r="OIJ538" s="1170">
        <v>8298541</v>
      </c>
      <c r="OIK538" s="1170">
        <v>8298541</v>
      </c>
      <c r="OIL538" s="1170">
        <v>8298541</v>
      </c>
      <c r="OIM538" s="1170">
        <v>8298541</v>
      </c>
      <c r="OIN538" s="1170">
        <v>8298541</v>
      </c>
      <c r="OIO538" s="1170">
        <v>8298541</v>
      </c>
      <c r="OIP538" s="1170">
        <v>8298541</v>
      </c>
      <c r="OIQ538" s="1170">
        <v>8298541</v>
      </c>
      <c r="OIR538" s="1170">
        <v>8298541</v>
      </c>
      <c r="OIS538" s="1170">
        <v>8298541</v>
      </c>
      <c r="OIT538" s="1170">
        <v>8298541</v>
      </c>
      <c r="OIU538" s="1170">
        <v>8298541</v>
      </c>
      <c r="OIV538" s="1170">
        <v>8298541</v>
      </c>
      <c r="OIW538" s="1170">
        <v>8298541</v>
      </c>
      <c r="OIX538" s="1170">
        <v>8298541</v>
      </c>
      <c r="OIY538" s="1170">
        <v>8298541</v>
      </c>
      <c r="OIZ538" s="1170">
        <v>8298541</v>
      </c>
      <c r="OJA538" s="1170">
        <v>8298541</v>
      </c>
      <c r="OJB538" s="1170">
        <v>8298541</v>
      </c>
      <c r="OJC538" s="1170">
        <v>8298541</v>
      </c>
      <c r="OJD538" s="1170">
        <v>8298541</v>
      </c>
      <c r="OJE538" s="1170">
        <v>8298541</v>
      </c>
      <c r="OJF538" s="1170">
        <v>8298541</v>
      </c>
      <c r="OJG538" s="1170">
        <v>8298541</v>
      </c>
      <c r="OJH538" s="1170">
        <v>8298541</v>
      </c>
      <c r="OJI538" s="1170">
        <v>8298541</v>
      </c>
      <c r="OJJ538" s="1170">
        <v>8298541</v>
      </c>
      <c r="OJK538" s="1170">
        <v>8298541</v>
      </c>
      <c r="OJL538" s="1170">
        <v>8298541</v>
      </c>
      <c r="OJM538" s="1170">
        <v>8298541</v>
      </c>
      <c r="OJN538" s="1170">
        <v>8298541</v>
      </c>
      <c r="OJO538" s="1170">
        <v>8298541</v>
      </c>
      <c r="OJP538" s="1170">
        <v>8298541</v>
      </c>
      <c r="OJQ538" s="1170">
        <v>8298541</v>
      </c>
      <c r="OJR538" s="1170">
        <v>8298541</v>
      </c>
      <c r="OJS538" s="1170">
        <v>8298541</v>
      </c>
      <c r="OJT538" s="1170">
        <v>8298541</v>
      </c>
      <c r="OJU538" s="1170">
        <v>8298541</v>
      </c>
      <c r="OJV538" s="1170">
        <v>8298541</v>
      </c>
      <c r="OJW538" s="1170">
        <v>8298541</v>
      </c>
      <c r="OJX538" s="1170">
        <v>8298541</v>
      </c>
      <c r="OJY538" s="1170">
        <v>8298541</v>
      </c>
      <c r="OJZ538" s="1170">
        <v>8298541</v>
      </c>
      <c r="OKA538" s="1170">
        <v>8298541</v>
      </c>
      <c r="OKB538" s="1170">
        <v>8298541</v>
      </c>
      <c r="OKC538" s="1170">
        <v>8298541</v>
      </c>
      <c r="OKD538" s="1170">
        <v>8298541</v>
      </c>
      <c r="OKE538" s="1170">
        <v>8298541</v>
      </c>
      <c r="OKF538" s="1170">
        <v>8298541</v>
      </c>
      <c r="OKG538" s="1170">
        <v>8298541</v>
      </c>
      <c r="OKH538" s="1170">
        <v>8298541</v>
      </c>
      <c r="OKI538" s="1170">
        <v>8298541</v>
      </c>
      <c r="OKJ538" s="1170">
        <v>8298541</v>
      </c>
      <c r="OKK538" s="1170">
        <v>8298541</v>
      </c>
      <c r="OKL538" s="1170">
        <v>8298541</v>
      </c>
      <c r="OKM538" s="1170">
        <v>8298541</v>
      </c>
      <c r="OKN538" s="1170">
        <v>8298541</v>
      </c>
      <c r="OKO538" s="1170">
        <v>8298541</v>
      </c>
      <c r="OKP538" s="1170">
        <v>8298541</v>
      </c>
      <c r="OKQ538" s="1170">
        <v>8298541</v>
      </c>
      <c r="OKR538" s="1170">
        <v>8298541</v>
      </c>
      <c r="OKS538" s="1170">
        <v>8298541</v>
      </c>
      <c r="OKT538" s="1170">
        <v>8298541</v>
      </c>
      <c r="OKU538" s="1170">
        <v>8298541</v>
      </c>
      <c r="OKV538" s="1170">
        <v>8298541</v>
      </c>
      <c r="OKW538" s="1170">
        <v>8298541</v>
      </c>
      <c r="OKX538" s="1170">
        <v>8298541</v>
      </c>
      <c r="OKY538" s="1170">
        <v>8298541</v>
      </c>
      <c r="OKZ538" s="1170">
        <v>8298541</v>
      </c>
      <c r="OLA538" s="1170">
        <v>8298541</v>
      </c>
      <c r="OLB538" s="1170">
        <v>8298541</v>
      </c>
      <c r="OLC538" s="1170">
        <v>8298541</v>
      </c>
      <c r="OLD538" s="1170">
        <v>8298541</v>
      </c>
      <c r="OLE538" s="1170">
        <v>8298541</v>
      </c>
      <c r="OLF538" s="1170">
        <v>8298541</v>
      </c>
      <c r="OLG538" s="1170">
        <v>8298541</v>
      </c>
      <c r="OLH538" s="1170">
        <v>8298541</v>
      </c>
      <c r="OLI538" s="1170">
        <v>8298541</v>
      </c>
      <c r="OLJ538" s="1170">
        <v>8298541</v>
      </c>
      <c r="OLK538" s="1170">
        <v>8298541</v>
      </c>
      <c r="OLL538" s="1170">
        <v>8298541</v>
      </c>
      <c r="OLM538" s="1170">
        <v>8298541</v>
      </c>
      <c r="OLN538" s="1170">
        <v>8298541</v>
      </c>
      <c r="OLO538" s="1170">
        <v>8298541</v>
      </c>
      <c r="OLP538" s="1170">
        <v>8298541</v>
      </c>
      <c r="OLQ538" s="1170">
        <v>8298541</v>
      </c>
      <c r="OLR538" s="1170">
        <v>8298541</v>
      </c>
      <c r="OLS538" s="1170">
        <v>8298541</v>
      </c>
      <c r="OLT538" s="1170">
        <v>8298541</v>
      </c>
      <c r="OLU538" s="1170">
        <v>8298541</v>
      </c>
      <c r="OLV538" s="1170">
        <v>8298541</v>
      </c>
      <c r="OLW538" s="1170">
        <v>8298541</v>
      </c>
      <c r="OLX538" s="1170">
        <v>8298541</v>
      </c>
      <c r="OLY538" s="1170">
        <v>8298541</v>
      </c>
      <c r="OLZ538" s="1170">
        <v>8298541</v>
      </c>
      <c r="OMA538" s="1170">
        <v>8298541</v>
      </c>
      <c r="OMB538" s="1170">
        <v>8298541</v>
      </c>
      <c r="OMC538" s="1170">
        <v>8298541</v>
      </c>
      <c r="OMD538" s="1170">
        <v>8298541</v>
      </c>
      <c r="OME538" s="1170">
        <v>8298541</v>
      </c>
      <c r="OMF538" s="1170">
        <v>8298541</v>
      </c>
      <c r="OMG538" s="1170">
        <v>8298541</v>
      </c>
      <c r="OMH538" s="1170">
        <v>8298541</v>
      </c>
      <c r="OMI538" s="1170">
        <v>8298541</v>
      </c>
      <c r="OMJ538" s="1170">
        <v>8298541</v>
      </c>
      <c r="OMK538" s="1170">
        <v>8298541</v>
      </c>
      <c r="OML538" s="1170">
        <v>8298541</v>
      </c>
      <c r="OMM538" s="1170">
        <v>8298541</v>
      </c>
      <c r="OMN538" s="1170">
        <v>8298541</v>
      </c>
      <c r="OMO538" s="1170">
        <v>8298541</v>
      </c>
      <c r="OMP538" s="1170">
        <v>8298541</v>
      </c>
      <c r="OMQ538" s="1170">
        <v>8298541</v>
      </c>
      <c r="OMR538" s="1170">
        <v>8298541</v>
      </c>
      <c r="OMS538" s="1170">
        <v>8298541</v>
      </c>
      <c r="OMT538" s="1170">
        <v>8298541</v>
      </c>
      <c r="OMU538" s="1170">
        <v>8298541</v>
      </c>
      <c r="OMV538" s="1170">
        <v>8298541</v>
      </c>
      <c r="OMW538" s="1170">
        <v>8298541</v>
      </c>
      <c r="OMX538" s="1170">
        <v>8298541</v>
      </c>
      <c r="OMY538" s="1170">
        <v>8298541</v>
      </c>
      <c r="OMZ538" s="1170">
        <v>8298541</v>
      </c>
      <c r="ONA538" s="1170">
        <v>8298541</v>
      </c>
      <c r="ONB538" s="1170">
        <v>8298541</v>
      </c>
      <c r="ONC538" s="1170">
        <v>8298541</v>
      </c>
      <c r="OND538" s="1170">
        <v>8298541</v>
      </c>
      <c r="ONE538" s="1170">
        <v>8298541</v>
      </c>
      <c r="ONF538" s="1170">
        <v>8298541</v>
      </c>
      <c r="ONG538" s="1170">
        <v>8298541</v>
      </c>
      <c r="ONH538" s="1170">
        <v>8298541</v>
      </c>
      <c r="ONI538" s="1170">
        <v>8298541</v>
      </c>
      <c r="ONJ538" s="1170">
        <v>8298541</v>
      </c>
      <c r="ONK538" s="1170">
        <v>8298541</v>
      </c>
      <c r="ONL538" s="1170">
        <v>8298541</v>
      </c>
      <c r="ONM538" s="1170">
        <v>8298541</v>
      </c>
      <c r="ONN538" s="1170">
        <v>8298541</v>
      </c>
      <c r="ONO538" s="1170">
        <v>8298541</v>
      </c>
      <c r="ONP538" s="1170">
        <v>8298541</v>
      </c>
      <c r="ONQ538" s="1170">
        <v>8298541</v>
      </c>
      <c r="ONR538" s="1170">
        <v>8298541</v>
      </c>
      <c r="ONS538" s="1170">
        <v>8298541</v>
      </c>
      <c r="ONT538" s="1170">
        <v>8298541</v>
      </c>
      <c r="ONU538" s="1170">
        <v>8298541</v>
      </c>
      <c r="ONV538" s="1170">
        <v>8298541</v>
      </c>
      <c r="ONW538" s="1170">
        <v>8298541</v>
      </c>
      <c r="ONX538" s="1170">
        <v>8298541</v>
      </c>
      <c r="ONY538" s="1170">
        <v>8298541</v>
      </c>
      <c r="ONZ538" s="1170">
        <v>8298541</v>
      </c>
      <c r="OOA538" s="1170">
        <v>8298541</v>
      </c>
      <c r="OOB538" s="1170">
        <v>8298541</v>
      </c>
      <c r="OOC538" s="1170">
        <v>8298541</v>
      </c>
      <c r="OOD538" s="1170">
        <v>8298541</v>
      </c>
      <c r="OOE538" s="1170">
        <v>8298541</v>
      </c>
      <c r="OOF538" s="1170">
        <v>8298541</v>
      </c>
      <c r="OOG538" s="1170">
        <v>8298541</v>
      </c>
      <c r="OOH538" s="1170">
        <v>8298541</v>
      </c>
      <c r="OOI538" s="1170">
        <v>8298541</v>
      </c>
      <c r="OOJ538" s="1170">
        <v>8298541</v>
      </c>
      <c r="OOK538" s="1170">
        <v>8298541</v>
      </c>
      <c r="OOL538" s="1170">
        <v>8298541</v>
      </c>
      <c r="OOM538" s="1170">
        <v>8298541</v>
      </c>
      <c r="OON538" s="1170">
        <v>8298541</v>
      </c>
      <c r="OOO538" s="1170">
        <v>8298541</v>
      </c>
      <c r="OOP538" s="1170">
        <v>8298541</v>
      </c>
      <c r="OOQ538" s="1170">
        <v>8298541</v>
      </c>
      <c r="OOR538" s="1170">
        <v>8298541</v>
      </c>
      <c r="OOS538" s="1170">
        <v>8298541</v>
      </c>
      <c r="OOT538" s="1170">
        <v>8298541</v>
      </c>
      <c r="OOU538" s="1170">
        <v>8298541</v>
      </c>
      <c r="OOV538" s="1170">
        <v>8298541</v>
      </c>
      <c r="OOW538" s="1170">
        <v>8298541</v>
      </c>
      <c r="OOX538" s="1170">
        <v>8298541</v>
      </c>
      <c r="OOY538" s="1170">
        <v>8298541</v>
      </c>
      <c r="OOZ538" s="1170">
        <v>8298541</v>
      </c>
      <c r="OPA538" s="1170">
        <v>8298541</v>
      </c>
      <c r="OPB538" s="1170">
        <v>8298541</v>
      </c>
      <c r="OPC538" s="1170">
        <v>8298541</v>
      </c>
      <c r="OPD538" s="1170">
        <v>8298541</v>
      </c>
      <c r="OPE538" s="1170">
        <v>8298541</v>
      </c>
      <c r="OPF538" s="1170">
        <v>8298541</v>
      </c>
      <c r="OPG538" s="1170">
        <v>8298541</v>
      </c>
      <c r="OPH538" s="1170">
        <v>8298541</v>
      </c>
      <c r="OPI538" s="1170">
        <v>8298541</v>
      </c>
      <c r="OPJ538" s="1170">
        <v>8298541</v>
      </c>
      <c r="OPK538" s="1170">
        <v>8298541</v>
      </c>
      <c r="OPL538" s="1170">
        <v>8298541</v>
      </c>
      <c r="OPM538" s="1170">
        <v>8298541</v>
      </c>
      <c r="OPN538" s="1170">
        <v>8298541</v>
      </c>
      <c r="OPO538" s="1170">
        <v>8298541</v>
      </c>
      <c r="OPP538" s="1170">
        <v>8298541</v>
      </c>
      <c r="OPQ538" s="1170">
        <v>8298541</v>
      </c>
      <c r="OPR538" s="1170">
        <v>8298541</v>
      </c>
      <c r="OPS538" s="1170">
        <v>8298541</v>
      </c>
      <c r="OPT538" s="1170">
        <v>8298541</v>
      </c>
      <c r="OPU538" s="1170">
        <v>8298541</v>
      </c>
      <c r="OPV538" s="1170">
        <v>8298541</v>
      </c>
      <c r="OPW538" s="1170">
        <v>8298541</v>
      </c>
      <c r="OPX538" s="1170">
        <v>8298541</v>
      </c>
      <c r="OPY538" s="1170">
        <v>8298541</v>
      </c>
      <c r="OPZ538" s="1170">
        <v>8298541</v>
      </c>
      <c r="OQA538" s="1170">
        <v>8298541</v>
      </c>
      <c r="OQB538" s="1170">
        <v>8298541</v>
      </c>
      <c r="OQC538" s="1170">
        <v>8298541</v>
      </c>
      <c r="OQD538" s="1170">
        <v>8298541</v>
      </c>
      <c r="OQE538" s="1170">
        <v>8298541</v>
      </c>
      <c r="OQF538" s="1170">
        <v>8298541</v>
      </c>
      <c r="OQG538" s="1170">
        <v>8298541</v>
      </c>
      <c r="OQH538" s="1170">
        <v>8298541</v>
      </c>
      <c r="OQI538" s="1170">
        <v>8298541</v>
      </c>
      <c r="OQJ538" s="1170">
        <v>8298541</v>
      </c>
      <c r="OQK538" s="1170">
        <v>8298541</v>
      </c>
      <c r="OQL538" s="1170">
        <v>8298541</v>
      </c>
      <c r="OQM538" s="1170">
        <v>8298541</v>
      </c>
      <c r="OQN538" s="1170">
        <v>8298541</v>
      </c>
      <c r="OQO538" s="1170">
        <v>8298541</v>
      </c>
      <c r="OQP538" s="1170">
        <v>8298541</v>
      </c>
      <c r="OQQ538" s="1170">
        <v>8298541</v>
      </c>
      <c r="OQR538" s="1170">
        <v>8298541</v>
      </c>
      <c r="OQS538" s="1170">
        <v>8298541</v>
      </c>
      <c r="OQT538" s="1170">
        <v>8298541</v>
      </c>
      <c r="OQU538" s="1170">
        <v>8298541</v>
      </c>
      <c r="OQV538" s="1170">
        <v>8298541</v>
      </c>
      <c r="OQW538" s="1170">
        <v>8298541</v>
      </c>
      <c r="OQX538" s="1170">
        <v>8298541</v>
      </c>
      <c r="OQY538" s="1170">
        <v>8298541</v>
      </c>
      <c r="OQZ538" s="1170">
        <v>8298541</v>
      </c>
      <c r="ORA538" s="1170">
        <v>8298541</v>
      </c>
      <c r="ORB538" s="1170">
        <v>8298541</v>
      </c>
      <c r="ORC538" s="1170">
        <v>8298541</v>
      </c>
      <c r="ORD538" s="1170">
        <v>8298541</v>
      </c>
      <c r="ORE538" s="1170">
        <v>8298541</v>
      </c>
      <c r="ORF538" s="1170">
        <v>8298541</v>
      </c>
      <c r="ORG538" s="1170">
        <v>8298541</v>
      </c>
      <c r="ORH538" s="1170">
        <v>8298541</v>
      </c>
      <c r="ORI538" s="1170">
        <v>8298541</v>
      </c>
      <c r="ORJ538" s="1170">
        <v>8298541</v>
      </c>
      <c r="ORK538" s="1170">
        <v>8298541</v>
      </c>
      <c r="ORL538" s="1170">
        <v>8298541</v>
      </c>
      <c r="ORM538" s="1170">
        <v>8298541</v>
      </c>
      <c r="ORN538" s="1170">
        <v>8298541</v>
      </c>
      <c r="ORO538" s="1170">
        <v>8298541</v>
      </c>
      <c r="ORP538" s="1170">
        <v>8298541</v>
      </c>
      <c r="ORQ538" s="1170">
        <v>8298541</v>
      </c>
      <c r="ORR538" s="1170">
        <v>8298541</v>
      </c>
      <c r="ORS538" s="1170">
        <v>8298541</v>
      </c>
      <c r="ORT538" s="1170">
        <v>8298541</v>
      </c>
      <c r="ORU538" s="1170">
        <v>8298541</v>
      </c>
      <c r="ORV538" s="1170">
        <v>8298541</v>
      </c>
      <c r="ORW538" s="1170">
        <v>8298541</v>
      </c>
      <c r="ORX538" s="1170">
        <v>8298541</v>
      </c>
      <c r="ORY538" s="1170">
        <v>8298541</v>
      </c>
      <c r="ORZ538" s="1170">
        <v>8298541</v>
      </c>
      <c r="OSA538" s="1170">
        <v>8298541</v>
      </c>
      <c r="OSB538" s="1170">
        <v>8298541</v>
      </c>
      <c r="OSC538" s="1170">
        <v>8298541</v>
      </c>
      <c r="OSD538" s="1170">
        <v>8298541</v>
      </c>
      <c r="OSE538" s="1170">
        <v>8298541</v>
      </c>
      <c r="OSF538" s="1170">
        <v>8298541</v>
      </c>
      <c r="OSG538" s="1170">
        <v>8298541</v>
      </c>
      <c r="OSH538" s="1170">
        <v>8298541</v>
      </c>
      <c r="OSI538" s="1170">
        <v>8298541</v>
      </c>
      <c r="OSJ538" s="1170">
        <v>8298541</v>
      </c>
      <c r="OSK538" s="1170">
        <v>8298541</v>
      </c>
      <c r="OSL538" s="1170">
        <v>8298541</v>
      </c>
      <c r="OSM538" s="1170">
        <v>8298541</v>
      </c>
      <c r="OSN538" s="1170">
        <v>8298541</v>
      </c>
      <c r="OSO538" s="1170">
        <v>8298541</v>
      </c>
      <c r="OSP538" s="1170">
        <v>8298541</v>
      </c>
      <c r="OSQ538" s="1170">
        <v>8298541</v>
      </c>
      <c r="OSR538" s="1170">
        <v>8298541</v>
      </c>
      <c r="OSS538" s="1170">
        <v>8298541</v>
      </c>
      <c r="OST538" s="1170">
        <v>8298541</v>
      </c>
      <c r="OSU538" s="1170">
        <v>8298541</v>
      </c>
      <c r="OSV538" s="1170">
        <v>8298541</v>
      </c>
      <c r="OSW538" s="1170">
        <v>8298541</v>
      </c>
      <c r="OSX538" s="1170">
        <v>8298541</v>
      </c>
      <c r="OSY538" s="1170">
        <v>8298541</v>
      </c>
      <c r="OSZ538" s="1170">
        <v>8298541</v>
      </c>
      <c r="OTA538" s="1170">
        <v>8298541</v>
      </c>
      <c r="OTB538" s="1170">
        <v>8298541</v>
      </c>
      <c r="OTC538" s="1170">
        <v>8298541</v>
      </c>
      <c r="OTD538" s="1170">
        <v>8298541</v>
      </c>
      <c r="OTE538" s="1170">
        <v>8298541</v>
      </c>
      <c r="OTF538" s="1170">
        <v>8298541</v>
      </c>
      <c r="OTG538" s="1170">
        <v>8298541</v>
      </c>
      <c r="OTH538" s="1170">
        <v>8298541</v>
      </c>
      <c r="OTI538" s="1170">
        <v>8298541</v>
      </c>
      <c r="OTJ538" s="1170">
        <v>8298541</v>
      </c>
      <c r="OTK538" s="1170">
        <v>8298541</v>
      </c>
      <c r="OTL538" s="1170">
        <v>8298541</v>
      </c>
      <c r="OTM538" s="1170">
        <v>8298541</v>
      </c>
      <c r="OTN538" s="1170">
        <v>8298541</v>
      </c>
      <c r="OTO538" s="1170">
        <v>8298541</v>
      </c>
      <c r="OTP538" s="1170">
        <v>8298541</v>
      </c>
      <c r="OTQ538" s="1170">
        <v>8298541</v>
      </c>
      <c r="OTR538" s="1170">
        <v>8298541</v>
      </c>
      <c r="OTS538" s="1170">
        <v>8298541</v>
      </c>
      <c r="OTT538" s="1170">
        <v>8298541</v>
      </c>
      <c r="OTU538" s="1170">
        <v>8298541</v>
      </c>
      <c r="OTV538" s="1170">
        <v>8298541</v>
      </c>
      <c r="OTW538" s="1170">
        <v>8298541</v>
      </c>
      <c r="OTX538" s="1170">
        <v>8298541</v>
      </c>
      <c r="OTY538" s="1170">
        <v>8298541</v>
      </c>
      <c r="OTZ538" s="1170">
        <v>8298541</v>
      </c>
      <c r="OUA538" s="1170">
        <v>8298541</v>
      </c>
      <c r="OUB538" s="1170">
        <v>8298541</v>
      </c>
      <c r="OUC538" s="1170">
        <v>8298541</v>
      </c>
      <c r="OUD538" s="1170">
        <v>8298541</v>
      </c>
      <c r="OUE538" s="1170">
        <v>8298541</v>
      </c>
      <c r="OUF538" s="1170">
        <v>8298541</v>
      </c>
      <c r="OUG538" s="1170">
        <v>8298541</v>
      </c>
      <c r="OUH538" s="1170">
        <v>8298541</v>
      </c>
      <c r="OUI538" s="1170">
        <v>8298541</v>
      </c>
      <c r="OUJ538" s="1170">
        <v>8298541</v>
      </c>
      <c r="OUK538" s="1170">
        <v>8298541</v>
      </c>
      <c r="OUL538" s="1170">
        <v>8298541</v>
      </c>
      <c r="OUM538" s="1170">
        <v>8298541</v>
      </c>
      <c r="OUN538" s="1170">
        <v>8298541</v>
      </c>
      <c r="OUO538" s="1170">
        <v>8298541</v>
      </c>
      <c r="OUP538" s="1170">
        <v>8298541</v>
      </c>
      <c r="OUQ538" s="1170">
        <v>8298541</v>
      </c>
      <c r="OUR538" s="1170">
        <v>8298541</v>
      </c>
      <c r="OUS538" s="1170">
        <v>8298541</v>
      </c>
      <c r="OUT538" s="1170">
        <v>8298541</v>
      </c>
      <c r="OUU538" s="1170">
        <v>8298541</v>
      </c>
      <c r="OUV538" s="1170">
        <v>8298541</v>
      </c>
      <c r="OUW538" s="1170">
        <v>8298541</v>
      </c>
      <c r="OUX538" s="1170">
        <v>8298541</v>
      </c>
      <c r="OUY538" s="1170">
        <v>8298541</v>
      </c>
      <c r="OUZ538" s="1170">
        <v>8298541</v>
      </c>
      <c r="OVA538" s="1170">
        <v>8298541</v>
      </c>
      <c r="OVB538" s="1170">
        <v>8298541</v>
      </c>
      <c r="OVC538" s="1170">
        <v>8298541</v>
      </c>
      <c r="OVD538" s="1170">
        <v>8298541</v>
      </c>
      <c r="OVE538" s="1170">
        <v>8298541</v>
      </c>
      <c r="OVF538" s="1170">
        <v>8298541</v>
      </c>
      <c r="OVG538" s="1170">
        <v>8298541</v>
      </c>
      <c r="OVH538" s="1170">
        <v>8298541</v>
      </c>
      <c r="OVI538" s="1170">
        <v>8298541</v>
      </c>
      <c r="OVJ538" s="1170">
        <v>8298541</v>
      </c>
      <c r="OVK538" s="1170">
        <v>8298541</v>
      </c>
      <c r="OVL538" s="1170">
        <v>8298541</v>
      </c>
      <c r="OVM538" s="1170">
        <v>8298541</v>
      </c>
      <c r="OVN538" s="1170">
        <v>8298541</v>
      </c>
      <c r="OVO538" s="1170">
        <v>8298541</v>
      </c>
      <c r="OVP538" s="1170">
        <v>8298541</v>
      </c>
      <c r="OVQ538" s="1170">
        <v>8298541</v>
      </c>
      <c r="OVR538" s="1170">
        <v>8298541</v>
      </c>
      <c r="OVS538" s="1170">
        <v>8298541</v>
      </c>
      <c r="OVT538" s="1170">
        <v>8298541</v>
      </c>
      <c r="OVU538" s="1170">
        <v>8298541</v>
      </c>
      <c r="OVV538" s="1170">
        <v>8298541</v>
      </c>
      <c r="OVW538" s="1170">
        <v>8298541</v>
      </c>
      <c r="OVX538" s="1170">
        <v>8298541</v>
      </c>
      <c r="OVY538" s="1170">
        <v>8298541</v>
      </c>
      <c r="OVZ538" s="1170">
        <v>8298541</v>
      </c>
      <c r="OWA538" s="1170">
        <v>8298541</v>
      </c>
      <c r="OWB538" s="1170">
        <v>8298541</v>
      </c>
      <c r="OWC538" s="1170">
        <v>8298541</v>
      </c>
      <c r="OWD538" s="1170">
        <v>8298541</v>
      </c>
      <c r="OWE538" s="1170">
        <v>8298541</v>
      </c>
      <c r="OWF538" s="1170">
        <v>8298541</v>
      </c>
      <c r="OWG538" s="1170">
        <v>8298541</v>
      </c>
      <c r="OWH538" s="1170">
        <v>8298541</v>
      </c>
      <c r="OWI538" s="1170">
        <v>8298541</v>
      </c>
      <c r="OWJ538" s="1170">
        <v>8298541</v>
      </c>
      <c r="OWK538" s="1170">
        <v>8298541</v>
      </c>
      <c r="OWL538" s="1170">
        <v>8298541</v>
      </c>
      <c r="OWM538" s="1170">
        <v>8298541</v>
      </c>
      <c r="OWN538" s="1170">
        <v>8298541</v>
      </c>
      <c r="OWO538" s="1170">
        <v>8298541</v>
      </c>
      <c r="OWP538" s="1170">
        <v>8298541</v>
      </c>
      <c r="OWQ538" s="1170">
        <v>8298541</v>
      </c>
      <c r="OWR538" s="1170">
        <v>8298541</v>
      </c>
      <c r="OWS538" s="1170">
        <v>8298541</v>
      </c>
      <c r="OWT538" s="1170">
        <v>8298541</v>
      </c>
      <c r="OWU538" s="1170">
        <v>8298541</v>
      </c>
      <c r="OWV538" s="1170">
        <v>8298541</v>
      </c>
      <c r="OWW538" s="1170">
        <v>8298541</v>
      </c>
      <c r="OWX538" s="1170">
        <v>8298541</v>
      </c>
      <c r="OWY538" s="1170">
        <v>8298541</v>
      </c>
      <c r="OWZ538" s="1170">
        <v>8298541</v>
      </c>
      <c r="OXA538" s="1170">
        <v>8298541</v>
      </c>
      <c r="OXB538" s="1170">
        <v>8298541</v>
      </c>
      <c r="OXC538" s="1170">
        <v>8298541</v>
      </c>
      <c r="OXD538" s="1170">
        <v>8298541</v>
      </c>
      <c r="OXE538" s="1170">
        <v>8298541</v>
      </c>
      <c r="OXF538" s="1170">
        <v>8298541</v>
      </c>
      <c r="OXG538" s="1170">
        <v>8298541</v>
      </c>
      <c r="OXH538" s="1170">
        <v>8298541</v>
      </c>
      <c r="OXI538" s="1170">
        <v>8298541</v>
      </c>
      <c r="OXJ538" s="1170">
        <v>8298541</v>
      </c>
      <c r="OXK538" s="1170">
        <v>8298541</v>
      </c>
      <c r="OXL538" s="1170">
        <v>8298541</v>
      </c>
      <c r="OXM538" s="1170">
        <v>8298541</v>
      </c>
      <c r="OXN538" s="1170">
        <v>8298541</v>
      </c>
      <c r="OXO538" s="1170">
        <v>8298541</v>
      </c>
      <c r="OXP538" s="1170">
        <v>8298541</v>
      </c>
      <c r="OXQ538" s="1170">
        <v>8298541</v>
      </c>
      <c r="OXR538" s="1170">
        <v>8298541</v>
      </c>
      <c r="OXS538" s="1170">
        <v>8298541</v>
      </c>
      <c r="OXT538" s="1170">
        <v>8298541</v>
      </c>
      <c r="OXU538" s="1170">
        <v>8298541</v>
      </c>
      <c r="OXV538" s="1170">
        <v>8298541</v>
      </c>
      <c r="OXW538" s="1170">
        <v>8298541</v>
      </c>
      <c r="OXX538" s="1170">
        <v>8298541</v>
      </c>
      <c r="OXY538" s="1170">
        <v>8298541</v>
      </c>
      <c r="OXZ538" s="1170">
        <v>8298541</v>
      </c>
      <c r="OYA538" s="1170">
        <v>8298541</v>
      </c>
      <c r="OYB538" s="1170">
        <v>8298541</v>
      </c>
      <c r="OYC538" s="1170">
        <v>8298541</v>
      </c>
      <c r="OYD538" s="1170">
        <v>8298541</v>
      </c>
      <c r="OYE538" s="1170">
        <v>8298541</v>
      </c>
      <c r="OYF538" s="1170">
        <v>8298541</v>
      </c>
      <c r="OYG538" s="1170">
        <v>8298541</v>
      </c>
      <c r="OYH538" s="1170">
        <v>8298541</v>
      </c>
      <c r="OYI538" s="1170">
        <v>8298541</v>
      </c>
      <c r="OYJ538" s="1170">
        <v>8298541</v>
      </c>
      <c r="OYK538" s="1170">
        <v>8298541</v>
      </c>
      <c r="OYL538" s="1170">
        <v>8298541</v>
      </c>
      <c r="OYM538" s="1170">
        <v>8298541</v>
      </c>
      <c r="OYN538" s="1170">
        <v>8298541</v>
      </c>
      <c r="OYO538" s="1170">
        <v>8298541</v>
      </c>
      <c r="OYP538" s="1170">
        <v>8298541</v>
      </c>
      <c r="OYQ538" s="1170">
        <v>8298541</v>
      </c>
      <c r="OYR538" s="1170">
        <v>8298541</v>
      </c>
      <c r="OYS538" s="1170">
        <v>8298541</v>
      </c>
      <c r="OYT538" s="1170">
        <v>8298541</v>
      </c>
      <c r="OYU538" s="1170">
        <v>8298541</v>
      </c>
      <c r="OYV538" s="1170">
        <v>8298541</v>
      </c>
      <c r="OYW538" s="1170">
        <v>8298541</v>
      </c>
      <c r="OYX538" s="1170">
        <v>8298541</v>
      </c>
      <c r="OYY538" s="1170">
        <v>8298541</v>
      </c>
      <c r="OYZ538" s="1170">
        <v>8298541</v>
      </c>
      <c r="OZA538" s="1170">
        <v>8298541</v>
      </c>
      <c r="OZB538" s="1170">
        <v>8298541</v>
      </c>
      <c r="OZC538" s="1170">
        <v>8298541</v>
      </c>
      <c r="OZD538" s="1170">
        <v>8298541</v>
      </c>
      <c r="OZE538" s="1170">
        <v>8298541</v>
      </c>
      <c r="OZF538" s="1170">
        <v>8298541</v>
      </c>
      <c r="OZG538" s="1170">
        <v>8298541</v>
      </c>
      <c r="OZH538" s="1170">
        <v>8298541</v>
      </c>
      <c r="OZI538" s="1170">
        <v>8298541</v>
      </c>
      <c r="OZJ538" s="1170">
        <v>8298541</v>
      </c>
      <c r="OZK538" s="1170">
        <v>8298541</v>
      </c>
      <c r="OZL538" s="1170">
        <v>8298541</v>
      </c>
      <c r="OZM538" s="1170">
        <v>8298541</v>
      </c>
      <c r="OZN538" s="1170">
        <v>8298541</v>
      </c>
      <c r="OZO538" s="1170">
        <v>8298541</v>
      </c>
      <c r="OZP538" s="1170">
        <v>8298541</v>
      </c>
      <c r="OZQ538" s="1170">
        <v>8298541</v>
      </c>
      <c r="OZR538" s="1170">
        <v>8298541</v>
      </c>
      <c r="OZS538" s="1170">
        <v>8298541</v>
      </c>
      <c r="OZT538" s="1170">
        <v>8298541</v>
      </c>
      <c r="OZU538" s="1170">
        <v>8298541</v>
      </c>
      <c r="OZV538" s="1170">
        <v>8298541</v>
      </c>
      <c r="OZW538" s="1170">
        <v>8298541</v>
      </c>
      <c r="OZX538" s="1170">
        <v>8298541</v>
      </c>
      <c r="OZY538" s="1170">
        <v>8298541</v>
      </c>
      <c r="OZZ538" s="1170">
        <v>8298541</v>
      </c>
      <c r="PAA538" s="1170">
        <v>8298541</v>
      </c>
      <c r="PAB538" s="1170">
        <v>8298541</v>
      </c>
      <c r="PAC538" s="1170">
        <v>8298541</v>
      </c>
      <c r="PAD538" s="1170">
        <v>8298541</v>
      </c>
      <c r="PAE538" s="1170">
        <v>8298541</v>
      </c>
      <c r="PAF538" s="1170">
        <v>8298541</v>
      </c>
      <c r="PAG538" s="1170">
        <v>8298541</v>
      </c>
      <c r="PAH538" s="1170">
        <v>8298541</v>
      </c>
      <c r="PAI538" s="1170">
        <v>8298541</v>
      </c>
      <c r="PAJ538" s="1170">
        <v>8298541</v>
      </c>
      <c r="PAK538" s="1170">
        <v>8298541</v>
      </c>
      <c r="PAL538" s="1170">
        <v>8298541</v>
      </c>
      <c r="PAM538" s="1170">
        <v>8298541</v>
      </c>
      <c r="PAN538" s="1170">
        <v>8298541</v>
      </c>
      <c r="PAO538" s="1170">
        <v>8298541</v>
      </c>
      <c r="PAP538" s="1170">
        <v>8298541</v>
      </c>
      <c r="PAQ538" s="1170">
        <v>8298541</v>
      </c>
      <c r="PAR538" s="1170">
        <v>8298541</v>
      </c>
      <c r="PAS538" s="1170">
        <v>8298541</v>
      </c>
      <c r="PAT538" s="1170">
        <v>8298541</v>
      </c>
      <c r="PAU538" s="1170">
        <v>8298541</v>
      </c>
      <c r="PAV538" s="1170">
        <v>8298541</v>
      </c>
      <c r="PAW538" s="1170">
        <v>8298541</v>
      </c>
      <c r="PAX538" s="1170">
        <v>8298541</v>
      </c>
      <c r="PAY538" s="1170">
        <v>8298541</v>
      </c>
      <c r="PAZ538" s="1170">
        <v>8298541</v>
      </c>
      <c r="PBA538" s="1170">
        <v>8298541</v>
      </c>
      <c r="PBB538" s="1170">
        <v>8298541</v>
      </c>
      <c r="PBC538" s="1170">
        <v>8298541</v>
      </c>
      <c r="PBD538" s="1170">
        <v>8298541</v>
      </c>
      <c r="PBE538" s="1170">
        <v>8298541</v>
      </c>
      <c r="PBF538" s="1170">
        <v>8298541</v>
      </c>
      <c r="PBG538" s="1170">
        <v>8298541</v>
      </c>
      <c r="PBH538" s="1170">
        <v>8298541</v>
      </c>
      <c r="PBI538" s="1170">
        <v>8298541</v>
      </c>
      <c r="PBJ538" s="1170">
        <v>8298541</v>
      </c>
      <c r="PBK538" s="1170">
        <v>8298541</v>
      </c>
      <c r="PBL538" s="1170">
        <v>8298541</v>
      </c>
      <c r="PBM538" s="1170">
        <v>8298541</v>
      </c>
      <c r="PBN538" s="1170">
        <v>8298541</v>
      </c>
      <c r="PBO538" s="1170">
        <v>8298541</v>
      </c>
      <c r="PBP538" s="1170">
        <v>8298541</v>
      </c>
      <c r="PBQ538" s="1170">
        <v>8298541</v>
      </c>
      <c r="PBR538" s="1170">
        <v>8298541</v>
      </c>
      <c r="PBS538" s="1170">
        <v>8298541</v>
      </c>
      <c r="PBT538" s="1170">
        <v>8298541</v>
      </c>
      <c r="PBU538" s="1170">
        <v>8298541</v>
      </c>
      <c r="PBV538" s="1170">
        <v>8298541</v>
      </c>
      <c r="PBW538" s="1170">
        <v>8298541</v>
      </c>
      <c r="PBX538" s="1170">
        <v>8298541</v>
      </c>
      <c r="PBY538" s="1170">
        <v>8298541</v>
      </c>
      <c r="PBZ538" s="1170">
        <v>8298541</v>
      </c>
      <c r="PCA538" s="1170">
        <v>8298541</v>
      </c>
      <c r="PCB538" s="1170">
        <v>8298541</v>
      </c>
      <c r="PCC538" s="1170">
        <v>8298541</v>
      </c>
      <c r="PCD538" s="1170">
        <v>8298541</v>
      </c>
      <c r="PCE538" s="1170">
        <v>8298541</v>
      </c>
      <c r="PCF538" s="1170">
        <v>8298541</v>
      </c>
      <c r="PCG538" s="1170">
        <v>8298541</v>
      </c>
      <c r="PCH538" s="1170">
        <v>8298541</v>
      </c>
      <c r="PCI538" s="1170">
        <v>8298541</v>
      </c>
      <c r="PCJ538" s="1170">
        <v>8298541</v>
      </c>
      <c r="PCK538" s="1170">
        <v>8298541</v>
      </c>
      <c r="PCL538" s="1170">
        <v>8298541</v>
      </c>
      <c r="PCM538" s="1170">
        <v>8298541</v>
      </c>
      <c r="PCN538" s="1170">
        <v>8298541</v>
      </c>
      <c r="PCO538" s="1170">
        <v>8298541</v>
      </c>
      <c r="PCP538" s="1170">
        <v>8298541</v>
      </c>
      <c r="PCQ538" s="1170">
        <v>8298541</v>
      </c>
      <c r="PCR538" s="1170">
        <v>8298541</v>
      </c>
      <c r="PCS538" s="1170">
        <v>8298541</v>
      </c>
      <c r="PCT538" s="1170">
        <v>8298541</v>
      </c>
      <c r="PCU538" s="1170">
        <v>8298541</v>
      </c>
      <c r="PCV538" s="1170">
        <v>8298541</v>
      </c>
      <c r="PCW538" s="1170">
        <v>8298541</v>
      </c>
      <c r="PCX538" s="1170">
        <v>8298541</v>
      </c>
      <c r="PCY538" s="1170">
        <v>8298541</v>
      </c>
      <c r="PCZ538" s="1170">
        <v>8298541</v>
      </c>
      <c r="PDA538" s="1170">
        <v>8298541</v>
      </c>
      <c r="PDB538" s="1170">
        <v>8298541</v>
      </c>
      <c r="PDC538" s="1170">
        <v>8298541</v>
      </c>
      <c r="PDD538" s="1170">
        <v>8298541</v>
      </c>
      <c r="PDE538" s="1170">
        <v>8298541</v>
      </c>
      <c r="PDF538" s="1170">
        <v>8298541</v>
      </c>
      <c r="PDG538" s="1170">
        <v>8298541</v>
      </c>
      <c r="PDH538" s="1170">
        <v>8298541</v>
      </c>
      <c r="PDI538" s="1170">
        <v>8298541</v>
      </c>
      <c r="PDJ538" s="1170">
        <v>8298541</v>
      </c>
      <c r="PDK538" s="1170">
        <v>8298541</v>
      </c>
      <c r="PDL538" s="1170">
        <v>8298541</v>
      </c>
      <c r="PDM538" s="1170">
        <v>8298541</v>
      </c>
      <c r="PDN538" s="1170">
        <v>8298541</v>
      </c>
      <c r="PDO538" s="1170">
        <v>8298541</v>
      </c>
      <c r="PDP538" s="1170">
        <v>8298541</v>
      </c>
      <c r="PDQ538" s="1170">
        <v>8298541</v>
      </c>
      <c r="PDR538" s="1170">
        <v>8298541</v>
      </c>
      <c r="PDS538" s="1170">
        <v>8298541</v>
      </c>
      <c r="PDT538" s="1170">
        <v>8298541</v>
      </c>
      <c r="PDU538" s="1170">
        <v>8298541</v>
      </c>
      <c r="PDV538" s="1170">
        <v>8298541</v>
      </c>
      <c r="PDW538" s="1170">
        <v>8298541</v>
      </c>
      <c r="PDX538" s="1170">
        <v>8298541</v>
      </c>
      <c r="PDY538" s="1170">
        <v>8298541</v>
      </c>
      <c r="PDZ538" s="1170">
        <v>8298541</v>
      </c>
      <c r="PEA538" s="1170">
        <v>8298541</v>
      </c>
      <c r="PEB538" s="1170">
        <v>8298541</v>
      </c>
      <c r="PEC538" s="1170">
        <v>8298541</v>
      </c>
      <c r="PED538" s="1170">
        <v>8298541</v>
      </c>
      <c r="PEE538" s="1170">
        <v>8298541</v>
      </c>
      <c r="PEF538" s="1170">
        <v>8298541</v>
      </c>
      <c r="PEG538" s="1170">
        <v>8298541</v>
      </c>
      <c r="PEH538" s="1170">
        <v>8298541</v>
      </c>
      <c r="PEI538" s="1170">
        <v>8298541</v>
      </c>
      <c r="PEJ538" s="1170">
        <v>8298541</v>
      </c>
      <c r="PEK538" s="1170">
        <v>8298541</v>
      </c>
      <c r="PEL538" s="1170">
        <v>8298541</v>
      </c>
      <c r="PEM538" s="1170">
        <v>8298541</v>
      </c>
      <c r="PEN538" s="1170">
        <v>8298541</v>
      </c>
      <c r="PEO538" s="1170">
        <v>8298541</v>
      </c>
      <c r="PEP538" s="1170">
        <v>8298541</v>
      </c>
      <c r="PEQ538" s="1170">
        <v>8298541</v>
      </c>
      <c r="PER538" s="1170">
        <v>8298541</v>
      </c>
      <c r="PES538" s="1170">
        <v>8298541</v>
      </c>
      <c r="PET538" s="1170">
        <v>8298541</v>
      </c>
      <c r="PEU538" s="1170">
        <v>8298541</v>
      </c>
      <c r="PEV538" s="1170">
        <v>8298541</v>
      </c>
      <c r="PEW538" s="1170">
        <v>8298541</v>
      </c>
      <c r="PEX538" s="1170">
        <v>8298541</v>
      </c>
      <c r="PEY538" s="1170">
        <v>8298541</v>
      </c>
      <c r="PEZ538" s="1170">
        <v>8298541</v>
      </c>
      <c r="PFA538" s="1170">
        <v>8298541</v>
      </c>
      <c r="PFB538" s="1170">
        <v>8298541</v>
      </c>
      <c r="PFC538" s="1170">
        <v>8298541</v>
      </c>
      <c r="PFD538" s="1170">
        <v>8298541</v>
      </c>
      <c r="PFE538" s="1170">
        <v>8298541</v>
      </c>
      <c r="PFF538" s="1170">
        <v>8298541</v>
      </c>
      <c r="PFG538" s="1170">
        <v>8298541</v>
      </c>
      <c r="PFH538" s="1170">
        <v>8298541</v>
      </c>
      <c r="PFI538" s="1170">
        <v>8298541</v>
      </c>
      <c r="PFJ538" s="1170">
        <v>8298541</v>
      </c>
      <c r="PFK538" s="1170">
        <v>8298541</v>
      </c>
      <c r="PFL538" s="1170">
        <v>8298541</v>
      </c>
      <c r="PFM538" s="1170">
        <v>8298541</v>
      </c>
      <c r="PFN538" s="1170">
        <v>8298541</v>
      </c>
      <c r="PFO538" s="1170">
        <v>8298541</v>
      </c>
      <c r="PFP538" s="1170">
        <v>8298541</v>
      </c>
      <c r="PFQ538" s="1170">
        <v>8298541</v>
      </c>
      <c r="PFR538" s="1170">
        <v>8298541</v>
      </c>
      <c r="PFS538" s="1170">
        <v>8298541</v>
      </c>
      <c r="PFT538" s="1170">
        <v>8298541</v>
      </c>
      <c r="PFU538" s="1170">
        <v>8298541</v>
      </c>
      <c r="PFV538" s="1170">
        <v>8298541</v>
      </c>
      <c r="PFW538" s="1170">
        <v>8298541</v>
      </c>
      <c r="PFX538" s="1170">
        <v>8298541</v>
      </c>
      <c r="PFY538" s="1170">
        <v>8298541</v>
      </c>
      <c r="PFZ538" s="1170">
        <v>8298541</v>
      </c>
      <c r="PGA538" s="1170">
        <v>8298541</v>
      </c>
      <c r="PGB538" s="1170">
        <v>8298541</v>
      </c>
      <c r="PGC538" s="1170">
        <v>8298541</v>
      </c>
      <c r="PGD538" s="1170">
        <v>8298541</v>
      </c>
      <c r="PGE538" s="1170">
        <v>8298541</v>
      </c>
      <c r="PGF538" s="1170">
        <v>8298541</v>
      </c>
      <c r="PGG538" s="1170">
        <v>8298541</v>
      </c>
      <c r="PGH538" s="1170">
        <v>8298541</v>
      </c>
      <c r="PGI538" s="1170">
        <v>8298541</v>
      </c>
      <c r="PGJ538" s="1170">
        <v>8298541</v>
      </c>
      <c r="PGK538" s="1170">
        <v>8298541</v>
      </c>
      <c r="PGL538" s="1170">
        <v>8298541</v>
      </c>
      <c r="PGM538" s="1170">
        <v>8298541</v>
      </c>
      <c r="PGN538" s="1170">
        <v>8298541</v>
      </c>
      <c r="PGO538" s="1170">
        <v>8298541</v>
      </c>
      <c r="PGP538" s="1170">
        <v>8298541</v>
      </c>
      <c r="PGQ538" s="1170">
        <v>8298541</v>
      </c>
      <c r="PGR538" s="1170">
        <v>8298541</v>
      </c>
      <c r="PGS538" s="1170">
        <v>8298541</v>
      </c>
      <c r="PGT538" s="1170">
        <v>8298541</v>
      </c>
      <c r="PGU538" s="1170">
        <v>8298541</v>
      </c>
      <c r="PGV538" s="1170">
        <v>8298541</v>
      </c>
      <c r="PGW538" s="1170">
        <v>8298541</v>
      </c>
      <c r="PGX538" s="1170">
        <v>8298541</v>
      </c>
      <c r="PGY538" s="1170">
        <v>8298541</v>
      </c>
      <c r="PGZ538" s="1170">
        <v>8298541</v>
      </c>
      <c r="PHA538" s="1170">
        <v>8298541</v>
      </c>
      <c r="PHB538" s="1170">
        <v>8298541</v>
      </c>
      <c r="PHC538" s="1170">
        <v>8298541</v>
      </c>
      <c r="PHD538" s="1170">
        <v>8298541</v>
      </c>
      <c r="PHE538" s="1170">
        <v>8298541</v>
      </c>
      <c r="PHF538" s="1170">
        <v>8298541</v>
      </c>
      <c r="PHG538" s="1170">
        <v>8298541</v>
      </c>
      <c r="PHH538" s="1170">
        <v>8298541</v>
      </c>
      <c r="PHI538" s="1170">
        <v>8298541</v>
      </c>
      <c r="PHJ538" s="1170">
        <v>8298541</v>
      </c>
      <c r="PHK538" s="1170">
        <v>8298541</v>
      </c>
      <c r="PHL538" s="1170">
        <v>8298541</v>
      </c>
      <c r="PHM538" s="1170">
        <v>8298541</v>
      </c>
      <c r="PHN538" s="1170">
        <v>8298541</v>
      </c>
      <c r="PHO538" s="1170">
        <v>8298541</v>
      </c>
      <c r="PHP538" s="1170">
        <v>8298541</v>
      </c>
      <c r="PHQ538" s="1170">
        <v>8298541</v>
      </c>
      <c r="PHR538" s="1170">
        <v>8298541</v>
      </c>
      <c r="PHS538" s="1170">
        <v>8298541</v>
      </c>
      <c r="PHT538" s="1170">
        <v>8298541</v>
      </c>
      <c r="PHU538" s="1170">
        <v>8298541</v>
      </c>
      <c r="PHV538" s="1170">
        <v>8298541</v>
      </c>
      <c r="PHW538" s="1170">
        <v>8298541</v>
      </c>
      <c r="PHX538" s="1170">
        <v>8298541</v>
      </c>
      <c r="PHY538" s="1170">
        <v>8298541</v>
      </c>
      <c r="PHZ538" s="1170">
        <v>8298541</v>
      </c>
      <c r="PIA538" s="1170">
        <v>8298541</v>
      </c>
      <c r="PIB538" s="1170">
        <v>8298541</v>
      </c>
      <c r="PIC538" s="1170">
        <v>8298541</v>
      </c>
      <c r="PID538" s="1170">
        <v>8298541</v>
      </c>
      <c r="PIE538" s="1170">
        <v>8298541</v>
      </c>
      <c r="PIF538" s="1170">
        <v>8298541</v>
      </c>
      <c r="PIG538" s="1170">
        <v>8298541</v>
      </c>
      <c r="PIH538" s="1170">
        <v>8298541</v>
      </c>
      <c r="PII538" s="1170">
        <v>8298541</v>
      </c>
      <c r="PIJ538" s="1170">
        <v>8298541</v>
      </c>
      <c r="PIK538" s="1170">
        <v>8298541</v>
      </c>
      <c r="PIL538" s="1170">
        <v>8298541</v>
      </c>
      <c r="PIM538" s="1170">
        <v>8298541</v>
      </c>
      <c r="PIN538" s="1170">
        <v>8298541</v>
      </c>
      <c r="PIO538" s="1170">
        <v>8298541</v>
      </c>
      <c r="PIP538" s="1170">
        <v>8298541</v>
      </c>
      <c r="PIQ538" s="1170">
        <v>8298541</v>
      </c>
      <c r="PIR538" s="1170">
        <v>8298541</v>
      </c>
      <c r="PIS538" s="1170">
        <v>8298541</v>
      </c>
      <c r="PIT538" s="1170">
        <v>8298541</v>
      </c>
      <c r="PIU538" s="1170">
        <v>8298541</v>
      </c>
      <c r="PIV538" s="1170">
        <v>8298541</v>
      </c>
      <c r="PIW538" s="1170">
        <v>8298541</v>
      </c>
      <c r="PIX538" s="1170">
        <v>8298541</v>
      </c>
      <c r="PIY538" s="1170">
        <v>8298541</v>
      </c>
      <c r="PIZ538" s="1170">
        <v>8298541</v>
      </c>
      <c r="PJA538" s="1170">
        <v>8298541</v>
      </c>
      <c r="PJB538" s="1170">
        <v>8298541</v>
      </c>
      <c r="PJC538" s="1170">
        <v>8298541</v>
      </c>
      <c r="PJD538" s="1170">
        <v>8298541</v>
      </c>
      <c r="PJE538" s="1170">
        <v>8298541</v>
      </c>
      <c r="PJF538" s="1170">
        <v>8298541</v>
      </c>
      <c r="PJG538" s="1170">
        <v>8298541</v>
      </c>
      <c r="PJH538" s="1170">
        <v>8298541</v>
      </c>
      <c r="PJI538" s="1170">
        <v>8298541</v>
      </c>
      <c r="PJJ538" s="1170">
        <v>8298541</v>
      </c>
      <c r="PJK538" s="1170">
        <v>8298541</v>
      </c>
      <c r="PJL538" s="1170">
        <v>8298541</v>
      </c>
      <c r="PJM538" s="1170">
        <v>8298541</v>
      </c>
      <c r="PJN538" s="1170">
        <v>8298541</v>
      </c>
      <c r="PJO538" s="1170">
        <v>8298541</v>
      </c>
      <c r="PJP538" s="1170">
        <v>8298541</v>
      </c>
      <c r="PJQ538" s="1170">
        <v>8298541</v>
      </c>
      <c r="PJR538" s="1170">
        <v>8298541</v>
      </c>
      <c r="PJS538" s="1170">
        <v>8298541</v>
      </c>
      <c r="PJT538" s="1170">
        <v>8298541</v>
      </c>
      <c r="PJU538" s="1170">
        <v>8298541</v>
      </c>
      <c r="PJV538" s="1170">
        <v>8298541</v>
      </c>
      <c r="PJW538" s="1170">
        <v>8298541</v>
      </c>
      <c r="PJX538" s="1170">
        <v>8298541</v>
      </c>
      <c r="PJY538" s="1170">
        <v>8298541</v>
      </c>
      <c r="PJZ538" s="1170">
        <v>8298541</v>
      </c>
      <c r="PKA538" s="1170">
        <v>8298541</v>
      </c>
      <c r="PKB538" s="1170">
        <v>8298541</v>
      </c>
      <c r="PKC538" s="1170">
        <v>8298541</v>
      </c>
      <c r="PKD538" s="1170">
        <v>8298541</v>
      </c>
      <c r="PKE538" s="1170">
        <v>8298541</v>
      </c>
      <c r="PKF538" s="1170">
        <v>8298541</v>
      </c>
      <c r="PKG538" s="1170">
        <v>8298541</v>
      </c>
      <c r="PKH538" s="1170">
        <v>8298541</v>
      </c>
      <c r="PKI538" s="1170">
        <v>8298541</v>
      </c>
      <c r="PKJ538" s="1170">
        <v>8298541</v>
      </c>
      <c r="PKK538" s="1170">
        <v>8298541</v>
      </c>
      <c r="PKL538" s="1170">
        <v>8298541</v>
      </c>
      <c r="PKM538" s="1170">
        <v>8298541</v>
      </c>
      <c r="PKN538" s="1170">
        <v>8298541</v>
      </c>
      <c r="PKO538" s="1170">
        <v>8298541</v>
      </c>
      <c r="PKP538" s="1170">
        <v>8298541</v>
      </c>
      <c r="PKQ538" s="1170">
        <v>8298541</v>
      </c>
      <c r="PKR538" s="1170">
        <v>8298541</v>
      </c>
      <c r="PKS538" s="1170">
        <v>8298541</v>
      </c>
      <c r="PKT538" s="1170">
        <v>8298541</v>
      </c>
      <c r="PKU538" s="1170">
        <v>8298541</v>
      </c>
      <c r="PKV538" s="1170">
        <v>8298541</v>
      </c>
      <c r="PKW538" s="1170">
        <v>8298541</v>
      </c>
      <c r="PKX538" s="1170">
        <v>8298541</v>
      </c>
      <c r="PKY538" s="1170">
        <v>8298541</v>
      </c>
      <c r="PKZ538" s="1170">
        <v>8298541</v>
      </c>
      <c r="PLA538" s="1170">
        <v>8298541</v>
      </c>
      <c r="PLB538" s="1170">
        <v>8298541</v>
      </c>
      <c r="PLC538" s="1170">
        <v>8298541</v>
      </c>
      <c r="PLD538" s="1170">
        <v>8298541</v>
      </c>
      <c r="PLE538" s="1170">
        <v>8298541</v>
      </c>
      <c r="PLF538" s="1170">
        <v>8298541</v>
      </c>
      <c r="PLG538" s="1170">
        <v>8298541</v>
      </c>
      <c r="PLH538" s="1170">
        <v>8298541</v>
      </c>
      <c r="PLI538" s="1170">
        <v>8298541</v>
      </c>
      <c r="PLJ538" s="1170">
        <v>8298541</v>
      </c>
      <c r="PLK538" s="1170">
        <v>8298541</v>
      </c>
      <c r="PLL538" s="1170">
        <v>8298541</v>
      </c>
      <c r="PLM538" s="1170">
        <v>8298541</v>
      </c>
      <c r="PLN538" s="1170">
        <v>8298541</v>
      </c>
      <c r="PLO538" s="1170">
        <v>8298541</v>
      </c>
      <c r="PLP538" s="1170">
        <v>8298541</v>
      </c>
      <c r="PLQ538" s="1170">
        <v>8298541</v>
      </c>
      <c r="PLR538" s="1170">
        <v>8298541</v>
      </c>
      <c r="PLS538" s="1170">
        <v>8298541</v>
      </c>
      <c r="PLT538" s="1170">
        <v>8298541</v>
      </c>
      <c r="PLU538" s="1170">
        <v>8298541</v>
      </c>
      <c r="PLV538" s="1170">
        <v>8298541</v>
      </c>
      <c r="PLW538" s="1170">
        <v>8298541</v>
      </c>
      <c r="PLX538" s="1170">
        <v>8298541</v>
      </c>
      <c r="PLY538" s="1170">
        <v>8298541</v>
      </c>
      <c r="PLZ538" s="1170">
        <v>8298541</v>
      </c>
      <c r="PMA538" s="1170">
        <v>8298541</v>
      </c>
      <c r="PMB538" s="1170">
        <v>8298541</v>
      </c>
      <c r="PMC538" s="1170">
        <v>8298541</v>
      </c>
      <c r="PMD538" s="1170">
        <v>8298541</v>
      </c>
      <c r="PME538" s="1170">
        <v>8298541</v>
      </c>
      <c r="PMF538" s="1170">
        <v>8298541</v>
      </c>
      <c r="PMG538" s="1170">
        <v>8298541</v>
      </c>
      <c r="PMH538" s="1170">
        <v>8298541</v>
      </c>
      <c r="PMI538" s="1170">
        <v>8298541</v>
      </c>
      <c r="PMJ538" s="1170">
        <v>8298541</v>
      </c>
      <c r="PMK538" s="1170">
        <v>8298541</v>
      </c>
      <c r="PML538" s="1170">
        <v>8298541</v>
      </c>
      <c r="PMM538" s="1170">
        <v>8298541</v>
      </c>
      <c r="PMN538" s="1170">
        <v>8298541</v>
      </c>
      <c r="PMO538" s="1170">
        <v>8298541</v>
      </c>
      <c r="PMP538" s="1170">
        <v>8298541</v>
      </c>
      <c r="PMQ538" s="1170">
        <v>8298541</v>
      </c>
      <c r="PMR538" s="1170">
        <v>8298541</v>
      </c>
      <c r="PMS538" s="1170">
        <v>8298541</v>
      </c>
      <c r="PMT538" s="1170">
        <v>8298541</v>
      </c>
      <c r="PMU538" s="1170">
        <v>8298541</v>
      </c>
      <c r="PMV538" s="1170">
        <v>8298541</v>
      </c>
      <c r="PMW538" s="1170">
        <v>8298541</v>
      </c>
      <c r="PMX538" s="1170">
        <v>8298541</v>
      </c>
      <c r="PMY538" s="1170">
        <v>8298541</v>
      </c>
      <c r="PMZ538" s="1170">
        <v>8298541</v>
      </c>
      <c r="PNA538" s="1170">
        <v>8298541</v>
      </c>
      <c r="PNB538" s="1170">
        <v>8298541</v>
      </c>
      <c r="PNC538" s="1170">
        <v>8298541</v>
      </c>
      <c r="PND538" s="1170">
        <v>8298541</v>
      </c>
      <c r="PNE538" s="1170">
        <v>8298541</v>
      </c>
      <c r="PNF538" s="1170">
        <v>8298541</v>
      </c>
      <c r="PNG538" s="1170">
        <v>8298541</v>
      </c>
      <c r="PNH538" s="1170">
        <v>8298541</v>
      </c>
      <c r="PNI538" s="1170">
        <v>8298541</v>
      </c>
      <c r="PNJ538" s="1170">
        <v>8298541</v>
      </c>
      <c r="PNK538" s="1170">
        <v>8298541</v>
      </c>
      <c r="PNL538" s="1170">
        <v>8298541</v>
      </c>
      <c r="PNM538" s="1170">
        <v>8298541</v>
      </c>
      <c r="PNN538" s="1170">
        <v>8298541</v>
      </c>
      <c r="PNO538" s="1170">
        <v>8298541</v>
      </c>
      <c r="PNP538" s="1170">
        <v>8298541</v>
      </c>
      <c r="PNQ538" s="1170">
        <v>8298541</v>
      </c>
      <c r="PNR538" s="1170">
        <v>8298541</v>
      </c>
      <c r="PNS538" s="1170">
        <v>8298541</v>
      </c>
      <c r="PNT538" s="1170">
        <v>8298541</v>
      </c>
      <c r="PNU538" s="1170">
        <v>8298541</v>
      </c>
      <c r="PNV538" s="1170">
        <v>8298541</v>
      </c>
      <c r="PNW538" s="1170">
        <v>8298541</v>
      </c>
      <c r="PNX538" s="1170">
        <v>8298541</v>
      </c>
      <c r="PNY538" s="1170">
        <v>8298541</v>
      </c>
      <c r="PNZ538" s="1170">
        <v>8298541</v>
      </c>
      <c r="POA538" s="1170">
        <v>8298541</v>
      </c>
      <c r="POB538" s="1170">
        <v>8298541</v>
      </c>
      <c r="POC538" s="1170">
        <v>8298541</v>
      </c>
      <c r="POD538" s="1170">
        <v>8298541</v>
      </c>
      <c r="POE538" s="1170">
        <v>8298541</v>
      </c>
      <c r="POF538" s="1170">
        <v>8298541</v>
      </c>
      <c r="POG538" s="1170">
        <v>8298541</v>
      </c>
      <c r="POH538" s="1170">
        <v>8298541</v>
      </c>
      <c r="POI538" s="1170">
        <v>8298541</v>
      </c>
      <c r="POJ538" s="1170">
        <v>8298541</v>
      </c>
      <c r="POK538" s="1170">
        <v>8298541</v>
      </c>
      <c r="POL538" s="1170">
        <v>8298541</v>
      </c>
      <c r="POM538" s="1170">
        <v>8298541</v>
      </c>
      <c r="PON538" s="1170">
        <v>8298541</v>
      </c>
      <c r="POO538" s="1170">
        <v>8298541</v>
      </c>
      <c r="POP538" s="1170">
        <v>8298541</v>
      </c>
      <c r="POQ538" s="1170">
        <v>8298541</v>
      </c>
      <c r="POR538" s="1170">
        <v>8298541</v>
      </c>
      <c r="POS538" s="1170">
        <v>8298541</v>
      </c>
      <c r="POT538" s="1170">
        <v>8298541</v>
      </c>
      <c r="POU538" s="1170">
        <v>8298541</v>
      </c>
      <c r="POV538" s="1170">
        <v>8298541</v>
      </c>
      <c r="POW538" s="1170">
        <v>8298541</v>
      </c>
      <c r="POX538" s="1170">
        <v>8298541</v>
      </c>
      <c r="POY538" s="1170">
        <v>8298541</v>
      </c>
      <c r="POZ538" s="1170">
        <v>8298541</v>
      </c>
      <c r="PPA538" s="1170">
        <v>8298541</v>
      </c>
      <c r="PPB538" s="1170">
        <v>8298541</v>
      </c>
      <c r="PPC538" s="1170">
        <v>8298541</v>
      </c>
      <c r="PPD538" s="1170">
        <v>8298541</v>
      </c>
      <c r="PPE538" s="1170">
        <v>8298541</v>
      </c>
      <c r="PPF538" s="1170">
        <v>8298541</v>
      </c>
      <c r="PPG538" s="1170">
        <v>8298541</v>
      </c>
      <c r="PPH538" s="1170">
        <v>8298541</v>
      </c>
      <c r="PPI538" s="1170">
        <v>8298541</v>
      </c>
      <c r="PPJ538" s="1170">
        <v>8298541</v>
      </c>
      <c r="PPK538" s="1170">
        <v>8298541</v>
      </c>
      <c r="PPL538" s="1170">
        <v>8298541</v>
      </c>
      <c r="PPM538" s="1170">
        <v>8298541</v>
      </c>
      <c r="PPN538" s="1170">
        <v>8298541</v>
      </c>
      <c r="PPO538" s="1170">
        <v>8298541</v>
      </c>
      <c r="PPP538" s="1170">
        <v>8298541</v>
      </c>
      <c r="PPQ538" s="1170">
        <v>8298541</v>
      </c>
      <c r="PPR538" s="1170">
        <v>8298541</v>
      </c>
      <c r="PPS538" s="1170">
        <v>8298541</v>
      </c>
      <c r="PPT538" s="1170">
        <v>8298541</v>
      </c>
      <c r="PPU538" s="1170">
        <v>8298541</v>
      </c>
      <c r="PPV538" s="1170">
        <v>8298541</v>
      </c>
      <c r="PPW538" s="1170">
        <v>8298541</v>
      </c>
      <c r="PPX538" s="1170">
        <v>8298541</v>
      </c>
      <c r="PPY538" s="1170">
        <v>8298541</v>
      </c>
      <c r="PPZ538" s="1170">
        <v>8298541</v>
      </c>
      <c r="PQA538" s="1170">
        <v>8298541</v>
      </c>
      <c r="PQB538" s="1170">
        <v>8298541</v>
      </c>
      <c r="PQC538" s="1170">
        <v>8298541</v>
      </c>
      <c r="PQD538" s="1170">
        <v>8298541</v>
      </c>
      <c r="PQE538" s="1170">
        <v>8298541</v>
      </c>
      <c r="PQF538" s="1170">
        <v>8298541</v>
      </c>
      <c r="PQG538" s="1170">
        <v>8298541</v>
      </c>
      <c r="PQH538" s="1170">
        <v>8298541</v>
      </c>
      <c r="PQI538" s="1170">
        <v>8298541</v>
      </c>
      <c r="PQJ538" s="1170">
        <v>8298541</v>
      </c>
      <c r="PQK538" s="1170">
        <v>8298541</v>
      </c>
      <c r="PQL538" s="1170">
        <v>8298541</v>
      </c>
      <c r="PQM538" s="1170">
        <v>8298541</v>
      </c>
      <c r="PQN538" s="1170">
        <v>8298541</v>
      </c>
      <c r="PQO538" s="1170">
        <v>8298541</v>
      </c>
      <c r="PQP538" s="1170">
        <v>8298541</v>
      </c>
      <c r="PQQ538" s="1170">
        <v>8298541</v>
      </c>
      <c r="PQR538" s="1170">
        <v>8298541</v>
      </c>
      <c r="PQS538" s="1170">
        <v>8298541</v>
      </c>
      <c r="PQT538" s="1170">
        <v>8298541</v>
      </c>
      <c r="PQU538" s="1170">
        <v>8298541</v>
      </c>
      <c r="PQV538" s="1170">
        <v>8298541</v>
      </c>
      <c r="PQW538" s="1170">
        <v>8298541</v>
      </c>
      <c r="PQX538" s="1170">
        <v>8298541</v>
      </c>
      <c r="PQY538" s="1170">
        <v>8298541</v>
      </c>
      <c r="PQZ538" s="1170">
        <v>8298541</v>
      </c>
      <c r="PRA538" s="1170">
        <v>8298541</v>
      </c>
      <c r="PRB538" s="1170">
        <v>8298541</v>
      </c>
      <c r="PRC538" s="1170">
        <v>8298541</v>
      </c>
      <c r="PRD538" s="1170">
        <v>8298541</v>
      </c>
      <c r="PRE538" s="1170">
        <v>8298541</v>
      </c>
      <c r="PRF538" s="1170">
        <v>8298541</v>
      </c>
      <c r="PRG538" s="1170">
        <v>8298541</v>
      </c>
      <c r="PRH538" s="1170">
        <v>8298541</v>
      </c>
      <c r="PRI538" s="1170">
        <v>8298541</v>
      </c>
      <c r="PRJ538" s="1170">
        <v>8298541</v>
      </c>
      <c r="PRK538" s="1170">
        <v>8298541</v>
      </c>
      <c r="PRL538" s="1170">
        <v>8298541</v>
      </c>
      <c r="PRM538" s="1170">
        <v>8298541</v>
      </c>
      <c r="PRN538" s="1170">
        <v>8298541</v>
      </c>
      <c r="PRO538" s="1170">
        <v>8298541</v>
      </c>
      <c r="PRP538" s="1170">
        <v>8298541</v>
      </c>
      <c r="PRQ538" s="1170">
        <v>8298541</v>
      </c>
      <c r="PRR538" s="1170">
        <v>8298541</v>
      </c>
      <c r="PRS538" s="1170">
        <v>8298541</v>
      </c>
      <c r="PRT538" s="1170">
        <v>8298541</v>
      </c>
      <c r="PRU538" s="1170">
        <v>8298541</v>
      </c>
      <c r="PRV538" s="1170">
        <v>8298541</v>
      </c>
      <c r="PRW538" s="1170">
        <v>8298541</v>
      </c>
      <c r="PRX538" s="1170">
        <v>8298541</v>
      </c>
      <c r="PRY538" s="1170">
        <v>8298541</v>
      </c>
      <c r="PRZ538" s="1170">
        <v>8298541</v>
      </c>
      <c r="PSA538" s="1170">
        <v>8298541</v>
      </c>
      <c r="PSB538" s="1170">
        <v>8298541</v>
      </c>
      <c r="PSC538" s="1170">
        <v>8298541</v>
      </c>
      <c r="PSD538" s="1170">
        <v>8298541</v>
      </c>
      <c r="PSE538" s="1170">
        <v>8298541</v>
      </c>
      <c r="PSF538" s="1170">
        <v>8298541</v>
      </c>
      <c r="PSG538" s="1170">
        <v>8298541</v>
      </c>
      <c r="PSH538" s="1170">
        <v>8298541</v>
      </c>
      <c r="PSI538" s="1170">
        <v>8298541</v>
      </c>
      <c r="PSJ538" s="1170">
        <v>8298541</v>
      </c>
      <c r="PSK538" s="1170">
        <v>8298541</v>
      </c>
      <c r="PSL538" s="1170">
        <v>8298541</v>
      </c>
      <c r="PSM538" s="1170">
        <v>8298541</v>
      </c>
      <c r="PSN538" s="1170">
        <v>8298541</v>
      </c>
      <c r="PSO538" s="1170">
        <v>8298541</v>
      </c>
      <c r="PSP538" s="1170">
        <v>8298541</v>
      </c>
      <c r="PSQ538" s="1170">
        <v>8298541</v>
      </c>
      <c r="PSR538" s="1170">
        <v>8298541</v>
      </c>
      <c r="PSS538" s="1170">
        <v>8298541</v>
      </c>
      <c r="PST538" s="1170">
        <v>8298541</v>
      </c>
      <c r="PSU538" s="1170">
        <v>8298541</v>
      </c>
      <c r="PSV538" s="1170">
        <v>8298541</v>
      </c>
      <c r="PSW538" s="1170">
        <v>8298541</v>
      </c>
      <c r="PSX538" s="1170">
        <v>8298541</v>
      </c>
      <c r="PSY538" s="1170">
        <v>8298541</v>
      </c>
      <c r="PSZ538" s="1170">
        <v>8298541</v>
      </c>
      <c r="PTA538" s="1170">
        <v>8298541</v>
      </c>
      <c r="PTB538" s="1170">
        <v>8298541</v>
      </c>
      <c r="PTC538" s="1170">
        <v>8298541</v>
      </c>
      <c r="PTD538" s="1170">
        <v>8298541</v>
      </c>
      <c r="PTE538" s="1170">
        <v>8298541</v>
      </c>
      <c r="PTF538" s="1170">
        <v>8298541</v>
      </c>
      <c r="PTG538" s="1170">
        <v>8298541</v>
      </c>
      <c r="PTH538" s="1170">
        <v>8298541</v>
      </c>
      <c r="PTI538" s="1170">
        <v>8298541</v>
      </c>
      <c r="PTJ538" s="1170">
        <v>8298541</v>
      </c>
      <c r="PTK538" s="1170">
        <v>8298541</v>
      </c>
      <c r="PTL538" s="1170">
        <v>8298541</v>
      </c>
      <c r="PTM538" s="1170">
        <v>8298541</v>
      </c>
      <c r="PTN538" s="1170">
        <v>8298541</v>
      </c>
      <c r="PTO538" s="1170">
        <v>8298541</v>
      </c>
      <c r="PTP538" s="1170">
        <v>8298541</v>
      </c>
      <c r="PTQ538" s="1170">
        <v>8298541</v>
      </c>
      <c r="PTR538" s="1170">
        <v>8298541</v>
      </c>
      <c r="PTS538" s="1170">
        <v>8298541</v>
      </c>
      <c r="PTT538" s="1170">
        <v>8298541</v>
      </c>
      <c r="PTU538" s="1170">
        <v>8298541</v>
      </c>
      <c r="PTV538" s="1170">
        <v>8298541</v>
      </c>
      <c r="PTW538" s="1170">
        <v>8298541</v>
      </c>
      <c r="PTX538" s="1170">
        <v>8298541</v>
      </c>
      <c r="PTY538" s="1170">
        <v>8298541</v>
      </c>
      <c r="PTZ538" s="1170">
        <v>8298541</v>
      </c>
      <c r="PUA538" s="1170">
        <v>8298541</v>
      </c>
      <c r="PUB538" s="1170">
        <v>8298541</v>
      </c>
      <c r="PUC538" s="1170">
        <v>8298541</v>
      </c>
      <c r="PUD538" s="1170">
        <v>8298541</v>
      </c>
      <c r="PUE538" s="1170">
        <v>8298541</v>
      </c>
      <c r="PUF538" s="1170">
        <v>8298541</v>
      </c>
      <c r="PUG538" s="1170">
        <v>8298541</v>
      </c>
      <c r="PUH538" s="1170">
        <v>8298541</v>
      </c>
      <c r="PUI538" s="1170">
        <v>8298541</v>
      </c>
      <c r="PUJ538" s="1170">
        <v>8298541</v>
      </c>
      <c r="PUK538" s="1170">
        <v>8298541</v>
      </c>
      <c r="PUL538" s="1170">
        <v>8298541</v>
      </c>
      <c r="PUM538" s="1170">
        <v>8298541</v>
      </c>
      <c r="PUN538" s="1170">
        <v>8298541</v>
      </c>
      <c r="PUO538" s="1170">
        <v>8298541</v>
      </c>
      <c r="PUP538" s="1170">
        <v>8298541</v>
      </c>
      <c r="PUQ538" s="1170">
        <v>8298541</v>
      </c>
      <c r="PUR538" s="1170">
        <v>8298541</v>
      </c>
      <c r="PUS538" s="1170">
        <v>8298541</v>
      </c>
      <c r="PUT538" s="1170">
        <v>8298541</v>
      </c>
      <c r="PUU538" s="1170">
        <v>8298541</v>
      </c>
      <c r="PUV538" s="1170">
        <v>8298541</v>
      </c>
      <c r="PUW538" s="1170">
        <v>8298541</v>
      </c>
      <c r="PUX538" s="1170">
        <v>8298541</v>
      </c>
      <c r="PUY538" s="1170">
        <v>8298541</v>
      </c>
      <c r="PUZ538" s="1170">
        <v>8298541</v>
      </c>
      <c r="PVA538" s="1170">
        <v>8298541</v>
      </c>
      <c r="PVB538" s="1170">
        <v>8298541</v>
      </c>
      <c r="PVC538" s="1170">
        <v>8298541</v>
      </c>
      <c r="PVD538" s="1170">
        <v>8298541</v>
      </c>
      <c r="PVE538" s="1170">
        <v>8298541</v>
      </c>
      <c r="PVF538" s="1170">
        <v>8298541</v>
      </c>
      <c r="PVG538" s="1170">
        <v>8298541</v>
      </c>
      <c r="PVH538" s="1170">
        <v>8298541</v>
      </c>
      <c r="PVI538" s="1170">
        <v>8298541</v>
      </c>
      <c r="PVJ538" s="1170">
        <v>8298541</v>
      </c>
      <c r="PVK538" s="1170">
        <v>8298541</v>
      </c>
      <c r="PVL538" s="1170">
        <v>8298541</v>
      </c>
      <c r="PVM538" s="1170">
        <v>8298541</v>
      </c>
      <c r="PVN538" s="1170">
        <v>8298541</v>
      </c>
      <c r="PVO538" s="1170">
        <v>8298541</v>
      </c>
      <c r="PVP538" s="1170">
        <v>8298541</v>
      </c>
      <c r="PVQ538" s="1170">
        <v>8298541</v>
      </c>
      <c r="PVR538" s="1170">
        <v>8298541</v>
      </c>
      <c r="PVS538" s="1170">
        <v>8298541</v>
      </c>
      <c r="PVT538" s="1170">
        <v>8298541</v>
      </c>
      <c r="PVU538" s="1170">
        <v>8298541</v>
      </c>
      <c r="PVV538" s="1170">
        <v>8298541</v>
      </c>
      <c r="PVW538" s="1170">
        <v>8298541</v>
      </c>
      <c r="PVX538" s="1170">
        <v>8298541</v>
      </c>
      <c r="PVY538" s="1170">
        <v>8298541</v>
      </c>
      <c r="PVZ538" s="1170">
        <v>8298541</v>
      </c>
      <c r="PWA538" s="1170">
        <v>8298541</v>
      </c>
      <c r="PWB538" s="1170">
        <v>8298541</v>
      </c>
      <c r="PWC538" s="1170">
        <v>8298541</v>
      </c>
      <c r="PWD538" s="1170">
        <v>8298541</v>
      </c>
      <c r="PWE538" s="1170">
        <v>8298541</v>
      </c>
      <c r="PWF538" s="1170">
        <v>8298541</v>
      </c>
      <c r="PWG538" s="1170">
        <v>8298541</v>
      </c>
      <c r="PWH538" s="1170">
        <v>8298541</v>
      </c>
      <c r="PWI538" s="1170">
        <v>8298541</v>
      </c>
      <c r="PWJ538" s="1170">
        <v>8298541</v>
      </c>
      <c r="PWK538" s="1170">
        <v>8298541</v>
      </c>
      <c r="PWL538" s="1170">
        <v>8298541</v>
      </c>
      <c r="PWM538" s="1170">
        <v>8298541</v>
      </c>
      <c r="PWN538" s="1170">
        <v>8298541</v>
      </c>
      <c r="PWO538" s="1170">
        <v>8298541</v>
      </c>
      <c r="PWP538" s="1170">
        <v>8298541</v>
      </c>
      <c r="PWQ538" s="1170">
        <v>8298541</v>
      </c>
      <c r="PWR538" s="1170">
        <v>8298541</v>
      </c>
      <c r="PWS538" s="1170">
        <v>8298541</v>
      </c>
      <c r="PWT538" s="1170">
        <v>8298541</v>
      </c>
      <c r="PWU538" s="1170">
        <v>8298541</v>
      </c>
      <c r="PWV538" s="1170">
        <v>8298541</v>
      </c>
      <c r="PWW538" s="1170">
        <v>8298541</v>
      </c>
      <c r="PWX538" s="1170">
        <v>8298541</v>
      </c>
      <c r="PWY538" s="1170">
        <v>8298541</v>
      </c>
      <c r="PWZ538" s="1170">
        <v>8298541</v>
      </c>
      <c r="PXA538" s="1170">
        <v>8298541</v>
      </c>
      <c r="PXB538" s="1170">
        <v>8298541</v>
      </c>
      <c r="PXC538" s="1170">
        <v>8298541</v>
      </c>
      <c r="PXD538" s="1170">
        <v>8298541</v>
      </c>
      <c r="PXE538" s="1170">
        <v>8298541</v>
      </c>
      <c r="PXF538" s="1170">
        <v>8298541</v>
      </c>
      <c r="PXG538" s="1170">
        <v>8298541</v>
      </c>
      <c r="PXH538" s="1170">
        <v>8298541</v>
      </c>
      <c r="PXI538" s="1170">
        <v>8298541</v>
      </c>
      <c r="PXJ538" s="1170">
        <v>8298541</v>
      </c>
      <c r="PXK538" s="1170">
        <v>8298541</v>
      </c>
      <c r="PXL538" s="1170">
        <v>8298541</v>
      </c>
      <c r="PXM538" s="1170">
        <v>8298541</v>
      </c>
      <c r="PXN538" s="1170">
        <v>8298541</v>
      </c>
      <c r="PXO538" s="1170">
        <v>8298541</v>
      </c>
      <c r="PXP538" s="1170">
        <v>8298541</v>
      </c>
      <c r="PXQ538" s="1170">
        <v>8298541</v>
      </c>
      <c r="PXR538" s="1170">
        <v>8298541</v>
      </c>
      <c r="PXS538" s="1170">
        <v>8298541</v>
      </c>
      <c r="PXT538" s="1170">
        <v>8298541</v>
      </c>
      <c r="PXU538" s="1170">
        <v>8298541</v>
      </c>
      <c r="PXV538" s="1170">
        <v>8298541</v>
      </c>
      <c r="PXW538" s="1170">
        <v>8298541</v>
      </c>
      <c r="PXX538" s="1170">
        <v>8298541</v>
      </c>
      <c r="PXY538" s="1170">
        <v>8298541</v>
      </c>
      <c r="PXZ538" s="1170">
        <v>8298541</v>
      </c>
      <c r="PYA538" s="1170">
        <v>8298541</v>
      </c>
      <c r="PYB538" s="1170">
        <v>8298541</v>
      </c>
      <c r="PYC538" s="1170">
        <v>8298541</v>
      </c>
      <c r="PYD538" s="1170">
        <v>8298541</v>
      </c>
      <c r="PYE538" s="1170">
        <v>8298541</v>
      </c>
      <c r="PYF538" s="1170">
        <v>8298541</v>
      </c>
      <c r="PYG538" s="1170">
        <v>8298541</v>
      </c>
      <c r="PYH538" s="1170">
        <v>8298541</v>
      </c>
      <c r="PYI538" s="1170">
        <v>8298541</v>
      </c>
      <c r="PYJ538" s="1170">
        <v>8298541</v>
      </c>
      <c r="PYK538" s="1170">
        <v>8298541</v>
      </c>
      <c r="PYL538" s="1170">
        <v>8298541</v>
      </c>
      <c r="PYM538" s="1170">
        <v>8298541</v>
      </c>
      <c r="PYN538" s="1170">
        <v>8298541</v>
      </c>
      <c r="PYO538" s="1170">
        <v>8298541</v>
      </c>
      <c r="PYP538" s="1170">
        <v>8298541</v>
      </c>
      <c r="PYQ538" s="1170">
        <v>8298541</v>
      </c>
      <c r="PYR538" s="1170">
        <v>8298541</v>
      </c>
      <c r="PYS538" s="1170">
        <v>8298541</v>
      </c>
      <c r="PYT538" s="1170">
        <v>8298541</v>
      </c>
      <c r="PYU538" s="1170">
        <v>8298541</v>
      </c>
      <c r="PYV538" s="1170">
        <v>8298541</v>
      </c>
      <c r="PYW538" s="1170">
        <v>8298541</v>
      </c>
      <c r="PYX538" s="1170">
        <v>8298541</v>
      </c>
      <c r="PYY538" s="1170">
        <v>8298541</v>
      </c>
      <c r="PYZ538" s="1170">
        <v>8298541</v>
      </c>
      <c r="PZA538" s="1170">
        <v>8298541</v>
      </c>
      <c r="PZB538" s="1170">
        <v>8298541</v>
      </c>
      <c r="PZC538" s="1170">
        <v>8298541</v>
      </c>
      <c r="PZD538" s="1170">
        <v>8298541</v>
      </c>
      <c r="PZE538" s="1170">
        <v>8298541</v>
      </c>
      <c r="PZF538" s="1170">
        <v>8298541</v>
      </c>
      <c r="PZG538" s="1170">
        <v>8298541</v>
      </c>
      <c r="PZH538" s="1170">
        <v>8298541</v>
      </c>
      <c r="PZI538" s="1170">
        <v>8298541</v>
      </c>
      <c r="PZJ538" s="1170">
        <v>8298541</v>
      </c>
      <c r="PZK538" s="1170">
        <v>8298541</v>
      </c>
      <c r="PZL538" s="1170">
        <v>8298541</v>
      </c>
      <c r="PZM538" s="1170">
        <v>8298541</v>
      </c>
      <c r="PZN538" s="1170">
        <v>8298541</v>
      </c>
      <c r="PZO538" s="1170">
        <v>8298541</v>
      </c>
      <c r="PZP538" s="1170">
        <v>8298541</v>
      </c>
      <c r="PZQ538" s="1170">
        <v>8298541</v>
      </c>
      <c r="PZR538" s="1170">
        <v>8298541</v>
      </c>
      <c r="PZS538" s="1170">
        <v>8298541</v>
      </c>
      <c r="PZT538" s="1170">
        <v>8298541</v>
      </c>
      <c r="PZU538" s="1170">
        <v>8298541</v>
      </c>
      <c r="PZV538" s="1170">
        <v>8298541</v>
      </c>
      <c r="PZW538" s="1170">
        <v>8298541</v>
      </c>
      <c r="PZX538" s="1170">
        <v>8298541</v>
      </c>
      <c r="PZY538" s="1170">
        <v>8298541</v>
      </c>
      <c r="PZZ538" s="1170">
        <v>8298541</v>
      </c>
      <c r="QAA538" s="1170">
        <v>8298541</v>
      </c>
      <c r="QAB538" s="1170">
        <v>8298541</v>
      </c>
      <c r="QAC538" s="1170">
        <v>8298541</v>
      </c>
      <c r="QAD538" s="1170">
        <v>8298541</v>
      </c>
      <c r="QAE538" s="1170">
        <v>8298541</v>
      </c>
      <c r="QAF538" s="1170">
        <v>8298541</v>
      </c>
      <c r="QAG538" s="1170">
        <v>8298541</v>
      </c>
      <c r="QAH538" s="1170">
        <v>8298541</v>
      </c>
      <c r="QAI538" s="1170">
        <v>8298541</v>
      </c>
      <c r="QAJ538" s="1170">
        <v>8298541</v>
      </c>
      <c r="QAK538" s="1170">
        <v>8298541</v>
      </c>
      <c r="QAL538" s="1170">
        <v>8298541</v>
      </c>
      <c r="QAM538" s="1170">
        <v>8298541</v>
      </c>
      <c r="QAN538" s="1170">
        <v>8298541</v>
      </c>
      <c r="QAO538" s="1170">
        <v>8298541</v>
      </c>
      <c r="QAP538" s="1170">
        <v>8298541</v>
      </c>
      <c r="QAQ538" s="1170">
        <v>8298541</v>
      </c>
      <c r="QAR538" s="1170">
        <v>8298541</v>
      </c>
      <c r="QAS538" s="1170">
        <v>8298541</v>
      </c>
      <c r="QAT538" s="1170">
        <v>8298541</v>
      </c>
      <c r="QAU538" s="1170">
        <v>8298541</v>
      </c>
      <c r="QAV538" s="1170">
        <v>8298541</v>
      </c>
      <c r="QAW538" s="1170">
        <v>8298541</v>
      </c>
      <c r="QAX538" s="1170">
        <v>8298541</v>
      </c>
      <c r="QAY538" s="1170">
        <v>8298541</v>
      </c>
      <c r="QAZ538" s="1170">
        <v>8298541</v>
      </c>
      <c r="QBA538" s="1170">
        <v>8298541</v>
      </c>
      <c r="QBB538" s="1170">
        <v>8298541</v>
      </c>
      <c r="QBC538" s="1170">
        <v>8298541</v>
      </c>
      <c r="QBD538" s="1170">
        <v>8298541</v>
      </c>
      <c r="QBE538" s="1170">
        <v>8298541</v>
      </c>
      <c r="QBF538" s="1170">
        <v>8298541</v>
      </c>
      <c r="QBG538" s="1170">
        <v>8298541</v>
      </c>
      <c r="QBH538" s="1170">
        <v>8298541</v>
      </c>
      <c r="QBI538" s="1170">
        <v>8298541</v>
      </c>
      <c r="QBJ538" s="1170">
        <v>8298541</v>
      </c>
      <c r="QBK538" s="1170">
        <v>8298541</v>
      </c>
      <c r="QBL538" s="1170">
        <v>8298541</v>
      </c>
      <c r="QBM538" s="1170">
        <v>8298541</v>
      </c>
      <c r="QBN538" s="1170">
        <v>8298541</v>
      </c>
      <c r="QBO538" s="1170">
        <v>8298541</v>
      </c>
      <c r="QBP538" s="1170">
        <v>8298541</v>
      </c>
      <c r="QBQ538" s="1170">
        <v>8298541</v>
      </c>
      <c r="QBR538" s="1170">
        <v>8298541</v>
      </c>
      <c r="QBS538" s="1170">
        <v>8298541</v>
      </c>
      <c r="QBT538" s="1170">
        <v>8298541</v>
      </c>
      <c r="QBU538" s="1170">
        <v>8298541</v>
      </c>
      <c r="QBV538" s="1170">
        <v>8298541</v>
      </c>
      <c r="QBW538" s="1170">
        <v>8298541</v>
      </c>
      <c r="QBX538" s="1170">
        <v>8298541</v>
      </c>
      <c r="QBY538" s="1170">
        <v>8298541</v>
      </c>
      <c r="QBZ538" s="1170">
        <v>8298541</v>
      </c>
      <c r="QCA538" s="1170">
        <v>8298541</v>
      </c>
      <c r="QCB538" s="1170">
        <v>8298541</v>
      </c>
      <c r="QCC538" s="1170">
        <v>8298541</v>
      </c>
      <c r="QCD538" s="1170">
        <v>8298541</v>
      </c>
      <c r="QCE538" s="1170">
        <v>8298541</v>
      </c>
      <c r="QCF538" s="1170">
        <v>8298541</v>
      </c>
      <c r="QCG538" s="1170">
        <v>8298541</v>
      </c>
      <c r="QCH538" s="1170">
        <v>8298541</v>
      </c>
      <c r="QCI538" s="1170">
        <v>8298541</v>
      </c>
      <c r="QCJ538" s="1170">
        <v>8298541</v>
      </c>
      <c r="QCK538" s="1170">
        <v>8298541</v>
      </c>
      <c r="QCL538" s="1170">
        <v>8298541</v>
      </c>
      <c r="QCM538" s="1170">
        <v>8298541</v>
      </c>
      <c r="QCN538" s="1170">
        <v>8298541</v>
      </c>
      <c r="QCO538" s="1170">
        <v>8298541</v>
      </c>
      <c r="QCP538" s="1170">
        <v>8298541</v>
      </c>
      <c r="QCQ538" s="1170">
        <v>8298541</v>
      </c>
      <c r="QCR538" s="1170">
        <v>8298541</v>
      </c>
      <c r="QCS538" s="1170">
        <v>8298541</v>
      </c>
      <c r="QCT538" s="1170">
        <v>8298541</v>
      </c>
      <c r="QCU538" s="1170">
        <v>8298541</v>
      </c>
      <c r="QCV538" s="1170">
        <v>8298541</v>
      </c>
      <c r="QCW538" s="1170">
        <v>8298541</v>
      </c>
      <c r="QCX538" s="1170">
        <v>8298541</v>
      </c>
      <c r="QCY538" s="1170">
        <v>8298541</v>
      </c>
      <c r="QCZ538" s="1170">
        <v>8298541</v>
      </c>
      <c r="QDA538" s="1170">
        <v>8298541</v>
      </c>
      <c r="QDB538" s="1170">
        <v>8298541</v>
      </c>
      <c r="QDC538" s="1170">
        <v>8298541</v>
      </c>
      <c r="QDD538" s="1170">
        <v>8298541</v>
      </c>
      <c r="QDE538" s="1170">
        <v>8298541</v>
      </c>
      <c r="QDF538" s="1170">
        <v>8298541</v>
      </c>
      <c r="QDG538" s="1170">
        <v>8298541</v>
      </c>
      <c r="QDH538" s="1170">
        <v>8298541</v>
      </c>
      <c r="QDI538" s="1170">
        <v>8298541</v>
      </c>
      <c r="QDJ538" s="1170">
        <v>8298541</v>
      </c>
      <c r="QDK538" s="1170">
        <v>8298541</v>
      </c>
      <c r="QDL538" s="1170">
        <v>8298541</v>
      </c>
      <c r="QDM538" s="1170">
        <v>8298541</v>
      </c>
      <c r="QDN538" s="1170">
        <v>8298541</v>
      </c>
      <c r="QDO538" s="1170">
        <v>8298541</v>
      </c>
      <c r="QDP538" s="1170">
        <v>8298541</v>
      </c>
      <c r="QDQ538" s="1170">
        <v>8298541</v>
      </c>
      <c r="QDR538" s="1170">
        <v>8298541</v>
      </c>
      <c r="QDS538" s="1170">
        <v>8298541</v>
      </c>
      <c r="QDT538" s="1170">
        <v>8298541</v>
      </c>
      <c r="QDU538" s="1170">
        <v>8298541</v>
      </c>
      <c r="QDV538" s="1170">
        <v>8298541</v>
      </c>
      <c r="QDW538" s="1170">
        <v>8298541</v>
      </c>
      <c r="QDX538" s="1170">
        <v>8298541</v>
      </c>
      <c r="QDY538" s="1170">
        <v>8298541</v>
      </c>
      <c r="QDZ538" s="1170">
        <v>8298541</v>
      </c>
      <c r="QEA538" s="1170">
        <v>8298541</v>
      </c>
      <c r="QEB538" s="1170">
        <v>8298541</v>
      </c>
      <c r="QEC538" s="1170">
        <v>8298541</v>
      </c>
      <c r="QED538" s="1170">
        <v>8298541</v>
      </c>
      <c r="QEE538" s="1170">
        <v>8298541</v>
      </c>
      <c r="QEF538" s="1170">
        <v>8298541</v>
      </c>
      <c r="QEG538" s="1170">
        <v>8298541</v>
      </c>
      <c r="QEH538" s="1170">
        <v>8298541</v>
      </c>
      <c r="QEI538" s="1170">
        <v>8298541</v>
      </c>
      <c r="QEJ538" s="1170">
        <v>8298541</v>
      </c>
      <c r="QEK538" s="1170">
        <v>8298541</v>
      </c>
      <c r="QEL538" s="1170">
        <v>8298541</v>
      </c>
      <c r="QEM538" s="1170">
        <v>8298541</v>
      </c>
      <c r="QEN538" s="1170">
        <v>8298541</v>
      </c>
      <c r="QEO538" s="1170">
        <v>8298541</v>
      </c>
      <c r="QEP538" s="1170">
        <v>8298541</v>
      </c>
      <c r="QEQ538" s="1170">
        <v>8298541</v>
      </c>
      <c r="QER538" s="1170">
        <v>8298541</v>
      </c>
      <c r="QES538" s="1170">
        <v>8298541</v>
      </c>
      <c r="QET538" s="1170">
        <v>8298541</v>
      </c>
      <c r="QEU538" s="1170">
        <v>8298541</v>
      </c>
      <c r="QEV538" s="1170">
        <v>8298541</v>
      </c>
      <c r="QEW538" s="1170">
        <v>8298541</v>
      </c>
      <c r="QEX538" s="1170">
        <v>8298541</v>
      </c>
      <c r="QEY538" s="1170">
        <v>8298541</v>
      </c>
      <c r="QEZ538" s="1170">
        <v>8298541</v>
      </c>
      <c r="QFA538" s="1170">
        <v>8298541</v>
      </c>
      <c r="QFB538" s="1170">
        <v>8298541</v>
      </c>
      <c r="QFC538" s="1170">
        <v>8298541</v>
      </c>
      <c r="QFD538" s="1170">
        <v>8298541</v>
      </c>
      <c r="QFE538" s="1170">
        <v>8298541</v>
      </c>
      <c r="QFF538" s="1170">
        <v>8298541</v>
      </c>
      <c r="QFG538" s="1170">
        <v>8298541</v>
      </c>
      <c r="QFH538" s="1170">
        <v>8298541</v>
      </c>
      <c r="QFI538" s="1170">
        <v>8298541</v>
      </c>
      <c r="QFJ538" s="1170">
        <v>8298541</v>
      </c>
      <c r="QFK538" s="1170">
        <v>8298541</v>
      </c>
      <c r="QFL538" s="1170">
        <v>8298541</v>
      </c>
      <c r="QFM538" s="1170">
        <v>8298541</v>
      </c>
      <c r="QFN538" s="1170">
        <v>8298541</v>
      </c>
      <c r="QFO538" s="1170">
        <v>8298541</v>
      </c>
      <c r="QFP538" s="1170">
        <v>8298541</v>
      </c>
      <c r="QFQ538" s="1170">
        <v>8298541</v>
      </c>
      <c r="QFR538" s="1170">
        <v>8298541</v>
      </c>
      <c r="QFS538" s="1170">
        <v>8298541</v>
      </c>
      <c r="QFT538" s="1170">
        <v>8298541</v>
      </c>
      <c r="QFU538" s="1170">
        <v>8298541</v>
      </c>
      <c r="QFV538" s="1170">
        <v>8298541</v>
      </c>
      <c r="QFW538" s="1170">
        <v>8298541</v>
      </c>
      <c r="QFX538" s="1170">
        <v>8298541</v>
      </c>
      <c r="QFY538" s="1170">
        <v>8298541</v>
      </c>
      <c r="QFZ538" s="1170">
        <v>8298541</v>
      </c>
      <c r="QGA538" s="1170">
        <v>8298541</v>
      </c>
      <c r="QGB538" s="1170">
        <v>8298541</v>
      </c>
      <c r="QGC538" s="1170">
        <v>8298541</v>
      </c>
      <c r="QGD538" s="1170">
        <v>8298541</v>
      </c>
      <c r="QGE538" s="1170">
        <v>8298541</v>
      </c>
      <c r="QGF538" s="1170">
        <v>8298541</v>
      </c>
      <c r="QGG538" s="1170">
        <v>8298541</v>
      </c>
      <c r="QGH538" s="1170">
        <v>8298541</v>
      </c>
      <c r="QGI538" s="1170">
        <v>8298541</v>
      </c>
      <c r="QGJ538" s="1170">
        <v>8298541</v>
      </c>
      <c r="QGK538" s="1170">
        <v>8298541</v>
      </c>
      <c r="QGL538" s="1170">
        <v>8298541</v>
      </c>
      <c r="QGM538" s="1170">
        <v>8298541</v>
      </c>
      <c r="QGN538" s="1170">
        <v>8298541</v>
      </c>
      <c r="QGO538" s="1170">
        <v>8298541</v>
      </c>
      <c r="QGP538" s="1170">
        <v>8298541</v>
      </c>
      <c r="QGQ538" s="1170">
        <v>8298541</v>
      </c>
      <c r="QGR538" s="1170">
        <v>8298541</v>
      </c>
      <c r="QGS538" s="1170">
        <v>8298541</v>
      </c>
      <c r="QGT538" s="1170">
        <v>8298541</v>
      </c>
      <c r="QGU538" s="1170">
        <v>8298541</v>
      </c>
      <c r="QGV538" s="1170">
        <v>8298541</v>
      </c>
      <c r="QGW538" s="1170">
        <v>8298541</v>
      </c>
      <c r="QGX538" s="1170">
        <v>8298541</v>
      </c>
      <c r="QGY538" s="1170">
        <v>8298541</v>
      </c>
      <c r="QGZ538" s="1170">
        <v>8298541</v>
      </c>
      <c r="QHA538" s="1170">
        <v>8298541</v>
      </c>
      <c r="QHB538" s="1170">
        <v>8298541</v>
      </c>
      <c r="QHC538" s="1170">
        <v>8298541</v>
      </c>
      <c r="QHD538" s="1170">
        <v>8298541</v>
      </c>
      <c r="QHE538" s="1170">
        <v>8298541</v>
      </c>
      <c r="QHF538" s="1170">
        <v>8298541</v>
      </c>
      <c r="QHG538" s="1170">
        <v>8298541</v>
      </c>
      <c r="QHH538" s="1170">
        <v>8298541</v>
      </c>
      <c r="QHI538" s="1170">
        <v>8298541</v>
      </c>
      <c r="QHJ538" s="1170">
        <v>8298541</v>
      </c>
      <c r="QHK538" s="1170">
        <v>8298541</v>
      </c>
      <c r="QHL538" s="1170">
        <v>8298541</v>
      </c>
      <c r="QHM538" s="1170">
        <v>8298541</v>
      </c>
      <c r="QHN538" s="1170">
        <v>8298541</v>
      </c>
      <c r="QHO538" s="1170">
        <v>8298541</v>
      </c>
      <c r="QHP538" s="1170">
        <v>8298541</v>
      </c>
      <c r="QHQ538" s="1170">
        <v>8298541</v>
      </c>
      <c r="QHR538" s="1170">
        <v>8298541</v>
      </c>
      <c r="QHS538" s="1170">
        <v>8298541</v>
      </c>
      <c r="QHT538" s="1170">
        <v>8298541</v>
      </c>
      <c r="QHU538" s="1170">
        <v>8298541</v>
      </c>
      <c r="QHV538" s="1170">
        <v>8298541</v>
      </c>
      <c r="QHW538" s="1170">
        <v>8298541</v>
      </c>
      <c r="QHX538" s="1170">
        <v>8298541</v>
      </c>
      <c r="QHY538" s="1170">
        <v>8298541</v>
      </c>
      <c r="QHZ538" s="1170">
        <v>8298541</v>
      </c>
      <c r="QIA538" s="1170">
        <v>8298541</v>
      </c>
      <c r="QIB538" s="1170">
        <v>8298541</v>
      </c>
      <c r="QIC538" s="1170">
        <v>8298541</v>
      </c>
      <c r="QID538" s="1170">
        <v>8298541</v>
      </c>
      <c r="QIE538" s="1170">
        <v>8298541</v>
      </c>
      <c r="QIF538" s="1170">
        <v>8298541</v>
      </c>
      <c r="QIG538" s="1170">
        <v>8298541</v>
      </c>
      <c r="QIH538" s="1170">
        <v>8298541</v>
      </c>
      <c r="QII538" s="1170">
        <v>8298541</v>
      </c>
      <c r="QIJ538" s="1170">
        <v>8298541</v>
      </c>
      <c r="QIK538" s="1170">
        <v>8298541</v>
      </c>
      <c r="QIL538" s="1170">
        <v>8298541</v>
      </c>
      <c r="QIM538" s="1170">
        <v>8298541</v>
      </c>
      <c r="QIN538" s="1170">
        <v>8298541</v>
      </c>
      <c r="QIO538" s="1170">
        <v>8298541</v>
      </c>
      <c r="QIP538" s="1170">
        <v>8298541</v>
      </c>
      <c r="QIQ538" s="1170">
        <v>8298541</v>
      </c>
      <c r="QIR538" s="1170">
        <v>8298541</v>
      </c>
      <c r="QIS538" s="1170">
        <v>8298541</v>
      </c>
      <c r="QIT538" s="1170">
        <v>8298541</v>
      </c>
      <c r="QIU538" s="1170">
        <v>8298541</v>
      </c>
      <c r="QIV538" s="1170">
        <v>8298541</v>
      </c>
      <c r="QIW538" s="1170">
        <v>8298541</v>
      </c>
      <c r="QIX538" s="1170">
        <v>8298541</v>
      </c>
      <c r="QIY538" s="1170">
        <v>8298541</v>
      </c>
      <c r="QIZ538" s="1170">
        <v>8298541</v>
      </c>
      <c r="QJA538" s="1170">
        <v>8298541</v>
      </c>
      <c r="QJB538" s="1170">
        <v>8298541</v>
      </c>
      <c r="QJC538" s="1170">
        <v>8298541</v>
      </c>
      <c r="QJD538" s="1170">
        <v>8298541</v>
      </c>
      <c r="QJE538" s="1170">
        <v>8298541</v>
      </c>
      <c r="QJF538" s="1170">
        <v>8298541</v>
      </c>
      <c r="QJG538" s="1170">
        <v>8298541</v>
      </c>
      <c r="QJH538" s="1170">
        <v>8298541</v>
      </c>
      <c r="QJI538" s="1170">
        <v>8298541</v>
      </c>
      <c r="QJJ538" s="1170">
        <v>8298541</v>
      </c>
      <c r="QJK538" s="1170">
        <v>8298541</v>
      </c>
      <c r="QJL538" s="1170">
        <v>8298541</v>
      </c>
      <c r="QJM538" s="1170">
        <v>8298541</v>
      </c>
      <c r="QJN538" s="1170">
        <v>8298541</v>
      </c>
      <c r="QJO538" s="1170">
        <v>8298541</v>
      </c>
      <c r="QJP538" s="1170">
        <v>8298541</v>
      </c>
      <c r="QJQ538" s="1170">
        <v>8298541</v>
      </c>
      <c r="QJR538" s="1170">
        <v>8298541</v>
      </c>
      <c r="QJS538" s="1170">
        <v>8298541</v>
      </c>
      <c r="QJT538" s="1170">
        <v>8298541</v>
      </c>
      <c r="QJU538" s="1170">
        <v>8298541</v>
      </c>
      <c r="QJV538" s="1170">
        <v>8298541</v>
      </c>
      <c r="QJW538" s="1170">
        <v>8298541</v>
      </c>
      <c r="QJX538" s="1170">
        <v>8298541</v>
      </c>
      <c r="QJY538" s="1170">
        <v>8298541</v>
      </c>
      <c r="QJZ538" s="1170">
        <v>8298541</v>
      </c>
      <c r="QKA538" s="1170">
        <v>8298541</v>
      </c>
      <c r="QKB538" s="1170">
        <v>8298541</v>
      </c>
      <c r="QKC538" s="1170">
        <v>8298541</v>
      </c>
      <c r="QKD538" s="1170">
        <v>8298541</v>
      </c>
      <c r="QKE538" s="1170">
        <v>8298541</v>
      </c>
      <c r="QKF538" s="1170">
        <v>8298541</v>
      </c>
      <c r="QKG538" s="1170">
        <v>8298541</v>
      </c>
      <c r="QKH538" s="1170">
        <v>8298541</v>
      </c>
      <c r="QKI538" s="1170">
        <v>8298541</v>
      </c>
      <c r="QKJ538" s="1170">
        <v>8298541</v>
      </c>
      <c r="QKK538" s="1170">
        <v>8298541</v>
      </c>
      <c r="QKL538" s="1170">
        <v>8298541</v>
      </c>
      <c r="QKM538" s="1170">
        <v>8298541</v>
      </c>
      <c r="QKN538" s="1170">
        <v>8298541</v>
      </c>
      <c r="QKO538" s="1170">
        <v>8298541</v>
      </c>
      <c r="QKP538" s="1170">
        <v>8298541</v>
      </c>
      <c r="QKQ538" s="1170">
        <v>8298541</v>
      </c>
      <c r="QKR538" s="1170">
        <v>8298541</v>
      </c>
      <c r="QKS538" s="1170">
        <v>8298541</v>
      </c>
      <c r="QKT538" s="1170">
        <v>8298541</v>
      </c>
      <c r="QKU538" s="1170">
        <v>8298541</v>
      </c>
      <c r="QKV538" s="1170">
        <v>8298541</v>
      </c>
      <c r="QKW538" s="1170">
        <v>8298541</v>
      </c>
      <c r="QKX538" s="1170">
        <v>8298541</v>
      </c>
      <c r="QKY538" s="1170">
        <v>8298541</v>
      </c>
      <c r="QKZ538" s="1170">
        <v>8298541</v>
      </c>
      <c r="QLA538" s="1170">
        <v>8298541</v>
      </c>
      <c r="QLB538" s="1170">
        <v>8298541</v>
      </c>
      <c r="QLC538" s="1170">
        <v>8298541</v>
      </c>
      <c r="QLD538" s="1170">
        <v>8298541</v>
      </c>
      <c r="QLE538" s="1170">
        <v>8298541</v>
      </c>
      <c r="QLF538" s="1170">
        <v>8298541</v>
      </c>
      <c r="QLG538" s="1170">
        <v>8298541</v>
      </c>
      <c r="QLH538" s="1170">
        <v>8298541</v>
      </c>
      <c r="QLI538" s="1170">
        <v>8298541</v>
      </c>
      <c r="QLJ538" s="1170">
        <v>8298541</v>
      </c>
      <c r="QLK538" s="1170">
        <v>8298541</v>
      </c>
      <c r="QLL538" s="1170">
        <v>8298541</v>
      </c>
      <c r="QLM538" s="1170">
        <v>8298541</v>
      </c>
      <c r="QLN538" s="1170">
        <v>8298541</v>
      </c>
      <c r="QLO538" s="1170">
        <v>8298541</v>
      </c>
      <c r="QLP538" s="1170">
        <v>8298541</v>
      </c>
      <c r="QLQ538" s="1170">
        <v>8298541</v>
      </c>
      <c r="QLR538" s="1170">
        <v>8298541</v>
      </c>
      <c r="QLS538" s="1170">
        <v>8298541</v>
      </c>
      <c r="QLT538" s="1170">
        <v>8298541</v>
      </c>
      <c r="QLU538" s="1170">
        <v>8298541</v>
      </c>
      <c r="QLV538" s="1170">
        <v>8298541</v>
      </c>
      <c r="QLW538" s="1170">
        <v>8298541</v>
      </c>
      <c r="QLX538" s="1170">
        <v>8298541</v>
      </c>
      <c r="QLY538" s="1170">
        <v>8298541</v>
      </c>
      <c r="QLZ538" s="1170">
        <v>8298541</v>
      </c>
      <c r="QMA538" s="1170">
        <v>8298541</v>
      </c>
      <c r="QMB538" s="1170">
        <v>8298541</v>
      </c>
      <c r="QMC538" s="1170">
        <v>8298541</v>
      </c>
      <c r="QMD538" s="1170">
        <v>8298541</v>
      </c>
      <c r="QME538" s="1170">
        <v>8298541</v>
      </c>
      <c r="QMF538" s="1170">
        <v>8298541</v>
      </c>
      <c r="QMG538" s="1170">
        <v>8298541</v>
      </c>
      <c r="QMH538" s="1170">
        <v>8298541</v>
      </c>
      <c r="QMI538" s="1170">
        <v>8298541</v>
      </c>
      <c r="QMJ538" s="1170">
        <v>8298541</v>
      </c>
      <c r="QMK538" s="1170">
        <v>8298541</v>
      </c>
      <c r="QML538" s="1170">
        <v>8298541</v>
      </c>
      <c r="QMM538" s="1170">
        <v>8298541</v>
      </c>
      <c r="QMN538" s="1170">
        <v>8298541</v>
      </c>
      <c r="QMO538" s="1170">
        <v>8298541</v>
      </c>
      <c r="QMP538" s="1170">
        <v>8298541</v>
      </c>
      <c r="QMQ538" s="1170">
        <v>8298541</v>
      </c>
      <c r="QMR538" s="1170">
        <v>8298541</v>
      </c>
      <c r="QMS538" s="1170">
        <v>8298541</v>
      </c>
      <c r="QMT538" s="1170">
        <v>8298541</v>
      </c>
      <c r="QMU538" s="1170">
        <v>8298541</v>
      </c>
      <c r="QMV538" s="1170">
        <v>8298541</v>
      </c>
      <c r="QMW538" s="1170">
        <v>8298541</v>
      </c>
      <c r="QMX538" s="1170">
        <v>8298541</v>
      </c>
      <c r="QMY538" s="1170">
        <v>8298541</v>
      </c>
      <c r="QMZ538" s="1170">
        <v>8298541</v>
      </c>
      <c r="QNA538" s="1170">
        <v>8298541</v>
      </c>
      <c r="QNB538" s="1170">
        <v>8298541</v>
      </c>
      <c r="QNC538" s="1170">
        <v>8298541</v>
      </c>
      <c r="QND538" s="1170">
        <v>8298541</v>
      </c>
      <c r="QNE538" s="1170">
        <v>8298541</v>
      </c>
      <c r="QNF538" s="1170">
        <v>8298541</v>
      </c>
      <c r="QNG538" s="1170">
        <v>8298541</v>
      </c>
      <c r="QNH538" s="1170">
        <v>8298541</v>
      </c>
      <c r="QNI538" s="1170">
        <v>8298541</v>
      </c>
      <c r="QNJ538" s="1170">
        <v>8298541</v>
      </c>
      <c r="QNK538" s="1170">
        <v>8298541</v>
      </c>
      <c r="QNL538" s="1170">
        <v>8298541</v>
      </c>
      <c r="QNM538" s="1170">
        <v>8298541</v>
      </c>
      <c r="QNN538" s="1170">
        <v>8298541</v>
      </c>
      <c r="QNO538" s="1170">
        <v>8298541</v>
      </c>
      <c r="QNP538" s="1170">
        <v>8298541</v>
      </c>
      <c r="QNQ538" s="1170">
        <v>8298541</v>
      </c>
      <c r="QNR538" s="1170">
        <v>8298541</v>
      </c>
      <c r="QNS538" s="1170">
        <v>8298541</v>
      </c>
      <c r="QNT538" s="1170">
        <v>8298541</v>
      </c>
      <c r="QNU538" s="1170">
        <v>8298541</v>
      </c>
      <c r="QNV538" s="1170">
        <v>8298541</v>
      </c>
      <c r="QNW538" s="1170">
        <v>8298541</v>
      </c>
      <c r="QNX538" s="1170">
        <v>8298541</v>
      </c>
      <c r="QNY538" s="1170">
        <v>8298541</v>
      </c>
      <c r="QNZ538" s="1170">
        <v>8298541</v>
      </c>
      <c r="QOA538" s="1170">
        <v>8298541</v>
      </c>
      <c r="QOB538" s="1170">
        <v>8298541</v>
      </c>
      <c r="QOC538" s="1170">
        <v>8298541</v>
      </c>
      <c r="QOD538" s="1170">
        <v>8298541</v>
      </c>
      <c r="QOE538" s="1170">
        <v>8298541</v>
      </c>
      <c r="QOF538" s="1170">
        <v>8298541</v>
      </c>
      <c r="QOG538" s="1170">
        <v>8298541</v>
      </c>
      <c r="QOH538" s="1170">
        <v>8298541</v>
      </c>
      <c r="QOI538" s="1170">
        <v>8298541</v>
      </c>
      <c r="QOJ538" s="1170">
        <v>8298541</v>
      </c>
      <c r="QOK538" s="1170">
        <v>8298541</v>
      </c>
      <c r="QOL538" s="1170">
        <v>8298541</v>
      </c>
      <c r="QOM538" s="1170">
        <v>8298541</v>
      </c>
      <c r="QON538" s="1170">
        <v>8298541</v>
      </c>
      <c r="QOO538" s="1170">
        <v>8298541</v>
      </c>
      <c r="QOP538" s="1170">
        <v>8298541</v>
      </c>
      <c r="QOQ538" s="1170">
        <v>8298541</v>
      </c>
      <c r="QOR538" s="1170">
        <v>8298541</v>
      </c>
      <c r="QOS538" s="1170">
        <v>8298541</v>
      </c>
      <c r="QOT538" s="1170">
        <v>8298541</v>
      </c>
      <c r="QOU538" s="1170">
        <v>8298541</v>
      </c>
      <c r="QOV538" s="1170">
        <v>8298541</v>
      </c>
      <c r="QOW538" s="1170">
        <v>8298541</v>
      </c>
      <c r="QOX538" s="1170">
        <v>8298541</v>
      </c>
      <c r="QOY538" s="1170">
        <v>8298541</v>
      </c>
      <c r="QOZ538" s="1170">
        <v>8298541</v>
      </c>
      <c r="QPA538" s="1170">
        <v>8298541</v>
      </c>
      <c r="QPB538" s="1170">
        <v>8298541</v>
      </c>
      <c r="QPC538" s="1170">
        <v>8298541</v>
      </c>
      <c r="QPD538" s="1170">
        <v>8298541</v>
      </c>
      <c r="QPE538" s="1170">
        <v>8298541</v>
      </c>
      <c r="QPF538" s="1170">
        <v>8298541</v>
      </c>
      <c r="QPG538" s="1170">
        <v>8298541</v>
      </c>
      <c r="QPH538" s="1170">
        <v>8298541</v>
      </c>
      <c r="QPI538" s="1170">
        <v>8298541</v>
      </c>
      <c r="QPJ538" s="1170">
        <v>8298541</v>
      </c>
      <c r="QPK538" s="1170">
        <v>8298541</v>
      </c>
      <c r="QPL538" s="1170">
        <v>8298541</v>
      </c>
      <c r="QPM538" s="1170">
        <v>8298541</v>
      </c>
      <c r="QPN538" s="1170">
        <v>8298541</v>
      </c>
      <c r="QPO538" s="1170">
        <v>8298541</v>
      </c>
      <c r="QPP538" s="1170">
        <v>8298541</v>
      </c>
      <c r="QPQ538" s="1170">
        <v>8298541</v>
      </c>
      <c r="QPR538" s="1170">
        <v>8298541</v>
      </c>
      <c r="QPS538" s="1170">
        <v>8298541</v>
      </c>
      <c r="QPT538" s="1170">
        <v>8298541</v>
      </c>
      <c r="QPU538" s="1170">
        <v>8298541</v>
      </c>
      <c r="QPV538" s="1170">
        <v>8298541</v>
      </c>
      <c r="QPW538" s="1170">
        <v>8298541</v>
      </c>
      <c r="QPX538" s="1170">
        <v>8298541</v>
      </c>
      <c r="QPY538" s="1170">
        <v>8298541</v>
      </c>
      <c r="QPZ538" s="1170">
        <v>8298541</v>
      </c>
      <c r="QQA538" s="1170">
        <v>8298541</v>
      </c>
      <c r="QQB538" s="1170">
        <v>8298541</v>
      </c>
      <c r="QQC538" s="1170">
        <v>8298541</v>
      </c>
      <c r="QQD538" s="1170">
        <v>8298541</v>
      </c>
      <c r="QQE538" s="1170">
        <v>8298541</v>
      </c>
      <c r="QQF538" s="1170">
        <v>8298541</v>
      </c>
      <c r="QQG538" s="1170">
        <v>8298541</v>
      </c>
      <c r="QQH538" s="1170">
        <v>8298541</v>
      </c>
      <c r="QQI538" s="1170">
        <v>8298541</v>
      </c>
      <c r="QQJ538" s="1170">
        <v>8298541</v>
      </c>
      <c r="QQK538" s="1170">
        <v>8298541</v>
      </c>
      <c r="QQL538" s="1170">
        <v>8298541</v>
      </c>
      <c r="QQM538" s="1170">
        <v>8298541</v>
      </c>
      <c r="QQN538" s="1170">
        <v>8298541</v>
      </c>
      <c r="QQO538" s="1170">
        <v>8298541</v>
      </c>
      <c r="QQP538" s="1170">
        <v>8298541</v>
      </c>
      <c r="QQQ538" s="1170">
        <v>8298541</v>
      </c>
      <c r="QQR538" s="1170">
        <v>8298541</v>
      </c>
      <c r="QQS538" s="1170">
        <v>8298541</v>
      </c>
      <c r="QQT538" s="1170">
        <v>8298541</v>
      </c>
      <c r="QQU538" s="1170">
        <v>8298541</v>
      </c>
      <c r="QQV538" s="1170">
        <v>8298541</v>
      </c>
      <c r="QQW538" s="1170">
        <v>8298541</v>
      </c>
      <c r="QQX538" s="1170">
        <v>8298541</v>
      </c>
      <c r="QQY538" s="1170">
        <v>8298541</v>
      </c>
      <c r="QQZ538" s="1170">
        <v>8298541</v>
      </c>
      <c r="QRA538" s="1170">
        <v>8298541</v>
      </c>
      <c r="QRB538" s="1170">
        <v>8298541</v>
      </c>
      <c r="QRC538" s="1170">
        <v>8298541</v>
      </c>
      <c r="QRD538" s="1170">
        <v>8298541</v>
      </c>
      <c r="QRE538" s="1170">
        <v>8298541</v>
      </c>
      <c r="QRF538" s="1170">
        <v>8298541</v>
      </c>
      <c r="QRG538" s="1170">
        <v>8298541</v>
      </c>
      <c r="QRH538" s="1170">
        <v>8298541</v>
      </c>
      <c r="QRI538" s="1170">
        <v>8298541</v>
      </c>
      <c r="QRJ538" s="1170">
        <v>8298541</v>
      </c>
      <c r="QRK538" s="1170">
        <v>8298541</v>
      </c>
      <c r="QRL538" s="1170">
        <v>8298541</v>
      </c>
      <c r="QRM538" s="1170">
        <v>8298541</v>
      </c>
      <c r="QRN538" s="1170">
        <v>8298541</v>
      </c>
      <c r="QRO538" s="1170">
        <v>8298541</v>
      </c>
      <c r="QRP538" s="1170">
        <v>8298541</v>
      </c>
      <c r="QRQ538" s="1170">
        <v>8298541</v>
      </c>
      <c r="QRR538" s="1170">
        <v>8298541</v>
      </c>
      <c r="QRS538" s="1170">
        <v>8298541</v>
      </c>
      <c r="QRT538" s="1170">
        <v>8298541</v>
      </c>
      <c r="QRU538" s="1170">
        <v>8298541</v>
      </c>
      <c r="QRV538" s="1170">
        <v>8298541</v>
      </c>
      <c r="QRW538" s="1170">
        <v>8298541</v>
      </c>
      <c r="QRX538" s="1170">
        <v>8298541</v>
      </c>
      <c r="QRY538" s="1170">
        <v>8298541</v>
      </c>
      <c r="QRZ538" s="1170">
        <v>8298541</v>
      </c>
      <c r="QSA538" s="1170">
        <v>8298541</v>
      </c>
      <c r="QSB538" s="1170">
        <v>8298541</v>
      </c>
      <c r="QSC538" s="1170">
        <v>8298541</v>
      </c>
      <c r="QSD538" s="1170">
        <v>8298541</v>
      </c>
      <c r="QSE538" s="1170">
        <v>8298541</v>
      </c>
      <c r="QSF538" s="1170">
        <v>8298541</v>
      </c>
      <c r="QSG538" s="1170">
        <v>8298541</v>
      </c>
      <c r="QSH538" s="1170">
        <v>8298541</v>
      </c>
      <c r="QSI538" s="1170">
        <v>8298541</v>
      </c>
      <c r="QSJ538" s="1170">
        <v>8298541</v>
      </c>
      <c r="QSK538" s="1170">
        <v>8298541</v>
      </c>
      <c r="QSL538" s="1170">
        <v>8298541</v>
      </c>
      <c r="QSM538" s="1170">
        <v>8298541</v>
      </c>
      <c r="QSN538" s="1170">
        <v>8298541</v>
      </c>
      <c r="QSO538" s="1170">
        <v>8298541</v>
      </c>
      <c r="QSP538" s="1170">
        <v>8298541</v>
      </c>
      <c r="QSQ538" s="1170">
        <v>8298541</v>
      </c>
      <c r="QSR538" s="1170">
        <v>8298541</v>
      </c>
      <c r="QSS538" s="1170">
        <v>8298541</v>
      </c>
      <c r="QST538" s="1170">
        <v>8298541</v>
      </c>
      <c r="QSU538" s="1170">
        <v>8298541</v>
      </c>
      <c r="QSV538" s="1170">
        <v>8298541</v>
      </c>
      <c r="QSW538" s="1170">
        <v>8298541</v>
      </c>
      <c r="QSX538" s="1170">
        <v>8298541</v>
      </c>
      <c r="QSY538" s="1170">
        <v>8298541</v>
      </c>
      <c r="QSZ538" s="1170">
        <v>8298541</v>
      </c>
      <c r="QTA538" s="1170">
        <v>8298541</v>
      </c>
      <c r="QTB538" s="1170">
        <v>8298541</v>
      </c>
      <c r="QTC538" s="1170">
        <v>8298541</v>
      </c>
      <c r="QTD538" s="1170">
        <v>8298541</v>
      </c>
      <c r="QTE538" s="1170">
        <v>8298541</v>
      </c>
      <c r="QTF538" s="1170">
        <v>8298541</v>
      </c>
      <c r="QTG538" s="1170">
        <v>8298541</v>
      </c>
      <c r="QTH538" s="1170">
        <v>8298541</v>
      </c>
      <c r="QTI538" s="1170">
        <v>8298541</v>
      </c>
      <c r="QTJ538" s="1170">
        <v>8298541</v>
      </c>
      <c r="QTK538" s="1170">
        <v>8298541</v>
      </c>
      <c r="QTL538" s="1170">
        <v>8298541</v>
      </c>
      <c r="QTM538" s="1170">
        <v>8298541</v>
      </c>
      <c r="QTN538" s="1170">
        <v>8298541</v>
      </c>
      <c r="QTO538" s="1170">
        <v>8298541</v>
      </c>
      <c r="QTP538" s="1170">
        <v>8298541</v>
      </c>
      <c r="QTQ538" s="1170">
        <v>8298541</v>
      </c>
      <c r="QTR538" s="1170">
        <v>8298541</v>
      </c>
      <c r="QTS538" s="1170">
        <v>8298541</v>
      </c>
      <c r="QTT538" s="1170">
        <v>8298541</v>
      </c>
      <c r="QTU538" s="1170">
        <v>8298541</v>
      </c>
      <c r="QTV538" s="1170">
        <v>8298541</v>
      </c>
      <c r="QTW538" s="1170">
        <v>8298541</v>
      </c>
      <c r="QTX538" s="1170">
        <v>8298541</v>
      </c>
      <c r="QTY538" s="1170">
        <v>8298541</v>
      </c>
      <c r="QTZ538" s="1170">
        <v>8298541</v>
      </c>
      <c r="QUA538" s="1170">
        <v>8298541</v>
      </c>
      <c r="QUB538" s="1170">
        <v>8298541</v>
      </c>
      <c r="QUC538" s="1170">
        <v>8298541</v>
      </c>
      <c r="QUD538" s="1170">
        <v>8298541</v>
      </c>
      <c r="QUE538" s="1170">
        <v>8298541</v>
      </c>
      <c r="QUF538" s="1170">
        <v>8298541</v>
      </c>
      <c r="QUG538" s="1170">
        <v>8298541</v>
      </c>
      <c r="QUH538" s="1170">
        <v>8298541</v>
      </c>
      <c r="QUI538" s="1170">
        <v>8298541</v>
      </c>
      <c r="QUJ538" s="1170">
        <v>8298541</v>
      </c>
      <c r="QUK538" s="1170">
        <v>8298541</v>
      </c>
      <c r="QUL538" s="1170">
        <v>8298541</v>
      </c>
      <c r="QUM538" s="1170">
        <v>8298541</v>
      </c>
      <c r="QUN538" s="1170">
        <v>8298541</v>
      </c>
      <c r="QUO538" s="1170">
        <v>8298541</v>
      </c>
      <c r="QUP538" s="1170">
        <v>8298541</v>
      </c>
      <c r="QUQ538" s="1170">
        <v>8298541</v>
      </c>
      <c r="QUR538" s="1170">
        <v>8298541</v>
      </c>
      <c r="QUS538" s="1170">
        <v>8298541</v>
      </c>
      <c r="QUT538" s="1170">
        <v>8298541</v>
      </c>
      <c r="QUU538" s="1170">
        <v>8298541</v>
      </c>
      <c r="QUV538" s="1170">
        <v>8298541</v>
      </c>
      <c r="QUW538" s="1170">
        <v>8298541</v>
      </c>
      <c r="QUX538" s="1170">
        <v>8298541</v>
      </c>
      <c r="QUY538" s="1170">
        <v>8298541</v>
      </c>
      <c r="QUZ538" s="1170">
        <v>8298541</v>
      </c>
      <c r="QVA538" s="1170">
        <v>8298541</v>
      </c>
      <c r="QVB538" s="1170">
        <v>8298541</v>
      </c>
      <c r="QVC538" s="1170">
        <v>8298541</v>
      </c>
      <c r="QVD538" s="1170">
        <v>8298541</v>
      </c>
      <c r="QVE538" s="1170">
        <v>8298541</v>
      </c>
      <c r="QVF538" s="1170">
        <v>8298541</v>
      </c>
      <c r="QVG538" s="1170">
        <v>8298541</v>
      </c>
      <c r="QVH538" s="1170">
        <v>8298541</v>
      </c>
      <c r="QVI538" s="1170">
        <v>8298541</v>
      </c>
      <c r="QVJ538" s="1170">
        <v>8298541</v>
      </c>
      <c r="QVK538" s="1170">
        <v>8298541</v>
      </c>
      <c r="QVL538" s="1170">
        <v>8298541</v>
      </c>
      <c r="QVM538" s="1170">
        <v>8298541</v>
      </c>
      <c r="QVN538" s="1170">
        <v>8298541</v>
      </c>
      <c r="QVO538" s="1170">
        <v>8298541</v>
      </c>
      <c r="QVP538" s="1170">
        <v>8298541</v>
      </c>
      <c r="QVQ538" s="1170">
        <v>8298541</v>
      </c>
      <c r="QVR538" s="1170">
        <v>8298541</v>
      </c>
      <c r="QVS538" s="1170">
        <v>8298541</v>
      </c>
      <c r="QVT538" s="1170">
        <v>8298541</v>
      </c>
      <c r="QVU538" s="1170">
        <v>8298541</v>
      </c>
      <c r="QVV538" s="1170">
        <v>8298541</v>
      </c>
      <c r="QVW538" s="1170">
        <v>8298541</v>
      </c>
      <c r="QVX538" s="1170">
        <v>8298541</v>
      </c>
      <c r="QVY538" s="1170">
        <v>8298541</v>
      </c>
      <c r="QVZ538" s="1170">
        <v>8298541</v>
      </c>
      <c r="QWA538" s="1170">
        <v>8298541</v>
      </c>
      <c r="QWB538" s="1170">
        <v>8298541</v>
      </c>
      <c r="QWC538" s="1170">
        <v>8298541</v>
      </c>
      <c r="QWD538" s="1170">
        <v>8298541</v>
      </c>
      <c r="QWE538" s="1170">
        <v>8298541</v>
      </c>
      <c r="QWF538" s="1170">
        <v>8298541</v>
      </c>
      <c r="QWG538" s="1170">
        <v>8298541</v>
      </c>
      <c r="QWH538" s="1170">
        <v>8298541</v>
      </c>
      <c r="QWI538" s="1170">
        <v>8298541</v>
      </c>
      <c r="QWJ538" s="1170">
        <v>8298541</v>
      </c>
      <c r="QWK538" s="1170">
        <v>8298541</v>
      </c>
      <c r="QWL538" s="1170">
        <v>8298541</v>
      </c>
      <c r="QWM538" s="1170">
        <v>8298541</v>
      </c>
      <c r="QWN538" s="1170">
        <v>8298541</v>
      </c>
      <c r="QWO538" s="1170">
        <v>8298541</v>
      </c>
      <c r="QWP538" s="1170">
        <v>8298541</v>
      </c>
      <c r="QWQ538" s="1170">
        <v>8298541</v>
      </c>
      <c r="QWR538" s="1170">
        <v>8298541</v>
      </c>
      <c r="QWS538" s="1170">
        <v>8298541</v>
      </c>
      <c r="QWT538" s="1170">
        <v>8298541</v>
      </c>
      <c r="QWU538" s="1170">
        <v>8298541</v>
      </c>
      <c r="QWV538" s="1170">
        <v>8298541</v>
      </c>
      <c r="QWW538" s="1170">
        <v>8298541</v>
      </c>
      <c r="QWX538" s="1170">
        <v>8298541</v>
      </c>
      <c r="QWY538" s="1170">
        <v>8298541</v>
      </c>
      <c r="QWZ538" s="1170">
        <v>8298541</v>
      </c>
      <c r="QXA538" s="1170">
        <v>8298541</v>
      </c>
      <c r="QXB538" s="1170">
        <v>8298541</v>
      </c>
      <c r="QXC538" s="1170">
        <v>8298541</v>
      </c>
      <c r="QXD538" s="1170">
        <v>8298541</v>
      </c>
      <c r="QXE538" s="1170">
        <v>8298541</v>
      </c>
      <c r="QXF538" s="1170">
        <v>8298541</v>
      </c>
      <c r="QXG538" s="1170">
        <v>8298541</v>
      </c>
      <c r="QXH538" s="1170">
        <v>8298541</v>
      </c>
      <c r="QXI538" s="1170">
        <v>8298541</v>
      </c>
      <c r="QXJ538" s="1170">
        <v>8298541</v>
      </c>
      <c r="QXK538" s="1170">
        <v>8298541</v>
      </c>
      <c r="QXL538" s="1170">
        <v>8298541</v>
      </c>
      <c r="QXM538" s="1170">
        <v>8298541</v>
      </c>
      <c r="QXN538" s="1170">
        <v>8298541</v>
      </c>
      <c r="QXO538" s="1170">
        <v>8298541</v>
      </c>
      <c r="QXP538" s="1170">
        <v>8298541</v>
      </c>
      <c r="QXQ538" s="1170">
        <v>8298541</v>
      </c>
      <c r="QXR538" s="1170">
        <v>8298541</v>
      </c>
      <c r="QXS538" s="1170">
        <v>8298541</v>
      </c>
      <c r="QXT538" s="1170">
        <v>8298541</v>
      </c>
      <c r="QXU538" s="1170">
        <v>8298541</v>
      </c>
      <c r="QXV538" s="1170">
        <v>8298541</v>
      </c>
      <c r="QXW538" s="1170">
        <v>8298541</v>
      </c>
      <c r="QXX538" s="1170">
        <v>8298541</v>
      </c>
      <c r="QXY538" s="1170">
        <v>8298541</v>
      </c>
      <c r="QXZ538" s="1170">
        <v>8298541</v>
      </c>
      <c r="QYA538" s="1170">
        <v>8298541</v>
      </c>
      <c r="QYB538" s="1170">
        <v>8298541</v>
      </c>
      <c r="QYC538" s="1170">
        <v>8298541</v>
      </c>
      <c r="QYD538" s="1170">
        <v>8298541</v>
      </c>
      <c r="QYE538" s="1170">
        <v>8298541</v>
      </c>
      <c r="QYF538" s="1170">
        <v>8298541</v>
      </c>
      <c r="QYG538" s="1170">
        <v>8298541</v>
      </c>
      <c r="QYH538" s="1170">
        <v>8298541</v>
      </c>
      <c r="QYI538" s="1170">
        <v>8298541</v>
      </c>
      <c r="QYJ538" s="1170">
        <v>8298541</v>
      </c>
      <c r="QYK538" s="1170">
        <v>8298541</v>
      </c>
      <c r="QYL538" s="1170">
        <v>8298541</v>
      </c>
      <c r="QYM538" s="1170">
        <v>8298541</v>
      </c>
      <c r="QYN538" s="1170">
        <v>8298541</v>
      </c>
      <c r="QYO538" s="1170">
        <v>8298541</v>
      </c>
      <c r="QYP538" s="1170">
        <v>8298541</v>
      </c>
      <c r="QYQ538" s="1170">
        <v>8298541</v>
      </c>
      <c r="QYR538" s="1170">
        <v>8298541</v>
      </c>
      <c r="QYS538" s="1170">
        <v>8298541</v>
      </c>
      <c r="QYT538" s="1170">
        <v>8298541</v>
      </c>
      <c r="QYU538" s="1170">
        <v>8298541</v>
      </c>
      <c r="QYV538" s="1170">
        <v>8298541</v>
      </c>
      <c r="QYW538" s="1170">
        <v>8298541</v>
      </c>
      <c r="QYX538" s="1170">
        <v>8298541</v>
      </c>
      <c r="QYY538" s="1170">
        <v>8298541</v>
      </c>
      <c r="QYZ538" s="1170">
        <v>8298541</v>
      </c>
      <c r="QZA538" s="1170">
        <v>8298541</v>
      </c>
      <c r="QZB538" s="1170">
        <v>8298541</v>
      </c>
      <c r="QZC538" s="1170">
        <v>8298541</v>
      </c>
      <c r="QZD538" s="1170">
        <v>8298541</v>
      </c>
      <c r="QZE538" s="1170">
        <v>8298541</v>
      </c>
      <c r="QZF538" s="1170">
        <v>8298541</v>
      </c>
      <c r="QZG538" s="1170">
        <v>8298541</v>
      </c>
      <c r="QZH538" s="1170">
        <v>8298541</v>
      </c>
      <c r="QZI538" s="1170">
        <v>8298541</v>
      </c>
      <c r="QZJ538" s="1170">
        <v>8298541</v>
      </c>
      <c r="QZK538" s="1170">
        <v>8298541</v>
      </c>
      <c r="QZL538" s="1170">
        <v>8298541</v>
      </c>
      <c r="QZM538" s="1170">
        <v>8298541</v>
      </c>
      <c r="QZN538" s="1170">
        <v>8298541</v>
      </c>
      <c r="QZO538" s="1170">
        <v>8298541</v>
      </c>
      <c r="QZP538" s="1170">
        <v>8298541</v>
      </c>
      <c r="QZQ538" s="1170">
        <v>8298541</v>
      </c>
      <c r="QZR538" s="1170">
        <v>8298541</v>
      </c>
      <c r="QZS538" s="1170">
        <v>8298541</v>
      </c>
      <c r="QZT538" s="1170">
        <v>8298541</v>
      </c>
      <c r="QZU538" s="1170">
        <v>8298541</v>
      </c>
      <c r="QZV538" s="1170">
        <v>8298541</v>
      </c>
      <c r="QZW538" s="1170">
        <v>8298541</v>
      </c>
      <c r="QZX538" s="1170">
        <v>8298541</v>
      </c>
      <c r="QZY538" s="1170">
        <v>8298541</v>
      </c>
      <c r="QZZ538" s="1170">
        <v>8298541</v>
      </c>
      <c r="RAA538" s="1170">
        <v>8298541</v>
      </c>
      <c r="RAB538" s="1170">
        <v>8298541</v>
      </c>
      <c r="RAC538" s="1170">
        <v>8298541</v>
      </c>
      <c r="RAD538" s="1170">
        <v>8298541</v>
      </c>
      <c r="RAE538" s="1170">
        <v>8298541</v>
      </c>
      <c r="RAF538" s="1170">
        <v>8298541</v>
      </c>
      <c r="RAG538" s="1170">
        <v>8298541</v>
      </c>
      <c r="RAH538" s="1170">
        <v>8298541</v>
      </c>
      <c r="RAI538" s="1170">
        <v>8298541</v>
      </c>
      <c r="RAJ538" s="1170">
        <v>8298541</v>
      </c>
      <c r="RAK538" s="1170">
        <v>8298541</v>
      </c>
      <c r="RAL538" s="1170">
        <v>8298541</v>
      </c>
      <c r="RAM538" s="1170">
        <v>8298541</v>
      </c>
      <c r="RAN538" s="1170">
        <v>8298541</v>
      </c>
      <c r="RAO538" s="1170">
        <v>8298541</v>
      </c>
      <c r="RAP538" s="1170">
        <v>8298541</v>
      </c>
      <c r="RAQ538" s="1170">
        <v>8298541</v>
      </c>
      <c r="RAR538" s="1170">
        <v>8298541</v>
      </c>
      <c r="RAS538" s="1170">
        <v>8298541</v>
      </c>
      <c r="RAT538" s="1170">
        <v>8298541</v>
      </c>
      <c r="RAU538" s="1170">
        <v>8298541</v>
      </c>
      <c r="RAV538" s="1170">
        <v>8298541</v>
      </c>
      <c r="RAW538" s="1170">
        <v>8298541</v>
      </c>
      <c r="RAX538" s="1170">
        <v>8298541</v>
      </c>
      <c r="RAY538" s="1170">
        <v>8298541</v>
      </c>
      <c r="RAZ538" s="1170">
        <v>8298541</v>
      </c>
      <c r="RBA538" s="1170">
        <v>8298541</v>
      </c>
      <c r="RBB538" s="1170">
        <v>8298541</v>
      </c>
      <c r="RBC538" s="1170">
        <v>8298541</v>
      </c>
      <c r="RBD538" s="1170">
        <v>8298541</v>
      </c>
      <c r="RBE538" s="1170">
        <v>8298541</v>
      </c>
      <c r="RBF538" s="1170">
        <v>8298541</v>
      </c>
      <c r="RBG538" s="1170">
        <v>8298541</v>
      </c>
      <c r="RBH538" s="1170">
        <v>8298541</v>
      </c>
      <c r="RBI538" s="1170">
        <v>8298541</v>
      </c>
      <c r="RBJ538" s="1170">
        <v>8298541</v>
      </c>
      <c r="RBK538" s="1170">
        <v>8298541</v>
      </c>
      <c r="RBL538" s="1170">
        <v>8298541</v>
      </c>
      <c r="RBM538" s="1170">
        <v>8298541</v>
      </c>
      <c r="RBN538" s="1170">
        <v>8298541</v>
      </c>
      <c r="RBO538" s="1170">
        <v>8298541</v>
      </c>
      <c r="RBP538" s="1170">
        <v>8298541</v>
      </c>
      <c r="RBQ538" s="1170">
        <v>8298541</v>
      </c>
      <c r="RBR538" s="1170">
        <v>8298541</v>
      </c>
      <c r="RBS538" s="1170">
        <v>8298541</v>
      </c>
      <c r="RBT538" s="1170">
        <v>8298541</v>
      </c>
      <c r="RBU538" s="1170">
        <v>8298541</v>
      </c>
      <c r="RBV538" s="1170">
        <v>8298541</v>
      </c>
      <c r="RBW538" s="1170">
        <v>8298541</v>
      </c>
      <c r="RBX538" s="1170">
        <v>8298541</v>
      </c>
      <c r="RBY538" s="1170">
        <v>8298541</v>
      </c>
      <c r="RBZ538" s="1170">
        <v>8298541</v>
      </c>
      <c r="RCA538" s="1170">
        <v>8298541</v>
      </c>
      <c r="RCB538" s="1170">
        <v>8298541</v>
      </c>
      <c r="RCC538" s="1170">
        <v>8298541</v>
      </c>
      <c r="RCD538" s="1170">
        <v>8298541</v>
      </c>
      <c r="RCE538" s="1170">
        <v>8298541</v>
      </c>
      <c r="RCF538" s="1170">
        <v>8298541</v>
      </c>
      <c r="RCG538" s="1170">
        <v>8298541</v>
      </c>
      <c r="RCH538" s="1170">
        <v>8298541</v>
      </c>
      <c r="RCI538" s="1170">
        <v>8298541</v>
      </c>
      <c r="RCJ538" s="1170">
        <v>8298541</v>
      </c>
      <c r="RCK538" s="1170">
        <v>8298541</v>
      </c>
      <c r="RCL538" s="1170">
        <v>8298541</v>
      </c>
      <c r="RCM538" s="1170">
        <v>8298541</v>
      </c>
      <c r="RCN538" s="1170">
        <v>8298541</v>
      </c>
      <c r="RCO538" s="1170">
        <v>8298541</v>
      </c>
      <c r="RCP538" s="1170">
        <v>8298541</v>
      </c>
      <c r="RCQ538" s="1170">
        <v>8298541</v>
      </c>
      <c r="RCR538" s="1170">
        <v>8298541</v>
      </c>
      <c r="RCS538" s="1170">
        <v>8298541</v>
      </c>
      <c r="RCT538" s="1170">
        <v>8298541</v>
      </c>
      <c r="RCU538" s="1170">
        <v>8298541</v>
      </c>
      <c r="RCV538" s="1170">
        <v>8298541</v>
      </c>
      <c r="RCW538" s="1170">
        <v>8298541</v>
      </c>
      <c r="RCX538" s="1170">
        <v>8298541</v>
      </c>
      <c r="RCY538" s="1170">
        <v>8298541</v>
      </c>
      <c r="RCZ538" s="1170">
        <v>8298541</v>
      </c>
      <c r="RDA538" s="1170">
        <v>8298541</v>
      </c>
      <c r="RDB538" s="1170">
        <v>8298541</v>
      </c>
      <c r="RDC538" s="1170">
        <v>8298541</v>
      </c>
      <c r="RDD538" s="1170">
        <v>8298541</v>
      </c>
      <c r="RDE538" s="1170">
        <v>8298541</v>
      </c>
      <c r="RDF538" s="1170">
        <v>8298541</v>
      </c>
      <c r="RDG538" s="1170">
        <v>8298541</v>
      </c>
      <c r="RDH538" s="1170">
        <v>8298541</v>
      </c>
      <c r="RDI538" s="1170">
        <v>8298541</v>
      </c>
      <c r="RDJ538" s="1170">
        <v>8298541</v>
      </c>
      <c r="RDK538" s="1170">
        <v>8298541</v>
      </c>
      <c r="RDL538" s="1170">
        <v>8298541</v>
      </c>
      <c r="RDM538" s="1170">
        <v>8298541</v>
      </c>
      <c r="RDN538" s="1170">
        <v>8298541</v>
      </c>
      <c r="RDO538" s="1170">
        <v>8298541</v>
      </c>
      <c r="RDP538" s="1170">
        <v>8298541</v>
      </c>
      <c r="RDQ538" s="1170">
        <v>8298541</v>
      </c>
      <c r="RDR538" s="1170">
        <v>8298541</v>
      </c>
      <c r="RDS538" s="1170">
        <v>8298541</v>
      </c>
      <c r="RDT538" s="1170">
        <v>8298541</v>
      </c>
      <c r="RDU538" s="1170">
        <v>8298541</v>
      </c>
      <c r="RDV538" s="1170">
        <v>8298541</v>
      </c>
      <c r="RDW538" s="1170">
        <v>8298541</v>
      </c>
      <c r="RDX538" s="1170">
        <v>8298541</v>
      </c>
      <c r="RDY538" s="1170">
        <v>8298541</v>
      </c>
      <c r="RDZ538" s="1170">
        <v>8298541</v>
      </c>
      <c r="REA538" s="1170">
        <v>8298541</v>
      </c>
      <c r="REB538" s="1170">
        <v>8298541</v>
      </c>
      <c r="REC538" s="1170">
        <v>8298541</v>
      </c>
      <c r="RED538" s="1170">
        <v>8298541</v>
      </c>
      <c r="REE538" s="1170">
        <v>8298541</v>
      </c>
      <c r="REF538" s="1170">
        <v>8298541</v>
      </c>
      <c r="REG538" s="1170">
        <v>8298541</v>
      </c>
      <c r="REH538" s="1170">
        <v>8298541</v>
      </c>
      <c r="REI538" s="1170">
        <v>8298541</v>
      </c>
      <c r="REJ538" s="1170">
        <v>8298541</v>
      </c>
      <c r="REK538" s="1170">
        <v>8298541</v>
      </c>
      <c r="REL538" s="1170">
        <v>8298541</v>
      </c>
      <c r="REM538" s="1170">
        <v>8298541</v>
      </c>
      <c r="REN538" s="1170">
        <v>8298541</v>
      </c>
      <c r="REO538" s="1170">
        <v>8298541</v>
      </c>
      <c r="REP538" s="1170">
        <v>8298541</v>
      </c>
      <c r="REQ538" s="1170">
        <v>8298541</v>
      </c>
      <c r="RER538" s="1170">
        <v>8298541</v>
      </c>
      <c r="RES538" s="1170">
        <v>8298541</v>
      </c>
      <c r="RET538" s="1170">
        <v>8298541</v>
      </c>
      <c r="REU538" s="1170">
        <v>8298541</v>
      </c>
      <c r="REV538" s="1170">
        <v>8298541</v>
      </c>
      <c r="REW538" s="1170">
        <v>8298541</v>
      </c>
      <c r="REX538" s="1170">
        <v>8298541</v>
      </c>
      <c r="REY538" s="1170">
        <v>8298541</v>
      </c>
      <c r="REZ538" s="1170">
        <v>8298541</v>
      </c>
      <c r="RFA538" s="1170">
        <v>8298541</v>
      </c>
      <c r="RFB538" s="1170">
        <v>8298541</v>
      </c>
      <c r="RFC538" s="1170">
        <v>8298541</v>
      </c>
      <c r="RFD538" s="1170">
        <v>8298541</v>
      </c>
      <c r="RFE538" s="1170">
        <v>8298541</v>
      </c>
      <c r="RFF538" s="1170">
        <v>8298541</v>
      </c>
      <c r="RFG538" s="1170">
        <v>8298541</v>
      </c>
      <c r="RFH538" s="1170">
        <v>8298541</v>
      </c>
      <c r="RFI538" s="1170">
        <v>8298541</v>
      </c>
      <c r="RFJ538" s="1170">
        <v>8298541</v>
      </c>
      <c r="RFK538" s="1170">
        <v>8298541</v>
      </c>
      <c r="RFL538" s="1170">
        <v>8298541</v>
      </c>
      <c r="RFM538" s="1170">
        <v>8298541</v>
      </c>
      <c r="RFN538" s="1170">
        <v>8298541</v>
      </c>
      <c r="RFO538" s="1170">
        <v>8298541</v>
      </c>
      <c r="RFP538" s="1170">
        <v>8298541</v>
      </c>
      <c r="RFQ538" s="1170">
        <v>8298541</v>
      </c>
      <c r="RFR538" s="1170">
        <v>8298541</v>
      </c>
      <c r="RFS538" s="1170">
        <v>8298541</v>
      </c>
      <c r="RFT538" s="1170">
        <v>8298541</v>
      </c>
      <c r="RFU538" s="1170">
        <v>8298541</v>
      </c>
      <c r="RFV538" s="1170">
        <v>8298541</v>
      </c>
      <c r="RFW538" s="1170">
        <v>8298541</v>
      </c>
      <c r="RFX538" s="1170">
        <v>8298541</v>
      </c>
      <c r="RFY538" s="1170">
        <v>8298541</v>
      </c>
      <c r="RFZ538" s="1170">
        <v>8298541</v>
      </c>
      <c r="RGA538" s="1170">
        <v>8298541</v>
      </c>
      <c r="RGB538" s="1170">
        <v>8298541</v>
      </c>
      <c r="RGC538" s="1170">
        <v>8298541</v>
      </c>
      <c r="RGD538" s="1170">
        <v>8298541</v>
      </c>
      <c r="RGE538" s="1170">
        <v>8298541</v>
      </c>
      <c r="RGF538" s="1170">
        <v>8298541</v>
      </c>
      <c r="RGG538" s="1170">
        <v>8298541</v>
      </c>
      <c r="RGH538" s="1170">
        <v>8298541</v>
      </c>
      <c r="RGI538" s="1170">
        <v>8298541</v>
      </c>
      <c r="RGJ538" s="1170">
        <v>8298541</v>
      </c>
      <c r="RGK538" s="1170">
        <v>8298541</v>
      </c>
      <c r="RGL538" s="1170">
        <v>8298541</v>
      </c>
      <c r="RGM538" s="1170">
        <v>8298541</v>
      </c>
      <c r="RGN538" s="1170">
        <v>8298541</v>
      </c>
      <c r="RGO538" s="1170">
        <v>8298541</v>
      </c>
      <c r="RGP538" s="1170">
        <v>8298541</v>
      </c>
      <c r="RGQ538" s="1170">
        <v>8298541</v>
      </c>
      <c r="RGR538" s="1170">
        <v>8298541</v>
      </c>
      <c r="RGS538" s="1170">
        <v>8298541</v>
      </c>
      <c r="RGT538" s="1170">
        <v>8298541</v>
      </c>
      <c r="RGU538" s="1170">
        <v>8298541</v>
      </c>
      <c r="RGV538" s="1170">
        <v>8298541</v>
      </c>
      <c r="RGW538" s="1170">
        <v>8298541</v>
      </c>
      <c r="RGX538" s="1170">
        <v>8298541</v>
      </c>
      <c r="RGY538" s="1170">
        <v>8298541</v>
      </c>
      <c r="RGZ538" s="1170">
        <v>8298541</v>
      </c>
      <c r="RHA538" s="1170">
        <v>8298541</v>
      </c>
      <c r="RHB538" s="1170">
        <v>8298541</v>
      </c>
      <c r="RHC538" s="1170">
        <v>8298541</v>
      </c>
      <c r="RHD538" s="1170">
        <v>8298541</v>
      </c>
      <c r="RHE538" s="1170">
        <v>8298541</v>
      </c>
      <c r="RHF538" s="1170">
        <v>8298541</v>
      </c>
      <c r="RHG538" s="1170">
        <v>8298541</v>
      </c>
      <c r="RHH538" s="1170">
        <v>8298541</v>
      </c>
      <c r="RHI538" s="1170">
        <v>8298541</v>
      </c>
      <c r="RHJ538" s="1170">
        <v>8298541</v>
      </c>
      <c r="RHK538" s="1170">
        <v>8298541</v>
      </c>
      <c r="RHL538" s="1170">
        <v>8298541</v>
      </c>
      <c r="RHM538" s="1170">
        <v>8298541</v>
      </c>
      <c r="RHN538" s="1170">
        <v>8298541</v>
      </c>
      <c r="RHO538" s="1170">
        <v>8298541</v>
      </c>
      <c r="RHP538" s="1170">
        <v>8298541</v>
      </c>
      <c r="RHQ538" s="1170">
        <v>8298541</v>
      </c>
      <c r="RHR538" s="1170">
        <v>8298541</v>
      </c>
      <c r="RHS538" s="1170">
        <v>8298541</v>
      </c>
      <c r="RHT538" s="1170">
        <v>8298541</v>
      </c>
      <c r="RHU538" s="1170">
        <v>8298541</v>
      </c>
      <c r="RHV538" s="1170">
        <v>8298541</v>
      </c>
      <c r="RHW538" s="1170">
        <v>8298541</v>
      </c>
      <c r="RHX538" s="1170">
        <v>8298541</v>
      </c>
      <c r="RHY538" s="1170">
        <v>8298541</v>
      </c>
      <c r="RHZ538" s="1170">
        <v>8298541</v>
      </c>
      <c r="RIA538" s="1170">
        <v>8298541</v>
      </c>
      <c r="RIB538" s="1170">
        <v>8298541</v>
      </c>
      <c r="RIC538" s="1170">
        <v>8298541</v>
      </c>
      <c r="RID538" s="1170">
        <v>8298541</v>
      </c>
      <c r="RIE538" s="1170">
        <v>8298541</v>
      </c>
      <c r="RIF538" s="1170">
        <v>8298541</v>
      </c>
      <c r="RIG538" s="1170">
        <v>8298541</v>
      </c>
      <c r="RIH538" s="1170">
        <v>8298541</v>
      </c>
      <c r="RII538" s="1170">
        <v>8298541</v>
      </c>
      <c r="RIJ538" s="1170">
        <v>8298541</v>
      </c>
      <c r="RIK538" s="1170">
        <v>8298541</v>
      </c>
      <c r="RIL538" s="1170">
        <v>8298541</v>
      </c>
      <c r="RIM538" s="1170">
        <v>8298541</v>
      </c>
      <c r="RIN538" s="1170">
        <v>8298541</v>
      </c>
      <c r="RIO538" s="1170">
        <v>8298541</v>
      </c>
      <c r="RIP538" s="1170">
        <v>8298541</v>
      </c>
      <c r="RIQ538" s="1170">
        <v>8298541</v>
      </c>
      <c r="RIR538" s="1170">
        <v>8298541</v>
      </c>
      <c r="RIS538" s="1170">
        <v>8298541</v>
      </c>
      <c r="RIT538" s="1170">
        <v>8298541</v>
      </c>
      <c r="RIU538" s="1170">
        <v>8298541</v>
      </c>
      <c r="RIV538" s="1170">
        <v>8298541</v>
      </c>
      <c r="RIW538" s="1170">
        <v>8298541</v>
      </c>
      <c r="RIX538" s="1170">
        <v>8298541</v>
      </c>
      <c r="RIY538" s="1170">
        <v>8298541</v>
      </c>
      <c r="RIZ538" s="1170">
        <v>8298541</v>
      </c>
      <c r="RJA538" s="1170">
        <v>8298541</v>
      </c>
      <c r="RJB538" s="1170">
        <v>8298541</v>
      </c>
      <c r="RJC538" s="1170">
        <v>8298541</v>
      </c>
      <c r="RJD538" s="1170">
        <v>8298541</v>
      </c>
      <c r="RJE538" s="1170">
        <v>8298541</v>
      </c>
      <c r="RJF538" s="1170">
        <v>8298541</v>
      </c>
      <c r="RJG538" s="1170">
        <v>8298541</v>
      </c>
      <c r="RJH538" s="1170">
        <v>8298541</v>
      </c>
      <c r="RJI538" s="1170">
        <v>8298541</v>
      </c>
      <c r="RJJ538" s="1170">
        <v>8298541</v>
      </c>
      <c r="RJK538" s="1170">
        <v>8298541</v>
      </c>
      <c r="RJL538" s="1170">
        <v>8298541</v>
      </c>
      <c r="RJM538" s="1170">
        <v>8298541</v>
      </c>
      <c r="RJN538" s="1170">
        <v>8298541</v>
      </c>
      <c r="RJO538" s="1170">
        <v>8298541</v>
      </c>
      <c r="RJP538" s="1170">
        <v>8298541</v>
      </c>
      <c r="RJQ538" s="1170">
        <v>8298541</v>
      </c>
      <c r="RJR538" s="1170">
        <v>8298541</v>
      </c>
      <c r="RJS538" s="1170">
        <v>8298541</v>
      </c>
      <c r="RJT538" s="1170">
        <v>8298541</v>
      </c>
      <c r="RJU538" s="1170">
        <v>8298541</v>
      </c>
      <c r="RJV538" s="1170">
        <v>8298541</v>
      </c>
      <c r="RJW538" s="1170">
        <v>8298541</v>
      </c>
      <c r="RJX538" s="1170">
        <v>8298541</v>
      </c>
      <c r="RJY538" s="1170">
        <v>8298541</v>
      </c>
      <c r="RJZ538" s="1170">
        <v>8298541</v>
      </c>
      <c r="RKA538" s="1170">
        <v>8298541</v>
      </c>
      <c r="RKB538" s="1170">
        <v>8298541</v>
      </c>
      <c r="RKC538" s="1170">
        <v>8298541</v>
      </c>
      <c r="RKD538" s="1170">
        <v>8298541</v>
      </c>
      <c r="RKE538" s="1170">
        <v>8298541</v>
      </c>
      <c r="RKF538" s="1170">
        <v>8298541</v>
      </c>
      <c r="RKG538" s="1170">
        <v>8298541</v>
      </c>
      <c r="RKH538" s="1170">
        <v>8298541</v>
      </c>
      <c r="RKI538" s="1170">
        <v>8298541</v>
      </c>
      <c r="RKJ538" s="1170">
        <v>8298541</v>
      </c>
      <c r="RKK538" s="1170">
        <v>8298541</v>
      </c>
      <c r="RKL538" s="1170">
        <v>8298541</v>
      </c>
      <c r="RKM538" s="1170">
        <v>8298541</v>
      </c>
      <c r="RKN538" s="1170">
        <v>8298541</v>
      </c>
      <c r="RKO538" s="1170">
        <v>8298541</v>
      </c>
      <c r="RKP538" s="1170">
        <v>8298541</v>
      </c>
      <c r="RKQ538" s="1170">
        <v>8298541</v>
      </c>
      <c r="RKR538" s="1170">
        <v>8298541</v>
      </c>
      <c r="RKS538" s="1170">
        <v>8298541</v>
      </c>
      <c r="RKT538" s="1170">
        <v>8298541</v>
      </c>
      <c r="RKU538" s="1170">
        <v>8298541</v>
      </c>
      <c r="RKV538" s="1170">
        <v>8298541</v>
      </c>
      <c r="RKW538" s="1170">
        <v>8298541</v>
      </c>
      <c r="RKX538" s="1170">
        <v>8298541</v>
      </c>
      <c r="RKY538" s="1170">
        <v>8298541</v>
      </c>
      <c r="RKZ538" s="1170">
        <v>8298541</v>
      </c>
      <c r="RLA538" s="1170">
        <v>8298541</v>
      </c>
      <c r="RLB538" s="1170">
        <v>8298541</v>
      </c>
      <c r="RLC538" s="1170">
        <v>8298541</v>
      </c>
      <c r="RLD538" s="1170">
        <v>8298541</v>
      </c>
      <c r="RLE538" s="1170">
        <v>8298541</v>
      </c>
      <c r="RLF538" s="1170">
        <v>8298541</v>
      </c>
      <c r="RLG538" s="1170">
        <v>8298541</v>
      </c>
      <c r="RLH538" s="1170">
        <v>8298541</v>
      </c>
      <c r="RLI538" s="1170">
        <v>8298541</v>
      </c>
      <c r="RLJ538" s="1170">
        <v>8298541</v>
      </c>
      <c r="RLK538" s="1170">
        <v>8298541</v>
      </c>
      <c r="RLL538" s="1170">
        <v>8298541</v>
      </c>
      <c r="RLM538" s="1170">
        <v>8298541</v>
      </c>
      <c r="RLN538" s="1170">
        <v>8298541</v>
      </c>
      <c r="RLO538" s="1170">
        <v>8298541</v>
      </c>
      <c r="RLP538" s="1170">
        <v>8298541</v>
      </c>
      <c r="RLQ538" s="1170">
        <v>8298541</v>
      </c>
      <c r="RLR538" s="1170">
        <v>8298541</v>
      </c>
      <c r="RLS538" s="1170">
        <v>8298541</v>
      </c>
      <c r="RLT538" s="1170">
        <v>8298541</v>
      </c>
      <c r="RLU538" s="1170">
        <v>8298541</v>
      </c>
      <c r="RLV538" s="1170">
        <v>8298541</v>
      </c>
      <c r="RLW538" s="1170">
        <v>8298541</v>
      </c>
      <c r="RLX538" s="1170">
        <v>8298541</v>
      </c>
      <c r="RLY538" s="1170">
        <v>8298541</v>
      </c>
      <c r="RLZ538" s="1170">
        <v>8298541</v>
      </c>
      <c r="RMA538" s="1170">
        <v>8298541</v>
      </c>
      <c r="RMB538" s="1170">
        <v>8298541</v>
      </c>
      <c r="RMC538" s="1170">
        <v>8298541</v>
      </c>
      <c r="RMD538" s="1170">
        <v>8298541</v>
      </c>
      <c r="RME538" s="1170">
        <v>8298541</v>
      </c>
      <c r="RMF538" s="1170">
        <v>8298541</v>
      </c>
      <c r="RMG538" s="1170">
        <v>8298541</v>
      </c>
      <c r="RMH538" s="1170">
        <v>8298541</v>
      </c>
      <c r="RMI538" s="1170">
        <v>8298541</v>
      </c>
      <c r="RMJ538" s="1170">
        <v>8298541</v>
      </c>
      <c r="RMK538" s="1170">
        <v>8298541</v>
      </c>
      <c r="RML538" s="1170">
        <v>8298541</v>
      </c>
      <c r="RMM538" s="1170">
        <v>8298541</v>
      </c>
      <c r="RMN538" s="1170">
        <v>8298541</v>
      </c>
      <c r="RMO538" s="1170">
        <v>8298541</v>
      </c>
      <c r="RMP538" s="1170">
        <v>8298541</v>
      </c>
      <c r="RMQ538" s="1170">
        <v>8298541</v>
      </c>
      <c r="RMR538" s="1170">
        <v>8298541</v>
      </c>
      <c r="RMS538" s="1170">
        <v>8298541</v>
      </c>
      <c r="RMT538" s="1170">
        <v>8298541</v>
      </c>
      <c r="RMU538" s="1170">
        <v>8298541</v>
      </c>
      <c r="RMV538" s="1170">
        <v>8298541</v>
      </c>
      <c r="RMW538" s="1170">
        <v>8298541</v>
      </c>
      <c r="RMX538" s="1170">
        <v>8298541</v>
      </c>
      <c r="RMY538" s="1170">
        <v>8298541</v>
      </c>
      <c r="RMZ538" s="1170">
        <v>8298541</v>
      </c>
      <c r="RNA538" s="1170">
        <v>8298541</v>
      </c>
      <c r="RNB538" s="1170">
        <v>8298541</v>
      </c>
      <c r="RNC538" s="1170">
        <v>8298541</v>
      </c>
      <c r="RND538" s="1170">
        <v>8298541</v>
      </c>
      <c r="RNE538" s="1170">
        <v>8298541</v>
      </c>
      <c r="RNF538" s="1170">
        <v>8298541</v>
      </c>
      <c r="RNG538" s="1170">
        <v>8298541</v>
      </c>
      <c r="RNH538" s="1170">
        <v>8298541</v>
      </c>
      <c r="RNI538" s="1170">
        <v>8298541</v>
      </c>
      <c r="RNJ538" s="1170">
        <v>8298541</v>
      </c>
      <c r="RNK538" s="1170">
        <v>8298541</v>
      </c>
      <c r="RNL538" s="1170">
        <v>8298541</v>
      </c>
      <c r="RNM538" s="1170">
        <v>8298541</v>
      </c>
      <c r="RNN538" s="1170">
        <v>8298541</v>
      </c>
      <c r="RNO538" s="1170">
        <v>8298541</v>
      </c>
      <c r="RNP538" s="1170">
        <v>8298541</v>
      </c>
      <c r="RNQ538" s="1170">
        <v>8298541</v>
      </c>
      <c r="RNR538" s="1170">
        <v>8298541</v>
      </c>
      <c r="RNS538" s="1170">
        <v>8298541</v>
      </c>
      <c r="RNT538" s="1170">
        <v>8298541</v>
      </c>
      <c r="RNU538" s="1170">
        <v>8298541</v>
      </c>
      <c r="RNV538" s="1170">
        <v>8298541</v>
      </c>
      <c r="RNW538" s="1170">
        <v>8298541</v>
      </c>
      <c r="RNX538" s="1170">
        <v>8298541</v>
      </c>
      <c r="RNY538" s="1170">
        <v>8298541</v>
      </c>
      <c r="RNZ538" s="1170">
        <v>8298541</v>
      </c>
      <c r="ROA538" s="1170">
        <v>8298541</v>
      </c>
      <c r="ROB538" s="1170">
        <v>8298541</v>
      </c>
      <c r="ROC538" s="1170">
        <v>8298541</v>
      </c>
      <c r="ROD538" s="1170">
        <v>8298541</v>
      </c>
      <c r="ROE538" s="1170">
        <v>8298541</v>
      </c>
      <c r="ROF538" s="1170">
        <v>8298541</v>
      </c>
      <c r="ROG538" s="1170">
        <v>8298541</v>
      </c>
      <c r="ROH538" s="1170">
        <v>8298541</v>
      </c>
      <c r="ROI538" s="1170">
        <v>8298541</v>
      </c>
      <c r="ROJ538" s="1170">
        <v>8298541</v>
      </c>
      <c r="ROK538" s="1170">
        <v>8298541</v>
      </c>
      <c r="ROL538" s="1170">
        <v>8298541</v>
      </c>
      <c r="ROM538" s="1170">
        <v>8298541</v>
      </c>
      <c r="RON538" s="1170">
        <v>8298541</v>
      </c>
      <c r="ROO538" s="1170">
        <v>8298541</v>
      </c>
      <c r="ROP538" s="1170">
        <v>8298541</v>
      </c>
      <c r="ROQ538" s="1170">
        <v>8298541</v>
      </c>
      <c r="ROR538" s="1170">
        <v>8298541</v>
      </c>
      <c r="ROS538" s="1170">
        <v>8298541</v>
      </c>
      <c r="ROT538" s="1170">
        <v>8298541</v>
      </c>
      <c r="ROU538" s="1170">
        <v>8298541</v>
      </c>
      <c r="ROV538" s="1170">
        <v>8298541</v>
      </c>
      <c r="ROW538" s="1170">
        <v>8298541</v>
      </c>
      <c r="ROX538" s="1170">
        <v>8298541</v>
      </c>
      <c r="ROY538" s="1170">
        <v>8298541</v>
      </c>
      <c r="ROZ538" s="1170">
        <v>8298541</v>
      </c>
      <c r="RPA538" s="1170">
        <v>8298541</v>
      </c>
      <c r="RPB538" s="1170">
        <v>8298541</v>
      </c>
      <c r="RPC538" s="1170">
        <v>8298541</v>
      </c>
      <c r="RPD538" s="1170">
        <v>8298541</v>
      </c>
      <c r="RPE538" s="1170">
        <v>8298541</v>
      </c>
      <c r="RPF538" s="1170">
        <v>8298541</v>
      </c>
      <c r="RPG538" s="1170">
        <v>8298541</v>
      </c>
      <c r="RPH538" s="1170">
        <v>8298541</v>
      </c>
      <c r="RPI538" s="1170">
        <v>8298541</v>
      </c>
      <c r="RPJ538" s="1170">
        <v>8298541</v>
      </c>
      <c r="RPK538" s="1170">
        <v>8298541</v>
      </c>
      <c r="RPL538" s="1170">
        <v>8298541</v>
      </c>
      <c r="RPM538" s="1170">
        <v>8298541</v>
      </c>
      <c r="RPN538" s="1170">
        <v>8298541</v>
      </c>
      <c r="RPO538" s="1170">
        <v>8298541</v>
      </c>
      <c r="RPP538" s="1170">
        <v>8298541</v>
      </c>
      <c r="RPQ538" s="1170">
        <v>8298541</v>
      </c>
      <c r="RPR538" s="1170">
        <v>8298541</v>
      </c>
      <c r="RPS538" s="1170">
        <v>8298541</v>
      </c>
      <c r="RPT538" s="1170">
        <v>8298541</v>
      </c>
      <c r="RPU538" s="1170">
        <v>8298541</v>
      </c>
      <c r="RPV538" s="1170">
        <v>8298541</v>
      </c>
      <c r="RPW538" s="1170">
        <v>8298541</v>
      </c>
      <c r="RPX538" s="1170">
        <v>8298541</v>
      </c>
      <c r="RPY538" s="1170">
        <v>8298541</v>
      </c>
      <c r="RPZ538" s="1170">
        <v>8298541</v>
      </c>
      <c r="RQA538" s="1170">
        <v>8298541</v>
      </c>
      <c r="RQB538" s="1170">
        <v>8298541</v>
      </c>
      <c r="RQC538" s="1170">
        <v>8298541</v>
      </c>
      <c r="RQD538" s="1170">
        <v>8298541</v>
      </c>
      <c r="RQE538" s="1170">
        <v>8298541</v>
      </c>
      <c r="RQF538" s="1170">
        <v>8298541</v>
      </c>
      <c r="RQG538" s="1170">
        <v>8298541</v>
      </c>
      <c r="RQH538" s="1170">
        <v>8298541</v>
      </c>
      <c r="RQI538" s="1170">
        <v>8298541</v>
      </c>
      <c r="RQJ538" s="1170">
        <v>8298541</v>
      </c>
      <c r="RQK538" s="1170">
        <v>8298541</v>
      </c>
      <c r="RQL538" s="1170">
        <v>8298541</v>
      </c>
      <c r="RQM538" s="1170">
        <v>8298541</v>
      </c>
      <c r="RQN538" s="1170">
        <v>8298541</v>
      </c>
      <c r="RQO538" s="1170">
        <v>8298541</v>
      </c>
      <c r="RQP538" s="1170">
        <v>8298541</v>
      </c>
      <c r="RQQ538" s="1170">
        <v>8298541</v>
      </c>
      <c r="RQR538" s="1170">
        <v>8298541</v>
      </c>
      <c r="RQS538" s="1170">
        <v>8298541</v>
      </c>
      <c r="RQT538" s="1170">
        <v>8298541</v>
      </c>
      <c r="RQU538" s="1170">
        <v>8298541</v>
      </c>
      <c r="RQV538" s="1170">
        <v>8298541</v>
      </c>
      <c r="RQW538" s="1170">
        <v>8298541</v>
      </c>
      <c r="RQX538" s="1170">
        <v>8298541</v>
      </c>
      <c r="RQY538" s="1170">
        <v>8298541</v>
      </c>
      <c r="RQZ538" s="1170">
        <v>8298541</v>
      </c>
      <c r="RRA538" s="1170">
        <v>8298541</v>
      </c>
      <c r="RRB538" s="1170">
        <v>8298541</v>
      </c>
      <c r="RRC538" s="1170">
        <v>8298541</v>
      </c>
      <c r="RRD538" s="1170">
        <v>8298541</v>
      </c>
      <c r="RRE538" s="1170">
        <v>8298541</v>
      </c>
      <c r="RRF538" s="1170">
        <v>8298541</v>
      </c>
      <c r="RRG538" s="1170">
        <v>8298541</v>
      </c>
      <c r="RRH538" s="1170">
        <v>8298541</v>
      </c>
      <c r="RRI538" s="1170">
        <v>8298541</v>
      </c>
      <c r="RRJ538" s="1170">
        <v>8298541</v>
      </c>
      <c r="RRK538" s="1170">
        <v>8298541</v>
      </c>
      <c r="RRL538" s="1170">
        <v>8298541</v>
      </c>
      <c r="RRM538" s="1170">
        <v>8298541</v>
      </c>
      <c r="RRN538" s="1170">
        <v>8298541</v>
      </c>
      <c r="RRO538" s="1170">
        <v>8298541</v>
      </c>
      <c r="RRP538" s="1170">
        <v>8298541</v>
      </c>
      <c r="RRQ538" s="1170">
        <v>8298541</v>
      </c>
      <c r="RRR538" s="1170">
        <v>8298541</v>
      </c>
      <c r="RRS538" s="1170">
        <v>8298541</v>
      </c>
      <c r="RRT538" s="1170">
        <v>8298541</v>
      </c>
      <c r="RRU538" s="1170">
        <v>8298541</v>
      </c>
      <c r="RRV538" s="1170">
        <v>8298541</v>
      </c>
      <c r="RRW538" s="1170">
        <v>8298541</v>
      </c>
      <c r="RRX538" s="1170">
        <v>8298541</v>
      </c>
      <c r="RRY538" s="1170">
        <v>8298541</v>
      </c>
      <c r="RRZ538" s="1170">
        <v>8298541</v>
      </c>
      <c r="RSA538" s="1170">
        <v>8298541</v>
      </c>
      <c r="RSB538" s="1170">
        <v>8298541</v>
      </c>
      <c r="RSC538" s="1170">
        <v>8298541</v>
      </c>
      <c r="RSD538" s="1170">
        <v>8298541</v>
      </c>
      <c r="RSE538" s="1170">
        <v>8298541</v>
      </c>
      <c r="RSF538" s="1170">
        <v>8298541</v>
      </c>
      <c r="RSG538" s="1170">
        <v>8298541</v>
      </c>
      <c r="RSH538" s="1170">
        <v>8298541</v>
      </c>
      <c r="RSI538" s="1170">
        <v>8298541</v>
      </c>
      <c r="RSJ538" s="1170">
        <v>8298541</v>
      </c>
      <c r="RSK538" s="1170">
        <v>8298541</v>
      </c>
      <c r="RSL538" s="1170">
        <v>8298541</v>
      </c>
      <c r="RSM538" s="1170">
        <v>8298541</v>
      </c>
      <c r="RSN538" s="1170">
        <v>8298541</v>
      </c>
      <c r="RSO538" s="1170">
        <v>8298541</v>
      </c>
      <c r="RSP538" s="1170">
        <v>8298541</v>
      </c>
      <c r="RSQ538" s="1170">
        <v>8298541</v>
      </c>
      <c r="RSR538" s="1170">
        <v>8298541</v>
      </c>
      <c r="RSS538" s="1170">
        <v>8298541</v>
      </c>
      <c r="RST538" s="1170">
        <v>8298541</v>
      </c>
      <c r="RSU538" s="1170">
        <v>8298541</v>
      </c>
      <c r="RSV538" s="1170">
        <v>8298541</v>
      </c>
      <c r="RSW538" s="1170">
        <v>8298541</v>
      </c>
      <c r="RSX538" s="1170">
        <v>8298541</v>
      </c>
      <c r="RSY538" s="1170">
        <v>8298541</v>
      </c>
      <c r="RSZ538" s="1170">
        <v>8298541</v>
      </c>
      <c r="RTA538" s="1170">
        <v>8298541</v>
      </c>
      <c r="RTB538" s="1170">
        <v>8298541</v>
      </c>
      <c r="RTC538" s="1170">
        <v>8298541</v>
      </c>
      <c r="RTD538" s="1170">
        <v>8298541</v>
      </c>
      <c r="RTE538" s="1170">
        <v>8298541</v>
      </c>
      <c r="RTF538" s="1170">
        <v>8298541</v>
      </c>
      <c r="RTG538" s="1170">
        <v>8298541</v>
      </c>
      <c r="RTH538" s="1170">
        <v>8298541</v>
      </c>
      <c r="RTI538" s="1170">
        <v>8298541</v>
      </c>
      <c r="RTJ538" s="1170">
        <v>8298541</v>
      </c>
      <c r="RTK538" s="1170">
        <v>8298541</v>
      </c>
      <c r="RTL538" s="1170">
        <v>8298541</v>
      </c>
      <c r="RTM538" s="1170">
        <v>8298541</v>
      </c>
      <c r="RTN538" s="1170">
        <v>8298541</v>
      </c>
      <c r="RTO538" s="1170">
        <v>8298541</v>
      </c>
      <c r="RTP538" s="1170">
        <v>8298541</v>
      </c>
      <c r="RTQ538" s="1170">
        <v>8298541</v>
      </c>
      <c r="RTR538" s="1170">
        <v>8298541</v>
      </c>
      <c r="RTS538" s="1170">
        <v>8298541</v>
      </c>
      <c r="RTT538" s="1170">
        <v>8298541</v>
      </c>
      <c r="RTU538" s="1170">
        <v>8298541</v>
      </c>
      <c r="RTV538" s="1170">
        <v>8298541</v>
      </c>
      <c r="RTW538" s="1170">
        <v>8298541</v>
      </c>
      <c r="RTX538" s="1170">
        <v>8298541</v>
      </c>
      <c r="RTY538" s="1170">
        <v>8298541</v>
      </c>
      <c r="RTZ538" s="1170">
        <v>8298541</v>
      </c>
      <c r="RUA538" s="1170">
        <v>8298541</v>
      </c>
      <c r="RUB538" s="1170">
        <v>8298541</v>
      </c>
      <c r="RUC538" s="1170">
        <v>8298541</v>
      </c>
      <c r="RUD538" s="1170">
        <v>8298541</v>
      </c>
      <c r="RUE538" s="1170">
        <v>8298541</v>
      </c>
      <c r="RUF538" s="1170">
        <v>8298541</v>
      </c>
      <c r="RUG538" s="1170">
        <v>8298541</v>
      </c>
      <c r="RUH538" s="1170">
        <v>8298541</v>
      </c>
      <c r="RUI538" s="1170">
        <v>8298541</v>
      </c>
      <c r="RUJ538" s="1170">
        <v>8298541</v>
      </c>
      <c r="RUK538" s="1170">
        <v>8298541</v>
      </c>
      <c r="RUL538" s="1170">
        <v>8298541</v>
      </c>
      <c r="RUM538" s="1170">
        <v>8298541</v>
      </c>
      <c r="RUN538" s="1170">
        <v>8298541</v>
      </c>
      <c r="RUO538" s="1170">
        <v>8298541</v>
      </c>
      <c r="RUP538" s="1170">
        <v>8298541</v>
      </c>
      <c r="RUQ538" s="1170">
        <v>8298541</v>
      </c>
      <c r="RUR538" s="1170">
        <v>8298541</v>
      </c>
      <c r="RUS538" s="1170">
        <v>8298541</v>
      </c>
      <c r="RUT538" s="1170">
        <v>8298541</v>
      </c>
      <c r="RUU538" s="1170">
        <v>8298541</v>
      </c>
      <c r="RUV538" s="1170">
        <v>8298541</v>
      </c>
      <c r="RUW538" s="1170">
        <v>8298541</v>
      </c>
      <c r="RUX538" s="1170">
        <v>8298541</v>
      </c>
      <c r="RUY538" s="1170">
        <v>8298541</v>
      </c>
      <c r="RUZ538" s="1170">
        <v>8298541</v>
      </c>
      <c r="RVA538" s="1170">
        <v>8298541</v>
      </c>
      <c r="RVB538" s="1170">
        <v>8298541</v>
      </c>
      <c r="RVC538" s="1170">
        <v>8298541</v>
      </c>
      <c r="RVD538" s="1170">
        <v>8298541</v>
      </c>
      <c r="RVE538" s="1170">
        <v>8298541</v>
      </c>
      <c r="RVF538" s="1170">
        <v>8298541</v>
      </c>
      <c r="RVG538" s="1170">
        <v>8298541</v>
      </c>
      <c r="RVH538" s="1170">
        <v>8298541</v>
      </c>
      <c r="RVI538" s="1170">
        <v>8298541</v>
      </c>
      <c r="RVJ538" s="1170">
        <v>8298541</v>
      </c>
      <c r="RVK538" s="1170">
        <v>8298541</v>
      </c>
      <c r="RVL538" s="1170">
        <v>8298541</v>
      </c>
      <c r="RVM538" s="1170">
        <v>8298541</v>
      </c>
      <c r="RVN538" s="1170">
        <v>8298541</v>
      </c>
      <c r="RVO538" s="1170">
        <v>8298541</v>
      </c>
      <c r="RVP538" s="1170">
        <v>8298541</v>
      </c>
      <c r="RVQ538" s="1170">
        <v>8298541</v>
      </c>
      <c r="RVR538" s="1170">
        <v>8298541</v>
      </c>
      <c r="RVS538" s="1170">
        <v>8298541</v>
      </c>
      <c r="RVT538" s="1170">
        <v>8298541</v>
      </c>
      <c r="RVU538" s="1170">
        <v>8298541</v>
      </c>
      <c r="RVV538" s="1170">
        <v>8298541</v>
      </c>
      <c r="RVW538" s="1170">
        <v>8298541</v>
      </c>
      <c r="RVX538" s="1170">
        <v>8298541</v>
      </c>
      <c r="RVY538" s="1170">
        <v>8298541</v>
      </c>
      <c r="RVZ538" s="1170">
        <v>8298541</v>
      </c>
      <c r="RWA538" s="1170">
        <v>8298541</v>
      </c>
      <c r="RWB538" s="1170">
        <v>8298541</v>
      </c>
      <c r="RWC538" s="1170">
        <v>8298541</v>
      </c>
      <c r="RWD538" s="1170">
        <v>8298541</v>
      </c>
      <c r="RWE538" s="1170">
        <v>8298541</v>
      </c>
      <c r="RWF538" s="1170">
        <v>8298541</v>
      </c>
      <c r="RWG538" s="1170">
        <v>8298541</v>
      </c>
      <c r="RWH538" s="1170">
        <v>8298541</v>
      </c>
      <c r="RWI538" s="1170">
        <v>8298541</v>
      </c>
      <c r="RWJ538" s="1170">
        <v>8298541</v>
      </c>
      <c r="RWK538" s="1170">
        <v>8298541</v>
      </c>
      <c r="RWL538" s="1170">
        <v>8298541</v>
      </c>
      <c r="RWM538" s="1170">
        <v>8298541</v>
      </c>
      <c r="RWN538" s="1170">
        <v>8298541</v>
      </c>
      <c r="RWO538" s="1170">
        <v>8298541</v>
      </c>
      <c r="RWP538" s="1170">
        <v>8298541</v>
      </c>
      <c r="RWQ538" s="1170">
        <v>8298541</v>
      </c>
      <c r="RWR538" s="1170">
        <v>8298541</v>
      </c>
      <c r="RWS538" s="1170">
        <v>8298541</v>
      </c>
      <c r="RWT538" s="1170">
        <v>8298541</v>
      </c>
      <c r="RWU538" s="1170">
        <v>8298541</v>
      </c>
      <c r="RWV538" s="1170">
        <v>8298541</v>
      </c>
      <c r="RWW538" s="1170">
        <v>8298541</v>
      </c>
      <c r="RWX538" s="1170">
        <v>8298541</v>
      </c>
      <c r="RWY538" s="1170">
        <v>8298541</v>
      </c>
      <c r="RWZ538" s="1170">
        <v>8298541</v>
      </c>
      <c r="RXA538" s="1170">
        <v>8298541</v>
      </c>
      <c r="RXB538" s="1170">
        <v>8298541</v>
      </c>
      <c r="RXC538" s="1170">
        <v>8298541</v>
      </c>
      <c r="RXD538" s="1170">
        <v>8298541</v>
      </c>
      <c r="RXE538" s="1170">
        <v>8298541</v>
      </c>
      <c r="RXF538" s="1170">
        <v>8298541</v>
      </c>
      <c r="RXG538" s="1170">
        <v>8298541</v>
      </c>
      <c r="RXH538" s="1170">
        <v>8298541</v>
      </c>
      <c r="RXI538" s="1170">
        <v>8298541</v>
      </c>
      <c r="RXJ538" s="1170">
        <v>8298541</v>
      </c>
      <c r="RXK538" s="1170">
        <v>8298541</v>
      </c>
      <c r="RXL538" s="1170">
        <v>8298541</v>
      </c>
      <c r="RXM538" s="1170">
        <v>8298541</v>
      </c>
      <c r="RXN538" s="1170">
        <v>8298541</v>
      </c>
      <c r="RXO538" s="1170">
        <v>8298541</v>
      </c>
      <c r="RXP538" s="1170">
        <v>8298541</v>
      </c>
      <c r="RXQ538" s="1170">
        <v>8298541</v>
      </c>
      <c r="RXR538" s="1170">
        <v>8298541</v>
      </c>
      <c r="RXS538" s="1170">
        <v>8298541</v>
      </c>
      <c r="RXT538" s="1170">
        <v>8298541</v>
      </c>
      <c r="RXU538" s="1170">
        <v>8298541</v>
      </c>
      <c r="RXV538" s="1170">
        <v>8298541</v>
      </c>
      <c r="RXW538" s="1170">
        <v>8298541</v>
      </c>
      <c r="RXX538" s="1170">
        <v>8298541</v>
      </c>
      <c r="RXY538" s="1170">
        <v>8298541</v>
      </c>
      <c r="RXZ538" s="1170">
        <v>8298541</v>
      </c>
      <c r="RYA538" s="1170">
        <v>8298541</v>
      </c>
      <c r="RYB538" s="1170">
        <v>8298541</v>
      </c>
      <c r="RYC538" s="1170">
        <v>8298541</v>
      </c>
      <c r="RYD538" s="1170">
        <v>8298541</v>
      </c>
      <c r="RYE538" s="1170">
        <v>8298541</v>
      </c>
      <c r="RYF538" s="1170">
        <v>8298541</v>
      </c>
      <c r="RYG538" s="1170">
        <v>8298541</v>
      </c>
      <c r="RYH538" s="1170">
        <v>8298541</v>
      </c>
      <c r="RYI538" s="1170">
        <v>8298541</v>
      </c>
      <c r="RYJ538" s="1170">
        <v>8298541</v>
      </c>
      <c r="RYK538" s="1170">
        <v>8298541</v>
      </c>
      <c r="RYL538" s="1170">
        <v>8298541</v>
      </c>
      <c r="RYM538" s="1170">
        <v>8298541</v>
      </c>
      <c r="RYN538" s="1170">
        <v>8298541</v>
      </c>
      <c r="RYO538" s="1170">
        <v>8298541</v>
      </c>
      <c r="RYP538" s="1170">
        <v>8298541</v>
      </c>
      <c r="RYQ538" s="1170">
        <v>8298541</v>
      </c>
      <c r="RYR538" s="1170">
        <v>8298541</v>
      </c>
      <c r="RYS538" s="1170">
        <v>8298541</v>
      </c>
      <c r="RYT538" s="1170">
        <v>8298541</v>
      </c>
      <c r="RYU538" s="1170">
        <v>8298541</v>
      </c>
      <c r="RYV538" s="1170">
        <v>8298541</v>
      </c>
      <c r="RYW538" s="1170">
        <v>8298541</v>
      </c>
      <c r="RYX538" s="1170">
        <v>8298541</v>
      </c>
      <c r="RYY538" s="1170">
        <v>8298541</v>
      </c>
      <c r="RYZ538" s="1170">
        <v>8298541</v>
      </c>
      <c r="RZA538" s="1170">
        <v>8298541</v>
      </c>
      <c r="RZB538" s="1170">
        <v>8298541</v>
      </c>
      <c r="RZC538" s="1170">
        <v>8298541</v>
      </c>
      <c r="RZD538" s="1170">
        <v>8298541</v>
      </c>
      <c r="RZE538" s="1170">
        <v>8298541</v>
      </c>
      <c r="RZF538" s="1170">
        <v>8298541</v>
      </c>
      <c r="RZG538" s="1170">
        <v>8298541</v>
      </c>
      <c r="RZH538" s="1170">
        <v>8298541</v>
      </c>
      <c r="RZI538" s="1170">
        <v>8298541</v>
      </c>
      <c r="RZJ538" s="1170">
        <v>8298541</v>
      </c>
      <c r="RZK538" s="1170">
        <v>8298541</v>
      </c>
      <c r="RZL538" s="1170">
        <v>8298541</v>
      </c>
      <c r="RZM538" s="1170">
        <v>8298541</v>
      </c>
      <c r="RZN538" s="1170">
        <v>8298541</v>
      </c>
      <c r="RZO538" s="1170">
        <v>8298541</v>
      </c>
      <c r="RZP538" s="1170">
        <v>8298541</v>
      </c>
      <c r="RZQ538" s="1170">
        <v>8298541</v>
      </c>
      <c r="RZR538" s="1170">
        <v>8298541</v>
      </c>
      <c r="RZS538" s="1170">
        <v>8298541</v>
      </c>
      <c r="RZT538" s="1170">
        <v>8298541</v>
      </c>
      <c r="RZU538" s="1170">
        <v>8298541</v>
      </c>
      <c r="RZV538" s="1170">
        <v>8298541</v>
      </c>
      <c r="RZW538" s="1170">
        <v>8298541</v>
      </c>
      <c r="RZX538" s="1170">
        <v>8298541</v>
      </c>
      <c r="RZY538" s="1170">
        <v>8298541</v>
      </c>
      <c r="RZZ538" s="1170">
        <v>8298541</v>
      </c>
      <c r="SAA538" s="1170">
        <v>8298541</v>
      </c>
      <c r="SAB538" s="1170">
        <v>8298541</v>
      </c>
      <c r="SAC538" s="1170">
        <v>8298541</v>
      </c>
      <c r="SAD538" s="1170">
        <v>8298541</v>
      </c>
      <c r="SAE538" s="1170">
        <v>8298541</v>
      </c>
      <c r="SAF538" s="1170">
        <v>8298541</v>
      </c>
      <c r="SAG538" s="1170">
        <v>8298541</v>
      </c>
      <c r="SAH538" s="1170">
        <v>8298541</v>
      </c>
      <c r="SAI538" s="1170">
        <v>8298541</v>
      </c>
      <c r="SAJ538" s="1170">
        <v>8298541</v>
      </c>
      <c r="SAK538" s="1170">
        <v>8298541</v>
      </c>
      <c r="SAL538" s="1170">
        <v>8298541</v>
      </c>
      <c r="SAM538" s="1170">
        <v>8298541</v>
      </c>
      <c r="SAN538" s="1170">
        <v>8298541</v>
      </c>
      <c r="SAO538" s="1170">
        <v>8298541</v>
      </c>
      <c r="SAP538" s="1170">
        <v>8298541</v>
      </c>
      <c r="SAQ538" s="1170">
        <v>8298541</v>
      </c>
      <c r="SAR538" s="1170">
        <v>8298541</v>
      </c>
      <c r="SAS538" s="1170">
        <v>8298541</v>
      </c>
      <c r="SAT538" s="1170">
        <v>8298541</v>
      </c>
      <c r="SAU538" s="1170">
        <v>8298541</v>
      </c>
      <c r="SAV538" s="1170">
        <v>8298541</v>
      </c>
      <c r="SAW538" s="1170">
        <v>8298541</v>
      </c>
      <c r="SAX538" s="1170">
        <v>8298541</v>
      </c>
      <c r="SAY538" s="1170">
        <v>8298541</v>
      </c>
      <c r="SAZ538" s="1170">
        <v>8298541</v>
      </c>
      <c r="SBA538" s="1170">
        <v>8298541</v>
      </c>
      <c r="SBB538" s="1170">
        <v>8298541</v>
      </c>
      <c r="SBC538" s="1170">
        <v>8298541</v>
      </c>
      <c r="SBD538" s="1170">
        <v>8298541</v>
      </c>
      <c r="SBE538" s="1170">
        <v>8298541</v>
      </c>
      <c r="SBF538" s="1170">
        <v>8298541</v>
      </c>
      <c r="SBG538" s="1170">
        <v>8298541</v>
      </c>
      <c r="SBH538" s="1170">
        <v>8298541</v>
      </c>
      <c r="SBI538" s="1170">
        <v>8298541</v>
      </c>
      <c r="SBJ538" s="1170">
        <v>8298541</v>
      </c>
      <c r="SBK538" s="1170">
        <v>8298541</v>
      </c>
      <c r="SBL538" s="1170">
        <v>8298541</v>
      </c>
      <c r="SBM538" s="1170">
        <v>8298541</v>
      </c>
      <c r="SBN538" s="1170">
        <v>8298541</v>
      </c>
      <c r="SBO538" s="1170">
        <v>8298541</v>
      </c>
      <c r="SBP538" s="1170">
        <v>8298541</v>
      </c>
      <c r="SBQ538" s="1170">
        <v>8298541</v>
      </c>
      <c r="SBR538" s="1170">
        <v>8298541</v>
      </c>
      <c r="SBS538" s="1170">
        <v>8298541</v>
      </c>
      <c r="SBT538" s="1170">
        <v>8298541</v>
      </c>
      <c r="SBU538" s="1170">
        <v>8298541</v>
      </c>
      <c r="SBV538" s="1170">
        <v>8298541</v>
      </c>
      <c r="SBW538" s="1170">
        <v>8298541</v>
      </c>
      <c r="SBX538" s="1170">
        <v>8298541</v>
      </c>
      <c r="SBY538" s="1170">
        <v>8298541</v>
      </c>
      <c r="SBZ538" s="1170">
        <v>8298541</v>
      </c>
      <c r="SCA538" s="1170">
        <v>8298541</v>
      </c>
      <c r="SCB538" s="1170">
        <v>8298541</v>
      </c>
      <c r="SCC538" s="1170">
        <v>8298541</v>
      </c>
      <c r="SCD538" s="1170">
        <v>8298541</v>
      </c>
      <c r="SCE538" s="1170">
        <v>8298541</v>
      </c>
      <c r="SCF538" s="1170">
        <v>8298541</v>
      </c>
      <c r="SCG538" s="1170">
        <v>8298541</v>
      </c>
      <c r="SCH538" s="1170">
        <v>8298541</v>
      </c>
      <c r="SCI538" s="1170">
        <v>8298541</v>
      </c>
      <c r="SCJ538" s="1170">
        <v>8298541</v>
      </c>
      <c r="SCK538" s="1170">
        <v>8298541</v>
      </c>
      <c r="SCL538" s="1170">
        <v>8298541</v>
      </c>
      <c r="SCM538" s="1170">
        <v>8298541</v>
      </c>
      <c r="SCN538" s="1170">
        <v>8298541</v>
      </c>
      <c r="SCO538" s="1170">
        <v>8298541</v>
      </c>
      <c r="SCP538" s="1170">
        <v>8298541</v>
      </c>
      <c r="SCQ538" s="1170">
        <v>8298541</v>
      </c>
      <c r="SCR538" s="1170">
        <v>8298541</v>
      </c>
      <c r="SCS538" s="1170">
        <v>8298541</v>
      </c>
      <c r="SCT538" s="1170">
        <v>8298541</v>
      </c>
      <c r="SCU538" s="1170">
        <v>8298541</v>
      </c>
      <c r="SCV538" s="1170">
        <v>8298541</v>
      </c>
      <c r="SCW538" s="1170">
        <v>8298541</v>
      </c>
      <c r="SCX538" s="1170">
        <v>8298541</v>
      </c>
      <c r="SCY538" s="1170">
        <v>8298541</v>
      </c>
      <c r="SCZ538" s="1170">
        <v>8298541</v>
      </c>
      <c r="SDA538" s="1170">
        <v>8298541</v>
      </c>
      <c r="SDB538" s="1170">
        <v>8298541</v>
      </c>
      <c r="SDC538" s="1170">
        <v>8298541</v>
      </c>
      <c r="SDD538" s="1170">
        <v>8298541</v>
      </c>
      <c r="SDE538" s="1170">
        <v>8298541</v>
      </c>
      <c r="SDF538" s="1170">
        <v>8298541</v>
      </c>
      <c r="SDG538" s="1170">
        <v>8298541</v>
      </c>
      <c r="SDH538" s="1170">
        <v>8298541</v>
      </c>
      <c r="SDI538" s="1170">
        <v>8298541</v>
      </c>
      <c r="SDJ538" s="1170">
        <v>8298541</v>
      </c>
      <c r="SDK538" s="1170">
        <v>8298541</v>
      </c>
      <c r="SDL538" s="1170">
        <v>8298541</v>
      </c>
      <c r="SDM538" s="1170">
        <v>8298541</v>
      </c>
      <c r="SDN538" s="1170">
        <v>8298541</v>
      </c>
      <c r="SDO538" s="1170">
        <v>8298541</v>
      </c>
      <c r="SDP538" s="1170">
        <v>8298541</v>
      </c>
      <c r="SDQ538" s="1170">
        <v>8298541</v>
      </c>
      <c r="SDR538" s="1170">
        <v>8298541</v>
      </c>
      <c r="SDS538" s="1170">
        <v>8298541</v>
      </c>
      <c r="SDT538" s="1170">
        <v>8298541</v>
      </c>
      <c r="SDU538" s="1170">
        <v>8298541</v>
      </c>
      <c r="SDV538" s="1170">
        <v>8298541</v>
      </c>
      <c r="SDW538" s="1170">
        <v>8298541</v>
      </c>
      <c r="SDX538" s="1170">
        <v>8298541</v>
      </c>
      <c r="SDY538" s="1170">
        <v>8298541</v>
      </c>
      <c r="SDZ538" s="1170">
        <v>8298541</v>
      </c>
      <c r="SEA538" s="1170">
        <v>8298541</v>
      </c>
      <c r="SEB538" s="1170">
        <v>8298541</v>
      </c>
      <c r="SEC538" s="1170">
        <v>8298541</v>
      </c>
      <c r="SED538" s="1170">
        <v>8298541</v>
      </c>
      <c r="SEE538" s="1170">
        <v>8298541</v>
      </c>
      <c r="SEF538" s="1170">
        <v>8298541</v>
      </c>
      <c r="SEG538" s="1170">
        <v>8298541</v>
      </c>
      <c r="SEH538" s="1170">
        <v>8298541</v>
      </c>
      <c r="SEI538" s="1170">
        <v>8298541</v>
      </c>
      <c r="SEJ538" s="1170">
        <v>8298541</v>
      </c>
      <c r="SEK538" s="1170">
        <v>8298541</v>
      </c>
      <c r="SEL538" s="1170">
        <v>8298541</v>
      </c>
      <c r="SEM538" s="1170">
        <v>8298541</v>
      </c>
      <c r="SEN538" s="1170">
        <v>8298541</v>
      </c>
      <c r="SEO538" s="1170">
        <v>8298541</v>
      </c>
      <c r="SEP538" s="1170">
        <v>8298541</v>
      </c>
      <c r="SEQ538" s="1170">
        <v>8298541</v>
      </c>
      <c r="SER538" s="1170">
        <v>8298541</v>
      </c>
      <c r="SES538" s="1170">
        <v>8298541</v>
      </c>
      <c r="SET538" s="1170">
        <v>8298541</v>
      </c>
      <c r="SEU538" s="1170">
        <v>8298541</v>
      </c>
      <c r="SEV538" s="1170">
        <v>8298541</v>
      </c>
      <c r="SEW538" s="1170">
        <v>8298541</v>
      </c>
      <c r="SEX538" s="1170">
        <v>8298541</v>
      </c>
      <c r="SEY538" s="1170">
        <v>8298541</v>
      </c>
      <c r="SEZ538" s="1170">
        <v>8298541</v>
      </c>
      <c r="SFA538" s="1170">
        <v>8298541</v>
      </c>
      <c r="SFB538" s="1170">
        <v>8298541</v>
      </c>
      <c r="SFC538" s="1170">
        <v>8298541</v>
      </c>
      <c r="SFD538" s="1170">
        <v>8298541</v>
      </c>
      <c r="SFE538" s="1170">
        <v>8298541</v>
      </c>
      <c r="SFF538" s="1170">
        <v>8298541</v>
      </c>
      <c r="SFG538" s="1170">
        <v>8298541</v>
      </c>
      <c r="SFH538" s="1170">
        <v>8298541</v>
      </c>
      <c r="SFI538" s="1170">
        <v>8298541</v>
      </c>
      <c r="SFJ538" s="1170">
        <v>8298541</v>
      </c>
      <c r="SFK538" s="1170">
        <v>8298541</v>
      </c>
      <c r="SFL538" s="1170">
        <v>8298541</v>
      </c>
      <c r="SFM538" s="1170">
        <v>8298541</v>
      </c>
      <c r="SFN538" s="1170">
        <v>8298541</v>
      </c>
      <c r="SFO538" s="1170">
        <v>8298541</v>
      </c>
      <c r="SFP538" s="1170">
        <v>8298541</v>
      </c>
      <c r="SFQ538" s="1170">
        <v>8298541</v>
      </c>
      <c r="SFR538" s="1170">
        <v>8298541</v>
      </c>
      <c r="SFS538" s="1170">
        <v>8298541</v>
      </c>
      <c r="SFT538" s="1170">
        <v>8298541</v>
      </c>
      <c r="SFU538" s="1170">
        <v>8298541</v>
      </c>
      <c r="SFV538" s="1170">
        <v>8298541</v>
      </c>
      <c r="SFW538" s="1170">
        <v>8298541</v>
      </c>
      <c r="SFX538" s="1170">
        <v>8298541</v>
      </c>
      <c r="SFY538" s="1170">
        <v>8298541</v>
      </c>
      <c r="SFZ538" s="1170">
        <v>8298541</v>
      </c>
      <c r="SGA538" s="1170">
        <v>8298541</v>
      </c>
      <c r="SGB538" s="1170">
        <v>8298541</v>
      </c>
      <c r="SGC538" s="1170">
        <v>8298541</v>
      </c>
      <c r="SGD538" s="1170">
        <v>8298541</v>
      </c>
      <c r="SGE538" s="1170">
        <v>8298541</v>
      </c>
      <c r="SGF538" s="1170">
        <v>8298541</v>
      </c>
      <c r="SGG538" s="1170">
        <v>8298541</v>
      </c>
      <c r="SGH538" s="1170">
        <v>8298541</v>
      </c>
      <c r="SGI538" s="1170">
        <v>8298541</v>
      </c>
      <c r="SGJ538" s="1170">
        <v>8298541</v>
      </c>
      <c r="SGK538" s="1170">
        <v>8298541</v>
      </c>
      <c r="SGL538" s="1170">
        <v>8298541</v>
      </c>
      <c r="SGM538" s="1170">
        <v>8298541</v>
      </c>
      <c r="SGN538" s="1170">
        <v>8298541</v>
      </c>
      <c r="SGO538" s="1170">
        <v>8298541</v>
      </c>
      <c r="SGP538" s="1170">
        <v>8298541</v>
      </c>
      <c r="SGQ538" s="1170">
        <v>8298541</v>
      </c>
      <c r="SGR538" s="1170">
        <v>8298541</v>
      </c>
      <c r="SGS538" s="1170">
        <v>8298541</v>
      </c>
      <c r="SGT538" s="1170">
        <v>8298541</v>
      </c>
      <c r="SGU538" s="1170">
        <v>8298541</v>
      </c>
      <c r="SGV538" s="1170">
        <v>8298541</v>
      </c>
      <c r="SGW538" s="1170">
        <v>8298541</v>
      </c>
      <c r="SGX538" s="1170">
        <v>8298541</v>
      </c>
      <c r="SGY538" s="1170">
        <v>8298541</v>
      </c>
      <c r="SGZ538" s="1170">
        <v>8298541</v>
      </c>
      <c r="SHA538" s="1170">
        <v>8298541</v>
      </c>
      <c r="SHB538" s="1170">
        <v>8298541</v>
      </c>
      <c r="SHC538" s="1170">
        <v>8298541</v>
      </c>
      <c r="SHD538" s="1170">
        <v>8298541</v>
      </c>
      <c r="SHE538" s="1170">
        <v>8298541</v>
      </c>
      <c r="SHF538" s="1170">
        <v>8298541</v>
      </c>
      <c r="SHG538" s="1170">
        <v>8298541</v>
      </c>
      <c r="SHH538" s="1170">
        <v>8298541</v>
      </c>
      <c r="SHI538" s="1170">
        <v>8298541</v>
      </c>
      <c r="SHJ538" s="1170">
        <v>8298541</v>
      </c>
      <c r="SHK538" s="1170">
        <v>8298541</v>
      </c>
      <c r="SHL538" s="1170">
        <v>8298541</v>
      </c>
      <c r="SHM538" s="1170">
        <v>8298541</v>
      </c>
      <c r="SHN538" s="1170">
        <v>8298541</v>
      </c>
      <c r="SHO538" s="1170">
        <v>8298541</v>
      </c>
      <c r="SHP538" s="1170">
        <v>8298541</v>
      </c>
      <c r="SHQ538" s="1170">
        <v>8298541</v>
      </c>
      <c r="SHR538" s="1170">
        <v>8298541</v>
      </c>
      <c r="SHS538" s="1170">
        <v>8298541</v>
      </c>
      <c r="SHT538" s="1170">
        <v>8298541</v>
      </c>
      <c r="SHU538" s="1170">
        <v>8298541</v>
      </c>
      <c r="SHV538" s="1170">
        <v>8298541</v>
      </c>
      <c r="SHW538" s="1170">
        <v>8298541</v>
      </c>
      <c r="SHX538" s="1170">
        <v>8298541</v>
      </c>
      <c r="SHY538" s="1170">
        <v>8298541</v>
      </c>
      <c r="SHZ538" s="1170">
        <v>8298541</v>
      </c>
      <c r="SIA538" s="1170">
        <v>8298541</v>
      </c>
      <c r="SIB538" s="1170">
        <v>8298541</v>
      </c>
      <c r="SIC538" s="1170">
        <v>8298541</v>
      </c>
      <c r="SID538" s="1170">
        <v>8298541</v>
      </c>
      <c r="SIE538" s="1170">
        <v>8298541</v>
      </c>
      <c r="SIF538" s="1170">
        <v>8298541</v>
      </c>
      <c r="SIG538" s="1170">
        <v>8298541</v>
      </c>
      <c r="SIH538" s="1170">
        <v>8298541</v>
      </c>
      <c r="SII538" s="1170">
        <v>8298541</v>
      </c>
      <c r="SIJ538" s="1170">
        <v>8298541</v>
      </c>
      <c r="SIK538" s="1170">
        <v>8298541</v>
      </c>
      <c r="SIL538" s="1170">
        <v>8298541</v>
      </c>
      <c r="SIM538" s="1170">
        <v>8298541</v>
      </c>
      <c r="SIN538" s="1170">
        <v>8298541</v>
      </c>
      <c r="SIO538" s="1170">
        <v>8298541</v>
      </c>
      <c r="SIP538" s="1170">
        <v>8298541</v>
      </c>
      <c r="SIQ538" s="1170">
        <v>8298541</v>
      </c>
      <c r="SIR538" s="1170">
        <v>8298541</v>
      </c>
      <c r="SIS538" s="1170">
        <v>8298541</v>
      </c>
      <c r="SIT538" s="1170">
        <v>8298541</v>
      </c>
      <c r="SIU538" s="1170">
        <v>8298541</v>
      </c>
      <c r="SIV538" s="1170">
        <v>8298541</v>
      </c>
      <c r="SIW538" s="1170">
        <v>8298541</v>
      </c>
      <c r="SIX538" s="1170">
        <v>8298541</v>
      </c>
      <c r="SIY538" s="1170">
        <v>8298541</v>
      </c>
      <c r="SIZ538" s="1170">
        <v>8298541</v>
      </c>
      <c r="SJA538" s="1170">
        <v>8298541</v>
      </c>
      <c r="SJB538" s="1170">
        <v>8298541</v>
      </c>
      <c r="SJC538" s="1170">
        <v>8298541</v>
      </c>
      <c r="SJD538" s="1170">
        <v>8298541</v>
      </c>
      <c r="SJE538" s="1170">
        <v>8298541</v>
      </c>
      <c r="SJF538" s="1170">
        <v>8298541</v>
      </c>
      <c r="SJG538" s="1170">
        <v>8298541</v>
      </c>
      <c r="SJH538" s="1170">
        <v>8298541</v>
      </c>
      <c r="SJI538" s="1170">
        <v>8298541</v>
      </c>
      <c r="SJJ538" s="1170">
        <v>8298541</v>
      </c>
      <c r="SJK538" s="1170">
        <v>8298541</v>
      </c>
      <c r="SJL538" s="1170">
        <v>8298541</v>
      </c>
      <c r="SJM538" s="1170">
        <v>8298541</v>
      </c>
      <c r="SJN538" s="1170">
        <v>8298541</v>
      </c>
      <c r="SJO538" s="1170">
        <v>8298541</v>
      </c>
      <c r="SJP538" s="1170">
        <v>8298541</v>
      </c>
      <c r="SJQ538" s="1170">
        <v>8298541</v>
      </c>
      <c r="SJR538" s="1170">
        <v>8298541</v>
      </c>
      <c r="SJS538" s="1170">
        <v>8298541</v>
      </c>
      <c r="SJT538" s="1170">
        <v>8298541</v>
      </c>
      <c r="SJU538" s="1170">
        <v>8298541</v>
      </c>
      <c r="SJV538" s="1170">
        <v>8298541</v>
      </c>
      <c r="SJW538" s="1170">
        <v>8298541</v>
      </c>
      <c r="SJX538" s="1170">
        <v>8298541</v>
      </c>
      <c r="SJY538" s="1170">
        <v>8298541</v>
      </c>
      <c r="SJZ538" s="1170">
        <v>8298541</v>
      </c>
      <c r="SKA538" s="1170">
        <v>8298541</v>
      </c>
      <c r="SKB538" s="1170">
        <v>8298541</v>
      </c>
      <c r="SKC538" s="1170">
        <v>8298541</v>
      </c>
      <c r="SKD538" s="1170">
        <v>8298541</v>
      </c>
      <c r="SKE538" s="1170">
        <v>8298541</v>
      </c>
      <c r="SKF538" s="1170">
        <v>8298541</v>
      </c>
      <c r="SKG538" s="1170">
        <v>8298541</v>
      </c>
      <c r="SKH538" s="1170">
        <v>8298541</v>
      </c>
      <c r="SKI538" s="1170">
        <v>8298541</v>
      </c>
      <c r="SKJ538" s="1170">
        <v>8298541</v>
      </c>
      <c r="SKK538" s="1170">
        <v>8298541</v>
      </c>
      <c r="SKL538" s="1170">
        <v>8298541</v>
      </c>
      <c r="SKM538" s="1170">
        <v>8298541</v>
      </c>
      <c r="SKN538" s="1170">
        <v>8298541</v>
      </c>
      <c r="SKO538" s="1170">
        <v>8298541</v>
      </c>
      <c r="SKP538" s="1170">
        <v>8298541</v>
      </c>
      <c r="SKQ538" s="1170">
        <v>8298541</v>
      </c>
      <c r="SKR538" s="1170">
        <v>8298541</v>
      </c>
      <c r="SKS538" s="1170">
        <v>8298541</v>
      </c>
      <c r="SKT538" s="1170">
        <v>8298541</v>
      </c>
      <c r="SKU538" s="1170">
        <v>8298541</v>
      </c>
      <c r="SKV538" s="1170">
        <v>8298541</v>
      </c>
      <c r="SKW538" s="1170">
        <v>8298541</v>
      </c>
      <c r="SKX538" s="1170">
        <v>8298541</v>
      </c>
      <c r="SKY538" s="1170">
        <v>8298541</v>
      </c>
      <c r="SKZ538" s="1170">
        <v>8298541</v>
      </c>
      <c r="SLA538" s="1170">
        <v>8298541</v>
      </c>
      <c r="SLB538" s="1170">
        <v>8298541</v>
      </c>
      <c r="SLC538" s="1170">
        <v>8298541</v>
      </c>
      <c r="SLD538" s="1170">
        <v>8298541</v>
      </c>
      <c r="SLE538" s="1170">
        <v>8298541</v>
      </c>
      <c r="SLF538" s="1170">
        <v>8298541</v>
      </c>
      <c r="SLG538" s="1170">
        <v>8298541</v>
      </c>
      <c r="SLH538" s="1170">
        <v>8298541</v>
      </c>
      <c r="SLI538" s="1170">
        <v>8298541</v>
      </c>
      <c r="SLJ538" s="1170">
        <v>8298541</v>
      </c>
      <c r="SLK538" s="1170">
        <v>8298541</v>
      </c>
      <c r="SLL538" s="1170">
        <v>8298541</v>
      </c>
      <c r="SLM538" s="1170">
        <v>8298541</v>
      </c>
      <c r="SLN538" s="1170">
        <v>8298541</v>
      </c>
      <c r="SLO538" s="1170">
        <v>8298541</v>
      </c>
      <c r="SLP538" s="1170">
        <v>8298541</v>
      </c>
      <c r="SLQ538" s="1170">
        <v>8298541</v>
      </c>
      <c r="SLR538" s="1170">
        <v>8298541</v>
      </c>
      <c r="SLS538" s="1170">
        <v>8298541</v>
      </c>
      <c r="SLT538" s="1170">
        <v>8298541</v>
      </c>
      <c r="SLU538" s="1170">
        <v>8298541</v>
      </c>
      <c r="SLV538" s="1170">
        <v>8298541</v>
      </c>
      <c r="SLW538" s="1170">
        <v>8298541</v>
      </c>
      <c r="SLX538" s="1170">
        <v>8298541</v>
      </c>
      <c r="SLY538" s="1170">
        <v>8298541</v>
      </c>
      <c r="SLZ538" s="1170">
        <v>8298541</v>
      </c>
      <c r="SMA538" s="1170">
        <v>8298541</v>
      </c>
      <c r="SMB538" s="1170">
        <v>8298541</v>
      </c>
      <c r="SMC538" s="1170">
        <v>8298541</v>
      </c>
      <c r="SMD538" s="1170">
        <v>8298541</v>
      </c>
      <c r="SME538" s="1170">
        <v>8298541</v>
      </c>
      <c r="SMF538" s="1170">
        <v>8298541</v>
      </c>
      <c r="SMG538" s="1170">
        <v>8298541</v>
      </c>
      <c r="SMH538" s="1170">
        <v>8298541</v>
      </c>
      <c r="SMI538" s="1170">
        <v>8298541</v>
      </c>
      <c r="SMJ538" s="1170">
        <v>8298541</v>
      </c>
      <c r="SMK538" s="1170">
        <v>8298541</v>
      </c>
      <c r="SML538" s="1170">
        <v>8298541</v>
      </c>
      <c r="SMM538" s="1170">
        <v>8298541</v>
      </c>
      <c r="SMN538" s="1170">
        <v>8298541</v>
      </c>
      <c r="SMO538" s="1170">
        <v>8298541</v>
      </c>
      <c r="SMP538" s="1170">
        <v>8298541</v>
      </c>
      <c r="SMQ538" s="1170">
        <v>8298541</v>
      </c>
      <c r="SMR538" s="1170">
        <v>8298541</v>
      </c>
      <c r="SMS538" s="1170">
        <v>8298541</v>
      </c>
      <c r="SMT538" s="1170">
        <v>8298541</v>
      </c>
      <c r="SMU538" s="1170">
        <v>8298541</v>
      </c>
      <c r="SMV538" s="1170">
        <v>8298541</v>
      </c>
      <c r="SMW538" s="1170">
        <v>8298541</v>
      </c>
      <c r="SMX538" s="1170">
        <v>8298541</v>
      </c>
      <c r="SMY538" s="1170">
        <v>8298541</v>
      </c>
      <c r="SMZ538" s="1170">
        <v>8298541</v>
      </c>
      <c r="SNA538" s="1170">
        <v>8298541</v>
      </c>
      <c r="SNB538" s="1170">
        <v>8298541</v>
      </c>
      <c r="SNC538" s="1170">
        <v>8298541</v>
      </c>
      <c r="SND538" s="1170">
        <v>8298541</v>
      </c>
      <c r="SNE538" s="1170">
        <v>8298541</v>
      </c>
      <c r="SNF538" s="1170">
        <v>8298541</v>
      </c>
      <c r="SNG538" s="1170">
        <v>8298541</v>
      </c>
      <c r="SNH538" s="1170">
        <v>8298541</v>
      </c>
      <c r="SNI538" s="1170">
        <v>8298541</v>
      </c>
      <c r="SNJ538" s="1170">
        <v>8298541</v>
      </c>
      <c r="SNK538" s="1170">
        <v>8298541</v>
      </c>
      <c r="SNL538" s="1170">
        <v>8298541</v>
      </c>
      <c r="SNM538" s="1170">
        <v>8298541</v>
      </c>
      <c r="SNN538" s="1170">
        <v>8298541</v>
      </c>
      <c r="SNO538" s="1170">
        <v>8298541</v>
      </c>
      <c r="SNP538" s="1170">
        <v>8298541</v>
      </c>
      <c r="SNQ538" s="1170">
        <v>8298541</v>
      </c>
      <c r="SNR538" s="1170">
        <v>8298541</v>
      </c>
      <c r="SNS538" s="1170">
        <v>8298541</v>
      </c>
      <c r="SNT538" s="1170">
        <v>8298541</v>
      </c>
      <c r="SNU538" s="1170">
        <v>8298541</v>
      </c>
      <c r="SNV538" s="1170">
        <v>8298541</v>
      </c>
      <c r="SNW538" s="1170">
        <v>8298541</v>
      </c>
      <c r="SNX538" s="1170">
        <v>8298541</v>
      </c>
      <c r="SNY538" s="1170">
        <v>8298541</v>
      </c>
      <c r="SNZ538" s="1170">
        <v>8298541</v>
      </c>
      <c r="SOA538" s="1170">
        <v>8298541</v>
      </c>
      <c r="SOB538" s="1170">
        <v>8298541</v>
      </c>
      <c r="SOC538" s="1170">
        <v>8298541</v>
      </c>
      <c r="SOD538" s="1170">
        <v>8298541</v>
      </c>
      <c r="SOE538" s="1170">
        <v>8298541</v>
      </c>
      <c r="SOF538" s="1170">
        <v>8298541</v>
      </c>
      <c r="SOG538" s="1170">
        <v>8298541</v>
      </c>
      <c r="SOH538" s="1170">
        <v>8298541</v>
      </c>
      <c r="SOI538" s="1170">
        <v>8298541</v>
      </c>
      <c r="SOJ538" s="1170">
        <v>8298541</v>
      </c>
      <c r="SOK538" s="1170">
        <v>8298541</v>
      </c>
      <c r="SOL538" s="1170">
        <v>8298541</v>
      </c>
      <c r="SOM538" s="1170">
        <v>8298541</v>
      </c>
      <c r="SON538" s="1170">
        <v>8298541</v>
      </c>
      <c r="SOO538" s="1170">
        <v>8298541</v>
      </c>
      <c r="SOP538" s="1170">
        <v>8298541</v>
      </c>
      <c r="SOQ538" s="1170">
        <v>8298541</v>
      </c>
      <c r="SOR538" s="1170">
        <v>8298541</v>
      </c>
      <c r="SOS538" s="1170">
        <v>8298541</v>
      </c>
      <c r="SOT538" s="1170">
        <v>8298541</v>
      </c>
      <c r="SOU538" s="1170">
        <v>8298541</v>
      </c>
      <c r="SOV538" s="1170">
        <v>8298541</v>
      </c>
      <c r="SOW538" s="1170">
        <v>8298541</v>
      </c>
      <c r="SOX538" s="1170">
        <v>8298541</v>
      </c>
      <c r="SOY538" s="1170">
        <v>8298541</v>
      </c>
      <c r="SOZ538" s="1170">
        <v>8298541</v>
      </c>
      <c r="SPA538" s="1170">
        <v>8298541</v>
      </c>
      <c r="SPB538" s="1170">
        <v>8298541</v>
      </c>
      <c r="SPC538" s="1170">
        <v>8298541</v>
      </c>
      <c r="SPD538" s="1170">
        <v>8298541</v>
      </c>
      <c r="SPE538" s="1170">
        <v>8298541</v>
      </c>
      <c r="SPF538" s="1170">
        <v>8298541</v>
      </c>
      <c r="SPG538" s="1170">
        <v>8298541</v>
      </c>
      <c r="SPH538" s="1170">
        <v>8298541</v>
      </c>
      <c r="SPI538" s="1170">
        <v>8298541</v>
      </c>
      <c r="SPJ538" s="1170">
        <v>8298541</v>
      </c>
      <c r="SPK538" s="1170">
        <v>8298541</v>
      </c>
      <c r="SPL538" s="1170">
        <v>8298541</v>
      </c>
      <c r="SPM538" s="1170">
        <v>8298541</v>
      </c>
      <c r="SPN538" s="1170">
        <v>8298541</v>
      </c>
      <c r="SPO538" s="1170">
        <v>8298541</v>
      </c>
      <c r="SPP538" s="1170">
        <v>8298541</v>
      </c>
      <c r="SPQ538" s="1170">
        <v>8298541</v>
      </c>
      <c r="SPR538" s="1170">
        <v>8298541</v>
      </c>
      <c r="SPS538" s="1170">
        <v>8298541</v>
      </c>
      <c r="SPT538" s="1170">
        <v>8298541</v>
      </c>
      <c r="SPU538" s="1170">
        <v>8298541</v>
      </c>
      <c r="SPV538" s="1170">
        <v>8298541</v>
      </c>
      <c r="SPW538" s="1170">
        <v>8298541</v>
      </c>
      <c r="SPX538" s="1170">
        <v>8298541</v>
      </c>
      <c r="SPY538" s="1170">
        <v>8298541</v>
      </c>
      <c r="SPZ538" s="1170">
        <v>8298541</v>
      </c>
      <c r="SQA538" s="1170">
        <v>8298541</v>
      </c>
      <c r="SQB538" s="1170">
        <v>8298541</v>
      </c>
      <c r="SQC538" s="1170">
        <v>8298541</v>
      </c>
      <c r="SQD538" s="1170">
        <v>8298541</v>
      </c>
      <c r="SQE538" s="1170">
        <v>8298541</v>
      </c>
      <c r="SQF538" s="1170">
        <v>8298541</v>
      </c>
      <c r="SQG538" s="1170">
        <v>8298541</v>
      </c>
      <c r="SQH538" s="1170">
        <v>8298541</v>
      </c>
      <c r="SQI538" s="1170">
        <v>8298541</v>
      </c>
      <c r="SQJ538" s="1170">
        <v>8298541</v>
      </c>
      <c r="SQK538" s="1170">
        <v>8298541</v>
      </c>
      <c r="SQL538" s="1170">
        <v>8298541</v>
      </c>
      <c r="SQM538" s="1170">
        <v>8298541</v>
      </c>
      <c r="SQN538" s="1170">
        <v>8298541</v>
      </c>
      <c r="SQO538" s="1170">
        <v>8298541</v>
      </c>
      <c r="SQP538" s="1170">
        <v>8298541</v>
      </c>
      <c r="SQQ538" s="1170">
        <v>8298541</v>
      </c>
      <c r="SQR538" s="1170">
        <v>8298541</v>
      </c>
      <c r="SQS538" s="1170">
        <v>8298541</v>
      </c>
      <c r="SQT538" s="1170">
        <v>8298541</v>
      </c>
      <c r="SQU538" s="1170">
        <v>8298541</v>
      </c>
      <c r="SQV538" s="1170">
        <v>8298541</v>
      </c>
      <c r="SQW538" s="1170">
        <v>8298541</v>
      </c>
      <c r="SQX538" s="1170">
        <v>8298541</v>
      </c>
      <c r="SQY538" s="1170">
        <v>8298541</v>
      </c>
      <c r="SQZ538" s="1170">
        <v>8298541</v>
      </c>
      <c r="SRA538" s="1170">
        <v>8298541</v>
      </c>
      <c r="SRB538" s="1170">
        <v>8298541</v>
      </c>
      <c r="SRC538" s="1170">
        <v>8298541</v>
      </c>
      <c r="SRD538" s="1170">
        <v>8298541</v>
      </c>
      <c r="SRE538" s="1170">
        <v>8298541</v>
      </c>
      <c r="SRF538" s="1170">
        <v>8298541</v>
      </c>
      <c r="SRG538" s="1170">
        <v>8298541</v>
      </c>
      <c r="SRH538" s="1170">
        <v>8298541</v>
      </c>
      <c r="SRI538" s="1170">
        <v>8298541</v>
      </c>
      <c r="SRJ538" s="1170">
        <v>8298541</v>
      </c>
      <c r="SRK538" s="1170">
        <v>8298541</v>
      </c>
      <c r="SRL538" s="1170">
        <v>8298541</v>
      </c>
      <c r="SRM538" s="1170">
        <v>8298541</v>
      </c>
      <c r="SRN538" s="1170">
        <v>8298541</v>
      </c>
      <c r="SRO538" s="1170">
        <v>8298541</v>
      </c>
      <c r="SRP538" s="1170">
        <v>8298541</v>
      </c>
      <c r="SRQ538" s="1170">
        <v>8298541</v>
      </c>
      <c r="SRR538" s="1170">
        <v>8298541</v>
      </c>
      <c r="SRS538" s="1170">
        <v>8298541</v>
      </c>
      <c r="SRT538" s="1170">
        <v>8298541</v>
      </c>
      <c r="SRU538" s="1170">
        <v>8298541</v>
      </c>
      <c r="SRV538" s="1170">
        <v>8298541</v>
      </c>
      <c r="SRW538" s="1170">
        <v>8298541</v>
      </c>
      <c r="SRX538" s="1170">
        <v>8298541</v>
      </c>
      <c r="SRY538" s="1170">
        <v>8298541</v>
      </c>
      <c r="SRZ538" s="1170">
        <v>8298541</v>
      </c>
      <c r="SSA538" s="1170">
        <v>8298541</v>
      </c>
      <c r="SSB538" s="1170">
        <v>8298541</v>
      </c>
      <c r="SSC538" s="1170">
        <v>8298541</v>
      </c>
      <c r="SSD538" s="1170">
        <v>8298541</v>
      </c>
      <c r="SSE538" s="1170">
        <v>8298541</v>
      </c>
      <c r="SSF538" s="1170">
        <v>8298541</v>
      </c>
      <c r="SSG538" s="1170">
        <v>8298541</v>
      </c>
      <c r="SSH538" s="1170">
        <v>8298541</v>
      </c>
      <c r="SSI538" s="1170">
        <v>8298541</v>
      </c>
      <c r="SSJ538" s="1170">
        <v>8298541</v>
      </c>
      <c r="SSK538" s="1170">
        <v>8298541</v>
      </c>
      <c r="SSL538" s="1170">
        <v>8298541</v>
      </c>
      <c r="SSM538" s="1170">
        <v>8298541</v>
      </c>
      <c r="SSN538" s="1170">
        <v>8298541</v>
      </c>
      <c r="SSO538" s="1170">
        <v>8298541</v>
      </c>
      <c r="SSP538" s="1170">
        <v>8298541</v>
      </c>
      <c r="SSQ538" s="1170">
        <v>8298541</v>
      </c>
      <c r="SSR538" s="1170">
        <v>8298541</v>
      </c>
      <c r="SSS538" s="1170">
        <v>8298541</v>
      </c>
      <c r="SST538" s="1170">
        <v>8298541</v>
      </c>
      <c r="SSU538" s="1170">
        <v>8298541</v>
      </c>
      <c r="SSV538" s="1170">
        <v>8298541</v>
      </c>
      <c r="SSW538" s="1170">
        <v>8298541</v>
      </c>
      <c r="SSX538" s="1170">
        <v>8298541</v>
      </c>
      <c r="SSY538" s="1170">
        <v>8298541</v>
      </c>
      <c r="SSZ538" s="1170">
        <v>8298541</v>
      </c>
      <c r="STA538" s="1170">
        <v>8298541</v>
      </c>
      <c r="STB538" s="1170">
        <v>8298541</v>
      </c>
      <c r="STC538" s="1170">
        <v>8298541</v>
      </c>
      <c r="STD538" s="1170">
        <v>8298541</v>
      </c>
      <c r="STE538" s="1170">
        <v>8298541</v>
      </c>
      <c r="STF538" s="1170">
        <v>8298541</v>
      </c>
      <c r="STG538" s="1170">
        <v>8298541</v>
      </c>
      <c r="STH538" s="1170">
        <v>8298541</v>
      </c>
      <c r="STI538" s="1170">
        <v>8298541</v>
      </c>
      <c r="STJ538" s="1170">
        <v>8298541</v>
      </c>
      <c r="STK538" s="1170">
        <v>8298541</v>
      </c>
      <c r="STL538" s="1170">
        <v>8298541</v>
      </c>
      <c r="STM538" s="1170">
        <v>8298541</v>
      </c>
      <c r="STN538" s="1170">
        <v>8298541</v>
      </c>
      <c r="STO538" s="1170">
        <v>8298541</v>
      </c>
      <c r="STP538" s="1170">
        <v>8298541</v>
      </c>
      <c r="STQ538" s="1170">
        <v>8298541</v>
      </c>
      <c r="STR538" s="1170">
        <v>8298541</v>
      </c>
      <c r="STS538" s="1170">
        <v>8298541</v>
      </c>
      <c r="STT538" s="1170">
        <v>8298541</v>
      </c>
      <c r="STU538" s="1170">
        <v>8298541</v>
      </c>
      <c r="STV538" s="1170">
        <v>8298541</v>
      </c>
      <c r="STW538" s="1170">
        <v>8298541</v>
      </c>
      <c r="STX538" s="1170">
        <v>8298541</v>
      </c>
      <c r="STY538" s="1170">
        <v>8298541</v>
      </c>
      <c r="STZ538" s="1170">
        <v>8298541</v>
      </c>
      <c r="SUA538" s="1170">
        <v>8298541</v>
      </c>
      <c r="SUB538" s="1170">
        <v>8298541</v>
      </c>
      <c r="SUC538" s="1170">
        <v>8298541</v>
      </c>
      <c r="SUD538" s="1170">
        <v>8298541</v>
      </c>
      <c r="SUE538" s="1170">
        <v>8298541</v>
      </c>
      <c r="SUF538" s="1170">
        <v>8298541</v>
      </c>
      <c r="SUG538" s="1170">
        <v>8298541</v>
      </c>
      <c r="SUH538" s="1170">
        <v>8298541</v>
      </c>
      <c r="SUI538" s="1170">
        <v>8298541</v>
      </c>
      <c r="SUJ538" s="1170">
        <v>8298541</v>
      </c>
      <c r="SUK538" s="1170">
        <v>8298541</v>
      </c>
      <c r="SUL538" s="1170">
        <v>8298541</v>
      </c>
      <c r="SUM538" s="1170">
        <v>8298541</v>
      </c>
      <c r="SUN538" s="1170">
        <v>8298541</v>
      </c>
      <c r="SUO538" s="1170">
        <v>8298541</v>
      </c>
      <c r="SUP538" s="1170">
        <v>8298541</v>
      </c>
      <c r="SUQ538" s="1170">
        <v>8298541</v>
      </c>
      <c r="SUR538" s="1170">
        <v>8298541</v>
      </c>
      <c r="SUS538" s="1170">
        <v>8298541</v>
      </c>
      <c r="SUT538" s="1170">
        <v>8298541</v>
      </c>
      <c r="SUU538" s="1170">
        <v>8298541</v>
      </c>
      <c r="SUV538" s="1170">
        <v>8298541</v>
      </c>
      <c r="SUW538" s="1170">
        <v>8298541</v>
      </c>
      <c r="SUX538" s="1170">
        <v>8298541</v>
      </c>
      <c r="SUY538" s="1170">
        <v>8298541</v>
      </c>
      <c r="SUZ538" s="1170">
        <v>8298541</v>
      </c>
      <c r="SVA538" s="1170">
        <v>8298541</v>
      </c>
      <c r="SVB538" s="1170">
        <v>8298541</v>
      </c>
      <c r="SVC538" s="1170">
        <v>8298541</v>
      </c>
      <c r="SVD538" s="1170">
        <v>8298541</v>
      </c>
      <c r="SVE538" s="1170">
        <v>8298541</v>
      </c>
      <c r="SVF538" s="1170">
        <v>8298541</v>
      </c>
      <c r="SVG538" s="1170">
        <v>8298541</v>
      </c>
      <c r="SVH538" s="1170">
        <v>8298541</v>
      </c>
      <c r="SVI538" s="1170">
        <v>8298541</v>
      </c>
      <c r="SVJ538" s="1170">
        <v>8298541</v>
      </c>
      <c r="SVK538" s="1170">
        <v>8298541</v>
      </c>
      <c r="SVL538" s="1170">
        <v>8298541</v>
      </c>
      <c r="SVM538" s="1170">
        <v>8298541</v>
      </c>
      <c r="SVN538" s="1170">
        <v>8298541</v>
      </c>
      <c r="SVO538" s="1170">
        <v>8298541</v>
      </c>
      <c r="SVP538" s="1170">
        <v>8298541</v>
      </c>
      <c r="SVQ538" s="1170">
        <v>8298541</v>
      </c>
      <c r="SVR538" s="1170">
        <v>8298541</v>
      </c>
      <c r="SVS538" s="1170">
        <v>8298541</v>
      </c>
      <c r="SVT538" s="1170">
        <v>8298541</v>
      </c>
      <c r="SVU538" s="1170">
        <v>8298541</v>
      </c>
      <c r="SVV538" s="1170">
        <v>8298541</v>
      </c>
      <c r="SVW538" s="1170">
        <v>8298541</v>
      </c>
      <c r="SVX538" s="1170">
        <v>8298541</v>
      </c>
      <c r="SVY538" s="1170">
        <v>8298541</v>
      </c>
      <c r="SVZ538" s="1170">
        <v>8298541</v>
      </c>
      <c r="SWA538" s="1170">
        <v>8298541</v>
      </c>
      <c r="SWB538" s="1170">
        <v>8298541</v>
      </c>
      <c r="SWC538" s="1170">
        <v>8298541</v>
      </c>
      <c r="SWD538" s="1170">
        <v>8298541</v>
      </c>
      <c r="SWE538" s="1170">
        <v>8298541</v>
      </c>
      <c r="SWF538" s="1170">
        <v>8298541</v>
      </c>
      <c r="SWG538" s="1170">
        <v>8298541</v>
      </c>
      <c r="SWH538" s="1170">
        <v>8298541</v>
      </c>
      <c r="SWI538" s="1170">
        <v>8298541</v>
      </c>
      <c r="SWJ538" s="1170">
        <v>8298541</v>
      </c>
      <c r="SWK538" s="1170">
        <v>8298541</v>
      </c>
      <c r="SWL538" s="1170">
        <v>8298541</v>
      </c>
      <c r="SWM538" s="1170">
        <v>8298541</v>
      </c>
      <c r="SWN538" s="1170">
        <v>8298541</v>
      </c>
      <c r="SWO538" s="1170">
        <v>8298541</v>
      </c>
      <c r="SWP538" s="1170">
        <v>8298541</v>
      </c>
      <c r="SWQ538" s="1170">
        <v>8298541</v>
      </c>
      <c r="SWR538" s="1170">
        <v>8298541</v>
      </c>
      <c r="SWS538" s="1170">
        <v>8298541</v>
      </c>
      <c r="SWT538" s="1170">
        <v>8298541</v>
      </c>
      <c r="SWU538" s="1170">
        <v>8298541</v>
      </c>
      <c r="SWV538" s="1170">
        <v>8298541</v>
      </c>
      <c r="SWW538" s="1170">
        <v>8298541</v>
      </c>
      <c r="SWX538" s="1170">
        <v>8298541</v>
      </c>
      <c r="SWY538" s="1170">
        <v>8298541</v>
      </c>
      <c r="SWZ538" s="1170">
        <v>8298541</v>
      </c>
      <c r="SXA538" s="1170">
        <v>8298541</v>
      </c>
      <c r="SXB538" s="1170">
        <v>8298541</v>
      </c>
      <c r="SXC538" s="1170">
        <v>8298541</v>
      </c>
      <c r="SXD538" s="1170">
        <v>8298541</v>
      </c>
      <c r="SXE538" s="1170">
        <v>8298541</v>
      </c>
      <c r="SXF538" s="1170">
        <v>8298541</v>
      </c>
      <c r="SXG538" s="1170">
        <v>8298541</v>
      </c>
      <c r="SXH538" s="1170">
        <v>8298541</v>
      </c>
      <c r="SXI538" s="1170">
        <v>8298541</v>
      </c>
      <c r="SXJ538" s="1170">
        <v>8298541</v>
      </c>
      <c r="SXK538" s="1170">
        <v>8298541</v>
      </c>
      <c r="SXL538" s="1170">
        <v>8298541</v>
      </c>
      <c r="SXM538" s="1170">
        <v>8298541</v>
      </c>
      <c r="SXN538" s="1170">
        <v>8298541</v>
      </c>
      <c r="SXO538" s="1170">
        <v>8298541</v>
      </c>
      <c r="SXP538" s="1170">
        <v>8298541</v>
      </c>
      <c r="SXQ538" s="1170">
        <v>8298541</v>
      </c>
      <c r="SXR538" s="1170">
        <v>8298541</v>
      </c>
      <c r="SXS538" s="1170">
        <v>8298541</v>
      </c>
      <c r="SXT538" s="1170">
        <v>8298541</v>
      </c>
      <c r="SXU538" s="1170">
        <v>8298541</v>
      </c>
      <c r="SXV538" s="1170">
        <v>8298541</v>
      </c>
      <c r="SXW538" s="1170">
        <v>8298541</v>
      </c>
      <c r="SXX538" s="1170">
        <v>8298541</v>
      </c>
      <c r="SXY538" s="1170">
        <v>8298541</v>
      </c>
      <c r="SXZ538" s="1170">
        <v>8298541</v>
      </c>
      <c r="SYA538" s="1170">
        <v>8298541</v>
      </c>
      <c r="SYB538" s="1170">
        <v>8298541</v>
      </c>
      <c r="SYC538" s="1170">
        <v>8298541</v>
      </c>
      <c r="SYD538" s="1170">
        <v>8298541</v>
      </c>
      <c r="SYE538" s="1170">
        <v>8298541</v>
      </c>
      <c r="SYF538" s="1170">
        <v>8298541</v>
      </c>
      <c r="SYG538" s="1170">
        <v>8298541</v>
      </c>
      <c r="SYH538" s="1170">
        <v>8298541</v>
      </c>
      <c r="SYI538" s="1170">
        <v>8298541</v>
      </c>
      <c r="SYJ538" s="1170">
        <v>8298541</v>
      </c>
      <c r="SYK538" s="1170">
        <v>8298541</v>
      </c>
      <c r="SYL538" s="1170">
        <v>8298541</v>
      </c>
      <c r="SYM538" s="1170">
        <v>8298541</v>
      </c>
      <c r="SYN538" s="1170">
        <v>8298541</v>
      </c>
      <c r="SYO538" s="1170">
        <v>8298541</v>
      </c>
      <c r="SYP538" s="1170">
        <v>8298541</v>
      </c>
      <c r="SYQ538" s="1170">
        <v>8298541</v>
      </c>
      <c r="SYR538" s="1170">
        <v>8298541</v>
      </c>
      <c r="SYS538" s="1170">
        <v>8298541</v>
      </c>
      <c r="SYT538" s="1170">
        <v>8298541</v>
      </c>
      <c r="SYU538" s="1170">
        <v>8298541</v>
      </c>
      <c r="SYV538" s="1170">
        <v>8298541</v>
      </c>
      <c r="SYW538" s="1170">
        <v>8298541</v>
      </c>
      <c r="SYX538" s="1170">
        <v>8298541</v>
      </c>
      <c r="SYY538" s="1170">
        <v>8298541</v>
      </c>
      <c r="SYZ538" s="1170">
        <v>8298541</v>
      </c>
      <c r="SZA538" s="1170">
        <v>8298541</v>
      </c>
      <c r="SZB538" s="1170">
        <v>8298541</v>
      </c>
      <c r="SZC538" s="1170">
        <v>8298541</v>
      </c>
      <c r="SZD538" s="1170">
        <v>8298541</v>
      </c>
      <c r="SZE538" s="1170">
        <v>8298541</v>
      </c>
      <c r="SZF538" s="1170">
        <v>8298541</v>
      </c>
      <c r="SZG538" s="1170">
        <v>8298541</v>
      </c>
      <c r="SZH538" s="1170">
        <v>8298541</v>
      </c>
      <c r="SZI538" s="1170">
        <v>8298541</v>
      </c>
      <c r="SZJ538" s="1170">
        <v>8298541</v>
      </c>
      <c r="SZK538" s="1170">
        <v>8298541</v>
      </c>
      <c r="SZL538" s="1170">
        <v>8298541</v>
      </c>
      <c r="SZM538" s="1170">
        <v>8298541</v>
      </c>
      <c r="SZN538" s="1170">
        <v>8298541</v>
      </c>
      <c r="SZO538" s="1170">
        <v>8298541</v>
      </c>
      <c r="SZP538" s="1170">
        <v>8298541</v>
      </c>
      <c r="SZQ538" s="1170">
        <v>8298541</v>
      </c>
      <c r="SZR538" s="1170">
        <v>8298541</v>
      </c>
      <c r="SZS538" s="1170">
        <v>8298541</v>
      </c>
      <c r="SZT538" s="1170">
        <v>8298541</v>
      </c>
      <c r="SZU538" s="1170">
        <v>8298541</v>
      </c>
      <c r="SZV538" s="1170">
        <v>8298541</v>
      </c>
      <c r="SZW538" s="1170">
        <v>8298541</v>
      </c>
      <c r="SZX538" s="1170">
        <v>8298541</v>
      </c>
      <c r="SZY538" s="1170">
        <v>8298541</v>
      </c>
      <c r="SZZ538" s="1170">
        <v>8298541</v>
      </c>
      <c r="TAA538" s="1170">
        <v>8298541</v>
      </c>
      <c r="TAB538" s="1170">
        <v>8298541</v>
      </c>
      <c r="TAC538" s="1170">
        <v>8298541</v>
      </c>
      <c r="TAD538" s="1170">
        <v>8298541</v>
      </c>
      <c r="TAE538" s="1170">
        <v>8298541</v>
      </c>
      <c r="TAF538" s="1170">
        <v>8298541</v>
      </c>
      <c r="TAG538" s="1170">
        <v>8298541</v>
      </c>
      <c r="TAH538" s="1170">
        <v>8298541</v>
      </c>
      <c r="TAI538" s="1170">
        <v>8298541</v>
      </c>
      <c r="TAJ538" s="1170">
        <v>8298541</v>
      </c>
      <c r="TAK538" s="1170">
        <v>8298541</v>
      </c>
      <c r="TAL538" s="1170">
        <v>8298541</v>
      </c>
      <c r="TAM538" s="1170">
        <v>8298541</v>
      </c>
      <c r="TAN538" s="1170">
        <v>8298541</v>
      </c>
      <c r="TAO538" s="1170">
        <v>8298541</v>
      </c>
      <c r="TAP538" s="1170">
        <v>8298541</v>
      </c>
      <c r="TAQ538" s="1170">
        <v>8298541</v>
      </c>
      <c r="TAR538" s="1170">
        <v>8298541</v>
      </c>
      <c r="TAS538" s="1170">
        <v>8298541</v>
      </c>
      <c r="TAT538" s="1170">
        <v>8298541</v>
      </c>
      <c r="TAU538" s="1170">
        <v>8298541</v>
      </c>
      <c r="TAV538" s="1170">
        <v>8298541</v>
      </c>
      <c r="TAW538" s="1170">
        <v>8298541</v>
      </c>
      <c r="TAX538" s="1170">
        <v>8298541</v>
      </c>
      <c r="TAY538" s="1170">
        <v>8298541</v>
      </c>
      <c r="TAZ538" s="1170">
        <v>8298541</v>
      </c>
      <c r="TBA538" s="1170">
        <v>8298541</v>
      </c>
      <c r="TBB538" s="1170">
        <v>8298541</v>
      </c>
      <c r="TBC538" s="1170">
        <v>8298541</v>
      </c>
      <c r="TBD538" s="1170">
        <v>8298541</v>
      </c>
      <c r="TBE538" s="1170">
        <v>8298541</v>
      </c>
      <c r="TBF538" s="1170">
        <v>8298541</v>
      </c>
      <c r="TBG538" s="1170">
        <v>8298541</v>
      </c>
      <c r="TBH538" s="1170">
        <v>8298541</v>
      </c>
      <c r="TBI538" s="1170">
        <v>8298541</v>
      </c>
      <c r="TBJ538" s="1170">
        <v>8298541</v>
      </c>
      <c r="TBK538" s="1170">
        <v>8298541</v>
      </c>
      <c r="TBL538" s="1170">
        <v>8298541</v>
      </c>
      <c r="TBM538" s="1170">
        <v>8298541</v>
      </c>
      <c r="TBN538" s="1170">
        <v>8298541</v>
      </c>
      <c r="TBO538" s="1170">
        <v>8298541</v>
      </c>
      <c r="TBP538" s="1170">
        <v>8298541</v>
      </c>
      <c r="TBQ538" s="1170">
        <v>8298541</v>
      </c>
      <c r="TBR538" s="1170">
        <v>8298541</v>
      </c>
      <c r="TBS538" s="1170">
        <v>8298541</v>
      </c>
      <c r="TBT538" s="1170">
        <v>8298541</v>
      </c>
      <c r="TBU538" s="1170">
        <v>8298541</v>
      </c>
      <c r="TBV538" s="1170">
        <v>8298541</v>
      </c>
      <c r="TBW538" s="1170">
        <v>8298541</v>
      </c>
      <c r="TBX538" s="1170">
        <v>8298541</v>
      </c>
      <c r="TBY538" s="1170">
        <v>8298541</v>
      </c>
      <c r="TBZ538" s="1170">
        <v>8298541</v>
      </c>
      <c r="TCA538" s="1170">
        <v>8298541</v>
      </c>
      <c r="TCB538" s="1170">
        <v>8298541</v>
      </c>
      <c r="TCC538" s="1170">
        <v>8298541</v>
      </c>
      <c r="TCD538" s="1170">
        <v>8298541</v>
      </c>
      <c r="TCE538" s="1170">
        <v>8298541</v>
      </c>
      <c r="TCF538" s="1170">
        <v>8298541</v>
      </c>
      <c r="TCG538" s="1170">
        <v>8298541</v>
      </c>
      <c r="TCH538" s="1170">
        <v>8298541</v>
      </c>
      <c r="TCI538" s="1170">
        <v>8298541</v>
      </c>
      <c r="TCJ538" s="1170">
        <v>8298541</v>
      </c>
      <c r="TCK538" s="1170">
        <v>8298541</v>
      </c>
      <c r="TCL538" s="1170">
        <v>8298541</v>
      </c>
      <c r="TCM538" s="1170">
        <v>8298541</v>
      </c>
      <c r="TCN538" s="1170">
        <v>8298541</v>
      </c>
      <c r="TCO538" s="1170">
        <v>8298541</v>
      </c>
      <c r="TCP538" s="1170">
        <v>8298541</v>
      </c>
      <c r="TCQ538" s="1170">
        <v>8298541</v>
      </c>
      <c r="TCR538" s="1170">
        <v>8298541</v>
      </c>
      <c r="TCS538" s="1170">
        <v>8298541</v>
      </c>
      <c r="TCT538" s="1170">
        <v>8298541</v>
      </c>
      <c r="TCU538" s="1170">
        <v>8298541</v>
      </c>
      <c r="TCV538" s="1170">
        <v>8298541</v>
      </c>
      <c r="TCW538" s="1170">
        <v>8298541</v>
      </c>
      <c r="TCX538" s="1170">
        <v>8298541</v>
      </c>
      <c r="TCY538" s="1170">
        <v>8298541</v>
      </c>
      <c r="TCZ538" s="1170">
        <v>8298541</v>
      </c>
      <c r="TDA538" s="1170">
        <v>8298541</v>
      </c>
      <c r="TDB538" s="1170">
        <v>8298541</v>
      </c>
      <c r="TDC538" s="1170">
        <v>8298541</v>
      </c>
      <c r="TDD538" s="1170">
        <v>8298541</v>
      </c>
      <c r="TDE538" s="1170">
        <v>8298541</v>
      </c>
      <c r="TDF538" s="1170">
        <v>8298541</v>
      </c>
      <c r="TDG538" s="1170">
        <v>8298541</v>
      </c>
      <c r="TDH538" s="1170">
        <v>8298541</v>
      </c>
      <c r="TDI538" s="1170">
        <v>8298541</v>
      </c>
      <c r="TDJ538" s="1170">
        <v>8298541</v>
      </c>
      <c r="TDK538" s="1170">
        <v>8298541</v>
      </c>
      <c r="TDL538" s="1170">
        <v>8298541</v>
      </c>
      <c r="TDM538" s="1170">
        <v>8298541</v>
      </c>
      <c r="TDN538" s="1170">
        <v>8298541</v>
      </c>
      <c r="TDO538" s="1170">
        <v>8298541</v>
      </c>
      <c r="TDP538" s="1170">
        <v>8298541</v>
      </c>
      <c r="TDQ538" s="1170">
        <v>8298541</v>
      </c>
      <c r="TDR538" s="1170">
        <v>8298541</v>
      </c>
      <c r="TDS538" s="1170">
        <v>8298541</v>
      </c>
      <c r="TDT538" s="1170">
        <v>8298541</v>
      </c>
      <c r="TDU538" s="1170">
        <v>8298541</v>
      </c>
      <c r="TDV538" s="1170">
        <v>8298541</v>
      </c>
      <c r="TDW538" s="1170">
        <v>8298541</v>
      </c>
      <c r="TDX538" s="1170">
        <v>8298541</v>
      </c>
      <c r="TDY538" s="1170">
        <v>8298541</v>
      </c>
      <c r="TDZ538" s="1170">
        <v>8298541</v>
      </c>
      <c r="TEA538" s="1170">
        <v>8298541</v>
      </c>
      <c r="TEB538" s="1170">
        <v>8298541</v>
      </c>
      <c r="TEC538" s="1170">
        <v>8298541</v>
      </c>
      <c r="TED538" s="1170">
        <v>8298541</v>
      </c>
      <c r="TEE538" s="1170">
        <v>8298541</v>
      </c>
      <c r="TEF538" s="1170">
        <v>8298541</v>
      </c>
      <c r="TEG538" s="1170">
        <v>8298541</v>
      </c>
      <c r="TEH538" s="1170">
        <v>8298541</v>
      </c>
      <c r="TEI538" s="1170">
        <v>8298541</v>
      </c>
      <c r="TEJ538" s="1170">
        <v>8298541</v>
      </c>
      <c r="TEK538" s="1170">
        <v>8298541</v>
      </c>
      <c r="TEL538" s="1170">
        <v>8298541</v>
      </c>
      <c r="TEM538" s="1170">
        <v>8298541</v>
      </c>
      <c r="TEN538" s="1170">
        <v>8298541</v>
      </c>
      <c r="TEO538" s="1170">
        <v>8298541</v>
      </c>
      <c r="TEP538" s="1170">
        <v>8298541</v>
      </c>
      <c r="TEQ538" s="1170">
        <v>8298541</v>
      </c>
      <c r="TER538" s="1170">
        <v>8298541</v>
      </c>
      <c r="TES538" s="1170">
        <v>8298541</v>
      </c>
      <c r="TET538" s="1170">
        <v>8298541</v>
      </c>
      <c r="TEU538" s="1170">
        <v>8298541</v>
      </c>
      <c r="TEV538" s="1170">
        <v>8298541</v>
      </c>
      <c r="TEW538" s="1170">
        <v>8298541</v>
      </c>
      <c r="TEX538" s="1170">
        <v>8298541</v>
      </c>
      <c r="TEY538" s="1170">
        <v>8298541</v>
      </c>
      <c r="TEZ538" s="1170">
        <v>8298541</v>
      </c>
      <c r="TFA538" s="1170">
        <v>8298541</v>
      </c>
      <c r="TFB538" s="1170">
        <v>8298541</v>
      </c>
      <c r="TFC538" s="1170">
        <v>8298541</v>
      </c>
      <c r="TFD538" s="1170">
        <v>8298541</v>
      </c>
      <c r="TFE538" s="1170">
        <v>8298541</v>
      </c>
      <c r="TFF538" s="1170">
        <v>8298541</v>
      </c>
      <c r="TFG538" s="1170">
        <v>8298541</v>
      </c>
      <c r="TFH538" s="1170">
        <v>8298541</v>
      </c>
      <c r="TFI538" s="1170">
        <v>8298541</v>
      </c>
      <c r="TFJ538" s="1170">
        <v>8298541</v>
      </c>
      <c r="TFK538" s="1170">
        <v>8298541</v>
      </c>
      <c r="TFL538" s="1170">
        <v>8298541</v>
      </c>
      <c r="TFM538" s="1170">
        <v>8298541</v>
      </c>
      <c r="TFN538" s="1170">
        <v>8298541</v>
      </c>
      <c r="TFO538" s="1170">
        <v>8298541</v>
      </c>
      <c r="TFP538" s="1170">
        <v>8298541</v>
      </c>
      <c r="TFQ538" s="1170">
        <v>8298541</v>
      </c>
      <c r="TFR538" s="1170">
        <v>8298541</v>
      </c>
      <c r="TFS538" s="1170">
        <v>8298541</v>
      </c>
      <c r="TFT538" s="1170">
        <v>8298541</v>
      </c>
      <c r="TFU538" s="1170">
        <v>8298541</v>
      </c>
      <c r="TFV538" s="1170">
        <v>8298541</v>
      </c>
      <c r="TFW538" s="1170">
        <v>8298541</v>
      </c>
      <c r="TFX538" s="1170">
        <v>8298541</v>
      </c>
      <c r="TFY538" s="1170">
        <v>8298541</v>
      </c>
      <c r="TFZ538" s="1170">
        <v>8298541</v>
      </c>
      <c r="TGA538" s="1170">
        <v>8298541</v>
      </c>
      <c r="TGB538" s="1170">
        <v>8298541</v>
      </c>
      <c r="TGC538" s="1170">
        <v>8298541</v>
      </c>
      <c r="TGD538" s="1170">
        <v>8298541</v>
      </c>
      <c r="TGE538" s="1170">
        <v>8298541</v>
      </c>
      <c r="TGF538" s="1170">
        <v>8298541</v>
      </c>
      <c r="TGG538" s="1170">
        <v>8298541</v>
      </c>
      <c r="TGH538" s="1170">
        <v>8298541</v>
      </c>
      <c r="TGI538" s="1170">
        <v>8298541</v>
      </c>
      <c r="TGJ538" s="1170">
        <v>8298541</v>
      </c>
      <c r="TGK538" s="1170">
        <v>8298541</v>
      </c>
      <c r="TGL538" s="1170">
        <v>8298541</v>
      </c>
      <c r="TGM538" s="1170">
        <v>8298541</v>
      </c>
      <c r="TGN538" s="1170">
        <v>8298541</v>
      </c>
      <c r="TGO538" s="1170">
        <v>8298541</v>
      </c>
      <c r="TGP538" s="1170">
        <v>8298541</v>
      </c>
      <c r="TGQ538" s="1170">
        <v>8298541</v>
      </c>
      <c r="TGR538" s="1170">
        <v>8298541</v>
      </c>
      <c r="TGS538" s="1170">
        <v>8298541</v>
      </c>
      <c r="TGT538" s="1170">
        <v>8298541</v>
      </c>
      <c r="TGU538" s="1170">
        <v>8298541</v>
      </c>
      <c r="TGV538" s="1170">
        <v>8298541</v>
      </c>
      <c r="TGW538" s="1170">
        <v>8298541</v>
      </c>
      <c r="TGX538" s="1170">
        <v>8298541</v>
      </c>
      <c r="TGY538" s="1170">
        <v>8298541</v>
      </c>
      <c r="TGZ538" s="1170">
        <v>8298541</v>
      </c>
      <c r="THA538" s="1170">
        <v>8298541</v>
      </c>
      <c r="THB538" s="1170">
        <v>8298541</v>
      </c>
      <c r="THC538" s="1170">
        <v>8298541</v>
      </c>
      <c r="THD538" s="1170">
        <v>8298541</v>
      </c>
      <c r="THE538" s="1170">
        <v>8298541</v>
      </c>
      <c r="THF538" s="1170">
        <v>8298541</v>
      </c>
      <c r="THG538" s="1170">
        <v>8298541</v>
      </c>
      <c r="THH538" s="1170">
        <v>8298541</v>
      </c>
      <c r="THI538" s="1170">
        <v>8298541</v>
      </c>
      <c r="THJ538" s="1170">
        <v>8298541</v>
      </c>
      <c r="THK538" s="1170">
        <v>8298541</v>
      </c>
      <c r="THL538" s="1170">
        <v>8298541</v>
      </c>
      <c r="THM538" s="1170">
        <v>8298541</v>
      </c>
      <c r="THN538" s="1170">
        <v>8298541</v>
      </c>
      <c r="THO538" s="1170">
        <v>8298541</v>
      </c>
      <c r="THP538" s="1170">
        <v>8298541</v>
      </c>
      <c r="THQ538" s="1170">
        <v>8298541</v>
      </c>
      <c r="THR538" s="1170">
        <v>8298541</v>
      </c>
      <c r="THS538" s="1170">
        <v>8298541</v>
      </c>
      <c r="THT538" s="1170">
        <v>8298541</v>
      </c>
      <c r="THU538" s="1170">
        <v>8298541</v>
      </c>
      <c r="THV538" s="1170">
        <v>8298541</v>
      </c>
      <c r="THW538" s="1170">
        <v>8298541</v>
      </c>
      <c r="THX538" s="1170">
        <v>8298541</v>
      </c>
      <c r="THY538" s="1170">
        <v>8298541</v>
      </c>
      <c r="THZ538" s="1170">
        <v>8298541</v>
      </c>
      <c r="TIA538" s="1170">
        <v>8298541</v>
      </c>
      <c r="TIB538" s="1170">
        <v>8298541</v>
      </c>
      <c r="TIC538" s="1170">
        <v>8298541</v>
      </c>
      <c r="TID538" s="1170">
        <v>8298541</v>
      </c>
      <c r="TIE538" s="1170">
        <v>8298541</v>
      </c>
      <c r="TIF538" s="1170">
        <v>8298541</v>
      </c>
      <c r="TIG538" s="1170">
        <v>8298541</v>
      </c>
      <c r="TIH538" s="1170">
        <v>8298541</v>
      </c>
      <c r="TII538" s="1170">
        <v>8298541</v>
      </c>
      <c r="TIJ538" s="1170">
        <v>8298541</v>
      </c>
      <c r="TIK538" s="1170">
        <v>8298541</v>
      </c>
      <c r="TIL538" s="1170">
        <v>8298541</v>
      </c>
      <c r="TIM538" s="1170">
        <v>8298541</v>
      </c>
      <c r="TIN538" s="1170">
        <v>8298541</v>
      </c>
      <c r="TIO538" s="1170">
        <v>8298541</v>
      </c>
      <c r="TIP538" s="1170">
        <v>8298541</v>
      </c>
      <c r="TIQ538" s="1170">
        <v>8298541</v>
      </c>
      <c r="TIR538" s="1170">
        <v>8298541</v>
      </c>
      <c r="TIS538" s="1170">
        <v>8298541</v>
      </c>
      <c r="TIT538" s="1170">
        <v>8298541</v>
      </c>
      <c r="TIU538" s="1170">
        <v>8298541</v>
      </c>
      <c r="TIV538" s="1170">
        <v>8298541</v>
      </c>
      <c r="TIW538" s="1170">
        <v>8298541</v>
      </c>
      <c r="TIX538" s="1170">
        <v>8298541</v>
      </c>
      <c r="TIY538" s="1170">
        <v>8298541</v>
      </c>
      <c r="TIZ538" s="1170">
        <v>8298541</v>
      </c>
      <c r="TJA538" s="1170">
        <v>8298541</v>
      </c>
      <c r="TJB538" s="1170">
        <v>8298541</v>
      </c>
      <c r="TJC538" s="1170">
        <v>8298541</v>
      </c>
      <c r="TJD538" s="1170">
        <v>8298541</v>
      </c>
      <c r="TJE538" s="1170">
        <v>8298541</v>
      </c>
      <c r="TJF538" s="1170">
        <v>8298541</v>
      </c>
      <c r="TJG538" s="1170">
        <v>8298541</v>
      </c>
      <c r="TJH538" s="1170">
        <v>8298541</v>
      </c>
      <c r="TJI538" s="1170">
        <v>8298541</v>
      </c>
      <c r="TJJ538" s="1170">
        <v>8298541</v>
      </c>
      <c r="TJK538" s="1170">
        <v>8298541</v>
      </c>
      <c r="TJL538" s="1170">
        <v>8298541</v>
      </c>
      <c r="TJM538" s="1170">
        <v>8298541</v>
      </c>
      <c r="TJN538" s="1170">
        <v>8298541</v>
      </c>
      <c r="TJO538" s="1170">
        <v>8298541</v>
      </c>
      <c r="TJP538" s="1170">
        <v>8298541</v>
      </c>
      <c r="TJQ538" s="1170">
        <v>8298541</v>
      </c>
      <c r="TJR538" s="1170">
        <v>8298541</v>
      </c>
      <c r="TJS538" s="1170">
        <v>8298541</v>
      </c>
      <c r="TJT538" s="1170">
        <v>8298541</v>
      </c>
      <c r="TJU538" s="1170">
        <v>8298541</v>
      </c>
      <c r="TJV538" s="1170">
        <v>8298541</v>
      </c>
      <c r="TJW538" s="1170">
        <v>8298541</v>
      </c>
      <c r="TJX538" s="1170">
        <v>8298541</v>
      </c>
      <c r="TJY538" s="1170">
        <v>8298541</v>
      </c>
      <c r="TJZ538" s="1170">
        <v>8298541</v>
      </c>
      <c r="TKA538" s="1170">
        <v>8298541</v>
      </c>
      <c r="TKB538" s="1170">
        <v>8298541</v>
      </c>
      <c r="TKC538" s="1170">
        <v>8298541</v>
      </c>
      <c r="TKD538" s="1170">
        <v>8298541</v>
      </c>
      <c r="TKE538" s="1170">
        <v>8298541</v>
      </c>
      <c r="TKF538" s="1170">
        <v>8298541</v>
      </c>
      <c r="TKG538" s="1170">
        <v>8298541</v>
      </c>
      <c r="TKH538" s="1170">
        <v>8298541</v>
      </c>
      <c r="TKI538" s="1170">
        <v>8298541</v>
      </c>
      <c r="TKJ538" s="1170">
        <v>8298541</v>
      </c>
      <c r="TKK538" s="1170">
        <v>8298541</v>
      </c>
      <c r="TKL538" s="1170">
        <v>8298541</v>
      </c>
      <c r="TKM538" s="1170">
        <v>8298541</v>
      </c>
      <c r="TKN538" s="1170">
        <v>8298541</v>
      </c>
      <c r="TKO538" s="1170">
        <v>8298541</v>
      </c>
      <c r="TKP538" s="1170">
        <v>8298541</v>
      </c>
      <c r="TKQ538" s="1170">
        <v>8298541</v>
      </c>
      <c r="TKR538" s="1170">
        <v>8298541</v>
      </c>
      <c r="TKS538" s="1170">
        <v>8298541</v>
      </c>
      <c r="TKT538" s="1170">
        <v>8298541</v>
      </c>
      <c r="TKU538" s="1170">
        <v>8298541</v>
      </c>
      <c r="TKV538" s="1170">
        <v>8298541</v>
      </c>
      <c r="TKW538" s="1170">
        <v>8298541</v>
      </c>
      <c r="TKX538" s="1170">
        <v>8298541</v>
      </c>
      <c r="TKY538" s="1170">
        <v>8298541</v>
      </c>
      <c r="TKZ538" s="1170">
        <v>8298541</v>
      </c>
      <c r="TLA538" s="1170">
        <v>8298541</v>
      </c>
      <c r="TLB538" s="1170">
        <v>8298541</v>
      </c>
      <c r="TLC538" s="1170">
        <v>8298541</v>
      </c>
      <c r="TLD538" s="1170">
        <v>8298541</v>
      </c>
      <c r="TLE538" s="1170">
        <v>8298541</v>
      </c>
      <c r="TLF538" s="1170">
        <v>8298541</v>
      </c>
      <c r="TLG538" s="1170">
        <v>8298541</v>
      </c>
      <c r="TLH538" s="1170">
        <v>8298541</v>
      </c>
      <c r="TLI538" s="1170">
        <v>8298541</v>
      </c>
      <c r="TLJ538" s="1170">
        <v>8298541</v>
      </c>
      <c r="TLK538" s="1170">
        <v>8298541</v>
      </c>
      <c r="TLL538" s="1170">
        <v>8298541</v>
      </c>
      <c r="TLM538" s="1170">
        <v>8298541</v>
      </c>
      <c r="TLN538" s="1170">
        <v>8298541</v>
      </c>
      <c r="TLO538" s="1170">
        <v>8298541</v>
      </c>
      <c r="TLP538" s="1170">
        <v>8298541</v>
      </c>
      <c r="TLQ538" s="1170">
        <v>8298541</v>
      </c>
      <c r="TLR538" s="1170">
        <v>8298541</v>
      </c>
      <c r="TLS538" s="1170">
        <v>8298541</v>
      </c>
      <c r="TLT538" s="1170">
        <v>8298541</v>
      </c>
      <c r="TLU538" s="1170">
        <v>8298541</v>
      </c>
      <c r="TLV538" s="1170">
        <v>8298541</v>
      </c>
      <c r="TLW538" s="1170">
        <v>8298541</v>
      </c>
      <c r="TLX538" s="1170">
        <v>8298541</v>
      </c>
      <c r="TLY538" s="1170">
        <v>8298541</v>
      </c>
      <c r="TLZ538" s="1170">
        <v>8298541</v>
      </c>
      <c r="TMA538" s="1170">
        <v>8298541</v>
      </c>
      <c r="TMB538" s="1170">
        <v>8298541</v>
      </c>
      <c r="TMC538" s="1170">
        <v>8298541</v>
      </c>
      <c r="TMD538" s="1170">
        <v>8298541</v>
      </c>
      <c r="TME538" s="1170">
        <v>8298541</v>
      </c>
      <c r="TMF538" s="1170">
        <v>8298541</v>
      </c>
      <c r="TMG538" s="1170">
        <v>8298541</v>
      </c>
      <c r="TMH538" s="1170">
        <v>8298541</v>
      </c>
      <c r="TMI538" s="1170">
        <v>8298541</v>
      </c>
      <c r="TMJ538" s="1170">
        <v>8298541</v>
      </c>
      <c r="TMK538" s="1170">
        <v>8298541</v>
      </c>
      <c r="TML538" s="1170">
        <v>8298541</v>
      </c>
      <c r="TMM538" s="1170">
        <v>8298541</v>
      </c>
      <c r="TMN538" s="1170">
        <v>8298541</v>
      </c>
      <c r="TMO538" s="1170">
        <v>8298541</v>
      </c>
      <c r="TMP538" s="1170">
        <v>8298541</v>
      </c>
      <c r="TMQ538" s="1170">
        <v>8298541</v>
      </c>
      <c r="TMR538" s="1170">
        <v>8298541</v>
      </c>
      <c r="TMS538" s="1170">
        <v>8298541</v>
      </c>
      <c r="TMT538" s="1170">
        <v>8298541</v>
      </c>
      <c r="TMU538" s="1170">
        <v>8298541</v>
      </c>
      <c r="TMV538" s="1170">
        <v>8298541</v>
      </c>
      <c r="TMW538" s="1170">
        <v>8298541</v>
      </c>
      <c r="TMX538" s="1170">
        <v>8298541</v>
      </c>
      <c r="TMY538" s="1170">
        <v>8298541</v>
      </c>
      <c r="TMZ538" s="1170">
        <v>8298541</v>
      </c>
      <c r="TNA538" s="1170">
        <v>8298541</v>
      </c>
      <c r="TNB538" s="1170">
        <v>8298541</v>
      </c>
      <c r="TNC538" s="1170">
        <v>8298541</v>
      </c>
      <c r="TND538" s="1170">
        <v>8298541</v>
      </c>
      <c r="TNE538" s="1170">
        <v>8298541</v>
      </c>
      <c r="TNF538" s="1170">
        <v>8298541</v>
      </c>
      <c r="TNG538" s="1170">
        <v>8298541</v>
      </c>
      <c r="TNH538" s="1170">
        <v>8298541</v>
      </c>
      <c r="TNI538" s="1170">
        <v>8298541</v>
      </c>
      <c r="TNJ538" s="1170">
        <v>8298541</v>
      </c>
      <c r="TNK538" s="1170">
        <v>8298541</v>
      </c>
      <c r="TNL538" s="1170">
        <v>8298541</v>
      </c>
      <c r="TNM538" s="1170">
        <v>8298541</v>
      </c>
      <c r="TNN538" s="1170">
        <v>8298541</v>
      </c>
      <c r="TNO538" s="1170">
        <v>8298541</v>
      </c>
      <c r="TNP538" s="1170">
        <v>8298541</v>
      </c>
      <c r="TNQ538" s="1170">
        <v>8298541</v>
      </c>
      <c r="TNR538" s="1170">
        <v>8298541</v>
      </c>
      <c r="TNS538" s="1170">
        <v>8298541</v>
      </c>
      <c r="TNT538" s="1170">
        <v>8298541</v>
      </c>
      <c r="TNU538" s="1170">
        <v>8298541</v>
      </c>
      <c r="TNV538" s="1170">
        <v>8298541</v>
      </c>
      <c r="TNW538" s="1170">
        <v>8298541</v>
      </c>
      <c r="TNX538" s="1170">
        <v>8298541</v>
      </c>
      <c r="TNY538" s="1170">
        <v>8298541</v>
      </c>
      <c r="TNZ538" s="1170">
        <v>8298541</v>
      </c>
      <c r="TOA538" s="1170">
        <v>8298541</v>
      </c>
      <c r="TOB538" s="1170">
        <v>8298541</v>
      </c>
      <c r="TOC538" s="1170">
        <v>8298541</v>
      </c>
      <c r="TOD538" s="1170">
        <v>8298541</v>
      </c>
      <c r="TOE538" s="1170">
        <v>8298541</v>
      </c>
      <c r="TOF538" s="1170">
        <v>8298541</v>
      </c>
      <c r="TOG538" s="1170">
        <v>8298541</v>
      </c>
      <c r="TOH538" s="1170">
        <v>8298541</v>
      </c>
      <c r="TOI538" s="1170">
        <v>8298541</v>
      </c>
      <c r="TOJ538" s="1170">
        <v>8298541</v>
      </c>
      <c r="TOK538" s="1170">
        <v>8298541</v>
      </c>
      <c r="TOL538" s="1170">
        <v>8298541</v>
      </c>
      <c r="TOM538" s="1170">
        <v>8298541</v>
      </c>
      <c r="TON538" s="1170">
        <v>8298541</v>
      </c>
      <c r="TOO538" s="1170">
        <v>8298541</v>
      </c>
      <c r="TOP538" s="1170">
        <v>8298541</v>
      </c>
      <c r="TOQ538" s="1170">
        <v>8298541</v>
      </c>
      <c r="TOR538" s="1170">
        <v>8298541</v>
      </c>
      <c r="TOS538" s="1170">
        <v>8298541</v>
      </c>
      <c r="TOT538" s="1170">
        <v>8298541</v>
      </c>
      <c r="TOU538" s="1170">
        <v>8298541</v>
      </c>
      <c r="TOV538" s="1170">
        <v>8298541</v>
      </c>
      <c r="TOW538" s="1170">
        <v>8298541</v>
      </c>
      <c r="TOX538" s="1170">
        <v>8298541</v>
      </c>
      <c r="TOY538" s="1170">
        <v>8298541</v>
      </c>
      <c r="TOZ538" s="1170">
        <v>8298541</v>
      </c>
      <c r="TPA538" s="1170">
        <v>8298541</v>
      </c>
      <c r="TPB538" s="1170">
        <v>8298541</v>
      </c>
      <c r="TPC538" s="1170">
        <v>8298541</v>
      </c>
      <c r="TPD538" s="1170">
        <v>8298541</v>
      </c>
      <c r="TPE538" s="1170">
        <v>8298541</v>
      </c>
      <c r="TPF538" s="1170">
        <v>8298541</v>
      </c>
      <c r="TPG538" s="1170">
        <v>8298541</v>
      </c>
      <c r="TPH538" s="1170">
        <v>8298541</v>
      </c>
      <c r="TPI538" s="1170">
        <v>8298541</v>
      </c>
      <c r="TPJ538" s="1170">
        <v>8298541</v>
      </c>
      <c r="TPK538" s="1170">
        <v>8298541</v>
      </c>
      <c r="TPL538" s="1170">
        <v>8298541</v>
      </c>
      <c r="TPM538" s="1170">
        <v>8298541</v>
      </c>
      <c r="TPN538" s="1170">
        <v>8298541</v>
      </c>
      <c r="TPO538" s="1170">
        <v>8298541</v>
      </c>
      <c r="TPP538" s="1170">
        <v>8298541</v>
      </c>
      <c r="TPQ538" s="1170">
        <v>8298541</v>
      </c>
      <c r="TPR538" s="1170">
        <v>8298541</v>
      </c>
      <c r="TPS538" s="1170">
        <v>8298541</v>
      </c>
      <c r="TPT538" s="1170">
        <v>8298541</v>
      </c>
      <c r="TPU538" s="1170">
        <v>8298541</v>
      </c>
      <c r="TPV538" s="1170">
        <v>8298541</v>
      </c>
      <c r="TPW538" s="1170">
        <v>8298541</v>
      </c>
      <c r="TPX538" s="1170">
        <v>8298541</v>
      </c>
      <c r="TPY538" s="1170">
        <v>8298541</v>
      </c>
      <c r="TPZ538" s="1170">
        <v>8298541</v>
      </c>
      <c r="TQA538" s="1170">
        <v>8298541</v>
      </c>
      <c r="TQB538" s="1170">
        <v>8298541</v>
      </c>
      <c r="TQC538" s="1170">
        <v>8298541</v>
      </c>
      <c r="TQD538" s="1170">
        <v>8298541</v>
      </c>
      <c r="TQE538" s="1170">
        <v>8298541</v>
      </c>
      <c r="TQF538" s="1170">
        <v>8298541</v>
      </c>
      <c r="TQG538" s="1170">
        <v>8298541</v>
      </c>
      <c r="TQH538" s="1170">
        <v>8298541</v>
      </c>
      <c r="TQI538" s="1170">
        <v>8298541</v>
      </c>
      <c r="TQJ538" s="1170">
        <v>8298541</v>
      </c>
      <c r="TQK538" s="1170">
        <v>8298541</v>
      </c>
      <c r="TQL538" s="1170">
        <v>8298541</v>
      </c>
      <c r="TQM538" s="1170">
        <v>8298541</v>
      </c>
      <c r="TQN538" s="1170">
        <v>8298541</v>
      </c>
      <c r="TQO538" s="1170">
        <v>8298541</v>
      </c>
      <c r="TQP538" s="1170">
        <v>8298541</v>
      </c>
      <c r="TQQ538" s="1170">
        <v>8298541</v>
      </c>
      <c r="TQR538" s="1170">
        <v>8298541</v>
      </c>
      <c r="TQS538" s="1170">
        <v>8298541</v>
      </c>
      <c r="TQT538" s="1170">
        <v>8298541</v>
      </c>
      <c r="TQU538" s="1170">
        <v>8298541</v>
      </c>
      <c r="TQV538" s="1170">
        <v>8298541</v>
      </c>
      <c r="TQW538" s="1170">
        <v>8298541</v>
      </c>
      <c r="TQX538" s="1170">
        <v>8298541</v>
      </c>
      <c r="TQY538" s="1170">
        <v>8298541</v>
      </c>
      <c r="TQZ538" s="1170">
        <v>8298541</v>
      </c>
      <c r="TRA538" s="1170">
        <v>8298541</v>
      </c>
      <c r="TRB538" s="1170">
        <v>8298541</v>
      </c>
      <c r="TRC538" s="1170">
        <v>8298541</v>
      </c>
      <c r="TRD538" s="1170">
        <v>8298541</v>
      </c>
      <c r="TRE538" s="1170">
        <v>8298541</v>
      </c>
      <c r="TRF538" s="1170">
        <v>8298541</v>
      </c>
      <c r="TRG538" s="1170">
        <v>8298541</v>
      </c>
      <c r="TRH538" s="1170">
        <v>8298541</v>
      </c>
      <c r="TRI538" s="1170">
        <v>8298541</v>
      </c>
      <c r="TRJ538" s="1170">
        <v>8298541</v>
      </c>
      <c r="TRK538" s="1170">
        <v>8298541</v>
      </c>
      <c r="TRL538" s="1170">
        <v>8298541</v>
      </c>
      <c r="TRM538" s="1170">
        <v>8298541</v>
      </c>
      <c r="TRN538" s="1170">
        <v>8298541</v>
      </c>
      <c r="TRO538" s="1170">
        <v>8298541</v>
      </c>
      <c r="TRP538" s="1170">
        <v>8298541</v>
      </c>
      <c r="TRQ538" s="1170">
        <v>8298541</v>
      </c>
      <c r="TRR538" s="1170">
        <v>8298541</v>
      </c>
      <c r="TRS538" s="1170">
        <v>8298541</v>
      </c>
      <c r="TRT538" s="1170">
        <v>8298541</v>
      </c>
      <c r="TRU538" s="1170">
        <v>8298541</v>
      </c>
      <c r="TRV538" s="1170">
        <v>8298541</v>
      </c>
      <c r="TRW538" s="1170">
        <v>8298541</v>
      </c>
      <c r="TRX538" s="1170">
        <v>8298541</v>
      </c>
      <c r="TRY538" s="1170">
        <v>8298541</v>
      </c>
      <c r="TRZ538" s="1170">
        <v>8298541</v>
      </c>
      <c r="TSA538" s="1170">
        <v>8298541</v>
      </c>
      <c r="TSB538" s="1170">
        <v>8298541</v>
      </c>
      <c r="TSC538" s="1170">
        <v>8298541</v>
      </c>
      <c r="TSD538" s="1170">
        <v>8298541</v>
      </c>
      <c r="TSE538" s="1170">
        <v>8298541</v>
      </c>
      <c r="TSF538" s="1170">
        <v>8298541</v>
      </c>
      <c r="TSG538" s="1170">
        <v>8298541</v>
      </c>
      <c r="TSH538" s="1170">
        <v>8298541</v>
      </c>
      <c r="TSI538" s="1170">
        <v>8298541</v>
      </c>
      <c r="TSJ538" s="1170">
        <v>8298541</v>
      </c>
      <c r="TSK538" s="1170">
        <v>8298541</v>
      </c>
      <c r="TSL538" s="1170">
        <v>8298541</v>
      </c>
      <c r="TSM538" s="1170">
        <v>8298541</v>
      </c>
      <c r="TSN538" s="1170">
        <v>8298541</v>
      </c>
      <c r="TSO538" s="1170">
        <v>8298541</v>
      </c>
      <c r="TSP538" s="1170">
        <v>8298541</v>
      </c>
      <c r="TSQ538" s="1170">
        <v>8298541</v>
      </c>
      <c r="TSR538" s="1170">
        <v>8298541</v>
      </c>
      <c r="TSS538" s="1170">
        <v>8298541</v>
      </c>
      <c r="TST538" s="1170">
        <v>8298541</v>
      </c>
      <c r="TSU538" s="1170">
        <v>8298541</v>
      </c>
      <c r="TSV538" s="1170">
        <v>8298541</v>
      </c>
      <c r="TSW538" s="1170">
        <v>8298541</v>
      </c>
      <c r="TSX538" s="1170">
        <v>8298541</v>
      </c>
      <c r="TSY538" s="1170">
        <v>8298541</v>
      </c>
      <c r="TSZ538" s="1170">
        <v>8298541</v>
      </c>
      <c r="TTA538" s="1170">
        <v>8298541</v>
      </c>
      <c r="TTB538" s="1170">
        <v>8298541</v>
      </c>
      <c r="TTC538" s="1170">
        <v>8298541</v>
      </c>
      <c r="TTD538" s="1170">
        <v>8298541</v>
      </c>
      <c r="TTE538" s="1170">
        <v>8298541</v>
      </c>
      <c r="TTF538" s="1170">
        <v>8298541</v>
      </c>
      <c r="TTG538" s="1170">
        <v>8298541</v>
      </c>
      <c r="TTH538" s="1170">
        <v>8298541</v>
      </c>
      <c r="TTI538" s="1170">
        <v>8298541</v>
      </c>
      <c r="TTJ538" s="1170">
        <v>8298541</v>
      </c>
      <c r="TTK538" s="1170">
        <v>8298541</v>
      </c>
      <c r="TTL538" s="1170">
        <v>8298541</v>
      </c>
      <c r="TTM538" s="1170">
        <v>8298541</v>
      </c>
      <c r="TTN538" s="1170">
        <v>8298541</v>
      </c>
      <c r="TTO538" s="1170">
        <v>8298541</v>
      </c>
      <c r="TTP538" s="1170">
        <v>8298541</v>
      </c>
      <c r="TTQ538" s="1170">
        <v>8298541</v>
      </c>
      <c r="TTR538" s="1170">
        <v>8298541</v>
      </c>
      <c r="TTS538" s="1170">
        <v>8298541</v>
      </c>
      <c r="TTT538" s="1170">
        <v>8298541</v>
      </c>
      <c r="TTU538" s="1170">
        <v>8298541</v>
      </c>
      <c r="TTV538" s="1170">
        <v>8298541</v>
      </c>
      <c r="TTW538" s="1170">
        <v>8298541</v>
      </c>
      <c r="TTX538" s="1170">
        <v>8298541</v>
      </c>
      <c r="TTY538" s="1170">
        <v>8298541</v>
      </c>
      <c r="TTZ538" s="1170">
        <v>8298541</v>
      </c>
      <c r="TUA538" s="1170">
        <v>8298541</v>
      </c>
      <c r="TUB538" s="1170">
        <v>8298541</v>
      </c>
      <c r="TUC538" s="1170">
        <v>8298541</v>
      </c>
      <c r="TUD538" s="1170">
        <v>8298541</v>
      </c>
      <c r="TUE538" s="1170">
        <v>8298541</v>
      </c>
      <c r="TUF538" s="1170">
        <v>8298541</v>
      </c>
      <c r="TUG538" s="1170">
        <v>8298541</v>
      </c>
      <c r="TUH538" s="1170">
        <v>8298541</v>
      </c>
      <c r="TUI538" s="1170">
        <v>8298541</v>
      </c>
      <c r="TUJ538" s="1170">
        <v>8298541</v>
      </c>
      <c r="TUK538" s="1170">
        <v>8298541</v>
      </c>
      <c r="TUL538" s="1170">
        <v>8298541</v>
      </c>
      <c r="TUM538" s="1170">
        <v>8298541</v>
      </c>
      <c r="TUN538" s="1170">
        <v>8298541</v>
      </c>
      <c r="TUO538" s="1170">
        <v>8298541</v>
      </c>
      <c r="TUP538" s="1170">
        <v>8298541</v>
      </c>
      <c r="TUQ538" s="1170">
        <v>8298541</v>
      </c>
      <c r="TUR538" s="1170">
        <v>8298541</v>
      </c>
      <c r="TUS538" s="1170">
        <v>8298541</v>
      </c>
      <c r="TUT538" s="1170">
        <v>8298541</v>
      </c>
      <c r="TUU538" s="1170">
        <v>8298541</v>
      </c>
      <c r="TUV538" s="1170">
        <v>8298541</v>
      </c>
      <c r="TUW538" s="1170">
        <v>8298541</v>
      </c>
      <c r="TUX538" s="1170">
        <v>8298541</v>
      </c>
      <c r="TUY538" s="1170">
        <v>8298541</v>
      </c>
      <c r="TUZ538" s="1170">
        <v>8298541</v>
      </c>
      <c r="TVA538" s="1170">
        <v>8298541</v>
      </c>
      <c r="TVB538" s="1170">
        <v>8298541</v>
      </c>
      <c r="TVC538" s="1170">
        <v>8298541</v>
      </c>
      <c r="TVD538" s="1170">
        <v>8298541</v>
      </c>
      <c r="TVE538" s="1170">
        <v>8298541</v>
      </c>
      <c r="TVF538" s="1170">
        <v>8298541</v>
      </c>
      <c r="TVG538" s="1170">
        <v>8298541</v>
      </c>
      <c r="TVH538" s="1170">
        <v>8298541</v>
      </c>
      <c r="TVI538" s="1170">
        <v>8298541</v>
      </c>
      <c r="TVJ538" s="1170">
        <v>8298541</v>
      </c>
      <c r="TVK538" s="1170">
        <v>8298541</v>
      </c>
      <c r="TVL538" s="1170">
        <v>8298541</v>
      </c>
      <c r="TVM538" s="1170">
        <v>8298541</v>
      </c>
      <c r="TVN538" s="1170">
        <v>8298541</v>
      </c>
      <c r="TVO538" s="1170">
        <v>8298541</v>
      </c>
      <c r="TVP538" s="1170">
        <v>8298541</v>
      </c>
      <c r="TVQ538" s="1170">
        <v>8298541</v>
      </c>
      <c r="TVR538" s="1170">
        <v>8298541</v>
      </c>
      <c r="TVS538" s="1170">
        <v>8298541</v>
      </c>
      <c r="TVT538" s="1170">
        <v>8298541</v>
      </c>
      <c r="TVU538" s="1170">
        <v>8298541</v>
      </c>
      <c r="TVV538" s="1170">
        <v>8298541</v>
      </c>
      <c r="TVW538" s="1170">
        <v>8298541</v>
      </c>
      <c r="TVX538" s="1170">
        <v>8298541</v>
      </c>
      <c r="TVY538" s="1170">
        <v>8298541</v>
      </c>
      <c r="TVZ538" s="1170">
        <v>8298541</v>
      </c>
      <c r="TWA538" s="1170">
        <v>8298541</v>
      </c>
      <c r="TWB538" s="1170">
        <v>8298541</v>
      </c>
      <c r="TWC538" s="1170">
        <v>8298541</v>
      </c>
      <c r="TWD538" s="1170">
        <v>8298541</v>
      </c>
      <c r="TWE538" s="1170">
        <v>8298541</v>
      </c>
      <c r="TWF538" s="1170">
        <v>8298541</v>
      </c>
      <c r="TWG538" s="1170">
        <v>8298541</v>
      </c>
      <c r="TWH538" s="1170">
        <v>8298541</v>
      </c>
      <c r="TWI538" s="1170">
        <v>8298541</v>
      </c>
      <c r="TWJ538" s="1170">
        <v>8298541</v>
      </c>
      <c r="TWK538" s="1170">
        <v>8298541</v>
      </c>
      <c r="TWL538" s="1170">
        <v>8298541</v>
      </c>
      <c r="TWM538" s="1170">
        <v>8298541</v>
      </c>
      <c r="TWN538" s="1170">
        <v>8298541</v>
      </c>
      <c r="TWO538" s="1170">
        <v>8298541</v>
      </c>
      <c r="TWP538" s="1170">
        <v>8298541</v>
      </c>
      <c r="TWQ538" s="1170">
        <v>8298541</v>
      </c>
      <c r="TWR538" s="1170">
        <v>8298541</v>
      </c>
      <c r="TWS538" s="1170">
        <v>8298541</v>
      </c>
      <c r="TWT538" s="1170">
        <v>8298541</v>
      </c>
      <c r="TWU538" s="1170">
        <v>8298541</v>
      </c>
      <c r="TWV538" s="1170">
        <v>8298541</v>
      </c>
      <c r="TWW538" s="1170">
        <v>8298541</v>
      </c>
      <c r="TWX538" s="1170">
        <v>8298541</v>
      </c>
      <c r="TWY538" s="1170">
        <v>8298541</v>
      </c>
      <c r="TWZ538" s="1170">
        <v>8298541</v>
      </c>
      <c r="TXA538" s="1170">
        <v>8298541</v>
      </c>
      <c r="TXB538" s="1170">
        <v>8298541</v>
      </c>
      <c r="TXC538" s="1170">
        <v>8298541</v>
      </c>
      <c r="TXD538" s="1170">
        <v>8298541</v>
      </c>
      <c r="TXE538" s="1170">
        <v>8298541</v>
      </c>
      <c r="TXF538" s="1170">
        <v>8298541</v>
      </c>
      <c r="TXG538" s="1170">
        <v>8298541</v>
      </c>
      <c r="TXH538" s="1170">
        <v>8298541</v>
      </c>
      <c r="TXI538" s="1170">
        <v>8298541</v>
      </c>
      <c r="TXJ538" s="1170">
        <v>8298541</v>
      </c>
      <c r="TXK538" s="1170">
        <v>8298541</v>
      </c>
      <c r="TXL538" s="1170">
        <v>8298541</v>
      </c>
      <c r="TXM538" s="1170">
        <v>8298541</v>
      </c>
      <c r="TXN538" s="1170">
        <v>8298541</v>
      </c>
      <c r="TXO538" s="1170">
        <v>8298541</v>
      </c>
      <c r="TXP538" s="1170">
        <v>8298541</v>
      </c>
      <c r="TXQ538" s="1170">
        <v>8298541</v>
      </c>
      <c r="TXR538" s="1170">
        <v>8298541</v>
      </c>
      <c r="TXS538" s="1170">
        <v>8298541</v>
      </c>
      <c r="TXT538" s="1170">
        <v>8298541</v>
      </c>
      <c r="TXU538" s="1170">
        <v>8298541</v>
      </c>
      <c r="TXV538" s="1170">
        <v>8298541</v>
      </c>
      <c r="TXW538" s="1170">
        <v>8298541</v>
      </c>
      <c r="TXX538" s="1170">
        <v>8298541</v>
      </c>
      <c r="TXY538" s="1170">
        <v>8298541</v>
      </c>
      <c r="TXZ538" s="1170">
        <v>8298541</v>
      </c>
      <c r="TYA538" s="1170">
        <v>8298541</v>
      </c>
      <c r="TYB538" s="1170">
        <v>8298541</v>
      </c>
      <c r="TYC538" s="1170">
        <v>8298541</v>
      </c>
      <c r="TYD538" s="1170">
        <v>8298541</v>
      </c>
      <c r="TYE538" s="1170">
        <v>8298541</v>
      </c>
      <c r="TYF538" s="1170">
        <v>8298541</v>
      </c>
      <c r="TYG538" s="1170">
        <v>8298541</v>
      </c>
      <c r="TYH538" s="1170">
        <v>8298541</v>
      </c>
      <c r="TYI538" s="1170">
        <v>8298541</v>
      </c>
      <c r="TYJ538" s="1170">
        <v>8298541</v>
      </c>
      <c r="TYK538" s="1170">
        <v>8298541</v>
      </c>
      <c r="TYL538" s="1170">
        <v>8298541</v>
      </c>
      <c r="TYM538" s="1170">
        <v>8298541</v>
      </c>
      <c r="TYN538" s="1170">
        <v>8298541</v>
      </c>
      <c r="TYO538" s="1170">
        <v>8298541</v>
      </c>
      <c r="TYP538" s="1170">
        <v>8298541</v>
      </c>
      <c r="TYQ538" s="1170">
        <v>8298541</v>
      </c>
      <c r="TYR538" s="1170">
        <v>8298541</v>
      </c>
      <c r="TYS538" s="1170">
        <v>8298541</v>
      </c>
      <c r="TYT538" s="1170">
        <v>8298541</v>
      </c>
      <c r="TYU538" s="1170">
        <v>8298541</v>
      </c>
      <c r="TYV538" s="1170">
        <v>8298541</v>
      </c>
      <c r="TYW538" s="1170">
        <v>8298541</v>
      </c>
      <c r="TYX538" s="1170">
        <v>8298541</v>
      </c>
      <c r="TYY538" s="1170">
        <v>8298541</v>
      </c>
      <c r="TYZ538" s="1170">
        <v>8298541</v>
      </c>
      <c r="TZA538" s="1170">
        <v>8298541</v>
      </c>
      <c r="TZB538" s="1170">
        <v>8298541</v>
      </c>
      <c r="TZC538" s="1170">
        <v>8298541</v>
      </c>
      <c r="TZD538" s="1170">
        <v>8298541</v>
      </c>
      <c r="TZE538" s="1170">
        <v>8298541</v>
      </c>
      <c r="TZF538" s="1170">
        <v>8298541</v>
      </c>
      <c r="TZG538" s="1170">
        <v>8298541</v>
      </c>
      <c r="TZH538" s="1170">
        <v>8298541</v>
      </c>
      <c r="TZI538" s="1170">
        <v>8298541</v>
      </c>
      <c r="TZJ538" s="1170">
        <v>8298541</v>
      </c>
      <c r="TZK538" s="1170">
        <v>8298541</v>
      </c>
      <c r="TZL538" s="1170">
        <v>8298541</v>
      </c>
      <c r="TZM538" s="1170">
        <v>8298541</v>
      </c>
      <c r="TZN538" s="1170">
        <v>8298541</v>
      </c>
      <c r="TZO538" s="1170">
        <v>8298541</v>
      </c>
      <c r="TZP538" s="1170">
        <v>8298541</v>
      </c>
      <c r="TZQ538" s="1170">
        <v>8298541</v>
      </c>
      <c r="TZR538" s="1170">
        <v>8298541</v>
      </c>
      <c r="TZS538" s="1170">
        <v>8298541</v>
      </c>
      <c r="TZT538" s="1170">
        <v>8298541</v>
      </c>
      <c r="TZU538" s="1170">
        <v>8298541</v>
      </c>
      <c r="TZV538" s="1170">
        <v>8298541</v>
      </c>
      <c r="TZW538" s="1170">
        <v>8298541</v>
      </c>
      <c r="TZX538" s="1170">
        <v>8298541</v>
      </c>
      <c r="TZY538" s="1170">
        <v>8298541</v>
      </c>
      <c r="TZZ538" s="1170">
        <v>8298541</v>
      </c>
      <c r="UAA538" s="1170">
        <v>8298541</v>
      </c>
      <c r="UAB538" s="1170">
        <v>8298541</v>
      </c>
      <c r="UAC538" s="1170">
        <v>8298541</v>
      </c>
      <c r="UAD538" s="1170">
        <v>8298541</v>
      </c>
      <c r="UAE538" s="1170">
        <v>8298541</v>
      </c>
      <c r="UAF538" s="1170">
        <v>8298541</v>
      </c>
      <c r="UAG538" s="1170">
        <v>8298541</v>
      </c>
      <c r="UAH538" s="1170">
        <v>8298541</v>
      </c>
      <c r="UAI538" s="1170">
        <v>8298541</v>
      </c>
      <c r="UAJ538" s="1170">
        <v>8298541</v>
      </c>
      <c r="UAK538" s="1170">
        <v>8298541</v>
      </c>
      <c r="UAL538" s="1170">
        <v>8298541</v>
      </c>
      <c r="UAM538" s="1170">
        <v>8298541</v>
      </c>
      <c r="UAN538" s="1170">
        <v>8298541</v>
      </c>
      <c r="UAO538" s="1170">
        <v>8298541</v>
      </c>
      <c r="UAP538" s="1170">
        <v>8298541</v>
      </c>
      <c r="UAQ538" s="1170">
        <v>8298541</v>
      </c>
      <c r="UAR538" s="1170">
        <v>8298541</v>
      </c>
      <c r="UAS538" s="1170">
        <v>8298541</v>
      </c>
      <c r="UAT538" s="1170">
        <v>8298541</v>
      </c>
      <c r="UAU538" s="1170">
        <v>8298541</v>
      </c>
      <c r="UAV538" s="1170">
        <v>8298541</v>
      </c>
      <c r="UAW538" s="1170">
        <v>8298541</v>
      </c>
      <c r="UAX538" s="1170">
        <v>8298541</v>
      </c>
      <c r="UAY538" s="1170">
        <v>8298541</v>
      </c>
      <c r="UAZ538" s="1170">
        <v>8298541</v>
      </c>
      <c r="UBA538" s="1170">
        <v>8298541</v>
      </c>
      <c r="UBB538" s="1170">
        <v>8298541</v>
      </c>
      <c r="UBC538" s="1170">
        <v>8298541</v>
      </c>
      <c r="UBD538" s="1170">
        <v>8298541</v>
      </c>
      <c r="UBE538" s="1170">
        <v>8298541</v>
      </c>
      <c r="UBF538" s="1170">
        <v>8298541</v>
      </c>
      <c r="UBG538" s="1170">
        <v>8298541</v>
      </c>
      <c r="UBH538" s="1170">
        <v>8298541</v>
      </c>
      <c r="UBI538" s="1170">
        <v>8298541</v>
      </c>
      <c r="UBJ538" s="1170">
        <v>8298541</v>
      </c>
      <c r="UBK538" s="1170">
        <v>8298541</v>
      </c>
      <c r="UBL538" s="1170">
        <v>8298541</v>
      </c>
      <c r="UBM538" s="1170">
        <v>8298541</v>
      </c>
      <c r="UBN538" s="1170">
        <v>8298541</v>
      </c>
      <c r="UBO538" s="1170">
        <v>8298541</v>
      </c>
      <c r="UBP538" s="1170">
        <v>8298541</v>
      </c>
      <c r="UBQ538" s="1170">
        <v>8298541</v>
      </c>
      <c r="UBR538" s="1170">
        <v>8298541</v>
      </c>
      <c r="UBS538" s="1170">
        <v>8298541</v>
      </c>
      <c r="UBT538" s="1170">
        <v>8298541</v>
      </c>
      <c r="UBU538" s="1170">
        <v>8298541</v>
      </c>
      <c r="UBV538" s="1170">
        <v>8298541</v>
      </c>
      <c r="UBW538" s="1170">
        <v>8298541</v>
      </c>
      <c r="UBX538" s="1170">
        <v>8298541</v>
      </c>
      <c r="UBY538" s="1170">
        <v>8298541</v>
      </c>
      <c r="UBZ538" s="1170">
        <v>8298541</v>
      </c>
      <c r="UCA538" s="1170">
        <v>8298541</v>
      </c>
      <c r="UCB538" s="1170">
        <v>8298541</v>
      </c>
      <c r="UCC538" s="1170">
        <v>8298541</v>
      </c>
      <c r="UCD538" s="1170">
        <v>8298541</v>
      </c>
      <c r="UCE538" s="1170">
        <v>8298541</v>
      </c>
      <c r="UCF538" s="1170">
        <v>8298541</v>
      </c>
      <c r="UCG538" s="1170">
        <v>8298541</v>
      </c>
      <c r="UCH538" s="1170">
        <v>8298541</v>
      </c>
      <c r="UCI538" s="1170">
        <v>8298541</v>
      </c>
      <c r="UCJ538" s="1170">
        <v>8298541</v>
      </c>
      <c r="UCK538" s="1170">
        <v>8298541</v>
      </c>
      <c r="UCL538" s="1170">
        <v>8298541</v>
      </c>
      <c r="UCM538" s="1170">
        <v>8298541</v>
      </c>
      <c r="UCN538" s="1170">
        <v>8298541</v>
      </c>
      <c r="UCO538" s="1170">
        <v>8298541</v>
      </c>
      <c r="UCP538" s="1170">
        <v>8298541</v>
      </c>
      <c r="UCQ538" s="1170">
        <v>8298541</v>
      </c>
      <c r="UCR538" s="1170">
        <v>8298541</v>
      </c>
      <c r="UCS538" s="1170">
        <v>8298541</v>
      </c>
      <c r="UCT538" s="1170">
        <v>8298541</v>
      </c>
      <c r="UCU538" s="1170">
        <v>8298541</v>
      </c>
      <c r="UCV538" s="1170">
        <v>8298541</v>
      </c>
      <c r="UCW538" s="1170">
        <v>8298541</v>
      </c>
      <c r="UCX538" s="1170">
        <v>8298541</v>
      </c>
      <c r="UCY538" s="1170">
        <v>8298541</v>
      </c>
      <c r="UCZ538" s="1170">
        <v>8298541</v>
      </c>
      <c r="UDA538" s="1170">
        <v>8298541</v>
      </c>
      <c r="UDB538" s="1170">
        <v>8298541</v>
      </c>
      <c r="UDC538" s="1170">
        <v>8298541</v>
      </c>
      <c r="UDD538" s="1170">
        <v>8298541</v>
      </c>
      <c r="UDE538" s="1170">
        <v>8298541</v>
      </c>
      <c r="UDF538" s="1170">
        <v>8298541</v>
      </c>
      <c r="UDG538" s="1170">
        <v>8298541</v>
      </c>
      <c r="UDH538" s="1170">
        <v>8298541</v>
      </c>
      <c r="UDI538" s="1170">
        <v>8298541</v>
      </c>
      <c r="UDJ538" s="1170">
        <v>8298541</v>
      </c>
      <c r="UDK538" s="1170">
        <v>8298541</v>
      </c>
      <c r="UDL538" s="1170">
        <v>8298541</v>
      </c>
      <c r="UDM538" s="1170">
        <v>8298541</v>
      </c>
      <c r="UDN538" s="1170">
        <v>8298541</v>
      </c>
      <c r="UDO538" s="1170">
        <v>8298541</v>
      </c>
      <c r="UDP538" s="1170">
        <v>8298541</v>
      </c>
      <c r="UDQ538" s="1170">
        <v>8298541</v>
      </c>
      <c r="UDR538" s="1170">
        <v>8298541</v>
      </c>
      <c r="UDS538" s="1170">
        <v>8298541</v>
      </c>
      <c r="UDT538" s="1170">
        <v>8298541</v>
      </c>
      <c r="UDU538" s="1170">
        <v>8298541</v>
      </c>
      <c r="UDV538" s="1170">
        <v>8298541</v>
      </c>
      <c r="UDW538" s="1170">
        <v>8298541</v>
      </c>
      <c r="UDX538" s="1170">
        <v>8298541</v>
      </c>
      <c r="UDY538" s="1170">
        <v>8298541</v>
      </c>
      <c r="UDZ538" s="1170">
        <v>8298541</v>
      </c>
      <c r="UEA538" s="1170">
        <v>8298541</v>
      </c>
      <c r="UEB538" s="1170">
        <v>8298541</v>
      </c>
      <c r="UEC538" s="1170">
        <v>8298541</v>
      </c>
      <c r="UED538" s="1170">
        <v>8298541</v>
      </c>
      <c r="UEE538" s="1170">
        <v>8298541</v>
      </c>
      <c r="UEF538" s="1170">
        <v>8298541</v>
      </c>
      <c r="UEG538" s="1170">
        <v>8298541</v>
      </c>
      <c r="UEH538" s="1170">
        <v>8298541</v>
      </c>
      <c r="UEI538" s="1170">
        <v>8298541</v>
      </c>
      <c r="UEJ538" s="1170">
        <v>8298541</v>
      </c>
      <c r="UEK538" s="1170">
        <v>8298541</v>
      </c>
      <c r="UEL538" s="1170">
        <v>8298541</v>
      </c>
      <c r="UEM538" s="1170">
        <v>8298541</v>
      </c>
      <c r="UEN538" s="1170">
        <v>8298541</v>
      </c>
      <c r="UEO538" s="1170">
        <v>8298541</v>
      </c>
      <c r="UEP538" s="1170">
        <v>8298541</v>
      </c>
      <c r="UEQ538" s="1170">
        <v>8298541</v>
      </c>
      <c r="UER538" s="1170">
        <v>8298541</v>
      </c>
      <c r="UES538" s="1170">
        <v>8298541</v>
      </c>
      <c r="UET538" s="1170">
        <v>8298541</v>
      </c>
      <c r="UEU538" s="1170">
        <v>8298541</v>
      </c>
      <c r="UEV538" s="1170">
        <v>8298541</v>
      </c>
      <c r="UEW538" s="1170">
        <v>8298541</v>
      </c>
      <c r="UEX538" s="1170">
        <v>8298541</v>
      </c>
      <c r="UEY538" s="1170">
        <v>8298541</v>
      </c>
      <c r="UEZ538" s="1170">
        <v>8298541</v>
      </c>
      <c r="UFA538" s="1170">
        <v>8298541</v>
      </c>
      <c r="UFB538" s="1170">
        <v>8298541</v>
      </c>
      <c r="UFC538" s="1170">
        <v>8298541</v>
      </c>
      <c r="UFD538" s="1170">
        <v>8298541</v>
      </c>
      <c r="UFE538" s="1170">
        <v>8298541</v>
      </c>
      <c r="UFF538" s="1170">
        <v>8298541</v>
      </c>
      <c r="UFG538" s="1170">
        <v>8298541</v>
      </c>
      <c r="UFH538" s="1170">
        <v>8298541</v>
      </c>
      <c r="UFI538" s="1170">
        <v>8298541</v>
      </c>
      <c r="UFJ538" s="1170">
        <v>8298541</v>
      </c>
      <c r="UFK538" s="1170">
        <v>8298541</v>
      </c>
      <c r="UFL538" s="1170">
        <v>8298541</v>
      </c>
      <c r="UFM538" s="1170">
        <v>8298541</v>
      </c>
      <c r="UFN538" s="1170">
        <v>8298541</v>
      </c>
      <c r="UFO538" s="1170">
        <v>8298541</v>
      </c>
      <c r="UFP538" s="1170">
        <v>8298541</v>
      </c>
      <c r="UFQ538" s="1170">
        <v>8298541</v>
      </c>
      <c r="UFR538" s="1170">
        <v>8298541</v>
      </c>
      <c r="UFS538" s="1170">
        <v>8298541</v>
      </c>
      <c r="UFT538" s="1170">
        <v>8298541</v>
      </c>
      <c r="UFU538" s="1170">
        <v>8298541</v>
      </c>
      <c r="UFV538" s="1170">
        <v>8298541</v>
      </c>
      <c r="UFW538" s="1170">
        <v>8298541</v>
      </c>
      <c r="UFX538" s="1170">
        <v>8298541</v>
      </c>
      <c r="UFY538" s="1170">
        <v>8298541</v>
      </c>
      <c r="UFZ538" s="1170">
        <v>8298541</v>
      </c>
      <c r="UGA538" s="1170">
        <v>8298541</v>
      </c>
      <c r="UGB538" s="1170">
        <v>8298541</v>
      </c>
      <c r="UGC538" s="1170">
        <v>8298541</v>
      </c>
      <c r="UGD538" s="1170">
        <v>8298541</v>
      </c>
      <c r="UGE538" s="1170">
        <v>8298541</v>
      </c>
      <c r="UGF538" s="1170">
        <v>8298541</v>
      </c>
      <c r="UGG538" s="1170">
        <v>8298541</v>
      </c>
      <c r="UGH538" s="1170">
        <v>8298541</v>
      </c>
      <c r="UGI538" s="1170">
        <v>8298541</v>
      </c>
      <c r="UGJ538" s="1170">
        <v>8298541</v>
      </c>
      <c r="UGK538" s="1170">
        <v>8298541</v>
      </c>
      <c r="UGL538" s="1170">
        <v>8298541</v>
      </c>
      <c r="UGM538" s="1170">
        <v>8298541</v>
      </c>
      <c r="UGN538" s="1170">
        <v>8298541</v>
      </c>
      <c r="UGO538" s="1170">
        <v>8298541</v>
      </c>
      <c r="UGP538" s="1170">
        <v>8298541</v>
      </c>
      <c r="UGQ538" s="1170">
        <v>8298541</v>
      </c>
      <c r="UGR538" s="1170">
        <v>8298541</v>
      </c>
      <c r="UGS538" s="1170">
        <v>8298541</v>
      </c>
      <c r="UGT538" s="1170">
        <v>8298541</v>
      </c>
      <c r="UGU538" s="1170">
        <v>8298541</v>
      </c>
      <c r="UGV538" s="1170">
        <v>8298541</v>
      </c>
      <c r="UGW538" s="1170">
        <v>8298541</v>
      </c>
      <c r="UGX538" s="1170">
        <v>8298541</v>
      </c>
      <c r="UGY538" s="1170">
        <v>8298541</v>
      </c>
      <c r="UGZ538" s="1170">
        <v>8298541</v>
      </c>
      <c r="UHA538" s="1170">
        <v>8298541</v>
      </c>
      <c r="UHB538" s="1170">
        <v>8298541</v>
      </c>
      <c r="UHC538" s="1170">
        <v>8298541</v>
      </c>
      <c r="UHD538" s="1170">
        <v>8298541</v>
      </c>
      <c r="UHE538" s="1170">
        <v>8298541</v>
      </c>
      <c r="UHF538" s="1170">
        <v>8298541</v>
      </c>
      <c r="UHG538" s="1170">
        <v>8298541</v>
      </c>
      <c r="UHH538" s="1170">
        <v>8298541</v>
      </c>
      <c r="UHI538" s="1170">
        <v>8298541</v>
      </c>
      <c r="UHJ538" s="1170">
        <v>8298541</v>
      </c>
      <c r="UHK538" s="1170">
        <v>8298541</v>
      </c>
      <c r="UHL538" s="1170">
        <v>8298541</v>
      </c>
      <c r="UHM538" s="1170">
        <v>8298541</v>
      </c>
      <c r="UHN538" s="1170">
        <v>8298541</v>
      </c>
      <c r="UHO538" s="1170">
        <v>8298541</v>
      </c>
      <c r="UHP538" s="1170">
        <v>8298541</v>
      </c>
      <c r="UHQ538" s="1170">
        <v>8298541</v>
      </c>
      <c r="UHR538" s="1170">
        <v>8298541</v>
      </c>
      <c r="UHS538" s="1170">
        <v>8298541</v>
      </c>
      <c r="UHT538" s="1170">
        <v>8298541</v>
      </c>
      <c r="UHU538" s="1170">
        <v>8298541</v>
      </c>
      <c r="UHV538" s="1170">
        <v>8298541</v>
      </c>
      <c r="UHW538" s="1170">
        <v>8298541</v>
      </c>
      <c r="UHX538" s="1170">
        <v>8298541</v>
      </c>
      <c r="UHY538" s="1170">
        <v>8298541</v>
      </c>
      <c r="UHZ538" s="1170">
        <v>8298541</v>
      </c>
      <c r="UIA538" s="1170">
        <v>8298541</v>
      </c>
      <c r="UIB538" s="1170">
        <v>8298541</v>
      </c>
      <c r="UIC538" s="1170">
        <v>8298541</v>
      </c>
      <c r="UID538" s="1170">
        <v>8298541</v>
      </c>
      <c r="UIE538" s="1170">
        <v>8298541</v>
      </c>
      <c r="UIF538" s="1170">
        <v>8298541</v>
      </c>
      <c r="UIG538" s="1170">
        <v>8298541</v>
      </c>
      <c r="UIH538" s="1170">
        <v>8298541</v>
      </c>
      <c r="UII538" s="1170">
        <v>8298541</v>
      </c>
      <c r="UIJ538" s="1170">
        <v>8298541</v>
      </c>
      <c r="UIK538" s="1170">
        <v>8298541</v>
      </c>
      <c r="UIL538" s="1170">
        <v>8298541</v>
      </c>
      <c r="UIM538" s="1170">
        <v>8298541</v>
      </c>
      <c r="UIN538" s="1170">
        <v>8298541</v>
      </c>
      <c r="UIO538" s="1170">
        <v>8298541</v>
      </c>
      <c r="UIP538" s="1170">
        <v>8298541</v>
      </c>
      <c r="UIQ538" s="1170">
        <v>8298541</v>
      </c>
      <c r="UIR538" s="1170">
        <v>8298541</v>
      </c>
      <c r="UIS538" s="1170">
        <v>8298541</v>
      </c>
      <c r="UIT538" s="1170">
        <v>8298541</v>
      </c>
      <c r="UIU538" s="1170">
        <v>8298541</v>
      </c>
      <c r="UIV538" s="1170">
        <v>8298541</v>
      </c>
      <c r="UIW538" s="1170">
        <v>8298541</v>
      </c>
      <c r="UIX538" s="1170">
        <v>8298541</v>
      </c>
      <c r="UIY538" s="1170">
        <v>8298541</v>
      </c>
      <c r="UIZ538" s="1170">
        <v>8298541</v>
      </c>
      <c r="UJA538" s="1170">
        <v>8298541</v>
      </c>
      <c r="UJB538" s="1170">
        <v>8298541</v>
      </c>
      <c r="UJC538" s="1170">
        <v>8298541</v>
      </c>
      <c r="UJD538" s="1170">
        <v>8298541</v>
      </c>
      <c r="UJE538" s="1170">
        <v>8298541</v>
      </c>
      <c r="UJF538" s="1170">
        <v>8298541</v>
      </c>
      <c r="UJG538" s="1170">
        <v>8298541</v>
      </c>
      <c r="UJH538" s="1170">
        <v>8298541</v>
      </c>
      <c r="UJI538" s="1170">
        <v>8298541</v>
      </c>
      <c r="UJJ538" s="1170">
        <v>8298541</v>
      </c>
      <c r="UJK538" s="1170">
        <v>8298541</v>
      </c>
      <c r="UJL538" s="1170">
        <v>8298541</v>
      </c>
      <c r="UJM538" s="1170">
        <v>8298541</v>
      </c>
      <c r="UJN538" s="1170">
        <v>8298541</v>
      </c>
      <c r="UJO538" s="1170">
        <v>8298541</v>
      </c>
      <c r="UJP538" s="1170">
        <v>8298541</v>
      </c>
      <c r="UJQ538" s="1170">
        <v>8298541</v>
      </c>
      <c r="UJR538" s="1170">
        <v>8298541</v>
      </c>
      <c r="UJS538" s="1170">
        <v>8298541</v>
      </c>
      <c r="UJT538" s="1170">
        <v>8298541</v>
      </c>
      <c r="UJU538" s="1170">
        <v>8298541</v>
      </c>
      <c r="UJV538" s="1170">
        <v>8298541</v>
      </c>
      <c r="UJW538" s="1170">
        <v>8298541</v>
      </c>
      <c r="UJX538" s="1170">
        <v>8298541</v>
      </c>
      <c r="UJY538" s="1170">
        <v>8298541</v>
      </c>
      <c r="UJZ538" s="1170">
        <v>8298541</v>
      </c>
      <c r="UKA538" s="1170">
        <v>8298541</v>
      </c>
      <c r="UKB538" s="1170">
        <v>8298541</v>
      </c>
      <c r="UKC538" s="1170">
        <v>8298541</v>
      </c>
      <c r="UKD538" s="1170">
        <v>8298541</v>
      </c>
      <c r="UKE538" s="1170">
        <v>8298541</v>
      </c>
      <c r="UKF538" s="1170">
        <v>8298541</v>
      </c>
      <c r="UKG538" s="1170">
        <v>8298541</v>
      </c>
      <c r="UKH538" s="1170">
        <v>8298541</v>
      </c>
      <c r="UKI538" s="1170">
        <v>8298541</v>
      </c>
      <c r="UKJ538" s="1170">
        <v>8298541</v>
      </c>
      <c r="UKK538" s="1170">
        <v>8298541</v>
      </c>
      <c r="UKL538" s="1170">
        <v>8298541</v>
      </c>
      <c r="UKM538" s="1170">
        <v>8298541</v>
      </c>
      <c r="UKN538" s="1170">
        <v>8298541</v>
      </c>
      <c r="UKO538" s="1170">
        <v>8298541</v>
      </c>
      <c r="UKP538" s="1170">
        <v>8298541</v>
      </c>
      <c r="UKQ538" s="1170">
        <v>8298541</v>
      </c>
      <c r="UKR538" s="1170">
        <v>8298541</v>
      </c>
      <c r="UKS538" s="1170">
        <v>8298541</v>
      </c>
      <c r="UKT538" s="1170">
        <v>8298541</v>
      </c>
      <c r="UKU538" s="1170">
        <v>8298541</v>
      </c>
      <c r="UKV538" s="1170">
        <v>8298541</v>
      </c>
      <c r="UKW538" s="1170">
        <v>8298541</v>
      </c>
      <c r="UKX538" s="1170">
        <v>8298541</v>
      </c>
      <c r="UKY538" s="1170">
        <v>8298541</v>
      </c>
      <c r="UKZ538" s="1170">
        <v>8298541</v>
      </c>
      <c r="ULA538" s="1170">
        <v>8298541</v>
      </c>
      <c r="ULB538" s="1170">
        <v>8298541</v>
      </c>
      <c r="ULC538" s="1170">
        <v>8298541</v>
      </c>
      <c r="ULD538" s="1170">
        <v>8298541</v>
      </c>
      <c r="ULE538" s="1170">
        <v>8298541</v>
      </c>
      <c r="ULF538" s="1170">
        <v>8298541</v>
      </c>
      <c r="ULG538" s="1170">
        <v>8298541</v>
      </c>
      <c r="ULH538" s="1170">
        <v>8298541</v>
      </c>
      <c r="ULI538" s="1170">
        <v>8298541</v>
      </c>
      <c r="ULJ538" s="1170">
        <v>8298541</v>
      </c>
      <c r="ULK538" s="1170">
        <v>8298541</v>
      </c>
      <c r="ULL538" s="1170">
        <v>8298541</v>
      </c>
      <c r="ULM538" s="1170">
        <v>8298541</v>
      </c>
      <c r="ULN538" s="1170">
        <v>8298541</v>
      </c>
      <c r="ULO538" s="1170">
        <v>8298541</v>
      </c>
      <c r="ULP538" s="1170">
        <v>8298541</v>
      </c>
      <c r="ULQ538" s="1170">
        <v>8298541</v>
      </c>
      <c r="ULR538" s="1170">
        <v>8298541</v>
      </c>
      <c r="ULS538" s="1170">
        <v>8298541</v>
      </c>
      <c r="ULT538" s="1170">
        <v>8298541</v>
      </c>
      <c r="ULU538" s="1170">
        <v>8298541</v>
      </c>
      <c r="ULV538" s="1170">
        <v>8298541</v>
      </c>
      <c r="ULW538" s="1170">
        <v>8298541</v>
      </c>
      <c r="ULX538" s="1170">
        <v>8298541</v>
      </c>
      <c r="ULY538" s="1170">
        <v>8298541</v>
      </c>
      <c r="ULZ538" s="1170">
        <v>8298541</v>
      </c>
      <c r="UMA538" s="1170">
        <v>8298541</v>
      </c>
      <c r="UMB538" s="1170">
        <v>8298541</v>
      </c>
      <c r="UMC538" s="1170">
        <v>8298541</v>
      </c>
      <c r="UMD538" s="1170">
        <v>8298541</v>
      </c>
      <c r="UME538" s="1170">
        <v>8298541</v>
      </c>
      <c r="UMF538" s="1170">
        <v>8298541</v>
      </c>
      <c r="UMG538" s="1170">
        <v>8298541</v>
      </c>
      <c r="UMH538" s="1170">
        <v>8298541</v>
      </c>
      <c r="UMI538" s="1170">
        <v>8298541</v>
      </c>
      <c r="UMJ538" s="1170">
        <v>8298541</v>
      </c>
      <c r="UMK538" s="1170">
        <v>8298541</v>
      </c>
      <c r="UML538" s="1170">
        <v>8298541</v>
      </c>
      <c r="UMM538" s="1170">
        <v>8298541</v>
      </c>
      <c r="UMN538" s="1170">
        <v>8298541</v>
      </c>
      <c r="UMO538" s="1170">
        <v>8298541</v>
      </c>
      <c r="UMP538" s="1170">
        <v>8298541</v>
      </c>
      <c r="UMQ538" s="1170">
        <v>8298541</v>
      </c>
      <c r="UMR538" s="1170">
        <v>8298541</v>
      </c>
      <c r="UMS538" s="1170">
        <v>8298541</v>
      </c>
      <c r="UMT538" s="1170">
        <v>8298541</v>
      </c>
      <c r="UMU538" s="1170">
        <v>8298541</v>
      </c>
      <c r="UMV538" s="1170">
        <v>8298541</v>
      </c>
      <c r="UMW538" s="1170">
        <v>8298541</v>
      </c>
      <c r="UMX538" s="1170">
        <v>8298541</v>
      </c>
      <c r="UMY538" s="1170">
        <v>8298541</v>
      </c>
      <c r="UMZ538" s="1170">
        <v>8298541</v>
      </c>
      <c r="UNA538" s="1170">
        <v>8298541</v>
      </c>
      <c r="UNB538" s="1170">
        <v>8298541</v>
      </c>
      <c r="UNC538" s="1170">
        <v>8298541</v>
      </c>
      <c r="UND538" s="1170">
        <v>8298541</v>
      </c>
      <c r="UNE538" s="1170">
        <v>8298541</v>
      </c>
      <c r="UNF538" s="1170">
        <v>8298541</v>
      </c>
      <c r="UNG538" s="1170">
        <v>8298541</v>
      </c>
      <c r="UNH538" s="1170">
        <v>8298541</v>
      </c>
      <c r="UNI538" s="1170">
        <v>8298541</v>
      </c>
      <c r="UNJ538" s="1170">
        <v>8298541</v>
      </c>
      <c r="UNK538" s="1170">
        <v>8298541</v>
      </c>
      <c r="UNL538" s="1170">
        <v>8298541</v>
      </c>
      <c r="UNM538" s="1170">
        <v>8298541</v>
      </c>
      <c r="UNN538" s="1170">
        <v>8298541</v>
      </c>
      <c r="UNO538" s="1170">
        <v>8298541</v>
      </c>
      <c r="UNP538" s="1170">
        <v>8298541</v>
      </c>
      <c r="UNQ538" s="1170">
        <v>8298541</v>
      </c>
      <c r="UNR538" s="1170">
        <v>8298541</v>
      </c>
      <c r="UNS538" s="1170">
        <v>8298541</v>
      </c>
      <c r="UNT538" s="1170">
        <v>8298541</v>
      </c>
      <c r="UNU538" s="1170">
        <v>8298541</v>
      </c>
      <c r="UNV538" s="1170">
        <v>8298541</v>
      </c>
      <c r="UNW538" s="1170">
        <v>8298541</v>
      </c>
      <c r="UNX538" s="1170">
        <v>8298541</v>
      </c>
      <c r="UNY538" s="1170">
        <v>8298541</v>
      </c>
      <c r="UNZ538" s="1170">
        <v>8298541</v>
      </c>
      <c r="UOA538" s="1170">
        <v>8298541</v>
      </c>
      <c r="UOB538" s="1170">
        <v>8298541</v>
      </c>
      <c r="UOC538" s="1170">
        <v>8298541</v>
      </c>
      <c r="UOD538" s="1170">
        <v>8298541</v>
      </c>
      <c r="UOE538" s="1170">
        <v>8298541</v>
      </c>
      <c r="UOF538" s="1170">
        <v>8298541</v>
      </c>
      <c r="UOG538" s="1170">
        <v>8298541</v>
      </c>
      <c r="UOH538" s="1170">
        <v>8298541</v>
      </c>
      <c r="UOI538" s="1170">
        <v>8298541</v>
      </c>
      <c r="UOJ538" s="1170">
        <v>8298541</v>
      </c>
      <c r="UOK538" s="1170">
        <v>8298541</v>
      </c>
      <c r="UOL538" s="1170">
        <v>8298541</v>
      </c>
      <c r="UOM538" s="1170">
        <v>8298541</v>
      </c>
      <c r="UON538" s="1170">
        <v>8298541</v>
      </c>
      <c r="UOO538" s="1170">
        <v>8298541</v>
      </c>
      <c r="UOP538" s="1170">
        <v>8298541</v>
      </c>
      <c r="UOQ538" s="1170">
        <v>8298541</v>
      </c>
      <c r="UOR538" s="1170">
        <v>8298541</v>
      </c>
      <c r="UOS538" s="1170">
        <v>8298541</v>
      </c>
      <c r="UOT538" s="1170">
        <v>8298541</v>
      </c>
      <c r="UOU538" s="1170">
        <v>8298541</v>
      </c>
      <c r="UOV538" s="1170">
        <v>8298541</v>
      </c>
      <c r="UOW538" s="1170">
        <v>8298541</v>
      </c>
      <c r="UOX538" s="1170">
        <v>8298541</v>
      </c>
      <c r="UOY538" s="1170">
        <v>8298541</v>
      </c>
      <c r="UOZ538" s="1170">
        <v>8298541</v>
      </c>
      <c r="UPA538" s="1170">
        <v>8298541</v>
      </c>
      <c r="UPB538" s="1170">
        <v>8298541</v>
      </c>
      <c r="UPC538" s="1170">
        <v>8298541</v>
      </c>
      <c r="UPD538" s="1170">
        <v>8298541</v>
      </c>
      <c r="UPE538" s="1170">
        <v>8298541</v>
      </c>
      <c r="UPF538" s="1170">
        <v>8298541</v>
      </c>
      <c r="UPG538" s="1170">
        <v>8298541</v>
      </c>
      <c r="UPH538" s="1170">
        <v>8298541</v>
      </c>
      <c r="UPI538" s="1170">
        <v>8298541</v>
      </c>
      <c r="UPJ538" s="1170">
        <v>8298541</v>
      </c>
      <c r="UPK538" s="1170">
        <v>8298541</v>
      </c>
      <c r="UPL538" s="1170">
        <v>8298541</v>
      </c>
      <c r="UPM538" s="1170">
        <v>8298541</v>
      </c>
      <c r="UPN538" s="1170">
        <v>8298541</v>
      </c>
      <c r="UPO538" s="1170">
        <v>8298541</v>
      </c>
      <c r="UPP538" s="1170">
        <v>8298541</v>
      </c>
      <c r="UPQ538" s="1170">
        <v>8298541</v>
      </c>
      <c r="UPR538" s="1170">
        <v>8298541</v>
      </c>
      <c r="UPS538" s="1170">
        <v>8298541</v>
      </c>
      <c r="UPT538" s="1170">
        <v>8298541</v>
      </c>
      <c r="UPU538" s="1170">
        <v>8298541</v>
      </c>
      <c r="UPV538" s="1170">
        <v>8298541</v>
      </c>
      <c r="UPW538" s="1170">
        <v>8298541</v>
      </c>
      <c r="UPX538" s="1170">
        <v>8298541</v>
      </c>
      <c r="UPY538" s="1170">
        <v>8298541</v>
      </c>
      <c r="UPZ538" s="1170">
        <v>8298541</v>
      </c>
      <c r="UQA538" s="1170">
        <v>8298541</v>
      </c>
      <c r="UQB538" s="1170">
        <v>8298541</v>
      </c>
      <c r="UQC538" s="1170">
        <v>8298541</v>
      </c>
      <c r="UQD538" s="1170">
        <v>8298541</v>
      </c>
      <c r="UQE538" s="1170">
        <v>8298541</v>
      </c>
      <c r="UQF538" s="1170">
        <v>8298541</v>
      </c>
      <c r="UQG538" s="1170">
        <v>8298541</v>
      </c>
      <c r="UQH538" s="1170">
        <v>8298541</v>
      </c>
      <c r="UQI538" s="1170">
        <v>8298541</v>
      </c>
      <c r="UQJ538" s="1170">
        <v>8298541</v>
      </c>
      <c r="UQK538" s="1170">
        <v>8298541</v>
      </c>
      <c r="UQL538" s="1170">
        <v>8298541</v>
      </c>
      <c r="UQM538" s="1170">
        <v>8298541</v>
      </c>
      <c r="UQN538" s="1170">
        <v>8298541</v>
      </c>
      <c r="UQO538" s="1170">
        <v>8298541</v>
      </c>
      <c r="UQP538" s="1170">
        <v>8298541</v>
      </c>
      <c r="UQQ538" s="1170">
        <v>8298541</v>
      </c>
      <c r="UQR538" s="1170">
        <v>8298541</v>
      </c>
      <c r="UQS538" s="1170">
        <v>8298541</v>
      </c>
      <c r="UQT538" s="1170">
        <v>8298541</v>
      </c>
      <c r="UQU538" s="1170">
        <v>8298541</v>
      </c>
      <c r="UQV538" s="1170">
        <v>8298541</v>
      </c>
      <c r="UQW538" s="1170">
        <v>8298541</v>
      </c>
      <c r="UQX538" s="1170">
        <v>8298541</v>
      </c>
      <c r="UQY538" s="1170">
        <v>8298541</v>
      </c>
      <c r="UQZ538" s="1170">
        <v>8298541</v>
      </c>
      <c r="URA538" s="1170">
        <v>8298541</v>
      </c>
      <c r="URB538" s="1170">
        <v>8298541</v>
      </c>
      <c r="URC538" s="1170">
        <v>8298541</v>
      </c>
      <c r="URD538" s="1170">
        <v>8298541</v>
      </c>
      <c r="URE538" s="1170">
        <v>8298541</v>
      </c>
      <c r="URF538" s="1170">
        <v>8298541</v>
      </c>
      <c r="URG538" s="1170">
        <v>8298541</v>
      </c>
      <c r="URH538" s="1170">
        <v>8298541</v>
      </c>
      <c r="URI538" s="1170">
        <v>8298541</v>
      </c>
      <c r="URJ538" s="1170">
        <v>8298541</v>
      </c>
      <c r="URK538" s="1170">
        <v>8298541</v>
      </c>
      <c r="URL538" s="1170">
        <v>8298541</v>
      </c>
      <c r="URM538" s="1170">
        <v>8298541</v>
      </c>
      <c r="URN538" s="1170">
        <v>8298541</v>
      </c>
      <c r="URO538" s="1170">
        <v>8298541</v>
      </c>
      <c r="URP538" s="1170">
        <v>8298541</v>
      </c>
      <c r="URQ538" s="1170">
        <v>8298541</v>
      </c>
      <c r="URR538" s="1170">
        <v>8298541</v>
      </c>
      <c r="URS538" s="1170">
        <v>8298541</v>
      </c>
      <c r="URT538" s="1170">
        <v>8298541</v>
      </c>
      <c r="URU538" s="1170">
        <v>8298541</v>
      </c>
      <c r="URV538" s="1170">
        <v>8298541</v>
      </c>
      <c r="URW538" s="1170">
        <v>8298541</v>
      </c>
      <c r="URX538" s="1170">
        <v>8298541</v>
      </c>
      <c r="URY538" s="1170">
        <v>8298541</v>
      </c>
      <c r="URZ538" s="1170">
        <v>8298541</v>
      </c>
      <c r="USA538" s="1170">
        <v>8298541</v>
      </c>
      <c r="USB538" s="1170">
        <v>8298541</v>
      </c>
      <c r="USC538" s="1170">
        <v>8298541</v>
      </c>
      <c r="USD538" s="1170">
        <v>8298541</v>
      </c>
      <c r="USE538" s="1170">
        <v>8298541</v>
      </c>
      <c r="USF538" s="1170">
        <v>8298541</v>
      </c>
      <c r="USG538" s="1170">
        <v>8298541</v>
      </c>
      <c r="USH538" s="1170">
        <v>8298541</v>
      </c>
      <c r="USI538" s="1170">
        <v>8298541</v>
      </c>
      <c r="USJ538" s="1170">
        <v>8298541</v>
      </c>
      <c r="USK538" s="1170">
        <v>8298541</v>
      </c>
      <c r="USL538" s="1170">
        <v>8298541</v>
      </c>
      <c r="USM538" s="1170">
        <v>8298541</v>
      </c>
      <c r="USN538" s="1170">
        <v>8298541</v>
      </c>
      <c r="USO538" s="1170">
        <v>8298541</v>
      </c>
      <c r="USP538" s="1170">
        <v>8298541</v>
      </c>
      <c r="USQ538" s="1170">
        <v>8298541</v>
      </c>
      <c r="USR538" s="1170">
        <v>8298541</v>
      </c>
      <c r="USS538" s="1170">
        <v>8298541</v>
      </c>
      <c r="UST538" s="1170">
        <v>8298541</v>
      </c>
      <c r="USU538" s="1170">
        <v>8298541</v>
      </c>
      <c r="USV538" s="1170">
        <v>8298541</v>
      </c>
      <c r="USW538" s="1170">
        <v>8298541</v>
      </c>
      <c r="USX538" s="1170">
        <v>8298541</v>
      </c>
      <c r="USY538" s="1170">
        <v>8298541</v>
      </c>
      <c r="USZ538" s="1170">
        <v>8298541</v>
      </c>
      <c r="UTA538" s="1170">
        <v>8298541</v>
      </c>
      <c r="UTB538" s="1170">
        <v>8298541</v>
      </c>
      <c r="UTC538" s="1170">
        <v>8298541</v>
      </c>
      <c r="UTD538" s="1170">
        <v>8298541</v>
      </c>
      <c r="UTE538" s="1170">
        <v>8298541</v>
      </c>
      <c r="UTF538" s="1170">
        <v>8298541</v>
      </c>
      <c r="UTG538" s="1170">
        <v>8298541</v>
      </c>
      <c r="UTH538" s="1170">
        <v>8298541</v>
      </c>
      <c r="UTI538" s="1170">
        <v>8298541</v>
      </c>
      <c r="UTJ538" s="1170">
        <v>8298541</v>
      </c>
      <c r="UTK538" s="1170">
        <v>8298541</v>
      </c>
      <c r="UTL538" s="1170">
        <v>8298541</v>
      </c>
      <c r="UTM538" s="1170">
        <v>8298541</v>
      </c>
      <c r="UTN538" s="1170">
        <v>8298541</v>
      </c>
      <c r="UTO538" s="1170">
        <v>8298541</v>
      </c>
      <c r="UTP538" s="1170">
        <v>8298541</v>
      </c>
      <c r="UTQ538" s="1170">
        <v>8298541</v>
      </c>
      <c r="UTR538" s="1170">
        <v>8298541</v>
      </c>
      <c r="UTS538" s="1170">
        <v>8298541</v>
      </c>
      <c r="UTT538" s="1170">
        <v>8298541</v>
      </c>
      <c r="UTU538" s="1170">
        <v>8298541</v>
      </c>
      <c r="UTV538" s="1170">
        <v>8298541</v>
      </c>
      <c r="UTW538" s="1170">
        <v>8298541</v>
      </c>
      <c r="UTX538" s="1170">
        <v>8298541</v>
      </c>
      <c r="UTY538" s="1170">
        <v>8298541</v>
      </c>
      <c r="UTZ538" s="1170">
        <v>8298541</v>
      </c>
      <c r="UUA538" s="1170">
        <v>8298541</v>
      </c>
      <c r="UUB538" s="1170">
        <v>8298541</v>
      </c>
      <c r="UUC538" s="1170">
        <v>8298541</v>
      </c>
      <c r="UUD538" s="1170">
        <v>8298541</v>
      </c>
      <c r="UUE538" s="1170">
        <v>8298541</v>
      </c>
      <c r="UUF538" s="1170">
        <v>8298541</v>
      </c>
      <c r="UUG538" s="1170">
        <v>8298541</v>
      </c>
      <c r="UUH538" s="1170">
        <v>8298541</v>
      </c>
      <c r="UUI538" s="1170">
        <v>8298541</v>
      </c>
      <c r="UUJ538" s="1170">
        <v>8298541</v>
      </c>
      <c r="UUK538" s="1170">
        <v>8298541</v>
      </c>
      <c r="UUL538" s="1170">
        <v>8298541</v>
      </c>
      <c r="UUM538" s="1170">
        <v>8298541</v>
      </c>
      <c r="UUN538" s="1170">
        <v>8298541</v>
      </c>
      <c r="UUO538" s="1170">
        <v>8298541</v>
      </c>
      <c r="UUP538" s="1170">
        <v>8298541</v>
      </c>
      <c r="UUQ538" s="1170">
        <v>8298541</v>
      </c>
      <c r="UUR538" s="1170">
        <v>8298541</v>
      </c>
      <c r="UUS538" s="1170">
        <v>8298541</v>
      </c>
      <c r="UUT538" s="1170">
        <v>8298541</v>
      </c>
      <c r="UUU538" s="1170">
        <v>8298541</v>
      </c>
      <c r="UUV538" s="1170">
        <v>8298541</v>
      </c>
      <c r="UUW538" s="1170">
        <v>8298541</v>
      </c>
      <c r="UUX538" s="1170">
        <v>8298541</v>
      </c>
      <c r="UUY538" s="1170">
        <v>8298541</v>
      </c>
      <c r="UUZ538" s="1170">
        <v>8298541</v>
      </c>
      <c r="UVA538" s="1170">
        <v>8298541</v>
      </c>
      <c r="UVB538" s="1170">
        <v>8298541</v>
      </c>
      <c r="UVC538" s="1170">
        <v>8298541</v>
      </c>
      <c r="UVD538" s="1170">
        <v>8298541</v>
      </c>
      <c r="UVE538" s="1170">
        <v>8298541</v>
      </c>
      <c r="UVF538" s="1170">
        <v>8298541</v>
      </c>
      <c r="UVG538" s="1170">
        <v>8298541</v>
      </c>
      <c r="UVH538" s="1170">
        <v>8298541</v>
      </c>
      <c r="UVI538" s="1170">
        <v>8298541</v>
      </c>
      <c r="UVJ538" s="1170">
        <v>8298541</v>
      </c>
      <c r="UVK538" s="1170">
        <v>8298541</v>
      </c>
      <c r="UVL538" s="1170">
        <v>8298541</v>
      </c>
      <c r="UVM538" s="1170">
        <v>8298541</v>
      </c>
      <c r="UVN538" s="1170">
        <v>8298541</v>
      </c>
      <c r="UVO538" s="1170">
        <v>8298541</v>
      </c>
      <c r="UVP538" s="1170">
        <v>8298541</v>
      </c>
      <c r="UVQ538" s="1170">
        <v>8298541</v>
      </c>
      <c r="UVR538" s="1170">
        <v>8298541</v>
      </c>
      <c r="UVS538" s="1170">
        <v>8298541</v>
      </c>
      <c r="UVT538" s="1170">
        <v>8298541</v>
      </c>
      <c r="UVU538" s="1170">
        <v>8298541</v>
      </c>
      <c r="UVV538" s="1170">
        <v>8298541</v>
      </c>
      <c r="UVW538" s="1170">
        <v>8298541</v>
      </c>
      <c r="UVX538" s="1170">
        <v>8298541</v>
      </c>
      <c r="UVY538" s="1170">
        <v>8298541</v>
      </c>
      <c r="UVZ538" s="1170">
        <v>8298541</v>
      </c>
      <c r="UWA538" s="1170">
        <v>8298541</v>
      </c>
      <c r="UWB538" s="1170">
        <v>8298541</v>
      </c>
      <c r="UWC538" s="1170">
        <v>8298541</v>
      </c>
      <c r="UWD538" s="1170">
        <v>8298541</v>
      </c>
      <c r="UWE538" s="1170">
        <v>8298541</v>
      </c>
      <c r="UWF538" s="1170">
        <v>8298541</v>
      </c>
      <c r="UWG538" s="1170">
        <v>8298541</v>
      </c>
      <c r="UWH538" s="1170">
        <v>8298541</v>
      </c>
      <c r="UWI538" s="1170">
        <v>8298541</v>
      </c>
      <c r="UWJ538" s="1170">
        <v>8298541</v>
      </c>
      <c r="UWK538" s="1170">
        <v>8298541</v>
      </c>
      <c r="UWL538" s="1170">
        <v>8298541</v>
      </c>
      <c r="UWM538" s="1170">
        <v>8298541</v>
      </c>
      <c r="UWN538" s="1170">
        <v>8298541</v>
      </c>
      <c r="UWO538" s="1170">
        <v>8298541</v>
      </c>
      <c r="UWP538" s="1170">
        <v>8298541</v>
      </c>
      <c r="UWQ538" s="1170">
        <v>8298541</v>
      </c>
      <c r="UWR538" s="1170">
        <v>8298541</v>
      </c>
      <c r="UWS538" s="1170">
        <v>8298541</v>
      </c>
      <c r="UWT538" s="1170">
        <v>8298541</v>
      </c>
      <c r="UWU538" s="1170">
        <v>8298541</v>
      </c>
      <c r="UWV538" s="1170">
        <v>8298541</v>
      </c>
      <c r="UWW538" s="1170">
        <v>8298541</v>
      </c>
      <c r="UWX538" s="1170">
        <v>8298541</v>
      </c>
      <c r="UWY538" s="1170">
        <v>8298541</v>
      </c>
      <c r="UWZ538" s="1170">
        <v>8298541</v>
      </c>
      <c r="UXA538" s="1170">
        <v>8298541</v>
      </c>
      <c r="UXB538" s="1170">
        <v>8298541</v>
      </c>
      <c r="UXC538" s="1170">
        <v>8298541</v>
      </c>
      <c r="UXD538" s="1170">
        <v>8298541</v>
      </c>
      <c r="UXE538" s="1170">
        <v>8298541</v>
      </c>
      <c r="UXF538" s="1170">
        <v>8298541</v>
      </c>
      <c r="UXG538" s="1170">
        <v>8298541</v>
      </c>
      <c r="UXH538" s="1170">
        <v>8298541</v>
      </c>
      <c r="UXI538" s="1170">
        <v>8298541</v>
      </c>
      <c r="UXJ538" s="1170">
        <v>8298541</v>
      </c>
      <c r="UXK538" s="1170">
        <v>8298541</v>
      </c>
      <c r="UXL538" s="1170">
        <v>8298541</v>
      </c>
      <c r="UXM538" s="1170">
        <v>8298541</v>
      </c>
      <c r="UXN538" s="1170">
        <v>8298541</v>
      </c>
      <c r="UXO538" s="1170">
        <v>8298541</v>
      </c>
      <c r="UXP538" s="1170">
        <v>8298541</v>
      </c>
      <c r="UXQ538" s="1170">
        <v>8298541</v>
      </c>
      <c r="UXR538" s="1170">
        <v>8298541</v>
      </c>
      <c r="UXS538" s="1170">
        <v>8298541</v>
      </c>
      <c r="UXT538" s="1170">
        <v>8298541</v>
      </c>
      <c r="UXU538" s="1170">
        <v>8298541</v>
      </c>
      <c r="UXV538" s="1170">
        <v>8298541</v>
      </c>
      <c r="UXW538" s="1170">
        <v>8298541</v>
      </c>
      <c r="UXX538" s="1170">
        <v>8298541</v>
      </c>
      <c r="UXY538" s="1170">
        <v>8298541</v>
      </c>
      <c r="UXZ538" s="1170">
        <v>8298541</v>
      </c>
      <c r="UYA538" s="1170">
        <v>8298541</v>
      </c>
      <c r="UYB538" s="1170">
        <v>8298541</v>
      </c>
      <c r="UYC538" s="1170">
        <v>8298541</v>
      </c>
      <c r="UYD538" s="1170">
        <v>8298541</v>
      </c>
      <c r="UYE538" s="1170">
        <v>8298541</v>
      </c>
      <c r="UYF538" s="1170">
        <v>8298541</v>
      </c>
      <c r="UYG538" s="1170">
        <v>8298541</v>
      </c>
      <c r="UYH538" s="1170">
        <v>8298541</v>
      </c>
      <c r="UYI538" s="1170">
        <v>8298541</v>
      </c>
      <c r="UYJ538" s="1170">
        <v>8298541</v>
      </c>
      <c r="UYK538" s="1170">
        <v>8298541</v>
      </c>
      <c r="UYL538" s="1170">
        <v>8298541</v>
      </c>
      <c r="UYM538" s="1170">
        <v>8298541</v>
      </c>
      <c r="UYN538" s="1170">
        <v>8298541</v>
      </c>
      <c r="UYO538" s="1170">
        <v>8298541</v>
      </c>
      <c r="UYP538" s="1170">
        <v>8298541</v>
      </c>
      <c r="UYQ538" s="1170">
        <v>8298541</v>
      </c>
      <c r="UYR538" s="1170">
        <v>8298541</v>
      </c>
      <c r="UYS538" s="1170">
        <v>8298541</v>
      </c>
      <c r="UYT538" s="1170">
        <v>8298541</v>
      </c>
      <c r="UYU538" s="1170">
        <v>8298541</v>
      </c>
      <c r="UYV538" s="1170">
        <v>8298541</v>
      </c>
      <c r="UYW538" s="1170">
        <v>8298541</v>
      </c>
      <c r="UYX538" s="1170">
        <v>8298541</v>
      </c>
      <c r="UYY538" s="1170">
        <v>8298541</v>
      </c>
      <c r="UYZ538" s="1170">
        <v>8298541</v>
      </c>
      <c r="UZA538" s="1170">
        <v>8298541</v>
      </c>
      <c r="UZB538" s="1170">
        <v>8298541</v>
      </c>
      <c r="UZC538" s="1170">
        <v>8298541</v>
      </c>
      <c r="UZD538" s="1170">
        <v>8298541</v>
      </c>
      <c r="UZE538" s="1170">
        <v>8298541</v>
      </c>
      <c r="UZF538" s="1170">
        <v>8298541</v>
      </c>
      <c r="UZG538" s="1170">
        <v>8298541</v>
      </c>
      <c r="UZH538" s="1170">
        <v>8298541</v>
      </c>
      <c r="UZI538" s="1170">
        <v>8298541</v>
      </c>
      <c r="UZJ538" s="1170">
        <v>8298541</v>
      </c>
      <c r="UZK538" s="1170">
        <v>8298541</v>
      </c>
      <c r="UZL538" s="1170">
        <v>8298541</v>
      </c>
      <c r="UZM538" s="1170">
        <v>8298541</v>
      </c>
      <c r="UZN538" s="1170">
        <v>8298541</v>
      </c>
      <c r="UZO538" s="1170">
        <v>8298541</v>
      </c>
      <c r="UZP538" s="1170">
        <v>8298541</v>
      </c>
      <c r="UZQ538" s="1170">
        <v>8298541</v>
      </c>
      <c r="UZR538" s="1170">
        <v>8298541</v>
      </c>
      <c r="UZS538" s="1170">
        <v>8298541</v>
      </c>
      <c r="UZT538" s="1170">
        <v>8298541</v>
      </c>
      <c r="UZU538" s="1170">
        <v>8298541</v>
      </c>
      <c r="UZV538" s="1170">
        <v>8298541</v>
      </c>
      <c r="UZW538" s="1170">
        <v>8298541</v>
      </c>
      <c r="UZX538" s="1170">
        <v>8298541</v>
      </c>
      <c r="UZY538" s="1170">
        <v>8298541</v>
      </c>
      <c r="UZZ538" s="1170">
        <v>8298541</v>
      </c>
      <c r="VAA538" s="1170">
        <v>8298541</v>
      </c>
      <c r="VAB538" s="1170">
        <v>8298541</v>
      </c>
      <c r="VAC538" s="1170">
        <v>8298541</v>
      </c>
      <c r="VAD538" s="1170">
        <v>8298541</v>
      </c>
      <c r="VAE538" s="1170">
        <v>8298541</v>
      </c>
      <c r="VAF538" s="1170">
        <v>8298541</v>
      </c>
      <c r="VAG538" s="1170">
        <v>8298541</v>
      </c>
      <c r="VAH538" s="1170">
        <v>8298541</v>
      </c>
      <c r="VAI538" s="1170">
        <v>8298541</v>
      </c>
      <c r="VAJ538" s="1170">
        <v>8298541</v>
      </c>
      <c r="VAK538" s="1170">
        <v>8298541</v>
      </c>
      <c r="VAL538" s="1170">
        <v>8298541</v>
      </c>
      <c r="VAM538" s="1170">
        <v>8298541</v>
      </c>
      <c r="VAN538" s="1170">
        <v>8298541</v>
      </c>
      <c r="VAO538" s="1170">
        <v>8298541</v>
      </c>
      <c r="VAP538" s="1170">
        <v>8298541</v>
      </c>
      <c r="VAQ538" s="1170">
        <v>8298541</v>
      </c>
      <c r="VAR538" s="1170">
        <v>8298541</v>
      </c>
      <c r="VAS538" s="1170">
        <v>8298541</v>
      </c>
      <c r="VAT538" s="1170">
        <v>8298541</v>
      </c>
      <c r="VAU538" s="1170">
        <v>8298541</v>
      </c>
      <c r="VAV538" s="1170">
        <v>8298541</v>
      </c>
      <c r="VAW538" s="1170">
        <v>8298541</v>
      </c>
      <c r="VAX538" s="1170">
        <v>8298541</v>
      </c>
      <c r="VAY538" s="1170">
        <v>8298541</v>
      </c>
      <c r="VAZ538" s="1170">
        <v>8298541</v>
      </c>
      <c r="VBA538" s="1170">
        <v>8298541</v>
      </c>
      <c r="VBB538" s="1170">
        <v>8298541</v>
      </c>
      <c r="VBC538" s="1170">
        <v>8298541</v>
      </c>
      <c r="VBD538" s="1170">
        <v>8298541</v>
      </c>
      <c r="VBE538" s="1170">
        <v>8298541</v>
      </c>
      <c r="VBF538" s="1170">
        <v>8298541</v>
      </c>
      <c r="VBG538" s="1170">
        <v>8298541</v>
      </c>
      <c r="VBH538" s="1170">
        <v>8298541</v>
      </c>
      <c r="VBI538" s="1170">
        <v>8298541</v>
      </c>
      <c r="VBJ538" s="1170">
        <v>8298541</v>
      </c>
      <c r="VBK538" s="1170">
        <v>8298541</v>
      </c>
      <c r="VBL538" s="1170">
        <v>8298541</v>
      </c>
      <c r="VBM538" s="1170">
        <v>8298541</v>
      </c>
      <c r="VBN538" s="1170">
        <v>8298541</v>
      </c>
      <c r="VBO538" s="1170">
        <v>8298541</v>
      </c>
      <c r="VBP538" s="1170">
        <v>8298541</v>
      </c>
      <c r="VBQ538" s="1170">
        <v>8298541</v>
      </c>
      <c r="VBR538" s="1170">
        <v>8298541</v>
      </c>
      <c r="VBS538" s="1170">
        <v>8298541</v>
      </c>
      <c r="VBT538" s="1170">
        <v>8298541</v>
      </c>
      <c r="VBU538" s="1170">
        <v>8298541</v>
      </c>
      <c r="VBV538" s="1170">
        <v>8298541</v>
      </c>
      <c r="VBW538" s="1170">
        <v>8298541</v>
      </c>
      <c r="VBX538" s="1170">
        <v>8298541</v>
      </c>
      <c r="VBY538" s="1170">
        <v>8298541</v>
      </c>
      <c r="VBZ538" s="1170">
        <v>8298541</v>
      </c>
      <c r="VCA538" s="1170">
        <v>8298541</v>
      </c>
      <c r="VCB538" s="1170">
        <v>8298541</v>
      </c>
      <c r="VCC538" s="1170">
        <v>8298541</v>
      </c>
      <c r="VCD538" s="1170">
        <v>8298541</v>
      </c>
      <c r="VCE538" s="1170">
        <v>8298541</v>
      </c>
      <c r="VCF538" s="1170">
        <v>8298541</v>
      </c>
      <c r="VCG538" s="1170">
        <v>8298541</v>
      </c>
      <c r="VCH538" s="1170">
        <v>8298541</v>
      </c>
      <c r="VCI538" s="1170">
        <v>8298541</v>
      </c>
      <c r="VCJ538" s="1170">
        <v>8298541</v>
      </c>
      <c r="VCK538" s="1170">
        <v>8298541</v>
      </c>
      <c r="VCL538" s="1170">
        <v>8298541</v>
      </c>
      <c r="VCM538" s="1170">
        <v>8298541</v>
      </c>
      <c r="VCN538" s="1170">
        <v>8298541</v>
      </c>
      <c r="VCO538" s="1170">
        <v>8298541</v>
      </c>
      <c r="VCP538" s="1170">
        <v>8298541</v>
      </c>
      <c r="VCQ538" s="1170">
        <v>8298541</v>
      </c>
      <c r="VCR538" s="1170">
        <v>8298541</v>
      </c>
      <c r="VCS538" s="1170">
        <v>8298541</v>
      </c>
      <c r="VCT538" s="1170">
        <v>8298541</v>
      </c>
      <c r="VCU538" s="1170">
        <v>8298541</v>
      </c>
      <c r="VCV538" s="1170">
        <v>8298541</v>
      </c>
      <c r="VCW538" s="1170">
        <v>8298541</v>
      </c>
      <c r="VCX538" s="1170">
        <v>8298541</v>
      </c>
      <c r="VCY538" s="1170">
        <v>8298541</v>
      </c>
      <c r="VCZ538" s="1170">
        <v>8298541</v>
      </c>
      <c r="VDA538" s="1170">
        <v>8298541</v>
      </c>
      <c r="VDB538" s="1170">
        <v>8298541</v>
      </c>
      <c r="VDC538" s="1170">
        <v>8298541</v>
      </c>
      <c r="VDD538" s="1170">
        <v>8298541</v>
      </c>
      <c r="VDE538" s="1170">
        <v>8298541</v>
      </c>
      <c r="VDF538" s="1170">
        <v>8298541</v>
      </c>
      <c r="VDG538" s="1170">
        <v>8298541</v>
      </c>
      <c r="VDH538" s="1170">
        <v>8298541</v>
      </c>
      <c r="VDI538" s="1170">
        <v>8298541</v>
      </c>
      <c r="VDJ538" s="1170">
        <v>8298541</v>
      </c>
      <c r="VDK538" s="1170">
        <v>8298541</v>
      </c>
      <c r="VDL538" s="1170">
        <v>8298541</v>
      </c>
      <c r="VDM538" s="1170">
        <v>8298541</v>
      </c>
      <c r="VDN538" s="1170">
        <v>8298541</v>
      </c>
      <c r="VDO538" s="1170">
        <v>8298541</v>
      </c>
      <c r="VDP538" s="1170">
        <v>8298541</v>
      </c>
      <c r="VDQ538" s="1170">
        <v>8298541</v>
      </c>
      <c r="VDR538" s="1170">
        <v>8298541</v>
      </c>
      <c r="VDS538" s="1170">
        <v>8298541</v>
      </c>
      <c r="VDT538" s="1170">
        <v>8298541</v>
      </c>
      <c r="VDU538" s="1170">
        <v>8298541</v>
      </c>
      <c r="VDV538" s="1170">
        <v>8298541</v>
      </c>
      <c r="VDW538" s="1170">
        <v>8298541</v>
      </c>
      <c r="VDX538" s="1170">
        <v>8298541</v>
      </c>
      <c r="VDY538" s="1170">
        <v>8298541</v>
      </c>
      <c r="VDZ538" s="1170">
        <v>8298541</v>
      </c>
      <c r="VEA538" s="1170">
        <v>8298541</v>
      </c>
      <c r="VEB538" s="1170">
        <v>8298541</v>
      </c>
      <c r="VEC538" s="1170">
        <v>8298541</v>
      </c>
      <c r="VED538" s="1170">
        <v>8298541</v>
      </c>
      <c r="VEE538" s="1170">
        <v>8298541</v>
      </c>
      <c r="VEF538" s="1170">
        <v>8298541</v>
      </c>
      <c r="VEG538" s="1170">
        <v>8298541</v>
      </c>
      <c r="VEH538" s="1170">
        <v>8298541</v>
      </c>
      <c r="VEI538" s="1170">
        <v>8298541</v>
      </c>
      <c r="VEJ538" s="1170">
        <v>8298541</v>
      </c>
      <c r="VEK538" s="1170">
        <v>8298541</v>
      </c>
      <c r="VEL538" s="1170">
        <v>8298541</v>
      </c>
      <c r="VEM538" s="1170">
        <v>8298541</v>
      </c>
      <c r="VEN538" s="1170">
        <v>8298541</v>
      </c>
      <c r="VEO538" s="1170">
        <v>8298541</v>
      </c>
      <c r="VEP538" s="1170">
        <v>8298541</v>
      </c>
      <c r="VEQ538" s="1170">
        <v>8298541</v>
      </c>
      <c r="VER538" s="1170">
        <v>8298541</v>
      </c>
      <c r="VES538" s="1170">
        <v>8298541</v>
      </c>
      <c r="VET538" s="1170">
        <v>8298541</v>
      </c>
      <c r="VEU538" s="1170">
        <v>8298541</v>
      </c>
      <c r="VEV538" s="1170">
        <v>8298541</v>
      </c>
      <c r="VEW538" s="1170">
        <v>8298541</v>
      </c>
      <c r="VEX538" s="1170">
        <v>8298541</v>
      </c>
      <c r="VEY538" s="1170">
        <v>8298541</v>
      </c>
      <c r="VEZ538" s="1170">
        <v>8298541</v>
      </c>
      <c r="VFA538" s="1170">
        <v>8298541</v>
      </c>
      <c r="VFB538" s="1170">
        <v>8298541</v>
      </c>
      <c r="VFC538" s="1170">
        <v>8298541</v>
      </c>
      <c r="VFD538" s="1170">
        <v>8298541</v>
      </c>
      <c r="VFE538" s="1170">
        <v>8298541</v>
      </c>
      <c r="VFF538" s="1170">
        <v>8298541</v>
      </c>
      <c r="VFG538" s="1170">
        <v>8298541</v>
      </c>
      <c r="VFH538" s="1170">
        <v>8298541</v>
      </c>
      <c r="VFI538" s="1170">
        <v>8298541</v>
      </c>
      <c r="VFJ538" s="1170">
        <v>8298541</v>
      </c>
      <c r="VFK538" s="1170">
        <v>8298541</v>
      </c>
      <c r="VFL538" s="1170">
        <v>8298541</v>
      </c>
      <c r="VFM538" s="1170">
        <v>8298541</v>
      </c>
      <c r="VFN538" s="1170">
        <v>8298541</v>
      </c>
      <c r="VFO538" s="1170">
        <v>8298541</v>
      </c>
      <c r="VFP538" s="1170">
        <v>8298541</v>
      </c>
      <c r="VFQ538" s="1170">
        <v>8298541</v>
      </c>
      <c r="VFR538" s="1170">
        <v>8298541</v>
      </c>
      <c r="VFS538" s="1170">
        <v>8298541</v>
      </c>
      <c r="VFT538" s="1170">
        <v>8298541</v>
      </c>
      <c r="VFU538" s="1170">
        <v>8298541</v>
      </c>
      <c r="VFV538" s="1170">
        <v>8298541</v>
      </c>
      <c r="VFW538" s="1170">
        <v>8298541</v>
      </c>
      <c r="VFX538" s="1170">
        <v>8298541</v>
      </c>
      <c r="VFY538" s="1170">
        <v>8298541</v>
      </c>
      <c r="VFZ538" s="1170">
        <v>8298541</v>
      </c>
      <c r="VGA538" s="1170">
        <v>8298541</v>
      </c>
      <c r="VGB538" s="1170">
        <v>8298541</v>
      </c>
      <c r="VGC538" s="1170">
        <v>8298541</v>
      </c>
      <c r="VGD538" s="1170">
        <v>8298541</v>
      </c>
      <c r="VGE538" s="1170">
        <v>8298541</v>
      </c>
      <c r="VGF538" s="1170">
        <v>8298541</v>
      </c>
      <c r="VGG538" s="1170">
        <v>8298541</v>
      </c>
      <c r="VGH538" s="1170">
        <v>8298541</v>
      </c>
      <c r="VGI538" s="1170">
        <v>8298541</v>
      </c>
      <c r="VGJ538" s="1170">
        <v>8298541</v>
      </c>
      <c r="VGK538" s="1170">
        <v>8298541</v>
      </c>
      <c r="VGL538" s="1170">
        <v>8298541</v>
      </c>
      <c r="VGM538" s="1170">
        <v>8298541</v>
      </c>
      <c r="VGN538" s="1170">
        <v>8298541</v>
      </c>
      <c r="VGO538" s="1170">
        <v>8298541</v>
      </c>
      <c r="VGP538" s="1170">
        <v>8298541</v>
      </c>
      <c r="VGQ538" s="1170">
        <v>8298541</v>
      </c>
      <c r="VGR538" s="1170">
        <v>8298541</v>
      </c>
      <c r="VGS538" s="1170">
        <v>8298541</v>
      </c>
      <c r="VGT538" s="1170">
        <v>8298541</v>
      </c>
      <c r="VGU538" s="1170">
        <v>8298541</v>
      </c>
      <c r="VGV538" s="1170">
        <v>8298541</v>
      </c>
      <c r="VGW538" s="1170">
        <v>8298541</v>
      </c>
      <c r="VGX538" s="1170">
        <v>8298541</v>
      </c>
      <c r="VGY538" s="1170">
        <v>8298541</v>
      </c>
      <c r="VGZ538" s="1170">
        <v>8298541</v>
      </c>
      <c r="VHA538" s="1170">
        <v>8298541</v>
      </c>
      <c r="VHB538" s="1170">
        <v>8298541</v>
      </c>
      <c r="VHC538" s="1170">
        <v>8298541</v>
      </c>
      <c r="VHD538" s="1170">
        <v>8298541</v>
      </c>
      <c r="VHE538" s="1170">
        <v>8298541</v>
      </c>
      <c r="VHF538" s="1170">
        <v>8298541</v>
      </c>
      <c r="VHG538" s="1170">
        <v>8298541</v>
      </c>
      <c r="VHH538" s="1170">
        <v>8298541</v>
      </c>
      <c r="VHI538" s="1170">
        <v>8298541</v>
      </c>
      <c r="VHJ538" s="1170">
        <v>8298541</v>
      </c>
      <c r="VHK538" s="1170">
        <v>8298541</v>
      </c>
      <c r="VHL538" s="1170">
        <v>8298541</v>
      </c>
      <c r="VHM538" s="1170">
        <v>8298541</v>
      </c>
      <c r="VHN538" s="1170">
        <v>8298541</v>
      </c>
      <c r="VHO538" s="1170">
        <v>8298541</v>
      </c>
      <c r="VHP538" s="1170">
        <v>8298541</v>
      </c>
      <c r="VHQ538" s="1170">
        <v>8298541</v>
      </c>
      <c r="VHR538" s="1170">
        <v>8298541</v>
      </c>
      <c r="VHS538" s="1170">
        <v>8298541</v>
      </c>
      <c r="VHT538" s="1170">
        <v>8298541</v>
      </c>
      <c r="VHU538" s="1170">
        <v>8298541</v>
      </c>
      <c r="VHV538" s="1170">
        <v>8298541</v>
      </c>
      <c r="VHW538" s="1170">
        <v>8298541</v>
      </c>
      <c r="VHX538" s="1170">
        <v>8298541</v>
      </c>
      <c r="VHY538" s="1170">
        <v>8298541</v>
      </c>
      <c r="VHZ538" s="1170">
        <v>8298541</v>
      </c>
      <c r="VIA538" s="1170">
        <v>8298541</v>
      </c>
      <c r="VIB538" s="1170">
        <v>8298541</v>
      </c>
      <c r="VIC538" s="1170">
        <v>8298541</v>
      </c>
      <c r="VID538" s="1170">
        <v>8298541</v>
      </c>
      <c r="VIE538" s="1170">
        <v>8298541</v>
      </c>
      <c r="VIF538" s="1170">
        <v>8298541</v>
      </c>
      <c r="VIG538" s="1170">
        <v>8298541</v>
      </c>
      <c r="VIH538" s="1170">
        <v>8298541</v>
      </c>
      <c r="VII538" s="1170">
        <v>8298541</v>
      </c>
      <c r="VIJ538" s="1170">
        <v>8298541</v>
      </c>
      <c r="VIK538" s="1170">
        <v>8298541</v>
      </c>
      <c r="VIL538" s="1170">
        <v>8298541</v>
      </c>
      <c r="VIM538" s="1170">
        <v>8298541</v>
      </c>
      <c r="VIN538" s="1170">
        <v>8298541</v>
      </c>
      <c r="VIO538" s="1170">
        <v>8298541</v>
      </c>
      <c r="VIP538" s="1170">
        <v>8298541</v>
      </c>
      <c r="VIQ538" s="1170">
        <v>8298541</v>
      </c>
      <c r="VIR538" s="1170">
        <v>8298541</v>
      </c>
      <c r="VIS538" s="1170">
        <v>8298541</v>
      </c>
      <c r="VIT538" s="1170">
        <v>8298541</v>
      </c>
      <c r="VIU538" s="1170">
        <v>8298541</v>
      </c>
      <c r="VIV538" s="1170">
        <v>8298541</v>
      </c>
      <c r="VIW538" s="1170">
        <v>8298541</v>
      </c>
      <c r="VIX538" s="1170">
        <v>8298541</v>
      </c>
      <c r="VIY538" s="1170">
        <v>8298541</v>
      </c>
      <c r="VIZ538" s="1170">
        <v>8298541</v>
      </c>
      <c r="VJA538" s="1170">
        <v>8298541</v>
      </c>
      <c r="VJB538" s="1170">
        <v>8298541</v>
      </c>
      <c r="VJC538" s="1170">
        <v>8298541</v>
      </c>
      <c r="VJD538" s="1170">
        <v>8298541</v>
      </c>
      <c r="VJE538" s="1170">
        <v>8298541</v>
      </c>
      <c r="VJF538" s="1170">
        <v>8298541</v>
      </c>
      <c r="VJG538" s="1170">
        <v>8298541</v>
      </c>
      <c r="VJH538" s="1170">
        <v>8298541</v>
      </c>
      <c r="VJI538" s="1170">
        <v>8298541</v>
      </c>
      <c r="VJJ538" s="1170">
        <v>8298541</v>
      </c>
      <c r="VJK538" s="1170">
        <v>8298541</v>
      </c>
      <c r="VJL538" s="1170">
        <v>8298541</v>
      </c>
      <c r="VJM538" s="1170">
        <v>8298541</v>
      </c>
      <c r="VJN538" s="1170">
        <v>8298541</v>
      </c>
      <c r="VJO538" s="1170">
        <v>8298541</v>
      </c>
      <c r="VJP538" s="1170">
        <v>8298541</v>
      </c>
      <c r="VJQ538" s="1170">
        <v>8298541</v>
      </c>
      <c r="VJR538" s="1170">
        <v>8298541</v>
      </c>
      <c r="VJS538" s="1170">
        <v>8298541</v>
      </c>
      <c r="VJT538" s="1170">
        <v>8298541</v>
      </c>
      <c r="VJU538" s="1170">
        <v>8298541</v>
      </c>
      <c r="VJV538" s="1170">
        <v>8298541</v>
      </c>
      <c r="VJW538" s="1170">
        <v>8298541</v>
      </c>
      <c r="VJX538" s="1170">
        <v>8298541</v>
      </c>
      <c r="VJY538" s="1170">
        <v>8298541</v>
      </c>
      <c r="VJZ538" s="1170">
        <v>8298541</v>
      </c>
      <c r="VKA538" s="1170">
        <v>8298541</v>
      </c>
      <c r="VKB538" s="1170">
        <v>8298541</v>
      </c>
      <c r="VKC538" s="1170">
        <v>8298541</v>
      </c>
      <c r="VKD538" s="1170">
        <v>8298541</v>
      </c>
      <c r="VKE538" s="1170">
        <v>8298541</v>
      </c>
      <c r="VKF538" s="1170">
        <v>8298541</v>
      </c>
      <c r="VKG538" s="1170">
        <v>8298541</v>
      </c>
      <c r="VKH538" s="1170">
        <v>8298541</v>
      </c>
      <c r="VKI538" s="1170">
        <v>8298541</v>
      </c>
      <c r="VKJ538" s="1170">
        <v>8298541</v>
      </c>
      <c r="VKK538" s="1170">
        <v>8298541</v>
      </c>
      <c r="VKL538" s="1170">
        <v>8298541</v>
      </c>
      <c r="VKM538" s="1170">
        <v>8298541</v>
      </c>
      <c r="VKN538" s="1170">
        <v>8298541</v>
      </c>
      <c r="VKO538" s="1170">
        <v>8298541</v>
      </c>
      <c r="VKP538" s="1170">
        <v>8298541</v>
      </c>
      <c r="VKQ538" s="1170">
        <v>8298541</v>
      </c>
      <c r="VKR538" s="1170">
        <v>8298541</v>
      </c>
      <c r="VKS538" s="1170">
        <v>8298541</v>
      </c>
      <c r="VKT538" s="1170">
        <v>8298541</v>
      </c>
      <c r="VKU538" s="1170">
        <v>8298541</v>
      </c>
      <c r="VKV538" s="1170">
        <v>8298541</v>
      </c>
      <c r="VKW538" s="1170">
        <v>8298541</v>
      </c>
      <c r="VKX538" s="1170">
        <v>8298541</v>
      </c>
      <c r="VKY538" s="1170">
        <v>8298541</v>
      </c>
      <c r="VKZ538" s="1170">
        <v>8298541</v>
      </c>
      <c r="VLA538" s="1170">
        <v>8298541</v>
      </c>
      <c r="VLB538" s="1170">
        <v>8298541</v>
      </c>
      <c r="VLC538" s="1170">
        <v>8298541</v>
      </c>
      <c r="VLD538" s="1170">
        <v>8298541</v>
      </c>
      <c r="VLE538" s="1170">
        <v>8298541</v>
      </c>
      <c r="VLF538" s="1170">
        <v>8298541</v>
      </c>
      <c r="VLG538" s="1170">
        <v>8298541</v>
      </c>
      <c r="VLH538" s="1170">
        <v>8298541</v>
      </c>
      <c r="VLI538" s="1170">
        <v>8298541</v>
      </c>
      <c r="VLJ538" s="1170">
        <v>8298541</v>
      </c>
      <c r="VLK538" s="1170">
        <v>8298541</v>
      </c>
      <c r="VLL538" s="1170">
        <v>8298541</v>
      </c>
      <c r="VLM538" s="1170">
        <v>8298541</v>
      </c>
      <c r="VLN538" s="1170">
        <v>8298541</v>
      </c>
      <c r="VLO538" s="1170">
        <v>8298541</v>
      </c>
      <c r="VLP538" s="1170">
        <v>8298541</v>
      </c>
      <c r="VLQ538" s="1170">
        <v>8298541</v>
      </c>
      <c r="VLR538" s="1170">
        <v>8298541</v>
      </c>
      <c r="VLS538" s="1170">
        <v>8298541</v>
      </c>
      <c r="VLT538" s="1170">
        <v>8298541</v>
      </c>
      <c r="VLU538" s="1170">
        <v>8298541</v>
      </c>
      <c r="VLV538" s="1170">
        <v>8298541</v>
      </c>
      <c r="VLW538" s="1170">
        <v>8298541</v>
      </c>
      <c r="VLX538" s="1170">
        <v>8298541</v>
      </c>
      <c r="VLY538" s="1170">
        <v>8298541</v>
      </c>
      <c r="VLZ538" s="1170">
        <v>8298541</v>
      </c>
      <c r="VMA538" s="1170">
        <v>8298541</v>
      </c>
      <c r="VMB538" s="1170">
        <v>8298541</v>
      </c>
      <c r="VMC538" s="1170">
        <v>8298541</v>
      </c>
      <c r="VMD538" s="1170">
        <v>8298541</v>
      </c>
      <c r="VME538" s="1170">
        <v>8298541</v>
      </c>
      <c r="VMF538" s="1170">
        <v>8298541</v>
      </c>
      <c r="VMG538" s="1170">
        <v>8298541</v>
      </c>
      <c r="VMH538" s="1170">
        <v>8298541</v>
      </c>
      <c r="VMI538" s="1170">
        <v>8298541</v>
      </c>
      <c r="VMJ538" s="1170">
        <v>8298541</v>
      </c>
      <c r="VMK538" s="1170">
        <v>8298541</v>
      </c>
      <c r="VML538" s="1170">
        <v>8298541</v>
      </c>
      <c r="VMM538" s="1170">
        <v>8298541</v>
      </c>
      <c r="VMN538" s="1170">
        <v>8298541</v>
      </c>
      <c r="VMO538" s="1170">
        <v>8298541</v>
      </c>
      <c r="VMP538" s="1170">
        <v>8298541</v>
      </c>
      <c r="VMQ538" s="1170">
        <v>8298541</v>
      </c>
      <c r="VMR538" s="1170">
        <v>8298541</v>
      </c>
      <c r="VMS538" s="1170">
        <v>8298541</v>
      </c>
      <c r="VMT538" s="1170">
        <v>8298541</v>
      </c>
      <c r="VMU538" s="1170">
        <v>8298541</v>
      </c>
      <c r="VMV538" s="1170">
        <v>8298541</v>
      </c>
      <c r="VMW538" s="1170">
        <v>8298541</v>
      </c>
      <c r="VMX538" s="1170">
        <v>8298541</v>
      </c>
      <c r="VMY538" s="1170">
        <v>8298541</v>
      </c>
      <c r="VMZ538" s="1170">
        <v>8298541</v>
      </c>
      <c r="VNA538" s="1170">
        <v>8298541</v>
      </c>
      <c r="VNB538" s="1170">
        <v>8298541</v>
      </c>
      <c r="VNC538" s="1170">
        <v>8298541</v>
      </c>
      <c r="VND538" s="1170">
        <v>8298541</v>
      </c>
      <c r="VNE538" s="1170">
        <v>8298541</v>
      </c>
      <c r="VNF538" s="1170">
        <v>8298541</v>
      </c>
      <c r="VNG538" s="1170">
        <v>8298541</v>
      </c>
      <c r="VNH538" s="1170">
        <v>8298541</v>
      </c>
      <c r="VNI538" s="1170">
        <v>8298541</v>
      </c>
      <c r="VNJ538" s="1170">
        <v>8298541</v>
      </c>
      <c r="VNK538" s="1170">
        <v>8298541</v>
      </c>
      <c r="VNL538" s="1170">
        <v>8298541</v>
      </c>
      <c r="VNM538" s="1170">
        <v>8298541</v>
      </c>
      <c r="VNN538" s="1170">
        <v>8298541</v>
      </c>
      <c r="VNO538" s="1170">
        <v>8298541</v>
      </c>
      <c r="VNP538" s="1170">
        <v>8298541</v>
      </c>
      <c r="VNQ538" s="1170">
        <v>8298541</v>
      </c>
      <c r="VNR538" s="1170">
        <v>8298541</v>
      </c>
      <c r="VNS538" s="1170">
        <v>8298541</v>
      </c>
      <c r="VNT538" s="1170">
        <v>8298541</v>
      </c>
      <c r="VNU538" s="1170">
        <v>8298541</v>
      </c>
      <c r="VNV538" s="1170">
        <v>8298541</v>
      </c>
      <c r="VNW538" s="1170">
        <v>8298541</v>
      </c>
      <c r="VNX538" s="1170">
        <v>8298541</v>
      </c>
      <c r="VNY538" s="1170">
        <v>8298541</v>
      </c>
      <c r="VNZ538" s="1170">
        <v>8298541</v>
      </c>
      <c r="VOA538" s="1170">
        <v>8298541</v>
      </c>
      <c r="VOB538" s="1170">
        <v>8298541</v>
      </c>
      <c r="VOC538" s="1170">
        <v>8298541</v>
      </c>
      <c r="VOD538" s="1170">
        <v>8298541</v>
      </c>
      <c r="VOE538" s="1170">
        <v>8298541</v>
      </c>
      <c r="VOF538" s="1170">
        <v>8298541</v>
      </c>
      <c r="VOG538" s="1170">
        <v>8298541</v>
      </c>
      <c r="VOH538" s="1170">
        <v>8298541</v>
      </c>
      <c r="VOI538" s="1170">
        <v>8298541</v>
      </c>
      <c r="VOJ538" s="1170">
        <v>8298541</v>
      </c>
      <c r="VOK538" s="1170">
        <v>8298541</v>
      </c>
      <c r="VOL538" s="1170">
        <v>8298541</v>
      </c>
      <c r="VOM538" s="1170">
        <v>8298541</v>
      </c>
      <c r="VON538" s="1170">
        <v>8298541</v>
      </c>
      <c r="VOO538" s="1170">
        <v>8298541</v>
      </c>
      <c r="VOP538" s="1170">
        <v>8298541</v>
      </c>
      <c r="VOQ538" s="1170">
        <v>8298541</v>
      </c>
      <c r="VOR538" s="1170">
        <v>8298541</v>
      </c>
      <c r="VOS538" s="1170">
        <v>8298541</v>
      </c>
      <c r="VOT538" s="1170">
        <v>8298541</v>
      </c>
      <c r="VOU538" s="1170">
        <v>8298541</v>
      </c>
      <c r="VOV538" s="1170">
        <v>8298541</v>
      </c>
      <c r="VOW538" s="1170">
        <v>8298541</v>
      </c>
      <c r="VOX538" s="1170">
        <v>8298541</v>
      </c>
      <c r="VOY538" s="1170">
        <v>8298541</v>
      </c>
      <c r="VOZ538" s="1170">
        <v>8298541</v>
      </c>
      <c r="VPA538" s="1170">
        <v>8298541</v>
      </c>
      <c r="VPB538" s="1170">
        <v>8298541</v>
      </c>
      <c r="VPC538" s="1170">
        <v>8298541</v>
      </c>
      <c r="VPD538" s="1170">
        <v>8298541</v>
      </c>
      <c r="VPE538" s="1170">
        <v>8298541</v>
      </c>
      <c r="VPF538" s="1170">
        <v>8298541</v>
      </c>
      <c r="VPG538" s="1170">
        <v>8298541</v>
      </c>
      <c r="VPH538" s="1170">
        <v>8298541</v>
      </c>
      <c r="VPI538" s="1170">
        <v>8298541</v>
      </c>
      <c r="VPJ538" s="1170">
        <v>8298541</v>
      </c>
      <c r="VPK538" s="1170">
        <v>8298541</v>
      </c>
      <c r="VPL538" s="1170">
        <v>8298541</v>
      </c>
      <c r="VPM538" s="1170">
        <v>8298541</v>
      </c>
      <c r="VPN538" s="1170">
        <v>8298541</v>
      </c>
      <c r="VPO538" s="1170">
        <v>8298541</v>
      </c>
      <c r="VPP538" s="1170">
        <v>8298541</v>
      </c>
      <c r="VPQ538" s="1170">
        <v>8298541</v>
      </c>
      <c r="VPR538" s="1170">
        <v>8298541</v>
      </c>
      <c r="VPS538" s="1170">
        <v>8298541</v>
      </c>
      <c r="VPT538" s="1170">
        <v>8298541</v>
      </c>
      <c r="VPU538" s="1170">
        <v>8298541</v>
      </c>
      <c r="VPV538" s="1170">
        <v>8298541</v>
      </c>
      <c r="VPW538" s="1170">
        <v>8298541</v>
      </c>
      <c r="VPX538" s="1170">
        <v>8298541</v>
      </c>
      <c r="VPY538" s="1170">
        <v>8298541</v>
      </c>
      <c r="VPZ538" s="1170">
        <v>8298541</v>
      </c>
      <c r="VQA538" s="1170">
        <v>8298541</v>
      </c>
      <c r="VQB538" s="1170">
        <v>8298541</v>
      </c>
      <c r="VQC538" s="1170">
        <v>8298541</v>
      </c>
      <c r="VQD538" s="1170">
        <v>8298541</v>
      </c>
      <c r="VQE538" s="1170">
        <v>8298541</v>
      </c>
      <c r="VQF538" s="1170">
        <v>8298541</v>
      </c>
      <c r="VQG538" s="1170">
        <v>8298541</v>
      </c>
      <c r="VQH538" s="1170">
        <v>8298541</v>
      </c>
      <c r="VQI538" s="1170">
        <v>8298541</v>
      </c>
      <c r="VQJ538" s="1170">
        <v>8298541</v>
      </c>
      <c r="VQK538" s="1170">
        <v>8298541</v>
      </c>
      <c r="VQL538" s="1170">
        <v>8298541</v>
      </c>
      <c r="VQM538" s="1170">
        <v>8298541</v>
      </c>
      <c r="VQN538" s="1170">
        <v>8298541</v>
      </c>
      <c r="VQO538" s="1170">
        <v>8298541</v>
      </c>
      <c r="VQP538" s="1170">
        <v>8298541</v>
      </c>
      <c r="VQQ538" s="1170">
        <v>8298541</v>
      </c>
      <c r="VQR538" s="1170">
        <v>8298541</v>
      </c>
      <c r="VQS538" s="1170">
        <v>8298541</v>
      </c>
      <c r="VQT538" s="1170">
        <v>8298541</v>
      </c>
      <c r="VQU538" s="1170">
        <v>8298541</v>
      </c>
      <c r="VQV538" s="1170">
        <v>8298541</v>
      </c>
      <c r="VQW538" s="1170">
        <v>8298541</v>
      </c>
      <c r="VQX538" s="1170">
        <v>8298541</v>
      </c>
      <c r="VQY538" s="1170">
        <v>8298541</v>
      </c>
      <c r="VQZ538" s="1170">
        <v>8298541</v>
      </c>
      <c r="VRA538" s="1170">
        <v>8298541</v>
      </c>
      <c r="VRB538" s="1170">
        <v>8298541</v>
      </c>
      <c r="VRC538" s="1170">
        <v>8298541</v>
      </c>
      <c r="VRD538" s="1170">
        <v>8298541</v>
      </c>
      <c r="VRE538" s="1170">
        <v>8298541</v>
      </c>
      <c r="VRF538" s="1170">
        <v>8298541</v>
      </c>
      <c r="VRG538" s="1170">
        <v>8298541</v>
      </c>
      <c r="VRH538" s="1170">
        <v>8298541</v>
      </c>
      <c r="VRI538" s="1170">
        <v>8298541</v>
      </c>
      <c r="VRJ538" s="1170">
        <v>8298541</v>
      </c>
      <c r="VRK538" s="1170">
        <v>8298541</v>
      </c>
      <c r="VRL538" s="1170">
        <v>8298541</v>
      </c>
      <c r="VRM538" s="1170">
        <v>8298541</v>
      </c>
      <c r="VRN538" s="1170">
        <v>8298541</v>
      </c>
      <c r="VRO538" s="1170">
        <v>8298541</v>
      </c>
      <c r="VRP538" s="1170">
        <v>8298541</v>
      </c>
      <c r="VRQ538" s="1170">
        <v>8298541</v>
      </c>
      <c r="VRR538" s="1170">
        <v>8298541</v>
      </c>
      <c r="VRS538" s="1170">
        <v>8298541</v>
      </c>
      <c r="VRT538" s="1170">
        <v>8298541</v>
      </c>
      <c r="VRU538" s="1170">
        <v>8298541</v>
      </c>
      <c r="VRV538" s="1170">
        <v>8298541</v>
      </c>
      <c r="VRW538" s="1170">
        <v>8298541</v>
      </c>
      <c r="VRX538" s="1170">
        <v>8298541</v>
      </c>
      <c r="VRY538" s="1170">
        <v>8298541</v>
      </c>
      <c r="VRZ538" s="1170">
        <v>8298541</v>
      </c>
      <c r="VSA538" s="1170">
        <v>8298541</v>
      </c>
      <c r="VSB538" s="1170">
        <v>8298541</v>
      </c>
      <c r="VSC538" s="1170">
        <v>8298541</v>
      </c>
      <c r="VSD538" s="1170">
        <v>8298541</v>
      </c>
      <c r="VSE538" s="1170">
        <v>8298541</v>
      </c>
      <c r="VSF538" s="1170">
        <v>8298541</v>
      </c>
      <c r="VSG538" s="1170">
        <v>8298541</v>
      </c>
      <c r="VSH538" s="1170">
        <v>8298541</v>
      </c>
      <c r="VSI538" s="1170">
        <v>8298541</v>
      </c>
      <c r="VSJ538" s="1170">
        <v>8298541</v>
      </c>
      <c r="VSK538" s="1170">
        <v>8298541</v>
      </c>
      <c r="VSL538" s="1170">
        <v>8298541</v>
      </c>
      <c r="VSM538" s="1170">
        <v>8298541</v>
      </c>
      <c r="VSN538" s="1170">
        <v>8298541</v>
      </c>
      <c r="VSO538" s="1170">
        <v>8298541</v>
      </c>
      <c r="VSP538" s="1170">
        <v>8298541</v>
      </c>
      <c r="VSQ538" s="1170">
        <v>8298541</v>
      </c>
      <c r="VSR538" s="1170">
        <v>8298541</v>
      </c>
      <c r="VSS538" s="1170">
        <v>8298541</v>
      </c>
      <c r="VST538" s="1170">
        <v>8298541</v>
      </c>
      <c r="VSU538" s="1170">
        <v>8298541</v>
      </c>
      <c r="VSV538" s="1170">
        <v>8298541</v>
      </c>
      <c r="VSW538" s="1170">
        <v>8298541</v>
      </c>
      <c r="VSX538" s="1170">
        <v>8298541</v>
      </c>
      <c r="VSY538" s="1170">
        <v>8298541</v>
      </c>
      <c r="VSZ538" s="1170">
        <v>8298541</v>
      </c>
      <c r="VTA538" s="1170">
        <v>8298541</v>
      </c>
      <c r="VTB538" s="1170">
        <v>8298541</v>
      </c>
      <c r="VTC538" s="1170">
        <v>8298541</v>
      </c>
      <c r="VTD538" s="1170">
        <v>8298541</v>
      </c>
      <c r="VTE538" s="1170">
        <v>8298541</v>
      </c>
      <c r="VTF538" s="1170">
        <v>8298541</v>
      </c>
      <c r="VTG538" s="1170">
        <v>8298541</v>
      </c>
      <c r="VTH538" s="1170">
        <v>8298541</v>
      </c>
      <c r="VTI538" s="1170">
        <v>8298541</v>
      </c>
      <c r="VTJ538" s="1170">
        <v>8298541</v>
      </c>
      <c r="VTK538" s="1170">
        <v>8298541</v>
      </c>
      <c r="VTL538" s="1170">
        <v>8298541</v>
      </c>
      <c r="VTM538" s="1170">
        <v>8298541</v>
      </c>
      <c r="VTN538" s="1170">
        <v>8298541</v>
      </c>
      <c r="VTO538" s="1170">
        <v>8298541</v>
      </c>
      <c r="VTP538" s="1170">
        <v>8298541</v>
      </c>
      <c r="VTQ538" s="1170">
        <v>8298541</v>
      </c>
      <c r="VTR538" s="1170">
        <v>8298541</v>
      </c>
      <c r="VTS538" s="1170">
        <v>8298541</v>
      </c>
      <c r="VTT538" s="1170">
        <v>8298541</v>
      </c>
      <c r="VTU538" s="1170">
        <v>8298541</v>
      </c>
      <c r="VTV538" s="1170">
        <v>8298541</v>
      </c>
      <c r="VTW538" s="1170">
        <v>8298541</v>
      </c>
      <c r="VTX538" s="1170">
        <v>8298541</v>
      </c>
      <c r="VTY538" s="1170">
        <v>8298541</v>
      </c>
      <c r="VTZ538" s="1170">
        <v>8298541</v>
      </c>
      <c r="VUA538" s="1170">
        <v>8298541</v>
      </c>
      <c r="VUB538" s="1170">
        <v>8298541</v>
      </c>
      <c r="VUC538" s="1170">
        <v>8298541</v>
      </c>
      <c r="VUD538" s="1170">
        <v>8298541</v>
      </c>
      <c r="VUE538" s="1170">
        <v>8298541</v>
      </c>
      <c r="VUF538" s="1170">
        <v>8298541</v>
      </c>
      <c r="VUG538" s="1170">
        <v>8298541</v>
      </c>
      <c r="VUH538" s="1170">
        <v>8298541</v>
      </c>
      <c r="VUI538" s="1170">
        <v>8298541</v>
      </c>
      <c r="VUJ538" s="1170">
        <v>8298541</v>
      </c>
      <c r="VUK538" s="1170">
        <v>8298541</v>
      </c>
      <c r="VUL538" s="1170">
        <v>8298541</v>
      </c>
      <c r="VUM538" s="1170">
        <v>8298541</v>
      </c>
      <c r="VUN538" s="1170">
        <v>8298541</v>
      </c>
      <c r="VUO538" s="1170">
        <v>8298541</v>
      </c>
      <c r="VUP538" s="1170">
        <v>8298541</v>
      </c>
      <c r="VUQ538" s="1170">
        <v>8298541</v>
      </c>
      <c r="VUR538" s="1170">
        <v>8298541</v>
      </c>
      <c r="VUS538" s="1170">
        <v>8298541</v>
      </c>
      <c r="VUT538" s="1170">
        <v>8298541</v>
      </c>
      <c r="VUU538" s="1170">
        <v>8298541</v>
      </c>
      <c r="VUV538" s="1170">
        <v>8298541</v>
      </c>
      <c r="VUW538" s="1170">
        <v>8298541</v>
      </c>
      <c r="VUX538" s="1170">
        <v>8298541</v>
      </c>
      <c r="VUY538" s="1170">
        <v>8298541</v>
      </c>
      <c r="VUZ538" s="1170">
        <v>8298541</v>
      </c>
      <c r="VVA538" s="1170">
        <v>8298541</v>
      </c>
      <c r="VVB538" s="1170">
        <v>8298541</v>
      </c>
      <c r="VVC538" s="1170">
        <v>8298541</v>
      </c>
      <c r="VVD538" s="1170">
        <v>8298541</v>
      </c>
      <c r="VVE538" s="1170">
        <v>8298541</v>
      </c>
      <c r="VVF538" s="1170">
        <v>8298541</v>
      </c>
      <c r="VVG538" s="1170">
        <v>8298541</v>
      </c>
      <c r="VVH538" s="1170">
        <v>8298541</v>
      </c>
      <c r="VVI538" s="1170">
        <v>8298541</v>
      </c>
      <c r="VVJ538" s="1170">
        <v>8298541</v>
      </c>
      <c r="VVK538" s="1170">
        <v>8298541</v>
      </c>
      <c r="VVL538" s="1170">
        <v>8298541</v>
      </c>
      <c r="VVM538" s="1170">
        <v>8298541</v>
      </c>
      <c r="VVN538" s="1170">
        <v>8298541</v>
      </c>
      <c r="VVO538" s="1170">
        <v>8298541</v>
      </c>
      <c r="VVP538" s="1170">
        <v>8298541</v>
      </c>
      <c r="VVQ538" s="1170">
        <v>8298541</v>
      </c>
      <c r="VVR538" s="1170">
        <v>8298541</v>
      </c>
      <c r="VVS538" s="1170">
        <v>8298541</v>
      </c>
      <c r="VVT538" s="1170">
        <v>8298541</v>
      </c>
      <c r="VVU538" s="1170">
        <v>8298541</v>
      </c>
      <c r="VVV538" s="1170">
        <v>8298541</v>
      </c>
      <c r="VVW538" s="1170">
        <v>8298541</v>
      </c>
      <c r="VVX538" s="1170">
        <v>8298541</v>
      </c>
      <c r="VVY538" s="1170">
        <v>8298541</v>
      </c>
      <c r="VVZ538" s="1170">
        <v>8298541</v>
      </c>
      <c r="VWA538" s="1170">
        <v>8298541</v>
      </c>
      <c r="VWB538" s="1170">
        <v>8298541</v>
      </c>
      <c r="VWC538" s="1170">
        <v>8298541</v>
      </c>
      <c r="VWD538" s="1170">
        <v>8298541</v>
      </c>
      <c r="VWE538" s="1170">
        <v>8298541</v>
      </c>
      <c r="VWF538" s="1170">
        <v>8298541</v>
      </c>
      <c r="VWG538" s="1170">
        <v>8298541</v>
      </c>
      <c r="VWH538" s="1170">
        <v>8298541</v>
      </c>
      <c r="VWI538" s="1170">
        <v>8298541</v>
      </c>
      <c r="VWJ538" s="1170">
        <v>8298541</v>
      </c>
      <c r="VWK538" s="1170">
        <v>8298541</v>
      </c>
      <c r="VWL538" s="1170">
        <v>8298541</v>
      </c>
      <c r="VWM538" s="1170">
        <v>8298541</v>
      </c>
      <c r="VWN538" s="1170">
        <v>8298541</v>
      </c>
      <c r="VWO538" s="1170">
        <v>8298541</v>
      </c>
      <c r="VWP538" s="1170">
        <v>8298541</v>
      </c>
      <c r="VWQ538" s="1170">
        <v>8298541</v>
      </c>
      <c r="VWR538" s="1170">
        <v>8298541</v>
      </c>
      <c r="VWS538" s="1170">
        <v>8298541</v>
      </c>
      <c r="VWT538" s="1170">
        <v>8298541</v>
      </c>
      <c r="VWU538" s="1170">
        <v>8298541</v>
      </c>
      <c r="VWV538" s="1170">
        <v>8298541</v>
      </c>
      <c r="VWW538" s="1170">
        <v>8298541</v>
      </c>
      <c r="VWX538" s="1170">
        <v>8298541</v>
      </c>
      <c r="VWY538" s="1170">
        <v>8298541</v>
      </c>
      <c r="VWZ538" s="1170">
        <v>8298541</v>
      </c>
      <c r="VXA538" s="1170">
        <v>8298541</v>
      </c>
      <c r="VXB538" s="1170">
        <v>8298541</v>
      </c>
      <c r="VXC538" s="1170">
        <v>8298541</v>
      </c>
      <c r="VXD538" s="1170">
        <v>8298541</v>
      </c>
      <c r="VXE538" s="1170">
        <v>8298541</v>
      </c>
      <c r="VXF538" s="1170">
        <v>8298541</v>
      </c>
      <c r="VXG538" s="1170">
        <v>8298541</v>
      </c>
      <c r="VXH538" s="1170">
        <v>8298541</v>
      </c>
      <c r="VXI538" s="1170">
        <v>8298541</v>
      </c>
      <c r="VXJ538" s="1170">
        <v>8298541</v>
      </c>
      <c r="VXK538" s="1170">
        <v>8298541</v>
      </c>
      <c r="VXL538" s="1170">
        <v>8298541</v>
      </c>
      <c r="VXM538" s="1170">
        <v>8298541</v>
      </c>
      <c r="VXN538" s="1170">
        <v>8298541</v>
      </c>
      <c r="VXO538" s="1170">
        <v>8298541</v>
      </c>
      <c r="VXP538" s="1170">
        <v>8298541</v>
      </c>
      <c r="VXQ538" s="1170">
        <v>8298541</v>
      </c>
      <c r="VXR538" s="1170">
        <v>8298541</v>
      </c>
      <c r="VXS538" s="1170">
        <v>8298541</v>
      </c>
      <c r="VXT538" s="1170">
        <v>8298541</v>
      </c>
      <c r="VXU538" s="1170">
        <v>8298541</v>
      </c>
      <c r="VXV538" s="1170">
        <v>8298541</v>
      </c>
      <c r="VXW538" s="1170">
        <v>8298541</v>
      </c>
      <c r="VXX538" s="1170">
        <v>8298541</v>
      </c>
      <c r="VXY538" s="1170">
        <v>8298541</v>
      </c>
      <c r="VXZ538" s="1170">
        <v>8298541</v>
      </c>
      <c r="VYA538" s="1170">
        <v>8298541</v>
      </c>
      <c r="VYB538" s="1170">
        <v>8298541</v>
      </c>
      <c r="VYC538" s="1170">
        <v>8298541</v>
      </c>
      <c r="VYD538" s="1170">
        <v>8298541</v>
      </c>
      <c r="VYE538" s="1170">
        <v>8298541</v>
      </c>
      <c r="VYF538" s="1170">
        <v>8298541</v>
      </c>
      <c r="VYG538" s="1170">
        <v>8298541</v>
      </c>
      <c r="VYH538" s="1170">
        <v>8298541</v>
      </c>
      <c r="VYI538" s="1170">
        <v>8298541</v>
      </c>
      <c r="VYJ538" s="1170">
        <v>8298541</v>
      </c>
      <c r="VYK538" s="1170">
        <v>8298541</v>
      </c>
      <c r="VYL538" s="1170">
        <v>8298541</v>
      </c>
      <c r="VYM538" s="1170">
        <v>8298541</v>
      </c>
      <c r="VYN538" s="1170">
        <v>8298541</v>
      </c>
      <c r="VYO538" s="1170">
        <v>8298541</v>
      </c>
      <c r="VYP538" s="1170">
        <v>8298541</v>
      </c>
      <c r="VYQ538" s="1170">
        <v>8298541</v>
      </c>
      <c r="VYR538" s="1170">
        <v>8298541</v>
      </c>
      <c r="VYS538" s="1170">
        <v>8298541</v>
      </c>
      <c r="VYT538" s="1170">
        <v>8298541</v>
      </c>
      <c r="VYU538" s="1170">
        <v>8298541</v>
      </c>
      <c r="VYV538" s="1170">
        <v>8298541</v>
      </c>
      <c r="VYW538" s="1170">
        <v>8298541</v>
      </c>
      <c r="VYX538" s="1170">
        <v>8298541</v>
      </c>
      <c r="VYY538" s="1170">
        <v>8298541</v>
      </c>
      <c r="VYZ538" s="1170">
        <v>8298541</v>
      </c>
      <c r="VZA538" s="1170">
        <v>8298541</v>
      </c>
      <c r="VZB538" s="1170">
        <v>8298541</v>
      </c>
      <c r="VZC538" s="1170">
        <v>8298541</v>
      </c>
      <c r="VZD538" s="1170">
        <v>8298541</v>
      </c>
      <c r="VZE538" s="1170">
        <v>8298541</v>
      </c>
      <c r="VZF538" s="1170">
        <v>8298541</v>
      </c>
      <c r="VZG538" s="1170">
        <v>8298541</v>
      </c>
      <c r="VZH538" s="1170">
        <v>8298541</v>
      </c>
      <c r="VZI538" s="1170">
        <v>8298541</v>
      </c>
      <c r="VZJ538" s="1170">
        <v>8298541</v>
      </c>
      <c r="VZK538" s="1170">
        <v>8298541</v>
      </c>
      <c r="VZL538" s="1170">
        <v>8298541</v>
      </c>
      <c r="VZM538" s="1170">
        <v>8298541</v>
      </c>
      <c r="VZN538" s="1170">
        <v>8298541</v>
      </c>
      <c r="VZO538" s="1170">
        <v>8298541</v>
      </c>
      <c r="VZP538" s="1170">
        <v>8298541</v>
      </c>
      <c r="VZQ538" s="1170">
        <v>8298541</v>
      </c>
      <c r="VZR538" s="1170">
        <v>8298541</v>
      </c>
      <c r="VZS538" s="1170">
        <v>8298541</v>
      </c>
      <c r="VZT538" s="1170">
        <v>8298541</v>
      </c>
      <c r="VZU538" s="1170">
        <v>8298541</v>
      </c>
      <c r="VZV538" s="1170">
        <v>8298541</v>
      </c>
      <c r="VZW538" s="1170">
        <v>8298541</v>
      </c>
      <c r="VZX538" s="1170">
        <v>8298541</v>
      </c>
      <c r="VZY538" s="1170">
        <v>8298541</v>
      </c>
      <c r="VZZ538" s="1170">
        <v>8298541</v>
      </c>
      <c r="WAA538" s="1170">
        <v>8298541</v>
      </c>
      <c r="WAB538" s="1170">
        <v>8298541</v>
      </c>
      <c r="WAC538" s="1170">
        <v>8298541</v>
      </c>
      <c r="WAD538" s="1170">
        <v>8298541</v>
      </c>
      <c r="WAE538" s="1170">
        <v>8298541</v>
      </c>
      <c r="WAF538" s="1170">
        <v>8298541</v>
      </c>
      <c r="WAG538" s="1170">
        <v>8298541</v>
      </c>
      <c r="WAH538" s="1170">
        <v>8298541</v>
      </c>
      <c r="WAI538" s="1170">
        <v>8298541</v>
      </c>
      <c r="WAJ538" s="1170">
        <v>8298541</v>
      </c>
      <c r="WAK538" s="1170">
        <v>8298541</v>
      </c>
      <c r="WAL538" s="1170">
        <v>8298541</v>
      </c>
      <c r="WAM538" s="1170">
        <v>8298541</v>
      </c>
      <c r="WAN538" s="1170">
        <v>8298541</v>
      </c>
      <c r="WAO538" s="1170">
        <v>8298541</v>
      </c>
      <c r="WAP538" s="1170">
        <v>8298541</v>
      </c>
      <c r="WAQ538" s="1170">
        <v>8298541</v>
      </c>
      <c r="WAR538" s="1170">
        <v>8298541</v>
      </c>
      <c r="WAS538" s="1170">
        <v>8298541</v>
      </c>
      <c r="WAT538" s="1170">
        <v>8298541</v>
      </c>
      <c r="WAU538" s="1170">
        <v>8298541</v>
      </c>
      <c r="WAV538" s="1170">
        <v>8298541</v>
      </c>
      <c r="WAW538" s="1170">
        <v>8298541</v>
      </c>
      <c r="WAX538" s="1170">
        <v>8298541</v>
      </c>
      <c r="WAY538" s="1170">
        <v>8298541</v>
      </c>
      <c r="WAZ538" s="1170">
        <v>8298541</v>
      </c>
      <c r="WBA538" s="1170">
        <v>8298541</v>
      </c>
      <c r="WBB538" s="1170">
        <v>8298541</v>
      </c>
      <c r="WBC538" s="1170">
        <v>8298541</v>
      </c>
      <c r="WBD538" s="1170">
        <v>8298541</v>
      </c>
      <c r="WBE538" s="1170">
        <v>8298541</v>
      </c>
      <c r="WBF538" s="1170">
        <v>8298541</v>
      </c>
      <c r="WBG538" s="1170">
        <v>8298541</v>
      </c>
      <c r="WBH538" s="1170">
        <v>8298541</v>
      </c>
      <c r="WBI538" s="1170">
        <v>8298541</v>
      </c>
      <c r="WBJ538" s="1170">
        <v>8298541</v>
      </c>
      <c r="WBK538" s="1170">
        <v>8298541</v>
      </c>
      <c r="WBL538" s="1170">
        <v>8298541</v>
      </c>
      <c r="WBM538" s="1170">
        <v>8298541</v>
      </c>
      <c r="WBN538" s="1170">
        <v>8298541</v>
      </c>
      <c r="WBO538" s="1170">
        <v>8298541</v>
      </c>
      <c r="WBP538" s="1170">
        <v>8298541</v>
      </c>
      <c r="WBQ538" s="1170">
        <v>8298541</v>
      </c>
      <c r="WBR538" s="1170">
        <v>8298541</v>
      </c>
      <c r="WBS538" s="1170">
        <v>8298541</v>
      </c>
      <c r="WBT538" s="1170">
        <v>8298541</v>
      </c>
      <c r="WBU538" s="1170">
        <v>8298541</v>
      </c>
      <c r="WBV538" s="1170">
        <v>8298541</v>
      </c>
      <c r="WBW538" s="1170">
        <v>8298541</v>
      </c>
      <c r="WBX538" s="1170">
        <v>8298541</v>
      </c>
      <c r="WBY538" s="1170">
        <v>8298541</v>
      </c>
      <c r="WBZ538" s="1170">
        <v>8298541</v>
      </c>
      <c r="WCA538" s="1170">
        <v>8298541</v>
      </c>
      <c r="WCB538" s="1170">
        <v>8298541</v>
      </c>
      <c r="WCC538" s="1170">
        <v>8298541</v>
      </c>
      <c r="WCD538" s="1170">
        <v>8298541</v>
      </c>
      <c r="WCE538" s="1170">
        <v>8298541</v>
      </c>
      <c r="WCF538" s="1170">
        <v>8298541</v>
      </c>
      <c r="WCG538" s="1170">
        <v>8298541</v>
      </c>
      <c r="WCH538" s="1170">
        <v>8298541</v>
      </c>
      <c r="WCI538" s="1170">
        <v>8298541</v>
      </c>
      <c r="WCJ538" s="1170">
        <v>8298541</v>
      </c>
      <c r="WCK538" s="1170">
        <v>8298541</v>
      </c>
      <c r="WCL538" s="1170">
        <v>8298541</v>
      </c>
      <c r="WCM538" s="1170">
        <v>8298541</v>
      </c>
      <c r="WCN538" s="1170">
        <v>8298541</v>
      </c>
      <c r="WCO538" s="1170">
        <v>8298541</v>
      </c>
      <c r="WCP538" s="1170">
        <v>8298541</v>
      </c>
      <c r="WCQ538" s="1170">
        <v>8298541</v>
      </c>
      <c r="WCR538" s="1170">
        <v>8298541</v>
      </c>
      <c r="WCS538" s="1170">
        <v>8298541</v>
      </c>
      <c r="WCT538" s="1170">
        <v>8298541</v>
      </c>
      <c r="WCU538" s="1170">
        <v>8298541</v>
      </c>
      <c r="WCV538" s="1170">
        <v>8298541</v>
      </c>
      <c r="WCW538" s="1170">
        <v>8298541</v>
      </c>
      <c r="WCX538" s="1170">
        <v>8298541</v>
      </c>
      <c r="WCY538" s="1170">
        <v>8298541</v>
      </c>
      <c r="WCZ538" s="1170">
        <v>8298541</v>
      </c>
      <c r="WDA538" s="1170">
        <v>8298541</v>
      </c>
      <c r="WDB538" s="1170">
        <v>8298541</v>
      </c>
      <c r="WDC538" s="1170">
        <v>8298541</v>
      </c>
      <c r="WDD538" s="1170">
        <v>8298541</v>
      </c>
      <c r="WDE538" s="1170">
        <v>8298541</v>
      </c>
      <c r="WDF538" s="1170">
        <v>8298541</v>
      </c>
      <c r="WDG538" s="1170">
        <v>8298541</v>
      </c>
      <c r="WDH538" s="1170">
        <v>8298541</v>
      </c>
      <c r="WDI538" s="1170">
        <v>8298541</v>
      </c>
      <c r="WDJ538" s="1170">
        <v>8298541</v>
      </c>
      <c r="WDK538" s="1170">
        <v>8298541</v>
      </c>
      <c r="WDL538" s="1170">
        <v>8298541</v>
      </c>
      <c r="WDM538" s="1170">
        <v>8298541</v>
      </c>
      <c r="WDN538" s="1170">
        <v>8298541</v>
      </c>
      <c r="WDO538" s="1170">
        <v>8298541</v>
      </c>
      <c r="WDP538" s="1170">
        <v>8298541</v>
      </c>
      <c r="WDQ538" s="1170">
        <v>8298541</v>
      </c>
      <c r="WDR538" s="1170">
        <v>8298541</v>
      </c>
      <c r="WDS538" s="1170">
        <v>8298541</v>
      </c>
      <c r="WDT538" s="1170">
        <v>8298541</v>
      </c>
      <c r="WDU538" s="1170">
        <v>8298541</v>
      </c>
      <c r="WDV538" s="1170">
        <v>8298541</v>
      </c>
      <c r="WDW538" s="1170">
        <v>8298541</v>
      </c>
      <c r="WDX538" s="1170">
        <v>8298541</v>
      </c>
      <c r="WDY538" s="1170">
        <v>8298541</v>
      </c>
      <c r="WDZ538" s="1170">
        <v>8298541</v>
      </c>
      <c r="WEA538" s="1170">
        <v>8298541</v>
      </c>
      <c r="WEB538" s="1170">
        <v>8298541</v>
      </c>
      <c r="WEC538" s="1170">
        <v>8298541</v>
      </c>
      <c r="WED538" s="1170">
        <v>8298541</v>
      </c>
      <c r="WEE538" s="1170">
        <v>8298541</v>
      </c>
      <c r="WEF538" s="1170">
        <v>8298541</v>
      </c>
      <c r="WEG538" s="1170">
        <v>8298541</v>
      </c>
      <c r="WEH538" s="1170">
        <v>8298541</v>
      </c>
      <c r="WEI538" s="1170">
        <v>8298541</v>
      </c>
      <c r="WEJ538" s="1170">
        <v>8298541</v>
      </c>
      <c r="WEK538" s="1170">
        <v>8298541</v>
      </c>
      <c r="WEL538" s="1170">
        <v>8298541</v>
      </c>
      <c r="WEM538" s="1170">
        <v>8298541</v>
      </c>
      <c r="WEN538" s="1170">
        <v>8298541</v>
      </c>
      <c r="WEO538" s="1170">
        <v>8298541</v>
      </c>
      <c r="WEP538" s="1170">
        <v>8298541</v>
      </c>
      <c r="WEQ538" s="1170">
        <v>8298541</v>
      </c>
      <c r="WER538" s="1170">
        <v>8298541</v>
      </c>
      <c r="WES538" s="1170">
        <v>8298541</v>
      </c>
      <c r="WET538" s="1170">
        <v>8298541</v>
      </c>
      <c r="WEU538" s="1170">
        <v>8298541</v>
      </c>
      <c r="WEV538" s="1170">
        <v>8298541</v>
      </c>
      <c r="WEW538" s="1170">
        <v>8298541</v>
      </c>
      <c r="WEX538" s="1170">
        <v>8298541</v>
      </c>
      <c r="WEY538" s="1170">
        <v>8298541</v>
      </c>
      <c r="WEZ538" s="1170">
        <v>8298541</v>
      </c>
      <c r="WFA538" s="1170">
        <v>8298541</v>
      </c>
      <c r="WFB538" s="1170">
        <v>8298541</v>
      </c>
      <c r="WFC538" s="1170">
        <v>8298541</v>
      </c>
      <c r="WFD538" s="1170">
        <v>8298541</v>
      </c>
      <c r="WFE538" s="1170">
        <v>8298541</v>
      </c>
      <c r="WFF538" s="1170">
        <v>8298541</v>
      </c>
      <c r="WFG538" s="1170">
        <v>8298541</v>
      </c>
      <c r="WFH538" s="1170">
        <v>8298541</v>
      </c>
      <c r="WFI538" s="1170">
        <v>8298541</v>
      </c>
      <c r="WFJ538" s="1170">
        <v>8298541</v>
      </c>
      <c r="WFK538" s="1170">
        <v>8298541</v>
      </c>
      <c r="WFL538" s="1170">
        <v>8298541</v>
      </c>
      <c r="WFM538" s="1170">
        <v>8298541</v>
      </c>
      <c r="WFN538" s="1170">
        <v>8298541</v>
      </c>
      <c r="WFO538" s="1170">
        <v>8298541</v>
      </c>
      <c r="WFP538" s="1170">
        <v>8298541</v>
      </c>
      <c r="WFQ538" s="1170">
        <v>8298541</v>
      </c>
      <c r="WFR538" s="1170">
        <v>8298541</v>
      </c>
      <c r="WFS538" s="1170">
        <v>8298541</v>
      </c>
      <c r="WFT538" s="1170">
        <v>8298541</v>
      </c>
      <c r="WFU538" s="1170">
        <v>8298541</v>
      </c>
      <c r="WFV538" s="1170">
        <v>8298541</v>
      </c>
      <c r="WFW538" s="1170">
        <v>8298541</v>
      </c>
      <c r="WFX538" s="1170">
        <v>8298541</v>
      </c>
      <c r="WFY538" s="1170">
        <v>8298541</v>
      </c>
      <c r="WFZ538" s="1170">
        <v>8298541</v>
      </c>
      <c r="WGA538" s="1170">
        <v>8298541</v>
      </c>
      <c r="WGB538" s="1170">
        <v>8298541</v>
      </c>
      <c r="WGC538" s="1170">
        <v>8298541</v>
      </c>
      <c r="WGD538" s="1170">
        <v>8298541</v>
      </c>
      <c r="WGE538" s="1170">
        <v>8298541</v>
      </c>
      <c r="WGF538" s="1170">
        <v>8298541</v>
      </c>
      <c r="WGG538" s="1170">
        <v>8298541</v>
      </c>
      <c r="WGH538" s="1170">
        <v>8298541</v>
      </c>
      <c r="WGI538" s="1170">
        <v>8298541</v>
      </c>
      <c r="WGJ538" s="1170">
        <v>8298541</v>
      </c>
      <c r="WGK538" s="1170">
        <v>8298541</v>
      </c>
      <c r="WGL538" s="1170">
        <v>8298541</v>
      </c>
      <c r="WGM538" s="1170">
        <v>8298541</v>
      </c>
      <c r="WGN538" s="1170">
        <v>8298541</v>
      </c>
      <c r="WGO538" s="1170">
        <v>8298541</v>
      </c>
      <c r="WGP538" s="1170">
        <v>8298541</v>
      </c>
      <c r="WGQ538" s="1170">
        <v>8298541</v>
      </c>
      <c r="WGR538" s="1170">
        <v>8298541</v>
      </c>
      <c r="WGS538" s="1170">
        <v>8298541</v>
      </c>
      <c r="WGT538" s="1170">
        <v>8298541</v>
      </c>
      <c r="WGU538" s="1170">
        <v>8298541</v>
      </c>
      <c r="WGV538" s="1170">
        <v>8298541</v>
      </c>
      <c r="WGW538" s="1170">
        <v>8298541</v>
      </c>
      <c r="WGX538" s="1170">
        <v>8298541</v>
      </c>
      <c r="WGY538" s="1170">
        <v>8298541</v>
      </c>
      <c r="WGZ538" s="1170">
        <v>8298541</v>
      </c>
      <c r="WHA538" s="1170">
        <v>8298541</v>
      </c>
      <c r="WHB538" s="1170">
        <v>8298541</v>
      </c>
      <c r="WHC538" s="1170">
        <v>8298541</v>
      </c>
      <c r="WHD538" s="1170">
        <v>8298541</v>
      </c>
      <c r="WHE538" s="1170">
        <v>8298541</v>
      </c>
      <c r="WHF538" s="1170">
        <v>8298541</v>
      </c>
      <c r="WHG538" s="1170">
        <v>8298541</v>
      </c>
      <c r="WHH538" s="1170">
        <v>8298541</v>
      </c>
      <c r="WHI538" s="1170">
        <v>8298541</v>
      </c>
      <c r="WHJ538" s="1170">
        <v>8298541</v>
      </c>
      <c r="WHK538" s="1170">
        <v>8298541</v>
      </c>
      <c r="WHL538" s="1170">
        <v>8298541</v>
      </c>
      <c r="WHM538" s="1170">
        <v>8298541</v>
      </c>
      <c r="WHN538" s="1170">
        <v>8298541</v>
      </c>
      <c r="WHO538" s="1170">
        <v>8298541</v>
      </c>
      <c r="WHP538" s="1170">
        <v>8298541</v>
      </c>
      <c r="WHQ538" s="1170">
        <v>8298541</v>
      </c>
      <c r="WHR538" s="1170">
        <v>8298541</v>
      </c>
      <c r="WHS538" s="1170">
        <v>8298541</v>
      </c>
      <c r="WHT538" s="1170">
        <v>8298541</v>
      </c>
      <c r="WHU538" s="1170">
        <v>8298541</v>
      </c>
      <c r="WHV538" s="1170">
        <v>8298541</v>
      </c>
      <c r="WHW538" s="1170">
        <v>8298541</v>
      </c>
      <c r="WHX538" s="1170">
        <v>8298541</v>
      </c>
      <c r="WHY538" s="1170">
        <v>8298541</v>
      </c>
      <c r="WHZ538" s="1170">
        <v>8298541</v>
      </c>
      <c r="WIA538" s="1170">
        <v>8298541</v>
      </c>
      <c r="WIB538" s="1170">
        <v>8298541</v>
      </c>
      <c r="WIC538" s="1170">
        <v>8298541</v>
      </c>
      <c r="WID538" s="1170">
        <v>8298541</v>
      </c>
      <c r="WIE538" s="1170">
        <v>8298541</v>
      </c>
      <c r="WIF538" s="1170">
        <v>8298541</v>
      </c>
      <c r="WIG538" s="1170">
        <v>8298541</v>
      </c>
      <c r="WIH538" s="1170">
        <v>8298541</v>
      </c>
      <c r="WII538" s="1170">
        <v>8298541</v>
      </c>
      <c r="WIJ538" s="1170">
        <v>8298541</v>
      </c>
      <c r="WIK538" s="1170">
        <v>8298541</v>
      </c>
      <c r="WIL538" s="1170">
        <v>8298541</v>
      </c>
      <c r="WIM538" s="1170">
        <v>8298541</v>
      </c>
      <c r="WIN538" s="1170">
        <v>8298541</v>
      </c>
      <c r="WIO538" s="1170">
        <v>8298541</v>
      </c>
      <c r="WIP538" s="1170">
        <v>8298541</v>
      </c>
      <c r="WIQ538" s="1170">
        <v>8298541</v>
      </c>
      <c r="WIR538" s="1170">
        <v>8298541</v>
      </c>
      <c r="WIS538" s="1170">
        <v>8298541</v>
      </c>
      <c r="WIT538" s="1170">
        <v>8298541</v>
      </c>
      <c r="WIU538" s="1170">
        <v>8298541</v>
      </c>
      <c r="WIV538" s="1170">
        <v>8298541</v>
      </c>
      <c r="WIW538" s="1170">
        <v>8298541</v>
      </c>
      <c r="WIX538" s="1170">
        <v>8298541</v>
      </c>
      <c r="WIY538" s="1170">
        <v>8298541</v>
      </c>
      <c r="WIZ538" s="1170">
        <v>8298541</v>
      </c>
      <c r="WJA538" s="1170">
        <v>8298541</v>
      </c>
      <c r="WJB538" s="1170">
        <v>8298541</v>
      </c>
      <c r="WJC538" s="1170">
        <v>8298541</v>
      </c>
      <c r="WJD538" s="1170">
        <v>8298541</v>
      </c>
      <c r="WJE538" s="1170">
        <v>8298541</v>
      </c>
      <c r="WJF538" s="1170">
        <v>8298541</v>
      </c>
      <c r="WJG538" s="1170">
        <v>8298541</v>
      </c>
      <c r="WJH538" s="1170">
        <v>8298541</v>
      </c>
      <c r="WJI538" s="1170">
        <v>8298541</v>
      </c>
      <c r="WJJ538" s="1170">
        <v>8298541</v>
      </c>
      <c r="WJK538" s="1170">
        <v>8298541</v>
      </c>
      <c r="WJL538" s="1170">
        <v>8298541</v>
      </c>
      <c r="WJM538" s="1170">
        <v>8298541</v>
      </c>
      <c r="WJN538" s="1170">
        <v>8298541</v>
      </c>
      <c r="WJO538" s="1170">
        <v>8298541</v>
      </c>
      <c r="WJP538" s="1170">
        <v>8298541</v>
      </c>
      <c r="WJQ538" s="1170">
        <v>8298541</v>
      </c>
      <c r="WJR538" s="1170">
        <v>8298541</v>
      </c>
      <c r="WJS538" s="1170">
        <v>8298541</v>
      </c>
      <c r="WJT538" s="1170">
        <v>8298541</v>
      </c>
      <c r="WJU538" s="1170">
        <v>8298541</v>
      </c>
      <c r="WJV538" s="1170">
        <v>8298541</v>
      </c>
      <c r="WJW538" s="1170">
        <v>8298541</v>
      </c>
      <c r="WJX538" s="1170">
        <v>8298541</v>
      </c>
      <c r="WJY538" s="1170">
        <v>8298541</v>
      </c>
      <c r="WJZ538" s="1170">
        <v>8298541</v>
      </c>
      <c r="WKA538" s="1170">
        <v>8298541</v>
      </c>
      <c r="WKB538" s="1170">
        <v>8298541</v>
      </c>
      <c r="WKC538" s="1170">
        <v>8298541</v>
      </c>
      <c r="WKD538" s="1170">
        <v>8298541</v>
      </c>
      <c r="WKE538" s="1170">
        <v>8298541</v>
      </c>
      <c r="WKF538" s="1170">
        <v>8298541</v>
      </c>
      <c r="WKG538" s="1170">
        <v>8298541</v>
      </c>
      <c r="WKH538" s="1170">
        <v>8298541</v>
      </c>
      <c r="WKI538" s="1170">
        <v>8298541</v>
      </c>
      <c r="WKJ538" s="1170">
        <v>8298541</v>
      </c>
      <c r="WKK538" s="1170">
        <v>8298541</v>
      </c>
      <c r="WKL538" s="1170">
        <v>8298541</v>
      </c>
      <c r="WKM538" s="1170">
        <v>8298541</v>
      </c>
      <c r="WKN538" s="1170">
        <v>8298541</v>
      </c>
      <c r="WKO538" s="1170">
        <v>8298541</v>
      </c>
      <c r="WKP538" s="1170">
        <v>8298541</v>
      </c>
      <c r="WKQ538" s="1170">
        <v>8298541</v>
      </c>
      <c r="WKR538" s="1170">
        <v>8298541</v>
      </c>
      <c r="WKS538" s="1170">
        <v>8298541</v>
      </c>
      <c r="WKT538" s="1170">
        <v>8298541</v>
      </c>
      <c r="WKU538" s="1170">
        <v>8298541</v>
      </c>
      <c r="WKV538" s="1170">
        <v>8298541</v>
      </c>
      <c r="WKW538" s="1170">
        <v>8298541</v>
      </c>
      <c r="WKX538" s="1170">
        <v>8298541</v>
      </c>
      <c r="WKY538" s="1170">
        <v>8298541</v>
      </c>
      <c r="WKZ538" s="1170">
        <v>8298541</v>
      </c>
      <c r="WLA538" s="1170">
        <v>8298541</v>
      </c>
      <c r="WLB538" s="1170">
        <v>8298541</v>
      </c>
      <c r="WLC538" s="1170">
        <v>8298541</v>
      </c>
      <c r="WLD538" s="1170">
        <v>8298541</v>
      </c>
      <c r="WLE538" s="1170">
        <v>8298541</v>
      </c>
      <c r="WLF538" s="1170">
        <v>8298541</v>
      </c>
      <c r="WLG538" s="1170">
        <v>8298541</v>
      </c>
      <c r="WLH538" s="1170">
        <v>8298541</v>
      </c>
      <c r="WLI538" s="1170">
        <v>8298541</v>
      </c>
      <c r="WLJ538" s="1170">
        <v>8298541</v>
      </c>
      <c r="WLK538" s="1170">
        <v>8298541</v>
      </c>
      <c r="WLL538" s="1170">
        <v>8298541</v>
      </c>
      <c r="WLM538" s="1170">
        <v>8298541</v>
      </c>
      <c r="WLN538" s="1170">
        <v>8298541</v>
      </c>
      <c r="WLO538" s="1170">
        <v>8298541</v>
      </c>
      <c r="WLP538" s="1170">
        <v>8298541</v>
      </c>
      <c r="WLQ538" s="1170">
        <v>8298541</v>
      </c>
      <c r="WLR538" s="1170">
        <v>8298541</v>
      </c>
      <c r="WLS538" s="1170">
        <v>8298541</v>
      </c>
      <c r="WLT538" s="1170">
        <v>8298541</v>
      </c>
      <c r="WLU538" s="1170">
        <v>8298541</v>
      </c>
      <c r="WLV538" s="1170">
        <v>8298541</v>
      </c>
      <c r="WLW538" s="1170">
        <v>8298541</v>
      </c>
      <c r="WLX538" s="1170">
        <v>8298541</v>
      </c>
      <c r="WLY538" s="1170">
        <v>8298541</v>
      </c>
      <c r="WLZ538" s="1170">
        <v>8298541</v>
      </c>
      <c r="WMA538" s="1170">
        <v>8298541</v>
      </c>
      <c r="WMB538" s="1170">
        <v>8298541</v>
      </c>
      <c r="WMC538" s="1170">
        <v>8298541</v>
      </c>
      <c r="WMD538" s="1170">
        <v>8298541</v>
      </c>
      <c r="WME538" s="1170">
        <v>8298541</v>
      </c>
      <c r="WMF538" s="1170">
        <v>8298541</v>
      </c>
      <c r="WMG538" s="1170">
        <v>8298541</v>
      </c>
      <c r="WMH538" s="1170">
        <v>8298541</v>
      </c>
      <c r="WMI538" s="1170">
        <v>8298541</v>
      </c>
      <c r="WMJ538" s="1170">
        <v>8298541</v>
      </c>
      <c r="WMK538" s="1170">
        <v>8298541</v>
      </c>
      <c r="WML538" s="1170">
        <v>8298541</v>
      </c>
      <c r="WMM538" s="1170">
        <v>8298541</v>
      </c>
      <c r="WMN538" s="1170">
        <v>8298541</v>
      </c>
      <c r="WMO538" s="1170">
        <v>8298541</v>
      </c>
      <c r="WMP538" s="1170">
        <v>8298541</v>
      </c>
      <c r="WMQ538" s="1170">
        <v>8298541</v>
      </c>
      <c r="WMR538" s="1170">
        <v>8298541</v>
      </c>
      <c r="WMS538" s="1170">
        <v>8298541</v>
      </c>
      <c r="WMT538" s="1170">
        <v>8298541</v>
      </c>
      <c r="WMU538" s="1170">
        <v>8298541</v>
      </c>
      <c r="WMV538" s="1170">
        <v>8298541</v>
      </c>
      <c r="WMW538" s="1170">
        <v>8298541</v>
      </c>
      <c r="WMX538" s="1170">
        <v>8298541</v>
      </c>
      <c r="WMY538" s="1170">
        <v>8298541</v>
      </c>
      <c r="WMZ538" s="1170">
        <v>8298541</v>
      </c>
      <c r="WNA538" s="1170">
        <v>8298541</v>
      </c>
      <c r="WNB538" s="1170">
        <v>8298541</v>
      </c>
      <c r="WNC538" s="1170">
        <v>8298541</v>
      </c>
      <c r="WND538" s="1170">
        <v>8298541</v>
      </c>
      <c r="WNE538" s="1170">
        <v>8298541</v>
      </c>
      <c r="WNF538" s="1170">
        <v>8298541</v>
      </c>
      <c r="WNG538" s="1170">
        <v>8298541</v>
      </c>
      <c r="WNH538" s="1170">
        <v>8298541</v>
      </c>
      <c r="WNI538" s="1170">
        <v>8298541</v>
      </c>
      <c r="WNJ538" s="1170">
        <v>8298541</v>
      </c>
      <c r="WNK538" s="1170">
        <v>8298541</v>
      </c>
      <c r="WNL538" s="1170">
        <v>8298541</v>
      </c>
      <c r="WNM538" s="1170">
        <v>8298541</v>
      </c>
      <c r="WNN538" s="1170">
        <v>8298541</v>
      </c>
      <c r="WNO538" s="1170">
        <v>8298541</v>
      </c>
      <c r="WNP538" s="1170">
        <v>8298541</v>
      </c>
      <c r="WNQ538" s="1170">
        <v>8298541</v>
      </c>
      <c r="WNR538" s="1170">
        <v>8298541</v>
      </c>
      <c r="WNS538" s="1170">
        <v>8298541</v>
      </c>
      <c r="WNT538" s="1170">
        <v>8298541</v>
      </c>
      <c r="WNU538" s="1170">
        <v>8298541</v>
      </c>
      <c r="WNV538" s="1170">
        <v>8298541</v>
      </c>
      <c r="WNW538" s="1170">
        <v>8298541</v>
      </c>
      <c r="WNX538" s="1170">
        <v>8298541</v>
      </c>
      <c r="WNY538" s="1170">
        <v>8298541</v>
      </c>
      <c r="WNZ538" s="1170">
        <v>8298541</v>
      </c>
      <c r="WOA538" s="1170">
        <v>8298541</v>
      </c>
      <c r="WOB538" s="1170">
        <v>8298541</v>
      </c>
      <c r="WOC538" s="1170">
        <v>8298541</v>
      </c>
      <c r="WOD538" s="1170">
        <v>8298541</v>
      </c>
      <c r="WOE538" s="1170">
        <v>8298541</v>
      </c>
      <c r="WOF538" s="1170">
        <v>8298541</v>
      </c>
      <c r="WOG538" s="1170">
        <v>8298541</v>
      </c>
      <c r="WOH538" s="1170">
        <v>8298541</v>
      </c>
      <c r="WOI538" s="1170">
        <v>8298541</v>
      </c>
      <c r="WOJ538" s="1170">
        <v>8298541</v>
      </c>
      <c r="WOK538" s="1170">
        <v>8298541</v>
      </c>
      <c r="WOL538" s="1170">
        <v>8298541</v>
      </c>
      <c r="WOM538" s="1170">
        <v>8298541</v>
      </c>
      <c r="WON538" s="1170">
        <v>8298541</v>
      </c>
      <c r="WOO538" s="1170">
        <v>8298541</v>
      </c>
      <c r="WOP538" s="1170">
        <v>8298541</v>
      </c>
      <c r="WOQ538" s="1170">
        <v>8298541</v>
      </c>
      <c r="WOR538" s="1170">
        <v>8298541</v>
      </c>
      <c r="WOS538" s="1170">
        <v>8298541</v>
      </c>
      <c r="WOT538" s="1170">
        <v>8298541</v>
      </c>
      <c r="WOU538" s="1170">
        <v>8298541</v>
      </c>
      <c r="WOV538" s="1170">
        <v>8298541</v>
      </c>
      <c r="WOW538" s="1170">
        <v>8298541</v>
      </c>
      <c r="WOX538" s="1170">
        <v>8298541</v>
      </c>
      <c r="WOY538" s="1170">
        <v>8298541</v>
      </c>
      <c r="WOZ538" s="1170">
        <v>8298541</v>
      </c>
      <c r="WPA538" s="1170">
        <v>8298541</v>
      </c>
      <c r="WPB538" s="1170">
        <v>8298541</v>
      </c>
      <c r="WPC538" s="1170">
        <v>8298541</v>
      </c>
      <c r="WPD538" s="1170">
        <v>8298541</v>
      </c>
      <c r="WPE538" s="1170">
        <v>8298541</v>
      </c>
      <c r="WPF538" s="1170">
        <v>8298541</v>
      </c>
      <c r="WPG538" s="1170">
        <v>8298541</v>
      </c>
      <c r="WPH538" s="1170">
        <v>8298541</v>
      </c>
      <c r="WPI538" s="1170">
        <v>8298541</v>
      </c>
      <c r="WPJ538" s="1170">
        <v>8298541</v>
      </c>
      <c r="WPK538" s="1170">
        <v>8298541</v>
      </c>
      <c r="WPL538" s="1170">
        <v>8298541</v>
      </c>
      <c r="WPM538" s="1170">
        <v>8298541</v>
      </c>
      <c r="WPN538" s="1170">
        <v>8298541</v>
      </c>
      <c r="WPO538" s="1170">
        <v>8298541</v>
      </c>
      <c r="WPP538" s="1170">
        <v>8298541</v>
      </c>
      <c r="WPQ538" s="1170">
        <v>8298541</v>
      </c>
      <c r="WPR538" s="1170">
        <v>8298541</v>
      </c>
      <c r="WPS538" s="1170">
        <v>8298541</v>
      </c>
      <c r="WPT538" s="1170">
        <v>8298541</v>
      </c>
      <c r="WPU538" s="1170">
        <v>8298541</v>
      </c>
      <c r="WPV538" s="1170">
        <v>8298541</v>
      </c>
      <c r="WPW538" s="1170">
        <v>8298541</v>
      </c>
      <c r="WPX538" s="1170">
        <v>8298541</v>
      </c>
      <c r="WPY538" s="1170">
        <v>8298541</v>
      </c>
      <c r="WPZ538" s="1170">
        <v>8298541</v>
      </c>
      <c r="WQA538" s="1170">
        <v>8298541</v>
      </c>
      <c r="WQB538" s="1170">
        <v>8298541</v>
      </c>
      <c r="WQC538" s="1170">
        <v>8298541</v>
      </c>
      <c r="WQD538" s="1170">
        <v>8298541</v>
      </c>
      <c r="WQE538" s="1170">
        <v>8298541</v>
      </c>
      <c r="WQF538" s="1170">
        <v>8298541</v>
      </c>
      <c r="WQG538" s="1170">
        <v>8298541</v>
      </c>
      <c r="WQH538" s="1170">
        <v>8298541</v>
      </c>
      <c r="WQI538" s="1170">
        <v>8298541</v>
      </c>
      <c r="WQJ538" s="1170">
        <v>8298541</v>
      </c>
      <c r="WQK538" s="1170">
        <v>8298541</v>
      </c>
      <c r="WQL538" s="1170">
        <v>8298541</v>
      </c>
      <c r="WQM538" s="1170">
        <v>8298541</v>
      </c>
      <c r="WQN538" s="1170">
        <v>8298541</v>
      </c>
      <c r="WQO538" s="1170">
        <v>8298541</v>
      </c>
      <c r="WQP538" s="1170">
        <v>8298541</v>
      </c>
      <c r="WQQ538" s="1170">
        <v>8298541</v>
      </c>
      <c r="WQR538" s="1170">
        <v>8298541</v>
      </c>
      <c r="WQS538" s="1170">
        <v>8298541</v>
      </c>
      <c r="WQT538" s="1170">
        <v>8298541</v>
      </c>
      <c r="WQU538" s="1170">
        <v>8298541</v>
      </c>
      <c r="WQV538" s="1170">
        <v>8298541</v>
      </c>
      <c r="WQW538" s="1170">
        <v>8298541</v>
      </c>
      <c r="WQX538" s="1170">
        <v>8298541</v>
      </c>
      <c r="WQY538" s="1170">
        <v>8298541</v>
      </c>
      <c r="WQZ538" s="1170">
        <v>8298541</v>
      </c>
      <c r="WRA538" s="1170">
        <v>8298541</v>
      </c>
      <c r="WRB538" s="1170">
        <v>8298541</v>
      </c>
      <c r="WRC538" s="1170">
        <v>8298541</v>
      </c>
      <c r="WRD538" s="1170">
        <v>8298541</v>
      </c>
      <c r="WRE538" s="1170">
        <v>8298541</v>
      </c>
      <c r="WRF538" s="1170">
        <v>8298541</v>
      </c>
      <c r="WRG538" s="1170">
        <v>8298541</v>
      </c>
      <c r="WRH538" s="1170">
        <v>8298541</v>
      </c>
      <c r="WRI538" s="1170">
        <v>8298541</v>
      </c>
      <c r="WRJ538" s="1170">
        <v>8298541</v>
      </c>
      <c r="WRK538" s="1170">
        <v>8298541</v>
      </c>
      <c r="WRL538" s="1170">
        <v>8298541</v>
      </c>
      <c r="WRM538" s="1170">
        <v>8298541</v>
      </c>
      <c r="WRN538" s="1170">
        <v>8298541</v>
      </c>
      <c r="WRO538" s="1170">
        <v>8298541</v>
      </c>
      <c r="WRP538" s="1170">
        <v>8298541</v>
      </c>
      <c r="WRQ538" s="1170">
        <v>8298541</v>
      </c>
      <c r="WRR538" s="1170">
        <v>8298541</v>
      </c>
      <c r="WRS538" s="1170">
        <v>8298541</v>
      </c>
      <c r="WRT538" s="1170">
        <v>8298541</v>
      </c>
      <c r="WRU538" s="1170">
        <v>8298541</v>
      </c>
      <c r="WRV538" s="1170">
        <v>8298541</v>
      </c>
      <c r="WRW538" s="1170">
        <v>8298541</v>
      </c>
      <c r="WRX538" s="1170">
        <v>8298541</v>
      </c>
      <c r="WRY538" s="1170">
        <v>8298541</v>
      </c>
      <c r="WRZ538" s="1170">
        <v>8298541</v>
      </c>
      <c r="WSA538" s="1170">
        <v>8298541</v>
      </c>
      <c r="WSB538" s="1170">
        <v>8298541</v>
      </c>
      <c r="WSC538" s="1170">
        <v>8298541</v>
      </c>
      <c r="WSD538" s="1170">
        <v>8298541</v>
      </c>
      <c r="WSE538" s="1170">
        <v>8298541</v>
      </c>
      <c r="WSF538" s="1170">
        <v>8298541</v>
      </c>
      <c r="WSG538" s="1170">
        <v>8298541</v>
      </c>
      <c r="WSH538" s="1170">
        <v>8298541</v>
      </c>
      <c r="WSI538" s="1170">
        <v>8298541</v>
      </c>
      <c r="WSJ538" s="1170">
        <v>8298541</v>
      </c>
      <c r="WSK538" s="1170">
        <v>8298541</v>
      </c>
      <c r="WSL538" s="1170">
        <v>8298541</v>
      </c>
      <c r="WSM538" s="1170">
        <v>8298541</v>
      </c>
      <c r="WSN538" s="1170">
        <v>8298541</v>
      </c>
      <c r="WSO538" s="1170">
        <v>8298541</v>
      </c>
      <c r="WSP538" s="1170">
        <v>8298541</v>
      </c>
      <c r="WSQ538" s="1170">
        <v>8298541</v>
      </c>
      <c r="WSR538" s="1170">
        <v>8298541</v>
      </c>
      <c r="WSS538" s="1170">
        <v>8298541</v>
      </c>
      <c r="WST538" s="1170">
        <v>8298541</v>
      </c>
      <c r="WSU538" s="1170">
        <v>8298541</v>
      </c>
      <c r="WSV538" s="1170">
        <v>8298541</v>
      </c>
      <c r="WSW538" s="1170">
        <v>8298541</v>
      </c>
      <c r="WSX538" s="1170">
        <v>8298541</v>
      </c>
      <c r="WSY538" s="1170">
        <v>8298541</v>
      </c>
      <c r="WSZ538" s="1170">
        <v>8298541</v>
      </c>
      <c r="WTA538" s="1170">
        <v>8298541</v>
      </c>
      <c r="WTB538" s="1170">
        <v>8298541</v>
      </c>
      <c r="WTC538" s="1170">
        <v>8298541</v>
      </c>
      <c r="WTD538" s="1170">
        <v>8298541</v>
      </c>
      <c r="WTE538" s="1170">
        <v>8298541</v>
      </c>
      <c r="WTF538" s="1170">
        <v>8298541</v>
      </c>
      <c r="WTG538" s="1170">
        <v>8298541</v>
      </c>
      <c r="WTH538" s="1170">
        <v>8298541</v>
      </c>
      <c r="WTI538" s="1170">
        <v>8298541</v>
      </c>
      <c r="WTJ538" s="1170">
        <v>8298541</v>
      </c>
      <c r="WTK538" s="1170">
        <v>8298541</v>
      </c>
      <c r="WTL538" s="1170">
        <v>8298541</v>
      </c>
      <c r="WTM538" s="1170">
        <v>8298541</v>
      </c>
      <c r="WTN538" s="1170">
        <v>8298541</v>
      </c>
      <c r="WTO538" s="1170">
        <v>8298541</v>
      </c>
      <c r="WTP538" s="1170">
        <v>8298541</v>
      </c>
      <c r="WTQ538" s="1170">
        <v>8298541</v>
      </c>
      <c r="WTR538" s="1170">
        <v>8298541</v>
      </c>
      <c r="WTS538" s="1170">
        <v>8298541</v>
      </c>
      <c r="WTT538" s="1170">
        <v>8298541</v>
      </c>
      <c r="WTU538" s="1170">
        <v>8298541</v>
      </c>
      <c r="WTV538" s="1170">
        <v>8298541</v>
      </c>
      <c r="WTW538" s="1170">
        <v>8298541</v>
      </c>
      <c r="WTX538" s="1170">
        <v>8298541</v>
      </c>
      <c r="WTY538" s="1170">
        <v>8298541</v>
      </c>
      <c r="WTZ538" s="1170">
        <v>8298541</v>
      </c>
      <c r="WUA538" s="1170">
        <v>8298541</v>
      </c>
      <c r="WUB538" s="1170">
        <v>8298541</v>
      </c>
      <c r="WUC538" s="1170">
        <v>8298541</v>
      </c>
      <c r="WUD538" s="1170">
        <v>8298541</v>
      </c>
      <c r="WUE538" s="1170">
        <v>8298541</v>
      </c>
      <c r="WUF538" s="1170">
        <v>8298541</v>
      </c>
      <c r="WUG538" s="1170">
        <v>8298541</v>
      </c>
      <c r="WUH538" s="1170">
        <v>8298541</v>
      </c>
      <c r="WUI538" s="1170">
        <v>8298541</v>
      </c>
      <c r="WUJ538" s="1170">
        <v>8298541</v>
      </c>
      <c r="WUK538" s="1170">
        <v>8298541</v>
      </c>
      <c r="WUL538" s="1170">
        <v>8298541</v>
      </c>
      <c r="WUM538" s="1170">
        <v>8298541</v>
      </c>
      <c r="WUN538" s="1170">
        <v>8298541</v>
      </c>
      <c r="WUO538" s="1170">
        <v>8298541</v>
      </c>
      <c r="WUP538" s="1170">
        <v>8298541</v>
      </c>
      <c r="WUQ538" s="1170">
        <v>8298541</v>
      </c>
      <c r="WUR538" s="1170">
        <v>8298541</v>
      </c>
      <c r="WUS538" s="1170">
        <v>8298541</v>
      </c>
      <c r="WUT538" s="1170">
        <v>8298541</v>
      </c>
      <c r="WUU538" s="1170">
        <v>8298541</v>
      </c>
      <c r="WUV538" s="1170">
        <v>8298541</v>
      </c>
      <c r="WUW538" s="1170">
        <v>8298541</v>
      </c>
      <c r="WUX538" s="1170">
        <v>8298541</v>
      </c>
      <c r="WUY538" s="1170">
        <v>8298541</v>
      </c>
      <c r="WUZ538" s="1170">
        <v>8298541</v>
      </c>
      <c r="WVA538" s="1170">
        <v>8298541</v>
      </c>
      <c r="WVB538" s="1170">
        <v>8298541</v>
      </c>
      <c r="WVC538" s="1170">
        <v>8298541</v>
      </c>
      <c r="WVD538" s="1170">
        <v>8298541</v>
      </c>
      <c r="WVE538" s="1170">
        <v>8298541</v>
      </c>
      <c r="WVF538" s="1170">
        <v>8298541</v>
      </c>
      <c r="WVG538" s="1170">
        <v>8298541</v>
      </c>
      <c r="WVH538" s="1170">
        <v>8298541</v>
      </c>
      <c r="WVI538" s="1170">
        <v>8298541</v>
      </c>
      <c r="WVJ538" s="1170">
        <v>8298541</v>
      </c>
      <c r="WVK538" s="1170">
        <v>8298541</v>
      </c>
      <c r="WVL538" s="1170">
        <v>8298541</v>
      </c>
      <c r="WVM538" s="1170">
        <v>8298541</v>
      </c>
      <c r="WVN538" s="1170">
        <v>8298541</v>
      </c>
      <c r="WVO538" s="1170">
        <v>8298541</v>
      </c>
      <c r="WVP538" s="1170">
        <v>8298541</v>
      </c>
      <c r="WVQ538" s="1170">
        <v>8298541</v>
      </c>
      <c r="WVR538" s="1170">
        <v>8298541</v>
      </c>
      <c r="WVS538" s="1170">
        <v>8298541</v>
      </c>
      <c r="WVT538" s="1170">
        <v>8298541</v>
      </c>
      <c r="WVU538" s="1170">
        <v>8298541</v>
      </c>
      <c r="WVV538" s="1170">
        <v>8298541</v>
      </c>
      <c r="WVW538" s="1170">
        <v>8298541</v>
      </c>
      <c r="WVX538" s="1170">
        <v>8298541</v>
      </c>
      <c r="WVY538" s="1170">
        <v>8298541</v>
      </c>
      <c r="WVZ538" s="1170">
        <v>8298541</v>
      </c>
      <c r="WWA538" s="1170">
        <v>8298541</v>
      </c>
      <c r="WWB538" s="1170">
        <v>8298541</v>
      </c>
      <c r="WWC538" s="1170">
        <v>8298541</v>
      </c>
      <c r="WWD538" s="1170">
        <v>8298541</v>
      </c>
      <c r="WWE538" s="1170">
        <v>8298541</v>
      </c>
      <c r="WWF538" s="1170">
        <v>8298541</v>
      </c>
      <c r="WWG538" s="1170">
        <v>8298541</v>
      </c>
      <c r="WWH538" s="1170">
        <v>8298541</v>
      </c>
      <c r="WWI538" s="1170">
        <v>8298541</v>
      </c>
      <c r="WWJ538" s="1170">
        <v>8298541</v>
      </c>
      <c r="WWK538" s="1170">
        <v>8298541</v>
      </c>
      <c r="WWL538" s="1170">
        <v>8298541</v>
      </c>
      <c r="WWM538" s="1170">
        <v>8298541</v>
      </c>
      <c r="WWN538" s="1170">
        <v>8298541</v>
      </c>
      <c r="WWO538" s="1170">
        <v>8298541</v>
      </c>
      <c r="WWP538" s="1170">
        <v>8298541</v>
      </c>
      <c r="WWQ538" s="1170">
        <v>8298541</v>
      </c>
      <c r="WWR538" s="1170">
        <v>8298541</v>
      </c>
      <c r="WWS538" s="1170">
        <v>8298541</v>
      </c>
      <c r="WWT538" s="1170">
        <v>8298541</v>
      </c>
      <c r="WWU538" s="1170">
        <v>8298541</v>
      </c>
      <c r="WWV538" s="1170">
        <v>8298541</v>
      </c>
      <c r="WWW538" s="1170">
        <v>8298541</v>
      </c>
      <c r="WWX538" s="1170">
        <v>8298541</v>
      </c>
      <c r="WWY538" s="1170">
        <v>8298541</v>
      </c>
      <c r="WWZ538" s="1170">
        <v>8298541</v>
      </c>
      <c r="WXA538" s="1170">
        <v>8298541</v>
      </c>
      <c r="WXB538" s="1170">
        <v>8298541</v>
      </c>
      <c r="WXC538" s="1170">
        <v>8298541</v>
      </c>
      <c r="WXD538" s="1170">
        <v>8298541</v>
      </c>
      <c r="WXE538" s="1170">
        <v>8298541</v>
      </c>
      <c r="WXF538" s="1170">
        <v>8298541</v>
      </c>
      <c r="WXG538" s="1170">
        <v>8298541</v>
      </c>
      <c r="WXH538" s="1170">
        <v>8298541</v>
      </c>
      <c r="WXI538" s="1170">
        <v>8298541</v>
      </c>
      <c r="WXJ538" s="1170">
        <v>8298541</v>
      </c>
      <c r="WXK538" s="1170">
        <v>8298541</v>
      </c>
      <c r="WXL538" s="1170">
        <v>8298541</v>
      </c>
      <c r="WXM538" s="1170">
        <v>8298541</v>
      </c>
      <c r="WXN538" s="1170">
        <v>8298541</v>
      </c>
      <c r="WXO538" s="1170">
        <v>8298541</v>
      </c>
      <c r="WXP538" s="1170">
        <v>8298541</v>
      </c>
      <c r="WXQ538" s="1170">
        <v>8298541</v>
      </c>
      <c r="WXR538" s="1170">
        <v>8298541</v>
      </c>
      <c r="WXS538" s="1170">
        <v>8298541</v>
      </c>
      <c r="WXT538" s="1170">
        <v>8298541</v>
      </c>
      <c r="WXU538" s="1170">
        <v>8298541</v>
      </c>
      <c r="WXV538" s="1170">
        <v>8298541</v>
      </c>
      <c r="WXW538" s="1170">
        <v>8298541</v>
      </c>
      <c r="WXX538" s="1170">
        <v>8298541</v>
      </c>
      <c r="WXY538" s="1170">
        <v>8298541</v>
      </c>
      <c r="WXZ538" s="1170">
        <v>8298541</v>
      </c>
      <c r="WYA538" s="1170">
        <v>8298541</v>
      </c>
      <c r="WYB538" s="1170">
        <v>8298541</v>
      </c>
      <c r="WYC538" s="1170">
        <v>8298541</v>
      </c>
      <c r="WYD538" s="1170">
        <v>8298541</v>
      </c>
      <c r="WYE538" s="1170">
        <v>8298541</v>
      </c>
      <c r="WYF538" s="1170">
        <v>8298541</v>
      </c>
      <c r="WYG538" s="1170">
        <v>8298541</v>
      </c>
      <c r="WYH538" s="1170">
        <v>8298541</v>
      </c>
      <c r="WYI538" s="1170">
        <v>8298541</v>
      </c>
      <c r="WYJ538" s="1170">
        <v>8298541</v>
      </c>
      <c r="WYK538" s="1170">
        <v>8298541</v>
      </c>
      <c r="WYL538" s="1170">
        <v>8298541</v>
      </c>
      <c r="WYM538" s="1170">
        <v>8298541</v>
      </c>
      <c r="WYN538" s="1170">
        <v>8298541</v>
      </c>
      <c r="WYO538" s="1170">
        <v>8298541</v>
      </c>
      <c r="WYP538" s="1170">
        <v>8298541</v>
      </c>
      <c r="WYQ538" s="1170">
        <v>8298541</v>
      </c>
      <c r="WYR538" s="1170">
        <v>8298541</v>
      </c>
      <c r="WYS538" s="1170">
        <v>8298541</v>
      </c>
      <c r="WYT538" s="1170">
        <v>8298541</v>
      </c>
      <c r="WYU538" s="1170">
        <v>8298541</v>
      </c>
      <c r="WYV538" s="1170">
        <v>8298541</v>
      </c>
      <c r="WYW538" s="1170">
        <v>8298541</v>
      </c>
      <c r="WYX538" s="1170">
        <v>8298541</v>
      </c>
      <c r="WYY538" s="1170">
        <v>8298541</v>
      </c>
      <c r="WYZ538" s="1170">
        <v>8298541</v>
      </c>
      <c r="WZA538" s="1170">
        <v>8298541</v>
      </c>
      <c r="WZB538" s="1170">
        <v>8298541</v>
      </c>
      <c r="WZC538" s="1170">
        <v>8298541</v>
      </c>
      <c r="WZD538" s="1170">
        <v>8298541</v>
      </c>
      <c r="WZE538" s="1170">
        <v>8298541</v>
      </c>
      <c r="WZF538" s="1170">
        <v>8298541</v>
      </c>
      <c r="WZG538" s="1170">
        <v>8298541</v>
      </c>
      <c r="WZH538" s="1170">
        <v>8298541</v>
      </c>
      <c r="WZI538" s="1170">
        <v>8298541</v>
      </c>
      <c r="WZJ538" s="1170">
        <v>8298541</v>
      </c>
      <c r="WZK538" s="1170">
        <v>8298541</v>
      </c>
      <c r="WZL538" s="1170">
        <v>8298541</v>
      </c>
      <c r="WZM538" s="1170">
        <v>8298541</v>
      </c>
      <c r="WZN538" s="1170">
        <v>8298541</v>
      </c>
      <c r="WZO538" s="1170">
        <v>8298541</v>
      </c>
      <c r="WZP538" s="1170">
        <v>8298541</v>
      </c>
      <c r="WZQ538" s="1170">
        <v>8298541</v>
      </c>
      <c r="WZR538" s="1170">
        <v>8298541</v>
      </c>
      <c r="WZS538" s="1170">
        <v>8298541</v>
      </c>
      <c r="WZT538" s="1170">
        <v>8298541</v>
      </c>
      <c r="WZU538" s="1170">
        <v>8298541</v>
      </c>
      <c r="WZV538" s="1170">
        <v>8298541</v>
      </c>
      <c r="WZW538" s="1170">
        <v>8298541</v>
      </c>
      <c r="WZX538" s="1170">
        <v>8298541</v>
      </c>
      <c r="WZY538" s="1170">
        <v>8298541</v>
      </c>
      <c r="WZZ538" s="1170">
        <v>8298541</v>
      </c>
      <c r="XAA538" s="1170">
        <v>8298541</v>
      </c>
      <c r="XAB538" s="1170">
        <v>8298541</v>
      </c>
      <c r="XAC538" s="1170">
        <v>8298541</v>
      </c>
      <c r="XAD538" s="1170">
        <v>8298541</v>
      </c>
      <c r="XAE538" s="1170">
        <v>8298541</v>
      </c>
      <c r="XAF538" s="1170">
        <v>8298541</v>
      </c>
      <c r="XAG538" s="1170">
        <v>8298541</v>
      </c>
      <c r="XAH538" s="1170">
        <v>8298541</v>
      </c>
      <c r="XAI538" s="1170">
        <v>8298541</v>
      </c>
      <c r="XAJ538" s="1170">
        <v>8298541</v>
      </c>
      <c r="XAK538" s="1170">
        <v>8298541</v>
      </c>
      <c r="XAL538" s="1170">
        <v>8298541</v>
      </c>
      <c r="XAM538" s="1170">
        <v>8298541</v>
      </c>
      <c r="XAN538" s="1170">
        <v>8298541</v>
      </c>
      <c r="XAO538" s="1170">
        <v>8298541</v>
      </c>
      <c r="XAP538" s="1170">
        <v>8298541</v>
      </c>
      <c r="XAQ538" s="1170">
        <v>8298541</v>
      </c>
      <c r="XAR538" s="1170">
        <v>8298541</v>
      </c>
      <c r="XAS538" s="1170">
        <v>8298541</v>
      </c>
      <c r="XAT538" s="1170">
        <v>8298541</v>
      </c>
      <c r="XAU538" s="1170">
        <v>8298541</v>
      </c>
      <c r="XAV538" s="1170">
        <v>8298541</v>
      </c>
      <c r="XAW538" s="1170">
        <v>8298541</v>
      </c>
      <c r="XAX538" s="1170">
        <v>8298541</v>
      </c>
      <c r="XAY538" s="1170">
        <v>8298541</v>
      </c>
      <c r="XAZ538" s="1170">
        <v>8298541</v>
      </c>
      <c r="XBA538" s="1170">
        <v>8298541</v>
      </c>
      <c r="XBB538" s="1170">
        <v>8298541</v>
      </c>
      <c r="XBC538" s="1170">
        <v>8298541</v>
      </c>
      <c r="XBD538" s="1170">
        <v>8298541</v>
      </c>
      <c r="XBE538" s="1170">
        <v>8298541</v>
      </c>
      <c r="XBF538" s="1170">
        <v>8298541</v>
      </c>
      <c r="XBG538" s="1170">
        <v>8298541</v>
      </c>
      <c r="XBH538" s="1170">
        <v>8298541</v>
      </c>
      <c r="XBI538" s="1170">
        <v>8298541</v>
      </c>
      <c r="XBJ538" s="1170">
        <v>8298541</v>
      </c>
      <c r="XBK538" s="1170">
        <v>8298541</v>
      </c>
      <c r="XBL538" s="1170">
        <v>8298541</v>
      </c>
    </row>
    <row r="539" spans="1:16288" s="1137" customFormat="1" ht="55.9" customHeight="1">
      <c r="A539" s="1280">
        <v>99</v>
      </c>
      <c r="B539" s="1169" t="s">
        <v>1379</v>
      </c>
      <c r="C539" s="1129">
        <f t="shared" si="219"/>
        <v>6786292.6299999999</v>
      </c>
      <c r="D539" s="1129">
        <f t="shared" si="220"/>
        <v>0</v>
      </c>
      <c r="E539" s="1129">
        <v>0</v>
      </c>
      <c r="F539" s="1129">
        <v>0</v>
      </c>
      <c r="G539" s="1129">
        <v>0</v>
      </c>
      <c r="H539" s="1129">
        <v>0</v>
      </c>
      <c r="I539" s="1129">
        <v>0</v>
      </c>
      <c r="J539" s="1129">
        <v>0</v>
      </c>
      <c r="K539" s="1136">
        <v>0</v>
      </c>
      <c r="L539" s="1129">
        <v>0</v>
      </c>
      <c r="M539" s="1136">
        <v>0</v>
      </c>
      <c r="N539" s="1129">
        <v>0</v>
      </c>
      <c r="O539" s="1129">
        <v>870</v>
      </c>
      <c r="P539" s="1129">
        <v>2730723</v>
      </c>
      <c r="Q539" s="1129">
        <v>0</v>
      </c>
      <c r="R539" s="1129">
        <v>0</v>
      </c>
      <c r="S539" s="1129">
        <v>1461.94</v>
      </c>
      <c r="T539" s="1129">
        <v>3580760.63</v>
      </c>
      <c r="U539" s="1129">
        <v>0</v>
      </c>
      <c r="V539" s="1129">
        <v>0</v>
      </c>
      <c r="W539" s="1167">
        <v>0</v>
      </c>
      <c r="X539" s="1129">
        <v>474809</v>
      </c>
      <c r="Y539" s="1129">
        <v>0</v>
      </c>
    </row>
    <row r="540" spans="1:16288" s="1137" customFormat="1" ht="55.9" customHeight="1">
      <c r="A540" s="1280">
        <v>100</v>
      </c>
      <c r="B540" s="1169" t="s">
        <v>1207</v>
      </c>
      <c r="C540" s="1129">
        <f t="shared" si="219"/>
        <v>7969042.5600000005</v>
      </c>
      <c r="D540" s="1129">
        <f t="shared" si="220"/>
        <v>0</v>
      </c>
      <c r="E540" s="1129">
        <v>0</v>
      </c>
      <c r="F540" s="1129">
        <v>0</v>
      </c>
      <c r="G540" s="1129">
        <v>0</v>
      </c>
      <c r="H540" s="1129">
        <v>0</v>
      </c>
      <c r="I540" s="1129">
        <v>0</v>
      </c>
      <c r="J540" s="1129">
        <v>0</v>
      </c>
      <c r="K540" s="1136">
        <v>0</v>
      </c>
      <c r="L540" s="1129">
        <v>0</v>
      </c>
      <c r="M540" s="1136">
        <v>0</v>
      </c>
      <c r="N540" s="1129">
        <v>0</v>
      </c>
      <c r="O540" s="1129">
        <v>1237</v>
      </c>
      <c r="P540" s="1129">
        <v>3882649</v>
      </c>
      <c r="Q540" s="1129">
        <v>0</v>
      </c>
      <c r="R540" s="1129">
        <v>0</v>
      </c>
      <c r="S540" s="1129">
        <v>1480.24</v>
      </c>
      <c r="T540" s="1129">
        <v>3619741.56</v>
      </c>
      <c r="U540" s="1129">
        <v>0</v>
      </c>
      <c r="V540" s="1129">
        <v>0</v>
      </c>
      <c r="W540" s="1129">
        <v>0</v>
      </c>
      <c r="X540" s="1129">
        <v>466652</v>
      </c>
      <c r="Y540" s="1129">
        <v>0</v>
      </c>
    </row>
    <row r="541" spans="1:16288" s="1137" customFormat="1" ht="60.6" customHeight="1">
      <c r="A541" s="1280">
        <v>101</v>
      </c>
      <c r="B541" s="1169" t="s">
        <v>1050</v>
      </c>
      <c r="C541" s="1129">
        <f t="shared" si="219"/>
        <v>6458205</v>
      </c>
      <c r="D541" s="1129">
        <f t="shared" si="220"/>
        <v>0</v>
      </c>
      <c r="E541" s="1129">
        <v>0</v>
      </c>
      <c r="F541" s="1129">
        <v>0</v>
      </c>
      <c r="G541" s="1129">
        <v>0</v>
      </c>
      <c r="H541" s="1129">
        <v>0</v>
      </c>
      <c r="I541" s="1129">
        <v>0</v>
      </c>
      <c r="J541" s="1129">
        <v>0</v>
      </c>
      <c r="K541" s="1136">
        <v>0</v>
      </c>
      <c r="L541" s="1129">
        <v>0</v>
      </c>
      <c r="M541" s="1136">
        <v>0</v>
      </c>
      <c r="N541" s="1129">
        <v>0</v>
      </c>
      <c r="O541" s="1129">
        <v>0</v>
      </c>
      <c r="P541" s="1129">
        <v>0</v>
      </c>
      <c r="Q541" s="1129">
        <v>0</v>
      </c>
      <c r="R541" s="1129">
        <v>0</v>
      </c>
      <c r="S541" s="1129">
        <v>2427</v>
      </c>
      <c r="T541" s="1129">
        <v>5989114</v>
      </c>
      <c r="U541" s="1129">
        <v>0</v>
      </c>
      <c r="V541" s="1129">
        <v>0</v>
      </c>
      <c r="W541" s="1167">
        <v>0</v>
      </c>
      <c r="X541" s="1129">
        <v>469091</v>
      </c>
      <c r="Y541" s="1129">
        <v>0</v>
      </c>
    </row>
    <row r="542" spans="1:16288" s="1137" customFormat="1" ht="66.599999999999994" customHeight="1">
      <c r="A542" s="1280">
        <v>102</v>
      </c>
      <c r="B542" s="1169" t="s">
        <v>793</v>
      </c>
      <c r="C542" s="1129">
        <f t="shared" si="219"/>
        <v>3308450</v>
      </c>
      <c r="D542" s="1129">
        <f t="shared" si="220"/>
        <v>0</v>
      </c>
      <c r="E542" s="1129">
        <v>0</v>
      </c>
      <c r="F542" s="1129">
        <v>0</v>
      </c>
      <c r="G542" s="1129">
        <v>0</v>
      </c>
      <c r="H542" s="1129">
        <v>0</v>
      </c>
      <c r="I542" s="1129">
        <v>0</v>
      </c>
      <c r="J542" s="1129">
        <v>0</v>
      </c>
      <c r="K542" s="1136">
        <v>0</v>
      </c>
      <c r="L542" s="1129">
        <v>0</v>
      </c>
      <c r="M542" s="1136">
        <v>0</v>
      </c>
      <c r="N542" s="1129">
        <v>0</v>
      </c>
      <c r="O542" s="1129">
        <v>977.5</v>
      </c>
      <c r="P542" s="1129">
        <v>3068141</v>
      </c>
      <c r="Q542" s="1129">
        <v>0</v>
      </c>
      <c r="R542" s="1129">
        <v>0</v>
      </c>
      <c r="S542" s="1129">
        <v>0</v>
      </c>
      <c r="T542" s="1129">
        <v>0</v>
      </c>
      <c r="U542" s="1129">
        <v>0</v>
      </c>
      <c r="V542" s="1129">
        <v>0</v>
      </c>
      <c r="W542" s="1129">
        <v>0</v>
      </c>
      <c r="X542" s="1129">
        <v>240309</v>
      </c>
      <c r="Y542" s="1129">
        <v>0</v>
      </c>
    </row>
    <row r="543" spans="1:16288" s="1137" customFormat="1" ht="87.6" customHeight="1">
      <c r="A543" s="1280"/>
      <c r="B543" s="1135" t="s">
        <v>1872</v>
      </c>
      <c r="C543" s="1129">
        <f>SUM(C544:C557)</f>
        <v>28363925.050000001</v>
      </c>
      <c r="D543" s="1129">
        <f t="shared" ref="D543:Y543" si="221">SUM(D544:D557)</f>
        <v>11163689.83</v>
      </c>
      <c r="E543" s="1129">
        <f t="shared" si="221"/>
        <v>0</v>
      </c>
      <c r="F543" s="1129">
        <f t="shared" si="221"/>
        <v>0</v>
      </c>
      <c r="G543" s="1129">
        <f t="shared" si="221"/>
        <v>0</v>
      </c>
      <c r="H543" s="1129">
        <f t="shared" si="221"/>
        <v>10809859</v>
      </c>
      <c r="I543" s="1129">
        <f t="shared" si="221"/>
        <v>0</v>
      </c>
      <c r="J543" s="1129">
        <f t="shared" si="221"/>
        <v>353830.83</v>
      </c>
      <c r="K543" s="1136">
        <f t="shared" si="221"/>
        <v>0</v>
      </c>
      <c r="L543" s="1129">
        <f t="shared" si="221"/>
        <v>0</v>
      </c>
      <c r="M543" s="1136">
        <f t="shared" si="221"/>
        <v>0</v>
      </c>
      <c r="N543" s="1129">
        <f t="shared" si="221"/>
        <v>0</v>
      </c>
      <c r="O543" s="1129">
        <f t="shared" si="221"/>
        <v>3220.96</v>
      </c>
      <c r="P543" s="1129">
        <f t="shared" si="221"/>
        <v>9932575.2800000012</v>
      </c>
      <c r="Q543" s="1129">
        <f t="shared" si="221"/>
        <v>0</v>
      </c>
      <c r="R543" s="1129">
        <f t="shared" si="221"/>
        <v>0</v>
      </c>
      <c r="S543" s="1129">
        <f t="shared" si="221"/>
        <v>2061.59</v>
      </c>
      <c r="T543" s="1129">
        <f t="shared" si="221"/>
        <v>5087390</v>
      </c>
      <c r="U543" s="1129">
        <f t="shared" si="221"/>
        <v>0</v>
      </c>
      <c r="V543" s="1129">
        <f t="shared" si="221"/>
        <v>0</v>
      </c>
      <c r="W543" s="1167">
        <v>0</v>
      </c>
      <c r="X543" s="1129">
        <f t="shared" si="221"/>
        <v>2050804.94</v>
      </c>
      <c r="Y543" s="1129">
        <f t="shared" si="221"/>
        <v>129465</v>
      </c>
    </row>
    <row r="544" spans="1:16288" s="1137" customFormat="1" ht="61.9" customHeight="1">
      <c r="A544" s="1280">
        <v>103</v>
      </c>
      <c r="B544" s="1128" t="s">
        <v>1668</v>
      </c>
      <c r="C544" s="1129">
        <f>D544+N544+P544+R544+T544+V544+X544</f>
        <v>2547928</v>
      </c>
      <c r="D544" s="1129">
        <f t="shared" ref="D544" si="222">SUM(E544:J544)</f>
        <v>0</v>
      </c>
      <c r="E544" s="1129">
        <v>0</v>
      </c>
      <c r="F544" s="1129">
        <v>0</v>
      </c>
      <c r="G544" s="1129">
        <v>0</v>
      </c>
      <c r="H544" s="1129">
        <v>0</v>
      </c>
      <c r="I544" s="1129">
        <v>0</v>
      </c>
      <c r="J544" s="1129">
        <v>0</v>
      </c>
      <c r="K544" s="1136">
        <v>0</v>
      </c>
      <c r="L544" s="1129">
        <v>0</v>
      </c>
      <c r="M544" s="1136">
        <v>0</v>
      </c>
      <c r="N544" s="1129">
        <v>0</v>
      </c>
      <c r="O544" s="1129">
        <v>752.8</v>
      </c>
      <c r="P544" s="1129">
        <v>2362860</v>
      </c>
      <c r="Q544" s="1129">
        <v>0</v>
      </c>
      <c r="R544" s="1129">
        <v>0</v>
      </c>
      <c r="S544" s="1129">
        <v>0</v>
      </c>
      <c r="T544" s="1129">
        <v>0</v>
      </c>
      <c r="U544" s="1129">
        <v>0</v>
      </c>
      <c r="V544" s="1129">
        <v>0</v>
      </c>
      <c r="W544" s="1129">
        <v>0</v>
      </c>
      <c r="X544" s="1129">
        <v>185068</v>
      </c>
      <c r="Y544" s="1129">
        <v>0</v>
      </c>
    </row>
    <row r="545" spans="1:25" s="1137" customFormat="1" ht="70.150000000000006" customHeight="1">
      <c r="A545" s="1280">
        <v>104</v>
      </c>
      <c r="B545" s="1128" t="s">
        <v>1581</v>
      </c>
      <c r="C545" s="1129">
        <f t="shared" ref="C545:C556" si="223">D545+N545+P545+R545+T545+V545+X545</f>
        <v>1259274</v>
      </c>
      <c r="D545" s="1129">
        <f t="shared" ref="D545:D556" si="224">SUM(E545:J545)</f>
        <v>0</v>
      </c>
      <c r="E545" s="1129">
        <v>0</v>
      </c>
      <c r="F545" s="1129">
        <v>0</v>
      </c>
      <c r="G545" s="1129">
        <v>0</v>
      </c>
      <c r="H545" s="1129">
        <v>0</v>
      </c>
      <c r="I545" s="1129">
        <v>0</v>
      </c>
      <c r="J545" s="1129">
        <v>0</v>
      </c>
      <c r="K545" s="1136">
        <v>0</v>
      </c>
      <c r="L545" s="1129">
        <v>0</v>
      </c>
      <c r="M545" s="1136">
        <v>0</v>
      </c>
      <c r="N545" s="1129">
        <v>0</v>
      </c>
      <c r="O545" s="1129">
        <v>372.06</v>
      </c>
      <c r="P545" s="1129">
        <v>1167807</v>
      </c>
      <c r="Q545" s="1129">
        <v>0</v>
      </c>
      <c r="R545" s="1129">
        <v>0</v>
      </c>
      <c r="S545" s="1129">
        <v>0</v>
      </c>
      <c r="T545" s="1129">
        <v>0</v>
      </c>
      <c r="U545" s="1129">
        <v>0</v>
      </c>
      <c r="V545" s="1129">
        <v>0</v>
      </c>
      <c r="W545" s="1167">
        <v>0</v>
      </c>
      <c r="X545" s="1129">
        <v>91467</v>
      </c>
      <c r="Y545" s="1129">
        <v>0</v>
      </c>
    </row>
    <row r="546" spans="1:25" s="1137" customFormat="1" ht="94.9" customHeight="1">
      <c r="A546" s="1280">
        <v>105</v>
      </c>
      <c r="B546" s="1128" t="s">
        <v>2276</v>
      </c>
      <c r="C546" s="1129">
        <f t="shared" si="223"/>
        <v>3036379</v>
      </c>
      <c r="D546" s="1129">
        <f t="shared" si="224"/>
        <v>2815832</v>
      </c>
      <c r="E546" s="1129">
        <v>0</v>
      </c>
      <c r="F546" s="1129">
        <v>0</v>
      </c>
      <c r="G546" s="1129">
        <v>0</v>
      </c>
      <c r="H546" s="1129">
        <v>2815832</v>
      </c>
      <c r="I546" s="1129">
        <v>0</v>
      </c>
      <c r="J546" s="1129">
        <v>0</v>
      </c>
      <c r="K546" s="1136">
        <v>0</v>
      </c>
      <c r="L546" s="1129">
        <v>0</v>
      </c>
      <c r="M546" s="1136">
        <v>0</v>
      </c>
      <c r="N546" s="1129">
        <v>0</v>
      </c>
      <c r="O546" s="1129">
        <v>0</v>
      </c>
      <c r="P546" s="1129">
        <v>0</v>
      </c>
      <c r="Q546" s="1129">
        <v>0</v>
      </c>
      <c r="R546" s="1129">
        <v>0</v>
      </c>
      <c r="S546" s="1129">
        <v>0</v>
      </c>
      <c r="T546" s="1129">
        <v>0</v>
      </c>
      <c r="U546" s="1129">
        <v>0</v>
      </c>
      <c r="V546" s="1129">
        <v>0</v>
      </c>
      <c r="W546" s="1129">
        <v>0</v>
      </c>
      <c r="X546" s="1129">
        <v>220547</v>
      </c>
      <c r="Y546" s="1129">
        <v>0</v>
      </c>
    </row>
    <row r="547" spans="1:25" s="1137" customFormat="1" ht="58.15" customHeight="1">
      <c r="A547" s="1280">
        <v>106</v>
      </c>
      <c r="B547" s="1128" t="s">
        <v>1279</v>
      </c>
      <c r="C547" s="1129">
        <f t="shared" si="223"/>
        <v>5301433</v>
      </c>
      <c r="D547" s="1129">
        <f t="shared" si="224"/>
        <v>4916364</v>
      </c>
      <c r="E547" s="1129">
        <v>0</v>
      </c>
      <c r="F547" s="1129">
        <v>0</v>
      </c>
      <c r="G547" s="1129">
        <v>0</v>
      </c>
      <c r="H547" s="1129">
        <v>4916364</v>
      </c>
      <c r="I547" s="1129">
        <v>0</v>
      </c>
      <c r="J547" s="1129">
        <v>0</v>
      </c>
      <c r="K547" s="1136">
        <v>0</v>
      </c>
      <c r="L547" s="1129">
        <v>0</v>
      </c>
      <c r="M547" s="1136">
        <v>0</v>
      </c>
      <c r="N547" s="1129">
        <v>0</v>
      </c>
      <c r="O547" s="1129">
        <v>0</v>
      </c>
      <c r="P547" s="1129">
        <v>0</v>
      </c>
      <c r="Q547" s="1129">
        <v>0</v>
      </c>
      <c r="R547" s="1129">
        <v>0</v>
      </c>
      <c r="S547" s="1129">
        <v>0</v>
      </c>
      <c r="T547" s="1129">
        <v>0</v>
      </c>
      <c r="U547" s="1129">
        <v>0</v>
      </c>
      <c r="V547" s="1129">
        <v>0</v>
      </c>
      <c r="W547" s="1167">
        <v>0</v>
      </c>
      <c r="X547" s="1129">
        <v>385069</v>
      </c>
      <c r="Y547" s="1129">
        <v>0</v>
      </c>
    </row>
    <row r="548" spans="1:25" s="1137" customFormat="1" ht="93.6" customHeight="1">
      <c r="A548" s="1280">
        <v>107</v>
      </c>
      <c r="B548" s="1128" t="s">
        <v>2824</v>
      </c>
      <c r="C548" s="1129">
        <f t="shared" si="223"/>
        <v>1274980</v>
      </c>
      <c r="D548" s="1129">
        <f t="shared" si="224"/>
        <v>0</v>
      </c>
      <c r="E548" s="1129">
        <v>0</v>
      </c>
      <c r="F548" s="1129">
        <v>0</v>
      </c>
      <c r="G548" s="1129">
        <v>0</v>
      </c>
      <c r="H548" s="1129">
        <v>0</v>
      </c>
      <c r="I548" s="1129">
        <v>0</v>
      </c>
      <c r="J548" s="1129">
        <v>0</v>
      </c>
      <c r="K548" s="1136">
        <v>0</v>
      </c>
      <c r="L548" s="1129">
        <v>0</v>
      </c>
      <c r="M548" s="1136">
        <v>0</v>
      </c>
      <c r="N548" s="1129">
        <v>0</v>
      </c>
      <c r="O548" s="1129">
        <v>376.7</v>
      </c>
      <c r="P548" s="1129">
        <v>1182372</v>
      </c>
      <c r="Q548" s="1129">
        <v>0</v>
      </c>
      <c r="R548" s="1129">
        <v>0</v>
      </c>
      <c r="S548" s="1129">
        <v>0</v>
      </c>
      <c r="T548" s="1129">
        <v>0</v>
      </c>
      <c r="U548" s="1129">
        <v>0</v>
      </c>
      <c r="V548" s="1129">
        <v>0</v>
      </c>
      <c r="W548" s="1129">
        <v>0</v>
      </c>
      <c r="X548" s="1129">
        <v>92608</v>
      </c>
      <c r="Y548" s="1129">
        <v>0</v>
      </c>
    </row>
    <row r="549" spans="1:25" s="1137" customFormat="1" ht="61.9" customHeight="1">
      <c r="A549" s="1280">
        <v>108</v>
      </c>
      <c r="B549" s="1128" t="s">
        <v>1281</v>
      </c>
      <c r="C549" s="1129">
        <f t="shared" si="223"/>
        <v>3318717</v>
      </c>
      <c r="D549" s="1129">
        <f t="shared" si="224"/>
        <v>3077663</v>
      </c>
      <c r="E549" s="1129">
        <v>0</v>
      </c>
      <c r="F549" s="1129">
        <v>0</v>
      </c>
      <c r="G549" s="1129">
        <v>0</v>
      </c>
      <c r="H549" s="1129">
        <v>3077663</v>
      </c>
      <c r="I549" s="1129">
        <v>0</v>
      </c>
      <c r="J549" s="1129">
        <v>0</v>
      </c>
      <c r="K549" s="1136">
        <v>0</v>
      </c>
      <c r="L549" s="1129">
        <v>0</v>
      </c>
      <c r="M549" s="1136">
        <v>0</v>
      </c>
      <c r="N549" s="1129">
        <v>0</v>
      </c>
      <c r="O549" s="1129">
        <v>0</v>
      </c>
      <c r="P549" s="1129">
        <v>0</v>
      </c>
      <c r="Q549" s="1129">
        <v>0</v>
      </c>
      <c r="R549" s="1129">
        <v>0</v>
      </c>
      <c r="S549" s="1129">
        <v>0</v>
      </c>
      <c r="T549" s="1129">
        <v>0</v>
      </c>
      <c r="U549" s="1129">
        <v>0</v>
      </c>
      <c r="V549" s="1129">
        <v>0</v>
      </c>
      <c r="W549" s="1167">
        <v>0</v>
      </c>
      <c r="X549" s="1129">
        <v>241054</v>
      </c>
      <c r="Y549" s="1129">
        <v>0</v>
      </c>
    </row>
    <row r="550" spans="1:25" s="1137" customFormat="1" ht="73.900000000000006" customHeight="1">
      <c r="A550" s="1280">
        <v>109</v>
      </c>
      <c r="B550" s="1128" t="s">
        <v>1282</v>
      </c>
      <c r="C550" s="1129">
        <f t="shared" si="223"/>
        <v>381544.23000000004</v>
      </c>
      <c r="D550" s="1129">
        <f t="shared" si="224"/>
        <v>353830.83</v>
      </c>
      <c r="E550" s="1129">
        <v>0</v>
      </c>
      <c r="F550" s="1129">
        <v>0</v>
      </c>
      <c r="G550" s="1129">
        <v>0</v>
      </c>
      <c r="H550" s="1129">
        <v>0</v>
      </c>
      <c r="I550" s="1129">
        <v>0</v>
      </c>
      <c r="J550" s="1129">
        <v>353830.83</v>
      </c>
      <c r="K550" s="1136">
        <v>0</v>
      </c>
      <c r="L550" s="1129">
        <v>0</v>
      </c>
      <c r="M550" s="1136">
        <v>0</v>
      </c>
      <c r="N550" s="1129">
        <v>0</v>
      </c>
      <c r="O550" s="1129">
        <v>0</v>
      </c>
      <c r="P550" s="1129">
        <v>0</v>
      </c>
      <c r="Q550" s="1129">
        <v>0</v>
      </c>
      <c r="R550" s="1129">
        <v>0</v>
      </c>
      <c r="S550" s="1129">
        <v>0</v>
      </c>
      <c r="T550" s="1129">
        <v>0</v>
      </c>
      <c r="U550" s="1129">
        <v>0</v>
      </c>
      <c r="V550" s="1129">
        <v>0</v>
      </c>
      <c r="W550" s="1129">
        <v>0</v>
      </c>
      <c r="X550" s="1129">
        <v>27713.4</v>
      </c>
      <c r="Y550" s="1129">
        <v>0</v>
      </c>
    </row>
    <row r="551" spans="1:25" s="1137" customFormat="1" ht="93.6" customHeight="1">
      <c r="A551" s="1280">
        <v>110</v>
      </c>
      <c r="B551" s="1128" t="s">
        <v>1863</v>
      </c>
      <c r="C551" s="1129">
        <f t="shared" si="223"/>
        <v>1065134</v>
      </c>
      <c r="D551" s="1129">
        <f t="shared" si="224"/>
        <v>0</v>
      </c>
      <c r="E551" s="1129">
        <v>0</v>
      </c>
      <c r="F551" s="1129">
        <v>0</v>
      </c>
      <c r="G551" s="1129">
        <v>0</v>
      </c>
      <c r="H551" s="1129">
        <v>0</v>
      </c>
      <c r="I551" s="1129">
        <v>0</v>
      </c>
      <c r="J551" s="1129">
        <v>0</v>
      </c>
      <c r="K551" s="1136">
        <v>0</v>
      </c>
      <c r="L551" s="1129">
        <v>0</v>
      </c>
      <c r="M551" s="1136">
        <v>0</v>
      </c>
      <c r="N551" s="1129">
        <v>0</v>
      </c>
      <c r="O551" s="1129">
        <v>314.7</v>
      </c>
      <c r="P551" s="1129">
        <v>987768</v>
      </c>
      <c r="Q551" s="1129">
        <v>0</v>
      </c>
      <c r="R551" s="1129">
        <v>0</v>
      </c>
      <c r="S551" s="1129">
        <v>0</v>
      </c>
      <c r="T551" s="1129">
        <v>0</v>
      </c>
      <c r="U551" s="1129">
        <v>0</v>
      </c>
      <c r="V551" s="1129">
        <v>0</v>
      </c>
      <c r="W551" s="1167">
        <v>0</v>
      </c>
      <c r="X551" s="1129">
        <v>77366</v>
      </c>
      <c r="Y551" s="1129">
        <v>0</v>
      </c>
    </row>
    <row r="552" spans="1:25" s="1137" customFormat="1" ht="58.15" customHeight="1">
      <c r="A552" s="1280">
        <v>111</v>
      </c>
      <c r="B552" s="1128" t="s">
        <v>1092</v>
      </c>
      <c r="C552" s="1129">
        <f>D552+N552+P552+R552+T552+V552+X552+Y552</f>
        <v>129465</v>
      </c>
      <c r="D552" s="1129">
        <f t="shared" si="224"/>
        <v>0</v>
      </c>
      <c r="E552" s="1129">
        <v>0</v>
      </c>
      <c r="F552" s="1129">
        <v>0</v>
      </c>
      <c r="G552" s="1129">
        <v>0</v>
      </c>
      <c r="H552" s="1129">
        <v>0</v>
      </c>
      <c r="I552" s="1129">
        <v>0</v>
      </c>
      <c r="J552" s="1129">
        <v>0</v>
      </c>
      <c r="K552" s="1136">
        <v>0</v>
      </c>
      <c r="L552" s="1129">
        <v>0</v>
      </c>
      <c r="M552" s="1136">
        <v>0</v>
      </c>
      <c r="N552" s="1129">
        <v>0</v>
      </c>
      <c r="O552" s="1129">
        <v>0</v>
      </c>
      <c r="P552" s="1129">
        <v>0</v>
      </c>
      <c r="Q552" s="1129">
        <v>0</v>
      </c>
      <c r="R552" s="1129">
        <v>0</v>
      </c>
      <c r="S552" s="1129">
        <v>0</v>
      </c>
      <c r="T552" s="1129">
        <v>0</v>
      </c>
      <c r="U552" s="1129">
        <v>0</v>
      </c>
      <c r="V552" s="1129">
        <v>0</v>
      </c>
      <c r="W552" s="1167">
        <v>0</v>
      </c>
      <c r="X552" s="1129">
        <v>0</v>
      </c>
      <c r="Y552" s="1129">
        <v>129465</v>
      </c>
    </row>
    <row r="553" spans="1:25" s="1137" customFormat="1" ht="60.6" customHeight="1">
      <c r="A553" s="1280">
        <v>112</v>
      </c>
      <c r="B553" s="1128" t="s">
        <v>1275</v>
      </c>
      <c r="C553" s="1129">
        <f t="shared" si="223"/>
        <v>2058000.82</v>
      </c>
      <c r="D553" s="1129">
        <f t="shared" si="224"/>
        <v>0</v>
      </c>
      <c r="E553" s="1145">
        <v>0</v>
      </c>
      <c r="F553" s="1145">
        <v>0</v>
      </c>
      <c r="G553" s="1145">
        <v>0</v>
      </c>
      <c r="H553" s="1145">
        <v>0</v>
      </c>
      <c r="I553" s="1145">
        <v>0</v>
      </c>
      <c r="J553" s="1145">
        <v>0</v>
      </c>
      <c r="K553" s="1136">
        <v>0</v>
      </c>
      <c r="L553" s="1145">
        <v>0</v>
      </c>
      <c r="M553" s="1136">
        <v>0</v>
      </c>
      <c r="N553" s="1145">
        <v>0</v>
      </c>
      <c r="O553" s="1145">
        <v>482.7</v>
      </c>
      <c r="P553" s="1145">
        <v>1908518.28</v>
      </c>
      <c r="Q553" s="1145">
        <v>0</v>
      </c>
      <c r="R553" s="1145">
        <v>0</v>
      </c>
      <c r="S553" s="1145">
        <v>0</v>
      </c>
      <c r="T553" s="1145">
        <v>0</v>
      </c>
      <c r="U553" s="1145">
        <v>0</v>
      </c>
      <c r="V553" s="1145">
        <v>0</v>
      </c>
      <c r="W553" s="1129">
        <v>0</v>
      </c>
      <c r="X553" s="1145">
        <v>149482.54</v>
      </c>
      <c r="Y553" s="1145">
        <v>0</v>
      </c>
    </row>
    <row r="554" spans="1:25" s="1137" customFormat="1" ht="63" customHeight="1">
      <c r="A554" s="1280">
        <v>113</v>
      </c>
      <c r="B554" s="1128" t="s">
        <v>1276</v>
      </c>
      <c r="C554" s="1129">
        <f t="shared" si="223"/>
        <v>2990944</v>
      </c>
      <c r="D554" s="1129">
        <f t="shared" si="224"/>
        <v>0</v>
      </c>
      <c r="E554" s="1145">
        <v>0</v>
      </c>
      <c r="F554" s="1145">
        <v>0</v>
      </c>
      <c r="G554" s="1145">
        <v>0</v>
      </c>
      <c r="H554" s="1145">
        <v>0</v>
      </c>
      <c r="I554" s="1145">
        <v>0</v>
      </c>
      <c r="J554" s="1145">
        <v>0</v>
      </c>
      <c r="K554" s="1136">
        <v>0</v>
      </c>
      <c r="L554" s="1145">
        <v>0</v>
      </c>
      <c r="M554" s="1136">
        <v>0</v>
      </c>
      <c r="N554" s="1145">
        <v>0</v>
      </c>
      <c r="O554" s="1145">
        <v>0</v>
      </c>
      <c r="P554" s="1145">
        <v>0</v>
      </c>
      <c r="Q554" s="1145">
        <v>0</v>
      </c>
      <c r="R554" s="1145">
        <v>0</v>
      </c>
      <c r="S554" s="1145">
        <v>1124</v>
      </c>
      <c r="T554" s="1145">
        <v>2773697</v>
      </c>
      <c r="U554" s="1145">
        <v>0</v>
      </c>
      <c r="V554" s="1145">
        <v>0</v>
      </c>
      <c r="W554" s="1167">
        <v>0</v>
      </c>
      <c r="X554" s="1145">
        <v>217247</v>
      </c>
      <c r="Y554" s="1145">
        <v>0</v>
      </c>
    </row>
    <row r="555" spans="1:25" s="1137" customFormat="1" ht="90" customHeight="1">
      <c r="A555" s="1280">
        <v>114</v>
      </c>
      <c r="B555" s="1128" t="s">
        <v>1864</v>
      </c>
      <c r="C555" s="1129">
        <f t="shared" si="223"/>
        <v>2494910</v>
      </c>
      <c r="D555" s="1129">
        <f t="shared" si="224"/>
        <v>0</v>
      </c>
      <c r="E555" s="1145">
        <v>0</v>
      </c>
      <c r="F555" s="1145">
        <v>0</v>
      </c>
      <c r="G555" s="1145">
        <v>0</v>
      </c>
      <c r="H555" s="1145">
        <v>0</v>
      </c>
      <c r="I555" s="1145">
        <v>0</v>
      </c>
      <c r="J555" s="1145">
        <v>0</v>
      </c>
      <c r="K555" s="1136">
        <v>0</v>
      </c>
      <c r="L555" s="1145">
        <v>0</v>
      </c>
      <c r="M555" s="1136">
        <v>0</v>
      </c>
      <c r="N555" s="1145">
        <v>0</v>
      </c>
      <c r="O555" s="1145">
        <v>0</v>
      </c>
      <c r="P555" s="1145">
        <v>0</v>
      </c>
      <c r="Q555" s="1145">
        <v>0</v>
      </c>
      <c r="R555" s="1145">
        <v>0</v>
      </c>
      <c r="S555" s="1145">
        <v>937.59</v>
      </c>
      <c r="T555" s="1145">
        <v>2313693</v>
      </c>
      <c r="U555" s="1145">
        <v>0</v>
      </c>
      <c r="V555" s="1145">
        <v>0</v>
      </c>
      <c r="W555" s="1129">
        <v>0</v>
      </c>
      <c r="X555" s="1145">
        <v>181217</v>
      </c>
      <c r="Y555" s="1145">
        <v>0</v>
      </c>
    </row>
    <row r="556" spans="1:25" s="1137" customFormat="1" ht="60" customHeight="1">
      <c r="A556" s="1280">
        <v>115</v>
      </c>
      <c r="B556" s="1128" t="s">
        <v>1278</v>
      </c>
      <c r="C556" s="1129">
        <f t="shared" si="223"/>
        <v>1244457</v>
      </c>
      <c r="D556" s="1129">
        <f t="shared" si="224"/>
        <v>0</v>
      </c>
      <c r="E556" s="1145">
        <v>0</v>
      </c>
      <c r="F556" s="1145">
        <v>0</v>
      </c>
      <c r="G556" s="1145">
        <v>0</v>
      </c>
      <c r="H556" s="1145">
        <v>0</v>
      </c>
      <c r="I556" s="1145">
        <v>0</v>
      </c>
      <c r="J556" s="1145">
        <v>0</v>
      </c>
      <c r="K556" s="1136">
        <v>0</v>
      </c>
      <c r="L556" s="1145">
        <v>0</v>
      </c>
      <c r="M556" s="1136">
        <v>0</v>
      </c>
      <c r="N556" s="1145">
        <v>0</v>
      </c>
      <c r="O556" s="1145">
        <v>458</v>
      </c>
      <c r="P556" s="1145">
        <v>1154066</v>
      </c>
      <c r="Q556" s="1145">
        <v>0</v>
      </c>
      <c r="R556" s="1145">
        <v>0</v>
      </c>
      <c r="S556" s="1145">
        <v>0</v>
      </c>
      <c r="T556" s="1145">
        <v>0</v>
      </c>
      <c r="U556" s="1145">
        <v>0</v>
      </c>
      <c r="V556" s="1145">
        <v>0</v>
      </c>
      <c r="W556" s="1167">
        <v>0</v>
      </c>
      <c r="X556" s="1145">
        <v>90391</v>
      </c>
      <c r="Y556" s="1145">
        <v>0</v>
      </c>
    </row>
    <row r="557" spans="1:25" s="1137" customFormat="1" ht="65.45" customHeight="1">
      <c r="A557" s="1280">
        <v>116</v>
      </c>
      <c r="B557" s="1128" t="s">
        <v>1272</v>
      </c>
      <c r="C557" s="1129">
        <f>D557+N557+P557+R557+T557+V557+X557</f>
        <v>1260759</v>
      </c>
      <c r="D557" s="1129">
        <f>SUM(E557:J557)</f>
        <v>0</v>
      </c>
      <c r="E557" s="1145">
        <v>0</v>
      </c>
      <c r="F557" s="1145">
        <v>0</v>
      </c>
      <c r="G557" s="1145">
        <v>0</v>
      </c>
      <c r="H557" s="1145">
        <v>0</v>
      </c>
      <c r="I557" s="1145">
        <v>0</v>
      </c>
      <c r="J557" s="1145">
        <v>0</v>
      </c>
      <c r="K557" s="1136">
        <v>0</v>
      </c>
      <c r="L557" s="1145">
        <v>0</v>
      </c>
      <c r="M557" s="1136">
        <v>0</v>
      </c>
      <c r="N557" s="1145">
        <v>0</v>
      </c>
      <c r="O557" s="1145">
        <v>464</v>
      </c>
      <c r="P557" s="1145">
        <v>1169184</v>
      </c>
      <c r="Q557" s="1145">
        <v>0</v>
      </c>
      <c r="R557" s="1145">
        <v>0</v>
      </c>
      <c r="S557" s="1145">
        <v>0</v>
      </c>
      <c r="T557" s="1145">
        <v>0</v>
      </c>
      <c r="U557" s="1145">
        <v>0</v>
      </c>
      <c r="V557" s="1145">
        <v>0</v>
      </c>
      <c r="W557" s="1129">
        <v>0</v>
      </c>
      <c r="X557" s="1145">
        <v>91575</v>
      </c>
      <c r="Y557" s="1145">
        <v>0</v>
      </c>
    </row>
    <row r="558" spans="1:25" s="1137" customFormat="1" ht="87.6" customHeight="1">
      <c r="A558" s="1280"/>
      <c r="B558" s="1128" t="s">
        <v>1124</v>
      </c>
      <c r="C558" s="1145">
        <f>SUM(C559:C563)</f>
        <v>19207237.27</v>
      </c>
      <c r="D558" s="1145">
        <f t="shared" ref="D558:Y558" si="225">SUM(D559:D563)</f>
        <v>4243317.2300000004</v>
      </c>
      <c r="E558" s="1145">
        <f t="shared" si="225"/>
        <v>0</v>
      </c>
      <c r="F558" s="1145">
        <f t="shared" si="225"/>
        <v>4243317.2300000004</v>
      </c>
      <c r="G558" s="1145">
        <f t="shared" si="225"/>
        <v>0</v>
      </c>
      <c r="H558" s="1145">
        <f t="shared" si="225"/>
        <v>0</v>
      </c>
      <c r="I558" s="1145">
        <f t="shared" si="225"/>
        <v>0</v>
      </c>
      <c r="J558" s="1145">
        <f t="shared" si="225"/>
        <v>0</v>
      </c>
      <c r="K558" s="1136">
        <f t="shared" si="225"/>
        <v>1</v>
      </c>
      <c r="L558" s="1145">
        <f t="shared" si="225"/>
        <v>328781.51</v>
      </c>
      <c r="M558" s="1136">
        <f t="shared" si="225"/>
        <v>0</v>
      </c>
      <c r="N558" s="1145">
        <f t="shared" si="225"/>
        <v>0</v>
      </c>
      <c r="O558" s="1145">
        <f t="shared" si="225"/>
        <v>3844</v>
      </c>
      <c r="P558" s="1145">
        <f t="shared" si="225"/>
        <v>13240024.149999999</v>
      </c>
      <c r="Q558" s="1145">
        <f t="shared" si="225"/>
        <v>0</v>
      </c>
      <c r="R558" s="1145">
        <f t="shared" si="225"/>
        <v>0</v>
      </c>
      <c r="S558" s="1145">
        <f t="shared" si="225"/>
        <v>0</v>
      </c>
      <c r="T558" s="1145">
        <f t="shared" si="225"/>
        <v>0</v>
      </c>
      <c r="U558" s="1145">
        <f t="shared" si="225"/>
        <v>0</v>
      </c>
      <c r="V558" s="1145">
        <f t="shared" si="225"/>
        <v>0</v>
      </c>
      <c r="W558" s="1167">
        <v>0</v>
      </c>
      <c r="X558" s="1145">
        <f t="shared" si="225"/>
        <v>1395114.3800000001</v>
      </c>
      <c r="Y558" s="1145">
        <f t="shared" si="225"/>
        <v>0</v>
      </c>
    </row>
    <row r="559" spans="1:25" s="1137" customFormat="1" ht="67.900000000000006" customHeight="1">
      <c r="A559" s="1280">
        <v>117</v>
      </c>
      <c r="B559" s="1135" t="s">
        <v>239</v>
      </c>
      <c r="C559" s="1129">
        <f t="shared" ref="C559:C562" si="226">D559+N559+P559+R559+T559+V559+X559</f>
        <v>4083473.54</v>
      </c>
      <c r="D559" s="1129">
        <f t="shared" ref="D559:D563" si="227">SUM(E559:J559)</f>
        <v>0</v>
      </c>
      <c r="E559" s="1145">
        <v>0</v>
      </c>
      <c r="F559" s="1145">
        <v>0</v>
      </c>
      <c r="G559" s="1145">
        <v>0</v>
      </c>
      <c r="H559" s="1145">
        <v>0</v>
      </c>
      <c r="I559" s="1145">
        <v>0</v>
      </c>
      <c r="J559" s="1145">
        <v>0</v>
      </c>
      <c r="K559" s="1136">
        <v>0</v>
      </c>
      <c r="L559" s="1145">
        <v>0</v>
      </c>
      <c r="M559" s="1136">
        <v>0</v>
      </c>
      <c r="N559" s="1145">
        <v>0</v>
      </c>
      <c r="O559" s="1135">
        <v>1130</v>
      </c>
      <c r="P559" s="1145">
        <v>3786871.14</v>
      </c>
      <c r="Q559" s="1145">
        <v>0</v>
      </c>
      <c r="R559" s="1145">
        <v>0</v>
      </c>
      <c r="S559" s="1145">
        <v>0</v>
      </c>
      <c r="T559" s="1145">
        <v>0</v>
      </c>
      <c r="U559" s="1145">
        <v>0</v>
      </c>
      <c r="V559" s="1145">
        <v>0</v>
      </c>
      <c r="W559" s="1129">
        <v>0</v>
      </c>
      <c r="X559" s="1145">
        <v>296602.40000000002</v>
      </c>
      <c r="Y559" s="1145">
        <v>0</v>
      </c>
    </row>
    <row r="560" spans="1:25" s="1137" customFormat="1" ht="63" customHeight="1">
      <c r="A560" s="1280">
        <v>118</v>
      </c>
      <c r="B560" s="1135" t="s">
        <v>1328</v>
      </c>
      <c r="C560" s="1129">
        <f t="shared" si="226"/>
        <v>4018427.0599999996</v>
      </c>
      <c r="D560" s="1129">
        <f t="shared" si="227"/>
        <v>0</v>
      </c>
      <c r="E560" s="1145">
        <v>0</v>
      </c>
      <c r="F560" s="1145">
        <v>0</v>
      </c>
      <c r="G560" s="1145">
        <v>0</v>
      </c>
      <c r="H560" s="1145">
        <v>0</v>
      </c>
      <c r="I560" s="1145">
        <v>0</v>
      </c>
      <c r="J560" s="1145">
        <v>0</v>
      </c>
      <c r="K560" s="1136">
        <v>0</v>
      </c>
      <c r="L560" s="1145">
        <v>0</v>
      </c>
      <c r="M560" s="1136">
        <v>0</v>
      </c>
      <c r="N560" s="1145">
        <v>0</v>
      </c>
      <c r="O560" s="1160">
        <v>1112</v>
      </c>
      <c r="P560" s="1145">
        <v>3726549.3</v>
      </c>
      <c r="Q560" s="1145">
        <v>0</v>
      </c>
      <c r="R560" s="1145">
        <v>0</v>
      </c>
      <c r="S560" s="1145">
        <v>0</v>
      </c>
      <c r="T560" s="1145">
        <v>0</v>
      </c>
      <c r="U560" s="1145">
        <v>0</v>
      </c>
      <c r="V560" s="1145">
        <v>0</v>
      </c>
      <c r="W560" s="1167">
        <v>0</v>
      </c>
      <c r="X560" s="1145">
        <v>291877.76000000001</v>
      </c>
      <c r="Y560" s="1145">
        <v>0</v>
      </c>
    </row>
    <row r="561" spans="1:25" s="1137" customFormat="1" ht="60.6" customHeight="1">
      <c r="A561" s="1280">
        <v>119</v>
      </c>
      <c r="B561" s="1135" t="s">
        <v>1329</v>
      </c>
      <c r="C561" s="1129">
        <f t="shared" si="226"/>
        <v>3642602.9499999997</v>
      </c>
      <c r="D561" s="1129">
        <f t="shared" si="227"/>
        <v>0</v>
      </c>
      <c r="E561" s="1145">
        <v>0</v>
      </c>
      <c r="F561" s="1145">
        <v>0</v>
      </c>
      <c r="G561" s="1145">
        <v>0</v>
      </c>
      <c r="H561" s="1145">
        <v>0</v>
      </c>
      <c r="I561" s="1145">
        <v>0</v>
      </c>
      <c r="J561" s="1145">
        <v>0</v>
      </c>
      <c r="K561" s="1136">
        <v>0</v>
      </c>
      <c r="L561" s="1145">
        <v>0</v>
      </c>
      <c r="M561" s="1136">
        <v>0</v>
      </c>
      <c r="N561" s="1145">
        <v>0</v>
      </c>
      <c r="O561" s="1160">
        <v>1008</v>
      </c>
      <c r="P561" s="1145">
        <v>3378023.11</v>
      </c>
      <c r="Q561" s="1145">
        <v>0</v>
      </c>
      <c r="R561" s="1145">
        <v>0</v>
      </c>
      <c r="S561" s="1145">
        <v>0</v>
      </c>
      <c r="T561" s="1145">
        <v>0</v>
      </c>
      <c r="U561" s="1145">
        <v>0</v>
      </c>
      <c r="V561" s="1145">
        <v>0</v>
      </c>
      <c r="W561" s="1167">
        <v>0</v>
      </c>
      <c r="X561" s="1145">
        <v>264579.84000000003</v>
      </c>
      <c r="Y561" s="1145">
        <v>0</v>
      </c>
    </row>
    <row r="562" spans="1:25" s="1171" customFormat="1" ht="61.9" customHeight="1">
      <c r="A562" s="1280">
        <v>120</v>
      </c>
      <c r="B562" s="1135" t="s">
        <v>1584</v>
      </c>
      <c r="C562" s="1129">
        <f t="shared" si="226"/>
        <v>2532530.52</v>
      </c>
      <c r="D562" s="1129">
        <f t="shared" si="227"/>
        <v>0</v>
      </c>
      <c r="E562" s="1145">
        <v>0</v>
      </c>
      <c r="F562" s="1145">
        <v>0</v>
      </c>
      <c r="G562" s="1145">
        <v>0</v>
      </c>
      <c r="H562" s="1145">
        <v>0</v>
      </c>
      <c r="I562" s="1145">
        <v>0</v>
      </c>
      <c r="J562" s="1145">
        <v>0</v>
      </c>
      <c r="K562" s="1136">
        <v>0</v>
      </c>
      <c r="L562" s="1145">
        <v>0</v>
      </c>
      <c r="M562" s="1136">
        <v>0</v>
      </c>
      <c r="N562" s="1145">
        <v>0</v>
      </c>
      <c r="O562" s="1160">
        <v>594</v>
      </c>
      <c r="P562" s="1145">
        <v>2348580.6</v>
      </c>
      <c r="Q562" s="1145">
        <v>0</v>
      </c>
      <c r="R562" s="1145">
        <v>0</v>
      </c>
      <c r="S562" s="1145">
        <v>0</v>
      </c>
      <c r="T562" s="1145">
        <v>0</v>
      </c>
      <c r="U562" s="1145">
        <v>0</v>
      </c>
      <c r="V562" s="1145">
        <v>0</v>
      </c>
      <c r="W562" s="1129">
        <v>0</v>
      </c>
      <c r="X562" s="1145">
        <v>183949.92</v>
      </c>
      <c r="Y562" s="1145">
        <v>0</v>
      </c>
    </row>
    <row r="563" spans="1:25" s="1171" customFormat="1" ht="64.150000000000006" customHeight="1">
      <c r="A563" s="1280">
        <v>121</v>
      </c>
      <c r="B563" s="1135" t="s">
        <v>1330</v>
      </c>
      <c r="C563" s="1129">
        <f>D563+N563+P563+R563+T563+V563+X563+L563</f>
        <v>4930203.2</v>
      </c>
      <c r="D563" s="1129">
        <f t="shared" si="227"/>
        <v>4243317.2300000004</v>
      </c>
      <c r="E563" s="1145">
        <v>0</v>
      </c>
      <c r="F563" s="1145">
        <v>4243317.2300000004</v>
      </c>
      <c r="G563" s="1145">
        <v>0</v>
      </c>
      <c r="H563" s="1145">
        <v>0</v>
      </c>
      <c r="I563" s="1145">
        <v>0</v>
      </c>
      <c r="J563" s="1145">
        <v>0</v>
      </c>
      <c r="K563" s="1136">
        <v>1</v>
      </c>
      <c r="L563" s="1145">
        <v>328781.51</v>
      </c>
      <c r="M563" s="1136">
        <v>0</v>
      </c>
      <c r="N563" s="1145">
        <v>0</v>
      </c>
      <c r="O563" s="1145">
        <v>0</v>
      </c>
      <c r="P563" s="1145">
        <v>0</v>
      </c>
      <c r="Q563" s="1145">
        <v>0</v>
      </c>
      <c r="R563" s="1145">
        <v>0</v>
      </c>
      <c r="S563" s="1145">
        <v>0</v>
      </c>
      <c r="T563" s="1145">
        <v>0</v>
      </c>
      <c r="U563" s="1145">
        <v>0</v>
      </c>
      <c r="V563" s="1145">
        <v>0</v>
      </c>
      <c r="W563" s="1167">
        <v>0</v>
      </c>
      <c r="X563" s="1145">
        <v>358104.46</v>
      </c>
      <c r="Y563" s="1145">
        <v>0</v>
      </c>
    </row>
    <row r="564" spans="1:25" s="1148" customFormat="1" ht="86.45" customHeight="1">
      <c r="A564" s="1280"/>
      <c r="B564" s="1135" t="s">
        <v>1435</v>
      </c>
      <c r="C564" s="1129">
        <f>C565+C566</f>
        <v>4041216</v>
      </c>
      <c r="D564" s="1129">
        <f t="shared" ref="D564:Y564" si="228">D565+D566</f>
        <v>0</v>
      </c>
      <c r="E564" s="1129">
        <f t="shared" si="228"/>
        <v>0</v>
      </c>
      <c r="F564" s="1129">
        <f t="shared" si="228"/>
        <v>0</v>
      </c>
      <c r="G564" s="1129">
        <f t="shared" si="228"/>
        <v>0</v>
      </c>
      <c r="H564" s="1129">
        <f t="shared" si="228"/>
        <v>0</v>
      </c>
      <c r="I564" s="1129">
        <f t="shared" si="228"/>
        <v>0</v>
      </c>
      <c r="J564" s="1129">
        <f t="shared" si="228"/>
        <v>0</v>
      </c>
      <c r="K564" s="1136">
        <f t="shared" si="228"/>
        <v>0</v>
      </c>
      <c r="L564" s="1129">
        <f t="shared" si="228"/>
        <v>0</v>
      </c>
      <c r="M564" s="1136">
        <f t="shared" si="228"/>
        <v>0</v>
      </c>
      <c r="N564" s="1129">
        <f t="shared" si="228"/>
        <v>0</v>
      </c>
      <c r="O564" s="1129">
        <f t="shared" si="228"/>
        <v>1194</v>
      </c>
      <c r="P564" s="1129">
        <f t="shared" si="228"/>
        <v>3747683</v>
      </c>
      <c r="Q564" s="1129">
        <f t="shared" si="228"/>
        <v>0</v>
      </c>
      <c r="R564" s="1129">
        <f t="shared" si="228"/>
        <v>0</v>
      </c>
      <c r="S564" s="1129">
        <f t="shared" si="228"/>
        <v>0</v>
      </c>
      <c r="T564" s="1129">
        <f t="shared" si="228"/>
        <v>0</v>
      </c>
      <c r="U564" s="1129">
        <f t="shared" si="228"/>
        <v>0</v>
      </c>
      <c r="V564" s="1129">
        <f t="shared" si="228"/>
        <v>0</v>
      </c>
      <c r="W564" s="1167">
        <v>0</v>
      </c>
      <c r="X564" s="1129">
        <f t="shared" si="228"/>
        <v>293533</v>
      </c>
      <c r="Y564" s="1129">
        <f t="shared" si="228"/>
        <v>0</v>
      </c>
    </row>
    <row r="565" spans="1:25" s="1148" customFormat="1" ht="91.15" customHeight="1">
      <c r="A565" s="1280">
        <v>122</v>
      </c>
      <c r="B565" s="1135" t="s">
        <v>2416</v>
      </c>
      <c r="C565" s="1129">
        <f t="shared" ref="C565" si="229">D565+N565+P565+R565+T565+V565+X565</f>
        <v>3195065</v>
      </c>
      <c r="D565" s="1129">
        <f t="shared" ref="D565" si="230">SUM(E565:J565)</f>
        <v>0</v>
      </c>
      <c r="E565" s="1145">
        <v>0</v>
      </c>
      <c r="F565" s="1145">
        <v>0</v>
      </c>
      <c r="G565" s="1145">
        <v>0</v>
      </c>
      <c r="H565" s="1145">
        <v>0</v>
      </c>
      <c r="I565" s="1145">
        <v>0</v>
      </c>
      <c r="J565" s="1145">
        <v>0</v>
      </c>
      <c r="K565" s="1136">
        <v>0</v>
      </c>
      <c r="L565" s="1145">
        <v>0</v>
      </c>
      <c r="M565" s="1136">
        <v>0</v>
      </c>
      <c r="N565" s="1145">
        <v>0</v>
      </c>
      <c r="O565" s="1145">
        <v>944</v>
      </c>
      <c r="P565" s="1145">
        <v>2962992</v>
      </c>
      <c r="Q565" s="1145">
        <v>0</v>
      </c>
      <c r="R565" s="1145">
        <v>0</v>
      </c>
      <c r="S565" s="1145">
        <v>0</v>
      </c>
      <c r="T565" s="1145">
        <v>0</v>
      </c>
      <c r="U565" s="1145">
        <v>0</v>
      </c>
      <c r="V565" s="1145">
        <v>0</v>
      </c>
      <c r="W565" s="1129">
        <v>0</v>
      </c>
      <c r="X565" s="1145">
        <v>232073</v>
      </c>
      <c r="Y565" s="1145">
        <v>0</v>
      </c>
    </row>
    <row r="566" spans="1:25" s="1137" customFormat="1" ht="87.6" customHeight="1">
      <c r="A566" s="1280">
        <v>123</v>
      </c>
      <c r="B566" s="1135" t="s">
        <v>2417</v>
      </c>
      <c r="C566" s="1129">
        <f t="shared" ref="C566" si="231">D566+N566+P566+R566+T566+V566+X566</f>
        <v>846151</v>
      </c>
      <c r="D566" s="1129">
        <f t="shared" ref="D566" si="232">SUM(E566:J566)</f>
        <v>0</v>
      </c>
      <c r="E566" s="1145">
        <v>0</v>
      </c>
      <c r="F566" s="1145">
        <v>0</v>
      </c>
      <c r="G566" s="1145">
        <v>0</v>
      </c>
      <c r="H566" s="1145">
        <v>0</v>
      </c>
      <c r="I566" s="1145">
        <v>0</v>
      </c>
      <c r="J566" s="1145">
        <v>0</v>
      </c>
      <c r="K566" s="1136">
        <v>0</v>
      </c>
      <c r="L566" s="1145">
        <v>0</v>
      </c>
      <c r="M566" s="1136">
        <v>0</v>
      </c>
      <c r="N566" s="1145">
        <v>0</v>
      </c>
      <c r="O566" s="1145">
        <v>250</v>
      </c>
      <c r="P566" s="1145">
        <v>784691</v>
      </c>
      <c r="Q566" s="1145">
        <v>0</v>
      </c>
      <c r="R566" s="1145">
        <v>0</v>
      </c>
      <c r="S566" s="1145">
        <v>0</v>
      </c>
      <c r="T566" s="1145">
        <v>0</v>
      </c>
      <c r="U566" s="1145">
        <v>0</v>
      </c>
      <c r="V566" s="1145">
        <v>0</v>
      </c>
      <c r="W566" s="1167">
        <v>0</v>
      </c>
      <c r="X566" s="1145">
        <v>61460</v>
      </c>
      <c r="Y566" s="1145">
        <v>0</v>
      </c>
    </row>
    <row r="567" spans="1:25" s="1137" customFormat="1" ht="65.45" customHeight="1">
      <c r="A567" s="1280"/>
      <c r="B567" s="1128" t="s">
        <v>41</v>
      </c>
      <c r="C567" s="1129">
        <f>C568</f>
        <v>42589491.950000003</v>
      </c>
      <c r="D567" s="1129">
        <f t="shared" ref="D567:Y567" si="233">D568</f>
        <v>2545708</v>
      </c>
      <c r="E567" s="1129">
        <f t="shared" si="233"/>
        <v>0</v>
      </c>
      <c r="F567" s="1129">
        <f t="shared" si="233"/>
        <v>0</v>
      </c>
      <c r="G567" s="1129">
        <f t="shared" si="233"/>
        <v>0</v>
      </c>
      <c r="H567" s="1129">
        <f t="shared" si="233"/>
        <v>0</v>
      </c>
      <c r="I567" s="1129">
        <f t="shared" si="233"/>
        <v>0</v>
      </c>
      <c r="J567" s="1129">
        <f t="shared" si="233"/>
        <v>2545708</v>
      </c>
      <c r="K567" s="1136">
        <f t="shared" si="233"/>
        <v>0</v>
      </c>
      <c r="L567" s="1129">
        <f t="shared" si="233"/>
        <v>0</v>
      </c>
      <c r="M567" s="1136">
        <f t="shared" si="233"/>
        <v>0</v>
      </c>
      <c r="N567" s="1129">
        <f t="shared" si="233"/>
        <v>0</v>
      </c>
      <c r="O567" s="1129">
        <f t="shared" si="233"/>
        <v>5484.64</v>
      </c>
      <c r="P567" s="1129">
        <f t="shared" si="233"/>
        <v>22350068.949999999</v>
      </c>
      <c r="Q567" s="1129">
        <f t="shared" si="233"/>
        <v>0</v>
      </c>
      <c r="R567" s="1129">
        <f t="shared" si="233"/>
        <v>0</v>
      </c>
      <c r="S567" s="1129">
        <f t="shared" si="233"/>
        <v>6005.04</v>
      </c>
      <c r="T567" s="1129">
        <f t="shared" si="233"/>
        <v>14818652</v>
      </c>
      <c r="U567" s="1129">
        <f t="shared" si="233"/>
        <v>0</v>
      </c>
      <c r="V567" s="1129">
        <f t="shared" si="233"/>
        <v>0</v>
      </c>
      <c r="W567" s="1167">
        <v>0</v>
      </c>
      <c r="X567" s="1129">
        <f t="shared" si="233"/>
        <v>2875063</v>
      </c>
      <c r="Y567" s="1129">
        <f t="shared" si="233"/>
        <v>0</v>
      </c>
    </row>
    <row r="568" spans="1:25" s="1137" customFormat="1" ht="108" customHeight="1">
      <c r="A568" s="1280"/>
      <c r="B568" s="1128" t="s">
        <v>1063</v>
      </c>
      <c r="C568" s="1145">
        <f>SUM(C569:C574)</f>
        <v>42589491.950000003</v>
      </c>
      <c r="D568" s="1145">
        <f t="shared" ref="D568:Y568" si="234">SUM(D569:D574)</f>
        <v>2545708</v>
      </c>
      <c r="E568" s="1145">
        <f t="shared" si="234"/>
        <v>0</v>
      </c>
      <c r="F568" s="1145">
        <f t="shared" si="234"/>
        <v>0</v>
      </c>
      <c r="G568" s="1145">
        <f t="shared" si="234"/>
        <v>0</v>
      </c>
      <c r="H568" s="1145">
        <f t="shared" si="234"/>
        <v>0</v>
      </c>
      <c r="I568" s="1145">
        <f t="shared" si="234"/>
        <v>0</v>
      </c>
      <c r="J568" s="1145">
        <f t="shared" si="234"/>
        <v>2545708</v>
      </c>
      <c r="K568" s="1163">
        <f t="shared" si="234"/>
        <v>0</v>
      </c>
      <c r="L568" s="1145">
        <f t="shared" si="234"/>
        <v>0</v>
      </c>
      <c r="M568" s="1163">
        <f t="shared" si="234"/>
        <v>0</v>
      </c>
      <c r="N568" s="1145">
        <f t="shared" si="234"/>
        <v>0</v>
      </c>
      <c r="O568" s="1145">
        <f t="shared" si="234"/>
        <v>5484.64</v>
      </c>
      <c r="P568" s="1145">
        <f t="shared" si="234"/>
        <v>22350068.949999999</v>
      </c>
      <c r="Q568" s="1145">
        <f t="shared" si="234"/>
        <v>0</v>
      </c>
      <c r="R568" s="1145">
        <f t="shared" si="234"/>
        <v>0</v>
      </c>
      <c r="S568" s="1145">
        <f t="shared" si="234"/>
        <v>6005.04</v>
      </c>
      <c r="T568" s="1145">
        <f t="shared" si="234"/>
        <v>14818652</v>
      </c>
      <c r="U568" s="1145">
        <f t="shared" si="234"/>
        <v>0</v>
      </c>
      <c r="V568" s="1145">
        <f t="shared" si="234"/>
        <v>0</v>
      </c>
      <c r="W568" s="1145">
        <f t="shared" si="234"/>
        <v>0</v>
      </c>
      <c r="X568" s="1145">
        <f t="shared" si="234"/>
        <v>2875063</v>
      </c>
      <c r="Y568" s="1145">
        <f t="shared" si="234"/>
        <v>0</v>
      </c>
    </row>
    <row r="569" spans="1:25" s="1137" customFormat="1" ht="91.5" customHeight="1">
      <c r="A569" s="1280">
        <v>124</v>
      </c>
      <c r="B569" s="1128" t="s">
        <v>2277</v>
      </c>
      <c r="C569" s="1129">
        <f t="shared" ref="C569:C574" si="235">D569+N569+P569+R569+T569+V569+X569</f>
        <v>3502141</v>
      </c>
      <c r="D569" s="1129">
        <f t="shared" ref="D569:D574" si="236">SUM(E569:J569)</f>
        <v>0</v>
      </c>
      <c r="E569" s="1129">
        <v>0</v>
      </c>
      <c r="F569" s="1129">
        <v>0</v>
      </c>
      <c r="G569" s="1129">
        <v>0</v>
      </c>
      <c r="H569" s="1129">
        <v>0</v>
      </c>
      <c r="I569" s="1129">
        <v>0</v>
      </c>
      <c r="J569" s="1129">
        <v>0</v>
      </c>
      <c r="K569" s="1136">
        <v>0</v>
      </c>
      <c r="L569" s="1129">
        <v>0</v>
      </c>
      <c r="M569" s="1136">
        <v>0</v>
      </c>
      <c r="N569" s="1129">
        <v>0</v>
      </c>
      <c r="O569" s="1129">
        <v>877.89</v>
      </c>
      <c r="P569" s="1145">
        <v>3247764</v>
      </c>
      <c r="Q569" s="1129">
        <v>0</v>
      </c>
      <c r="R569" s="1129">
        <v>0</v>
      </c>
      <c r="S569" s="1129">
        <v>0</v>
      </c>
      <c r="T569" s="1129">
        <v>0</v>
      </c>
      <c r="U569" s="1129">
        <v>0</v>
      </c>
      <c r="V569" s="1129">
        <v>0</v>
      </c>
      <c r="W569" s="1167">
        <v>0</v>
      </c>
      <c r="X569" s="1129">
        <v>254377</v>
      </c>
      <c r="Y569" s="1129">
        <v>0</v>
      </c>
    </row>
    <row r="570" spans="1:25" s="1137" customFormat="1" ht="60.6" customHeight="1">
      <c r="A570" s="1280">
        <v>125</v>
      </c>
      <c r="B570" s="1128" t="s">
        <v>1586</v>
      </c>
      <c r="C570" s="1129">
        <f t="shared" si="235"/>
        <v>8318308</v>
      </c>
      <c r="D570" s="1129">
        <f t="shared" si="236"/>
        <v>2545708</v>
      </c>
      <c r="E570" s="1129">
        <v>0</v>
      </c>
      <c r="F570" s="1129">
        <v>0</v>
      </c>
      <c r="G570" s="1129">
        <v>0</v>
      </c>
      <c r="H570" s="1129">
        <v>0</v>
      </c>
      <c r="I570" s="1129">
        <v>0</v>
      </c>
      <c r="J570" s="1129">
        <v>2545708</v>
      </c>
      <c r="K570" s="1136">
        <v>0</v>
      </c>
      <c r="L570" s="1129">
        <v>0</v>
      </c>
      <c r="M570" s="1136">
        <v>0</v>
      </c>
      <c r="N570" s="1129">
        <v>0</v>
      </c>
      <c r="O570" s="1129">
        <v>1397.05</v>
      </c>
      <c r="P570" s="1145">
        <v>5168401</v>
      </c>
      <c r="Q570" s="1129">
        <v>0</v>
      </c>
      <c r="R570" s="1129">
        <v>0</v>
      </c>
      <c r="S570" s="1129">
        <v>0</v>
      </c>
      <c r="T570" s="1129">
        <v>0</v>
      </c>
      <c r="U570" s="1129">
        <v>0</v>
      </c>
      <c r="V570" s="1129">
        <v>0</v>
      </c>
      <c r="W570" s="1167">
        <v>0</v>
      </c>
      <c r="X570" s="1129">
        <v>604199</v>
      </c>
      <c r="Y570" s="1129">
        <v>0</v>
      </c>
    </row>
    <row r="571" spans="1:25" s="1137" customFormat="1" ht="59.45" customHeight="1">
      <c r="A571" s="1280">
        <v>126</v>
      </c>
      <c r="B571" s="1128" t="s">
        <v>1587</v>
      </c>
      <c r="C571" s="1129">
        <f t="shared" si="235"/>
        <v>15979306</v>
      </c>
      <c r="D571" s="1129">
        <f t="shared" si="236"/>
        <v>0</v>
      </c>
      <c r="E571" s="1129">
        <v>0</v>
      </c>
      <c r="F571" s="1129">
        <v>0</v>
      </c>
      <c r="G571" s="1129">
        <v>0</v>
      </c>
      <c r="H571" s="1129">
        <v>0</v>
      </c>
      <c r="I571" s="1129">
        <v>0</v>
      </c>
      <c r="J571" s="1129">
        <v>0</v>
      </c>
      <c r="K571" s="1136">
        <v>0</v>
      </c>
      <c r="L571" s="1129">
        <v>0</v>
      </c>
      <c r="M571" s="1136">
        <v>0</v>
      </c>
      <c r="N571" s="1129">
        <v>0</v>
      </c>
      <c r="O571" s="1129">
        <v>0</v>
      </c>
      <c r="P571" s="1129">
        <v>0</v>
      </c>
      <c r="Q571" s="1129">
        <v>0</v>
      </c>
      <c r="R571" s="1129">
        <v>0</v>
      </c>
      <c r="S571" s="1129">
        <v>6005.04</v>
      </c>
      <c r="T571" s="1129">
        <v>14818652</v>
      </c>
      <c r="U571" s="1129">
        <v>0</v>
      </c>
      <c r="V571" s="1129">
        <v>0</v>
      </c>
      <c r="W571" s="1129">
        <v>0</v>
      </c>
      <c r="X571" s="1129">
        <v>1160654</v>
      </c>
      <c r="Y571" s="1129">
        <v>0</v>
      </c>
    </row>
    <row r="572" spans="1:25" s="1137" customFormat="1" ht="59.45" customHeight="1">
      <c r="A572" s="1280">
        <v>127</v>
      </c>
      <c r="B572" s="1128" t="s">
        <v>1588</v>
      </c>
      <c r="C572" s="1129">
        <f t="shared" si="235"/>
        <v>5990933.6799999997</v>
      </c>
      <c r="D572" s="1129">
        <f t="shared" si="236"/>
        <v>0</v>
      </c>
      <c r="E572" s="1129">
        <v>0</v>
      </c>
      <c r="F572" s="1129">
        <v>0</v>
      </c>
      <c r="G572" s="1129">
        <v>0</v>
      </c>
      <c r="H572" s="1129">
        <v>0</v>
      </c>
      <c r="I572" s="1129">
        <v>0</v>
      </c>
      <c r="J572" s="1129">
        <v>0</v>
      </c>
      <c r="K572" s="1136">
        <v>0</v>
      </c>
      <c r="L572" s="1129">
        <v>0</v>
      </c>
      <c r="M572" s="1136">
        <v>0</v>
      </c>
      <c r="N572" s="1129">
        <v>0</v>
      </c>
      <c r="O572" s="1129">
        <v>1283.4000000000001</v>
      </c>
      <c r="P572" s="1129">
        <v>5613071.6799999997</v>
      </c>
      <c r="Q572" s="1129">
        <v>0</v>
      </c>
      <c r="R572" s="1129">
        <v>0</v>
      </c>
      <c r="S572" s="1129">
        <v>0</v>
      </c>
      <c r="T572" s="1129">
        <v>0</v>
      </c>
      <c r="U572" s="1129">
        <v>0</v>
      </c>
      <c r="V572" s="1129">
        <v>0</v>
      </c>
      <c r="W572" s="1167">
        <v>0</v>
      </c>
      <c r="X572" s="1129">
        <v>377862</v>
      </c>
      <c r="Y572" s="1129">
        <v>0</v>
      </c>
    </row>
    <row r="573" spans="1:25" s="1137" customFormat="1" ht="60.6" customHeight="1">
      <c r="A573" s="1280">
        <v>128</v>
      </c>
      <c r="B573" s="1128" t="s">
        <v>1589</v>
      </c>
      <c r="C573" s="1129">
        <f t="shared" si="235"/>
        <v>4563725</v>
      </c>
      <c r="D573" s="1129">
        <f t="shared" si="236"/>
        <v>0</v>
      </c>
      <c r="E573" s="1129">
        <v>0</v>
      </c>
      <c r="F573" s="1129">
        <v>0</v>
      </c>
      <c r="G573" s="1129">
        <v>0</v>
      </c>
      <c r="H573" s="1129">
        <v>0</v>
      </c>
      <c r="I573" s="1129">
        <v>0</v>
      </c>
      <c r="J573" s="1129">
        <v>0</v>
      </c>
      <c r="K573" s="1136">
        <v>0</v>
      </c>
      <c r="L573" s="1129">
        <v>0</v>
      </c>
      <c r="M573" s="1136">
        <v>0</v>
      </c>
      <c r="N573" s="1129">
        <v>0</v>
      </c>
      <c r="O573" s="1129">
        <v>1144</v>
      </c>
      <c r="P573" s="1129">
        <v>4232240</v>
      </c>
      <c r="Q573" s="1129">
        <v>0</v>
      </c>
      <c r="R573" s="1129">
        <v>0</v>
      </c>
      <c r="S573" s="1129">
        <v>0</v>
      </c>
      <c r="T573" s="1129">
        <v>0</v>
      </c>
      <c r="U573" s="1129">
        <v>0</v>
      </c>
      <c r="V573" s="1129">
        <v>0</v>
      </c>
      <c r="W573" s="1167">
        <v>0</v>
      </c>
      <c r="X573" s="1129">
        <v>331485</v>
      </c>
      <c r="Y573" s="1129">
        <v>0</v>
      </c>
    </row>
    <row r="574" spans="1:25" s="1137" customFormat="1" ht="88.9" customHeight="1">
      <c r="A574" s="1280">
        <v>129</v>
      </c>
      <c r="B574" s="1128" t="s">
        <v>1818</v>
      </c>
      <c r="C574" s="1129">
        <f t="shared" si="235"/>
        <v>4235078.2699999996</v>
      </c>
      <c r="D574" s="1129">
        <f t="shared" si="236"/>
        <v>0</v>
      </c>
      <c r="E574" s="1129">
        <v>0</v>
      </c>
      <c r="F574" s="1129">
        <v>0</v>
      </c>
      <c r="G574" s="1129">
        <v>0</v>
      </c>
      <c r="H574" s="1129">
        <v>0</v>
      </c>
      <c r="I574" s="1129">
        <v>0</v>
      </c>
      <c r="J574" s="1129">
        <v>0</v>
      </c>
      <c r="K574" s="1136">
        <v>0</v>
      </c>
      <c r="L574" s="1129">
        <v>0</v>
      </c>
      <c r="M574" s="1136">
        <v>0</v>
      </c>
      <c r="N574" s="1129">
        <v>0</v>
      </c>
      <c r="O574" s="1129">
        <v>782.3</v>
      </c>
      <c r="P574" s="1129">
        <v>4088592.27</v>
      </c>
      <c r="Q574" s="1129">
        <v>0</v>
      </c>
      <c r="R574" s="1129">
        <v>0</v>
      </c>
      <c r="S574" s="1129">
        <v>0</v>
      </c>
      <c r="T574" s="1129">
        <v>0</v>
      </c>
      <c r="U574" s="1129">
        <v>0</v>
      </c>
      <c r="V574" s="1129">
        <v>0</v>
      </c>
      <c r="W574" s="1129">
        <v>0</v>
      </c>
      <c r="X574" s="1129">
        <v>146486</v>
      </c>
      <c r="Y574" s="1129">
        <v>0</v>
      </c>
    </row>
    <row r="575" spans="1:25" s="1137" customFormat="1" ht="114.75" customHeight="1">
      <c r="A575" s="1280"/>
      <c r="B575" s="1128" t="s">
        <v>2673</v>
      </c>
      <c r="C575" s="1129">
        <f>C576</f>
        <v>1988195.4100000001</v>
      </c>
      <c r="D575" s="1129">
        <f t="shared" ref="D575:Y575" si="237">D576</f>
        <v>0</v>
      </c>
      <c r="E575" s="1129">
        <f t="shared" si="237"/>
        <v>0</v>
      </c>
      <c r="F575" s="1129">
        <f t="shared" si="237"/>
        <v>0</v>
      </c>
      <c r="G575" s="1129">
        <f t="shared" si="237"/>
        <v>0</v>
      </c>
      <c r="H575" s="1129">
        <f t="shared" si="237"/>
        <v>0</v>
      </c>
      <c r="I575" s="1129">
        <f t="shared" si="237"/>
        <v>0</v>
      </c>
      <c r="J575" s="1129">
        <f t="shared" si="237"/>
        <v>0</v>
      </c>
      <c r="K575" s="1129">
        <f t="shared" si="237"/>
        <v>0</v>
      </c>
      <c r="L575" s="1129">
        <f t="shared" si="237"/>
        <v>0</v>
      </c>
      <c r="M575" s="1129">
        <f t="shared" si="237"/>
        <v>0</v>
      </c>
      <c r="N575" s="1129">
        <f t="shared" si="237"/>
        <v>0</v>
      </c>
      <c r="O575" s="1129">
        <f t="shared" si="237"/>
        <v>411.4</v>
      </c>
      <c r="P575" s="1129">
        <f t="shared" si="237"/>
        <v>1860793.06</v>
      </c>
      <c r="Q575" s="1129">
        <f t="shared" si="237"/>
        <v>0</v>
      </c>
      <c r="R575" s="1129">
        <f t="shared" si="237"/>
        <v>0</v>
      </c>
      <c r="S575" s="1129">
        <f t="shared" si="237"/>
        <v>0</v>
      </c>
      <c r="T575" s="1129">
        <f t="shared" si="237"/>
        <v>0</v>
      </c>
      <c r="U575" s="1129">
        <f t="shared" si="237"/>
        <v>0</v>
      </c>
      <c r="V575" s="1129">
        <f t="shared" si="237"/>
        <v>0</v>
      </c>
      <c r="W575" s="1129">
        <f t="shared" si="237"/>
        <v>0</v>
      </c>
      <c r="X575" s="1129">
        <f t="shared" si="237"/>
        <v>127402.35</v>
      </c>
      <c r="Y575" s="1129">
        <f t="shared" si="237"/>
        <v>0</v>
      </c>
    </row>
    <row r="576" spans="1:25" s="1137" customFormat="1" ht="113.25" customHeight="1">
      <c r="A576" s="1280">
        <v>130</v>
      </c>
      <c r="B576" s="1128" t="s">
        <v>2695</v>
      </c>
      <c r="C576" s="1129">
        <f t="shared" ref="C576" si="238">D576+N576+P576+R576+T576+V576+X576</f>
        <v>1988195.4100000001</v>
      </c>
      <c r="D576" s="1129">
        <f t="shared" ref="D576" si="239">SUM(E576:J576)</f>
        <v>0</v>
      </c>
      <c r="E576" s="1129">
        <v>0</v>
      </c>
      <c r="F576" s="1129">
        <v>0</v>
      </c>
      <c r="G576" s="1129">
        <v>0</v>
      </c>
      <c r="H576" s="1129">
        <v>0</v>
      </c>
      <c r="I576" s="1129">
        <v>0</v>
      </c>
      <c r="J576" s="1129">
        <v>0</v>
      </c>
      <c r="K576" s="1136">
        <v>0</v>
      </c>
      <c r="L576" s="1129">
        <v>0</v>
      </c>
      <c r="M576" s="1136">
        <v>0</v>
      </c>
      <c r="N576" s="1129">
        <v>0</v>
      </c>
      <c r="O576" s="1129">
        <v>411.4</v>
      </c>
      <c r="P576" s="1129">
        <v>1860793.06</v>
      </c>
      <c r="Q576" s="1129">
        <v>0</v>
      </c>
      <c r="R576" s="1129">
        <v>0</v>
      </c>
      <c r="S576" s="1129">
        <v>0</v>
      </c>
      <c r="T576" s="1129">
        <v>0</v>
      </c>
      <c r="U576" s="1129">
        <v>0</v>
      </c>
      <c r="V576" s="1129">
        <v>0</v>
      </c>
      <c r="W576" s="1129">
        <v>0</v>
      </c>
      <c r="X576" s="1129">
        <v>127402.35</v>
      </c>
      <c r="Y576" s="1129">
        <v>0</v>
      </c>
    </row>
    <row r="577" spans="1:25" s="1137" customFormat="1" ht="60.6" customHeight="1">
      <c r="A577" s="1280"/>
      <c r="B577" s="1128" t="s">
        <v>43</v>
      </c>
      <c r="C577" s="1129">
        <f>C578</f>
        <v>22250988.48</v>
      </c>
      <c r="D577" s="1129">
        <f t="shared" ref="D577:Y577" si="240">D578</f>
        <v>6032871.0099999998</v>
      </c>
      <c r="E577" s="1129">
        <f t="shared" si="240"/>
        <v>0</v>
      </c>
      <c r="F577" s="1129">
        <f t="shared" si="240"/>
        <v>5235317.26</v>
      </c>
      <c r="G577" s="1129">
        <f t="shared" si="240"/>
        <v>0</v>
      </c>
      <c r="H577" s="1129">
        <f t="shared" si="240"/>
        <v>488680.25</v>
      </c>
      <c r="I577" s="1129">
        <f t="shared" si="240"/>
        <v>0</v>
      </c>
      <c r="J577" s="1129">
        <f t="shared" si="240"/>
        <v>308873.5</v>
      </c>
      <c r="K577" s="1136">
        <f t="shared" si="240"/>
        <v>0</v>
      </c>
      <c r="L577" s="1129">
        <f t="shared" si="240"/>
        <v>0</v>
      </c>
      <c r="M577" s="1136">
        <f t="shared" si="240"/>
        <v>0</v>
      </c>
      <c r="N577" s="1129">
        <f t="shared" si="240"/>
        <v>0</v>
      </c>
      <c r="O577" s="1129">
        <f t="shared" si="240"/>
        <v>3857.2200000000003</v>
      </c>
      <c r="P577" s="1129">
        <f t="shared" si="240"/>
        <v>14601920.74</v>
      </c>
      <c r="Q577" s="1129">
        <f t="shared" si="240"/>
        <v>0</v>
      </c>
      <c r="R577" s="1129">
        <f t="shared" si="240"/>
        <v>0</v>
      </c>
      <c r="S577" s="1129">
        <f t="shared" si="240"/>
        <v>0</v>
      </c>
      <c r="T577" s="1129">
        <f t="shared" si="240"/>
        <v>0</v>
      </c>
      <c r="U577" s="1129">
        <f t="shared" si="240"/>
        <v>0</v>
      </c>
      <c r="V577" s="1129">
        <f t="shared" si="240"/>
        <v>0</v>
      </c>
      <c r="W577" s="1167">
        <v>0</v>
      </c>
      <c r="X577" s="1129">
        <f t="shared" si="240"/>
        <v>1616196.73</v>
      </c>
      <c r="Y577" s="1129">
        <f t="shared" si="240"/>
        <v>0</v>
      </c>
    </row>
    <row r="578" spans="1:25" s="1137" customFormat="1" ht="85.9" customHeight="1">
      <c r="A578" s="1280"/>
      <c r="B578" s="1135" t="s">
        <v>1090</v>
      </c>
      <c r="C578" s="1145">
        <f>SUM(C579:C584)</f>
        <v>22250988.48</v>
      </c>
      <c r="D578" s="1145">
        <f t="shared" ref="D578:Y578" si="241">SUM(D579:D584)</f>
        <v>6032871.0099999998</v>
      </c>
      <c r="E578" s="1145">
        <f t="shared" si="241"/>
        <v>0</v>
      </c>
      <c r="F578" s="1145">
        <f t="shared" si="241"/>
        <v>5235317.26</v>
      </c>
      <c r="G578" s="1145">
        <f t="shared" si="241"/>
        <v>0</v>
      </c>
      <c r="H578" s="1145">
        <f t="shared" si="241"/>
        <v>488680.25</v>
      </c>
      <c r="I578" s="1145">
        <f t="shared" si="241"/>
        <v>0</v>
      </c>
      <c r="J578" s="1145">
        <f t="shared" si="241"/>
        <v>308873.5</v>
      </c>
      <c r="K578" s="1136">
        <f t="shared" si="241"/>
        <v>0</v>
      </c>
      <c r="L578" s="1145">
        <f t="shared" si="241"/>
        <v>0</v>
      </c>
      <c r="M578" s="1136">
        <f t="shared" si="241"/>
        <v>0</v>
      </c>
      <c r="N578" s="1145">
        <f t="shared" si="241"/>
        <v>0</v>
      </c>
      <c r="O578" s="1145">
        <f t="shared" si="241"/>
        <v>3857.2200000000003</v>
      </c>
      <c r="P578" s="1145">
        <f t="shared" si="241"/>
        <v>14601920.74</v>
      </c>
      <c r="Q578" s="1145">
        <f t="shared" si="241"/>
        <v>0</v>
      </c>
      <c r="R578" s="1145">
        <f t="shared" si="241"/>
        <v>0</v>
      </c>
      <c r="S578" s="1145">
        <f t="shared" si="241"/>
        <v>0</v>
      </c>
      <c r="T578" s="1145">
        <f t="shared" si="241"/>
        <v>0</v>
      </c>
      <c r="U578" s="1145">
        <f t="shared" si="241"/>
        <v>0</v>
      </c>
      <c r="V578" s="1145">
        <f t="shared" si="241"/>
        <v>0</v>
      </c>
      <c r="W578" s="1167">
        <v>0</v>
      </c>
      <c r="X578" s="1145">
        <f t="shared" si="241"/>
        <v>1616196.73</v>
      </c>
      <c r="Y578" s="1145">
        <f t="shared" si="241"/>
        <v>0</v>
      </c>
    </row>
    <row r="579" spans="1:25" s="1137" customFormat="1" ht="59.45" customHeight="1">
      <c r="A579" s="1280">
        <v>131</v>
      </c>
      <c r="B579" s="1135" t="s">
        <v>1028</v>
      </c>
      <c r="C579" s="1129">
        <f t="shared" ref="C579" si="242">D579+N579+P579+R579+T579+V579+X579</f>
        <v>5645367.5599999996</v>
      </c>
      <c r="D579" s="1129">
        <f t="shared" ref="D579" si="243">SUM(E579:J579)</f>
        <v>5235317.26</v>
      </c>
      <c r="E579" s="1129">
        <v>0</v>
      </c>
      <c r="F579" s="1129">
        <v>5235317.26</v>
      </c>
      <c r="G579" s="1129">
        <v>0</v>
      </c>
      <c r="H579" s="1129">
        <v>0</v>
      </c>
      <c r="I579" s="1129">
        <v>0</v>
      </c>
      <c r="J579" s="1129">
        <v>0</v>
      </c>
      <c r="K579" s="1136">
        <v>0</v>
      </c>
      <c r="L579" s="1129">
        <v>0</v>
      </c>
      <c r="M579" s="1136">
        <v>0</v>
      </c>
      <c r="N579" s="1129">
        <v>0</v>
      </c>
      <c r="O579" s="1129">
        <v>0</v>
      </c>
      <c r="P579" s="1129">
        <v>0</v>
      </c>
      <c r="Q579" s="1129">
        <v>0</v>
      </c>
      <c r="R579" s="1129">
        <v>0</v>
      </c>
      <c r="S579" s="1129">
        <v>0</v>
      </c>
      <c r="T579" s="1129">
        <v>0</v>
      </c>
      <c r="U579" s="1129">
        <v>0</v>
      </c>
      <c r="V579" s="1129">
        <v>0</v>
      </c>
      <c r="W579" s="1129">
        <v>0</v>
      </c>
      <c r="X579" s="1129">
        <v>410050.3</v>
      </c>
      <c r="Y579" s="1129">
        <v>0</v>
      </c>
    </row>
    <row r="580" spans="1:25" s="1137" customFormat="1" ht="57" customHeight="1">
      <c r="A580" s="1280">
        <v>132</v>
      </c>
      <c r="B580" s="1135" t="s">
        <v>1302</v>
      </c>
      <c r="C580" s="1129">
        <f t="shared" ref="C580:C584" si="244">D580+N580+P580+R580+T580+V580+X580</f>
        <v>860021.25</v>
      </c>
      <c r="D580" s="1129">
        <f t="shared" ref="D580:D584" si="245">SUM(E580:J580)</f>
        <v>797553.75</v>
      </c>
      <c r="E580" s="1129">
        <v>0</v>
      </c>
      <c r="F580" s="1129">
        <v>0</v>
      </c>
      <c r="G580" s="1129">
        <v>0</v>
      </c>
      <c r="H580" s="1129">
        <v>488680.25</v>
      </c>
      <c r="I580" s="1129">
        <v>0</v>
      </c>
      <c r="J580" s="1129">
        <v>308873.5</v>
      </c>
      <c r="K580" s="1136">
        <v>0</v>
      </c>
      <c r="L580" s="1129">
        <v>0</v>
      </c>
      <c r="M580" s="1136">
        <v>0</v>
      </c>
      <c r="N580" s="1129">
        <v>0</v>
      </c>
      <c r="O580" s="1129">
        <v>0</v>
      </c>
      <c r="P580" s="1129">
        <v>0</v>
      </c>
      <c r="Q580" s="1129">
        <v>0</v>
      </c>
      <c r="R580" s="1129">
        <v>0</v>
      </c>
      <c r="S580" s="1129">
        <v>0</v>
      </c>
      <c r="T580" s="1129">
        <v>0</v>
      </c>
      <c r="U580" s="1129">
        <v>0</v>
      </c>
      <c r="V580" s="1129">
        <v>0</v>
      </c>
      <c r="W580" s="1167">
        <v>0</v>
      </c>
      <c r="X580" s="1129">
        <v>62467.5</v>
      </c>
      <c r="Y580" s="1129">
        <v>0</v>
      </c>
    </row>
    <row r="581" spans="1:25" s="1137" customFormat="1" ht="57" customHeight="1">
      <c r="A581" s="1280">
        <v>133</v>
      </c>
      <c r="B581" s="1135" t="s">
        <v>1339</v>
      </c>
      <c r="C581" s="1129">
        <f t="shared" si="244"/>
        <v>3891225.05</v>
      </c>
      <c r="D581" s="1129">
        <f t="shared" si="245"/>
        <v>0</v>
      </c>
      <c r="E581" s="1129">
        <v>0</v>
      </c>
      <c r="F581" s="1129">
        <v>0</v>
      </c>
      <c r="G581" s="1129">
        <v>0</v>
      </c>
      <c r="H581" s="1129">
        <v>0</v>
      </c>
      <c r="I581" s="1129">
        <v>0</v>
      </c>
      <c r="J581" s="1129">
        <v>0</v>
      </c>
      <c r="K581" s="1136">
        <v>0</v>
      </c>
      <c r="L581" s="1129">
        <v>0</v>
      </c>
      <c r="M581" s="1136">
        <v>0</v>
      </c>
      <c r="N581" s="1129">
        <v>0</v>
      </c>
      <c r="O581" s="1129">
        <v>1076.8</v>
      </c>
      <c r="P581" s="1129">
        <v>3608586.59</v>
      </c>
      <c r="Q581" s="1129">
        <v>0</v>
      </c>
      <c r="R581" s="1129">
        <v>0</v>
      </c>
      <c r="S581" s="1129">
        <v>0</v>
      </c>
      <c r="T581" s="1129">
        <v>0</v>
      </c>
      <c r="U581" s="1129">
        <v>0</v>
      </c>
      <c r="V581" s="1129">
        <v>0</v>
      </c>
      <c r="W581" s="1167">
        <v>0</v>
      </c>
      <c r="X581" s="1129">
        <v>282638.46000000002</v>
      </c>
      <c r="Y581" s="1129">
        <v>0</v>
      </c>
    </row>
    <row r="582" spans="1:25" s="1152" customFormat="1" ht="59.45" customHeight="1">
      <c r="A582" s="1280">
        <v>134</v>
      </c>
      <c r="B582" s="1291" t="s">
        <v>1340</v>
      </c>
      <c r="C582" s="1129">
        <f t="shared" si="244"/>
        <v>8271227.6400000006</v>
      </c>
      <c r="D582" s="1129">
        <f t="shared" si="245"/>
        <v>0</v>
      </c>
      <c r="E582" s="1129">
        <v>0</v>
      </c>
      <c r="F582" s="1129">
        <v>0</v>
      </c>
      <c r="G582" s="1129">
        <v>0</v>
      </c>
      <c r="H582" s="1129">
        <v>0</v>
      </c>
      <c r="I582" s="1129">
        <v>0</v>
      </c>
      <c r="J582" s="1129">
        <v>0</v>
      </c>
      <c r="K582" s="1136">
        <v>0</v>
      </c>
      <c r="L582" s="1129">
        <v>0</v>
      </c>
      <c r="M582" s="1136">
        <v>0</v>
      </c>
      <c r="N582" s="1129">
        <v>0</v>
      </c>
      <c r="O582" s="1129">
        <v>1940</v>
      </c>
      <c r="P582" s="1129">
        <v>7670448.4400000004</v>
      </c>
      <c r="Q582" s="1129">
        <v>0</v>
      </c>
      <c r="R582" s="1129">
        <v>0</v>
      </c>
      <c r="S582" s="1129">
        <v>0</v>
      </c>
      <c r="T582" s="1129">
        <v>0</v>
      </c>
      <c r="U582" s="1129">
        <v>0</v>
      </c>
      <c r="V582" s="1129">
        <v>0</v>
      </c>
      <c r="W582" s="1129">
        <v>0</v>
      </c>
      <c r="X582" s="1129">
        <v>600779.19999999995</v>
      </c>
      <c r="Y582" s="1129">
        <v>0</v>
      </c>
    </row>
    <row r="583" spans="1:25" s="1152" customFormat="1" ht="59.45" customHeight="1">
      <c r="A583" s="1280">
        <v>135</v>
      </c>
      <c r="B583" s="1135" t="s">
        <v>1590</v>
      </c>
      <c r="C583" s="1129">
        <f t="shared" si="244"/>
        <v>2645172.71</v>
      </c>
      <c r="D583" s="1129">
        <f t="shared" si="245"/>
        <v>0</v>
      </c>
      <c r="E583" s="1129">
        <v>0</v>
      </c>
      <c r="F583" s="1129">
        <v>0</v>
      </c>
      <c r="G583" s="1129">
        <v>0</v>
      </c>
      <c r="H583" s="1129">
        <v>0</v>
      </c>
      <c r="I583" s="1129">
        <v>0</v>
      </c>
      <c r="J583" s="1129">
        <v>0</v>
      </c>
      <c r="K583" s="1136">
        <v>0</v>
      </c>
      <c r="L583" s="1129">
        <v>0</v>
      </c>
      <c r="M583" s="1136">
        <v>0</v>
      </c>
      <c r="N583" s="1129">
        <v>0</v>
      </c>
      <c r="O583" s="1129">
        <v>620.41999999999996</v>
      </c>
      <c r="P583" s="1129">
        <v>2453041.04</v>
      </c>
      <c r="Q583" s="1129">
        <v>0</v>
      </c>
      <c r="R583" s="1129">
        <v>0</v>
      </c>
      <c r="S583" s="1129">
        <v>0</v>
      </c>
      <c r="T583" s="1129">
        <v>0</v>
      </c>
      <c r="U583" s="1129">
        <v>0</v>
      </c>
      <c r="V583" s="1129">
        <v>0</v>
      </c>
      <c r="W583" s="1167">
        <v>0</v>
      </c>
      <c r="X583" s="1129">
        <v>192131.67</v>
      </c>
      <c r="Y583" s="1129">
        <v>0</v>
      </c>
    </row>
    <row r="584" spans="1:25" s="1152" customFormat="1" ht="59.45" customHeight="1">
      <c r="A584" s="1280">
        <v>136</v>
      </c>
      <c r="B584" s="1135" t="s">
        <v>1591</v>
      </c>
      <c r="C584" s="1129">
        <f t="shared" si="244"/>
        <v>937974.27</v>
      </c>
      <c r="D584" s="1129">
        <f t="shared" si="245"/>
        <v>0</v>
      </c>
      <c r="E584" s="1129">
        <v>0</v>
      </c>
      <c r="F584" s="1129">
        <v>0</v>
      </c>
      <c r="G584" s="1129">
        <v>0</v>
      </c>
      <c r="H584" s="1129">
        <v>0</v>
      </c>
      <c r="I584" s="1129">
        <v>0</v>
      </c>
      <c r="J584" s="1129">
        <v>0</v>
      </c>
      <c r="K584" s="1136">
        <v>0</v>
      </c>
      <c r="L584" s="1129">
        <v>0</v>
      </c>
      <c r="M584" s="1136">
        <v>0</v>
      </c>
      <c r="N584" s="1129">
        <v>0</v>
      </c>
      <c r="O584" s="1129">
        <v>220</v>
      </c>
      <c r="P584" s="1129">
        <v>869844.67</v>
      </c>
      <c r="Q584" s="1129">
        <v>0</v>
      </c>
      <c r="R584" s="1129">
        <v>0</v>
      </c>
      <c r="S584" s="1129">
        <v>0</v>
      </c>
      <c r="T584" s="1129">
        <v>0</v>
      </c>
      <c r="U584" s="1129">
        <v>0</v>
      </c>
      <c r="V584" s="1129">
        <v>0</v>
      </c>
      <c r="W584" s="1167">
        <v>0</v>
      </c>
      <c r="X584" s="1129">
        <v>68129.600000000006</v>
      </c>
      <c r="Y584" s="1129">
        <v>0</v>
      </c>
    </row>
    <row r="585" spans="1:25" s="1152" customFormat="1" ht="93.6" customHeight="1">
      <c r="A585" s="1280"/>
      <c r="B585" s="1135" t="s">
        <v>1370</v>
      </c>
      <c r="C585" s="1129">
        <f>C586+C587</f>
        <v>3063338.69</v>
      </c>
      <c r="D585" s="1129">
        <f t="shared" ref="D585:Y585" si="246">D586+D587</f>
        <v>0</v>
      </c>
      <c r="E585" s="1129">
        <f t="shared" si="246"/>
        <v>0</v>
      </c>
      <c r="F585" s="1129">
        <f t="shared" si="246"/>
        <v>0</v>
      </c>
      <c r="G585" s="1129">
        <f t="shared" si="246"/>
        <v>0</v>
      </c>
      <c r="H585" s="1129">
        <f t="shared" si="246"/>
        <v>0</v>
      </c>
      <c r="I585" s="1129">
        <f t="shared" si="246"/>
        <v>0</v>
      </c>
      <c r="J585" s="1129">
        <f t="shared" si="246"/>
        <v>0</v>
      </c>
      <c r="K585" s="1136">
        <f t="shared" si="246"/>
        <v>0</v>
      </c>
      <c r="L585" s="1129">
        <f t="shared" si="246"/>
        <v>0</v>
      </c>
      <c r="M585" s="1136">
        <f t="shared" si="246"/>
        <v>0</v>
      </c>
      <c r="N585" s="1129">
        <f t="shared" si="246"/>
        <v>0</v>
      </c>
      <c r="O585" s="1129">
        <f t="shared" si="246"/>
        <v>718.5</v>
      </c>
      <c r="P585" s="1129">
        <f t="shared" si="246"/>
        <v>2840833.61</v>
      </c>
      <c r="Q585" s="1129">
        <f t="shared" si="246"/>
        <v>0</v>
      </c>
      <c r="R585" s="1129">
        <f t="shared" si="246"/>
        <v>0</v>
      </c>
      <c r="S585" s="1129">
        <f t="shared" si="246"/>
        <v>0</v>
      </c>
      <c r="T585" s="1129">
        <f t="shared" si="246"/>
        <v>0</v>
      </c>
      <c r="U585" s="1129">
        <f t="shared" si="246"/>
        <v>0</v>
      </c>
      <c r="V585" s="1129">
        <f t="shared" si="246"/>
        <v>0</v>
      </c>
      <c r="W585" s="1129">
        <v>0</v>
      </c>
      <c r="X585" s="1129">
        <f t="shared" si="246"/>
        <v>222505.08000000002</v>
      </c>
      <c r="Y585" s="1129">
        <f t="shared" si="246"/>
        <v>0</v>
      </c>
    </row>
    <row r="586" spans="1:25" s="1152" customFormat="1" ht="90" customHeight="1">
      <c r="A586" s="1280">
        <v>137</v>
      </c>
      <c r="B586" s="1128" t="s">
        <v>2418</v>
      </c>
      <c r="C586" s="1129">
        <f t="shared" ref="C586:C587" si="247">D586+N586+P586+R586+T586+V586+X586</f>
        <v>1607346.81</v>
      </c>
      <c r="D586" s="1129">
        <f t="shared" ref="D586:D587" si="248">SUM(E586:J586)</f>
        <v>0</v>
      </c>
      <c r="E586" s="1129">
        <v>0</v>
      </c>
      <c r="F586" s="1129">
        <v>0</v>
      </c>
      <c r="G586" s="1129">
        <v>0</v>
      </c>
      <c r="H586" s="1129">
        <v>0</v>
      </c>
      <c r="I586" s="1129">
        <v>0</v>
      </c>
      <c r="J586" s="1129">
        <v>0</v>
      </c>
      <c r="K586" s="1136">
        <v>0</v>
      </c>
      <c r="L586" s="1129">
        <v>0</v>
      </c>
      <c r="M586" s="1136">
        <v>0</v>
      </c>
      <c r="N586" s="1129">
        <v>0</v>
      </c>
      <c r="O586" s="1129">
        <v>377</v>
      </c>
      <c r="P586" s="1129">
        <v>1490597.45</v>
      </c>
      <c r="Q586" s="1129">
        <v>0</v>
      </c>
      <c r="R586" s="1129">
        <v>0</v>
      </c>
      <c r="S586" s="1129">
        <v>0</v>
      </c>
      <c r="T586" s="1129">
        <v>0</v>
      </c>
      <c r="U586" s="1129">
        <v>0</v>
      </c>
      <c r="V586" s="1129">
        <v>0</v>
      </c>
      <c r="W586" s="1167">
        <v>0</v>
      </c>
      <c r="X586" s="1129">
        <v>116749.36</v>
      </c>
      <c r="Y586" s="1129">
        <v>0</v>
      </c>
    </row>
    <row r="587" spans="1:25" s="1152" customFormat="1" ht="126" customHeight="1">
      <c r="A587" s="1280">
        <v>138</v>
      </c>
      <c r="B587" s="1128" t="s">
        <v>2419</v>
      </c>
      <c r="C587" s="1129">
        <f t="shared" si="247"/>
        <v>1455991.88</v>
      </c>
      <c r="D587" s="1129">
        <f t="shared" si="248"/>
        <v>0</v>
      </c>
      <c r="E587" s="1129">
        <v>0</v>
      </c>
      <c r="F587" s="1129">
        <v>0</v>
      </c>
      <c r="G587" s="1129">
        <v>0</v>
      </c>
      <c r="H587" s="1129">
        <v>0</v>
      </c>
      <c r="I587" s="1129">
        <v>0</v>
      </c>
      <c r="J587" s="1129">
        <v>0</v>
      </c>
      <c r="K587" s="1136">
        <v>0</v>
      </c>
      <c r="L587" s="1129">
        <v>0</v>
      </c>
      <c r="M587" s="1136">
        <v>0</v>
      </c>
      <c r="N587" s="1129">
        <v>0</v>
      </c>
      <c r="O587" s="1129">
        <v>341.5</v>
      </c>
      <c r="P587" s="1129">
        <v>1350236.1599999999</v>
      </c>
      <c r="Q587" s="1129">
        <v>0</v>
      </c>
      <c r="R587" s="1129">
        <v>0</v>
      </c>
      <c r="S587" s="1129">
        <v>0</v>
      </c>
      <c r="T587" s="1129">
        <v>0</v>
      </c>
      <c r="U587" s="1129">
        <v>0</v>
      </c>
      <c r="V587" s="1129">
        <v>0</v>
      </c>
      <c r="W587" s="1167">
        <v>0</v>
      </c>
      <c r="X587" s="1129">
        <v>105755.72</v>
      </c>
      <c r="Y587" s="1129">
        <v>0</v>
      </c>
    </row>
    <row r="588" spans="1:25" s="1152" customFormat="1" ht="69" customHeight="1">
      <c r="A588" s="1280"/>
      <c r="B588" s="1135" t="s">
        <v>46</v>
      </c>
      <c r="C588" s="1129">
        <f>C589</f>
        <v>1603120</v>
      </c>
      <c r="D588" s="1129">
        <f t="shared" ref="D588:Y588" si="249">D589</f>
        <v>0</v>
      </c>
      <c r="E588" s="1129">
        <f t="shared" si="249"/>
        <v>0</v>
      </c>
      <c r="F588" s="1129">
        <f t="shared" si="249"/>
        <v>0</v>
      </c>
      <c r="G588" s="1129">
        <f t="shared" si="249"/>
        <v>0</v>
      </c>
      <c r="H588" s="1129">
        <f t="shared" si="249"/>
        <v>0</v>
      </c>
      <c r="I588" s="1129">
        <f t="shared" si="249"/>
        <v>0</v>
      </c>
      <c r="J588" s="1129">
        <f t="shared" si="249"/>
        <v>0</v>
      </c>
      <c r="K588" s="1136">
        <f t="shared" si="249"/>
        <v>0</v>
      </c>
      <c r="L588" s="1129">
        <f t="shared" si="249"/>
        <v>0</v>
      </c>
      <c r="M588" s="1136">
        <f t="shared" si="249"/>
        <v>0</v>
      </c>
      <c r="N588" s="1129">
        <f t="shared" si="249"/>
        <v>0</v>
      </c>
      <c r="O588" s="1129">
        <f t="shared" si="249"/>
        <v>590</v>
      </c>
      <c r="P588" s="1129">
        <f t="shared" si="249"/>
        <v>1486678</v>
      </c>
      <c r="Q588" s="1129">
        <f t="shared" si="249"/>
        <v>0</v>
      </c>
      <c r="R588" s="1129">
        <f t="shared" si="249"/>
        <v>0</v>
      </c>
      <c r="S588" s="1129">
        <f t="shared" si="249"/>
        <v>0</v>
      </c>
      <c r="T588" s="1129">
        <f t="shared" si="249"/>
        <v>0</v>
      </c>
      <c r="U588" s="1129">
        <f t="shared" si="249"/>
        <v>0</v>
      </c>
      <c r="V588" s="1129">
        <f t="shared" si="249"/>
        <v>0</v>
      </c>
      <c r="W588" s="1129">
        <v>0</v>
      </c>
      <c r="X588" s="1129">
        <f t="shared" si="249"/>
        <v>116442</v>
      </c>
      <c r="Y588" s="1129">
        <f t="shared" si="249"/>
        <v>0</v>
      </c>
    </row>
    <row r="589" spans="1:25" s="1152" customFormat="1" ht="136.15" customHeight="1">
      <c r="A589" s="1280"/>
      <c r="B589" s="1135" t="s">
        <v>1865</v>
      </c>
      <c r="C589" s="1129">
        <f>C590</f>
        <v>1603120</v>
      </c>
      <c r="D589" s="1129">
        <f t="shared" ref="D589:Y589" si="250">D590</f>
        <v>0</v>
      </c>
      <c r="E589" s="1129">
        <f t="shared" si="250"/>
        <v>0</v>
      </c>
      <c r="F589" s="1129">
        <f t="shared" si="250"/>
        <v>0</v>
      </c>
      <c r="G589" s="1129">
        <f t="shared" si="250"/>
        <v>0</v>
      </c>
      <c r="H589" s="1129">
        <f t="shared" si="250"/>
        <v>0</v>
      </c>
      <c r="I589" s="1129">
        <f t="shared" si="250"/>
        <v>0</v>
      </c>
      <c r="J589" s="1129">
        <f t="shared" si="250"/>
        <v>0</v>
      </c>
      <c r="K589" s="1136">
        <f t="shared" si="250"/>
        <v>0</v>
      </c>
      <c r="L589" s="1129">
        <f t="shared" si="250"/>
        <v>0</v>
      </c>
      <c r="M589" s="1136">
        <f t="shared" si="250"/>
        <v>0</v>
      </c>
      <c r="N589" s="1129">
        <f t="shared" si="250"/>
        <v>0</v>
      </c>
      <c r="O589" s="1129">
        <f t="shared" si="250"/>
        <v>590</v>
      </c>
      <c r="P589" s="1129">
        <f t="shared" si="250"/>
        <v>1486678</v>
      </c>
      <c r="Q589" s="1129">
        <f t="shared" si="250"/>
        <v>0</v>
      </c>
      <c r="R589" s="1129">
        <f t="shared" si="250"/>
        <v>0</v>
      </c>
      <c r="S589" s="1129">
        <f t="shared" si="250"/>
        <v>0</v>
      </c>
      <c r="T589" s="1129">
        <f t="shared" si="250"/>
        <v>0</v>
      </c>
      <c r="U589" s="1129">
        <f t="shared" si="250"/>
        <v>0</v>
      </c>
      <c r="V589" s="1129">
        <f t="shared" si="250"/>
        <v>0</v>
      </c>
      <c r="W589" s="1167">
        <v>0</v>
      </c>
      <c r="X589" s="1129">
        <f t="shared" si="250"/>
        <v>116442</v>
      </c>
      <c r="Y589" s="1129">
        <f t="shared" si="250"/>
        <v>0</v>
      </c>
    </row>
    <row r="590" spans="1:25" s="1152" customFormat="1" ht="63" customHeight="1">
      <c r="A590" s="1280">
        <v>139</v>
      </c>
      <c r="B590" s="1128" t="s">
        <v>1200</v>
      </c>
      <c r="C590" s="1129">
        <f t="shared" ref="C590" si="251">D590+N590+P590+R590+T590+V590+X590</f>
        <v>1603120</v>
      </c>
      <c r="D590" s="1129">
        <f t="shared" ref="D590" si="252">SUM(E590:J590)</f>
        <v>0</v>
      </c>
      <c r="E590" s="1129">
        <v>0</v>
      </c>
      <c r="F590" s="1129">
        <v>0</v>
      </c>
      <c r="G590" s="1129">
        <v>0</v>
      </c>
      <c r="H590" s="1129">
        <v>0</v>
      </c>
      <c r="I590" s="1129">
        <v>0</v>
      </c>
      <c r="J590" s="1129">
        <v>0</v>
      </c>
      <c r="K590" s="1136">
        <v>0</v>
      </c>
      <c r="L590" s="1129">
        <v>0</v>
      </c>
      <c r="M590" s="1136">
        <v>0</v>
      </c>
      <c r="N590" s="1129">
        <v>0</v>
      </c>
      <c r="O590" s="1129">
        <v>590</v>
      </c>
      <c r="P590" s="1129">
        <v>1486678</v>
      </c>
      <c r="Q590" s="1129">
        <v>0</v>
      </c>
      <c r="R590" s="1129">
        <v>0</v>
      </c>
      <c r="S590" s="1129">
        <v>0</v>
      </c>
      <c r="T590" s="1129">
        <v>0</v>
      </c>
      <c r="U590" s="1129">
        <v>0</v>
      </c>
      <c r="V590" s="1129">
        <v>0</v>
      </c>
      <c r="W590" s="1167">
        <v>0</v>
      </c>
      <c r="X590" s="1129">
        <v>116442</v>
      </c>
      <c r="Y590" s="1129">
        <v>0</v>
      </c>
    </row>
    <row r="591" spans="1:25" s="1152" customFormat="1" ht="93.6" customHeight="1">
      <c r="A591" s="1280"/>
      <c r="B591" s="1135" t="s">
        <v>1649</v>
      </c>
      <c r="C591" s="1129">
        <f>C592+C593</f>
        <v>4817776.92</v>
      </c>
      <c r="D591" s="1129">
        <f t="shared" ref="D591:Y591" si="253">D592+D593</f>
        <v>0</v>
      </c>
      <c r="E591" s="1129">
        <f t="shared" si="253"/>
        <v>0</v>
      </c>
      <c r="F591" s="1129">
        <f t="shared" si="253"/>
        <v>0</v>
      </c>
      <c r="G591" s="1129">
        <f t="shared" si="253"/>
        <v>0</v>
      </c>
      <c r="H591" s="1129">
        <f t="shared" si="253"/>
        <v>0</v>
      </c>
      <c r="I591" s="1129">
        <f t="shared" si="253"/>
        <v>0</v>
      </c>
      <c r="J591" s="1129">
        <f t="shared" si="253"/>
        <v>0</v>
      </c>
      <c r="K591" s="1136">
        <f t="shared" si="253"/>
        <v>0</v>
      </c>
      <c r="L591" s="1129">
        <f t="shared" si="253"/>
        <v>0</v>
      </c>
      <c r="M591" s="1136">
        <f t="shared" si="253"/>
        <v>0</v>
      </c>
      <c r="N591" s="1129">
        <f t="shared" si="253"/>
        <v>0</v>
      </c>
      <c r="O591" s="1129">
        <f t="shared" si="253"/>
        <v>1130</v>
      </c>
      <c r="P591" s="1129">
        <f t="shared" si="253"/>
        <v>4467838.5199999996</v>
      </c>
      <c r="Q591" s="1129">
        <f t="shared" si="253"/>
        <v>0</v>
      </c>
      <c r="R591" s="1129">
        <f t="shared" si="253"/>
        <v>0</v>
      </c>
      <c r="S591" s="1129">
        <f t="shared" si="253"/>
        <v>0</v>
      </c>
      <c r="T591" s="1129">
        <f t="shared" si="253"/>
        <v>0</v>
      </c>
      <c r="U591" s="1129">
        <f t="shared" si="253"/>
        <v>0</v>
      </c>
      <c r="V591" s="1129">
        <f t="shared" si="253"/>
        <v>0</v>
      </c>
      <c r="W591" s="1129">
        <v>0</v>
      </c>
      <c r="X591" s="1129">
        <f t="shared" si="253"/>
        <v>349938.4</v>
      </c>
      <c r="Y591" s="1129">
        <f t="shared" si="253"/>
        <v>0</v>
      </c>
    </row>
    <row r="592" spans="1:25" s="1152" customFormat="1" ht="91.15" customHeight="1">
      <c r="A592" s="1280">
        <v>140</v>
      </c>
      <c r="B592" s="1128" t="s">
        <v>2420</v>
      </c>
      <c r="C592" s="1129">
        <f t="shared" ref="C592:C593" si="254">D592+N592+P592+R592+T592+V592+X592</f>
        <v>1961218.9200000002</v>
      </c>
      <c r="D592" s="1129">
        <f t="shared" ref="D592:D593" si="255">SUM(E592:J592)</f>
        <v>0</v>
      </c>
      <c r="E592" s="1129">
        <v>0</v>
      </c>
      <c r="F592" s="1129">
        <v>0</v>
      </c>
      <c r="G592" s="1129">
        <v>0</v>
      </c>
      <c r="H592" s="1129">
        <v>0</v>
      </c>
      <c r="I592" s="1129">
        <v>0</v>
      </c>
      <c r="J592" s="1129">
        <v>0</v>
      </c>
      <c r="K592" s="1136">
        <v>0</v>
      </c>
      <c r="L592" s="1129">
        <v>0</v>
      </c>
      <c r="M592" s="1136">
        <v>0</v>
      </c>
      <c r="N592" s="1129">
        <v>0</v>
      </c>
      <c r="O592" s="1129">
        <v>460</v>
      </c>
      <c r="P592" s="1129">
        <v>1818766.12</v>
      </c>
      <c r="Q592" s="1129">
        <v>0</v>
      </c>
      <c r="R592" s="1129">
        <v>0</v>
      </c>
      <c r="S592" s="1129">
        <v>0</v>
      </c>
      <c r="T592" s="1129">
        <v>0</v>
      </c>
      <c r="U592" s="1129">
        <v>0</v>
      </c>
      <c r="V592" s="1129">
        <v>0</v>
      </c>
      <c r="W592" s="1167">
        <v>0</v>
      </c>
      <c r="X592" s="1129">
        <v>142452.79999999999</v>
      </c>
      <c r="Y592" s="1129">
        <v>0</v>
      </c>
    </row>
    <row r="593" spans="1:25" s="1152" customFormat="1" ht="92.45" customHeight="1">
      <c r="A593" s="1280">
        <v>141</v>
      </c>
      <c r="B593" s="1128" t="s">
        <v>2421</v>
      </c>
      <c r="C593" s="1129">
        <f t="shared" si="254"/>
        <v>2856558</v>
      </c>
      <c r="D593" s="1129">
        <f t="shared" si="255"/>
        <v>0</v>
      </c>
      <c r="E593" s="1129">
        <v>0</v>
      </c>
      <c r="F593" s="1129">
        <v>0</v>
      </c>
      <c r="G593" s="1129">
        <v>0</v>
      </c>
      <c r="H593" s="1129">
        <v>0</v>
      </c>
      <c r="I593" s="1129">
        <v>0</v>
      </c>
      <c r="J593" s="1129">
        <v>0</v>
      </c>
      <c r="K593" s="1136">
        <v>0</v>
      </c>
      <c r="L593" s="1129">
        <v>0</v>
      </c>
      <c r="M593" s="1136">
        <v>0</v>
      </c>
      <c r="N593" s="1129">
        <v>0</v>
      </c>
      <c r="O593" s="1129">
        <v>670</v>
      </c>
      <c r="P593" s="1129">
        <v>2649072.4</v>
      </c>
      <c r="Q593" s="1129">
        <v>0</v>
      </c>
      <c r="R593" s="1129">
        <v>0</v>
      </c>
      <c r="S593" s="1129">
        <v>0</v>
      </c>
      <c r="T593" s="1129">
        <v>0</v>
      </c>
      <c r="U593" s="1129">
        <v>0</v>
      </c>
      <c r="V593" s="1129">
        <v>0</v>
      </c>
      <c r="W593" s="1167">
        <v>0</v>
      </c>
      <c r="X593" s="1129">
        <v>207485.6</v>
      </c>
      <c r="Y593" s="1129">
        <v>0</v>
      </c>
    </row>
    <row r="594" spans="1:25" s="1152" customFormat="1" ht="131.25" customHeight="1">
      <c r="A594" s="1280"/>
      <c r="B594" s="1128" t="s">
        <v>2674</v>
      </c>
      <c r="C594" s="1129">
        <f>C595</f>
        <v>2638258</v>
      </c>
      <c r="D594" s="1129">
        <f t="shared" ref="D594:Y594" si="256">D595</f>
        <v>0</v>
      </c>
      <c r="E594" s="1129">
        <f t="shared" si="256"/>
        <v>0</v>
      </c>
      <c r="F594" s="1129">
        <f t="shared" si="256"/>
        <v>0</v>
      </c>
      <c r="G594" s="1129">
        <f t="shared" si="256"/>
        <v>0</v>
      </c>
      <c r="H594" s="1129">
        <f t="shared" si="256"/>
        <v>0</v>
      </c>
      <c r="I594" s="1129">
        <f t="shared" si="256"/>
        <v>0</v>
      </c>
      <c r="J594" s="1129">
        <f t="shared" si="256"/>
        <v>0</v>
      </c>
      <c r="K594" s="1129">
        <f t="shared" si="256"/>
        <v>0</v>
      </c>
      <c r="L594" s="1129">
        <f t="shared" si="256"/>
        <v>0</v>
      </c>
      <c r="M594" s="1129">
        <f t="shared" si="256"/>
        <v>0</v>
      </c>
      <c r="N594" s="1129">
        <f t="shared" si="256"/>
        <v>0</v>
      </c>
      <c r="O594" s="1129">
        <f t="shared" si="256"/>
        <v>767.5</v>
      </c>
      <c r="P594" s="1129">
        <f t="shared" si="256"/>
        <v>2446629</v>
      </c>
      <c r="Q594" s="1129">
        <f t="shared" si="256"/>
        <v>0</v>
      </c>
      <c r="R594" s="1129">
        <f t="shared" si="256"/>
        <v>0</v>
      </c>
      <c r="S594" s="1129">
        <f t="shared" si="256"/>
        <v>0</v>
      </c>
      <c r="T594" s="1129">
        <f t="shared" si="256"/>
        <v>0</v>
      </c>
      <c r="U594" s="1129">
        <f t="shared" si="256"/>
        <v>0</v>
      </c>
      <c r="V594" s="1129">
        <f t="shared" si="256"/>
        <v>0</v>
      </c>
      <c r="W594" s="1129">
        <f t="shared" si="256"/>
        <v>0</v>
      </c>
      <c r="X594" s="1129">
        <f t="shared" si="256"/>
        <v>191629</v>
      </c>
      <c r="Y594" s="1129">
        <f t="shared" si="256"/>
        <v>0</v>
      </c>
    </row>
    <row r="595" spans="1:25" s="1152" customFormat="1" ht="146.25" customHeight="1">
      <c r="A595" s="1280">
        <v>142</v>
      </c>
      <c r="B595" s="1135" t="s">
        <v>1973</v>
      </c>
      <c r="C595" s="1129">
        <f>D595+N595+P595+R595+T595+V595+X595</f>
        <v>2638258</v>
      </c>
      <c r="D595" s="1129">
        <f>SUM(E595:J595)</f>
        <v>0</v>
      </c>
      <c r="E595" s="1129">
        <v>0</v>
      </c>
      <c r="F595" s="1129">
        <v>0</v>
      </c>
      <c r="G595" s="1129">
        <v>0</v>
      </c>
      <c r="H595" s="1129">
        <v>0</v>
      </c>
      <c r="I595" s="1129">
        <v>0</v>
      </c>
      <c r="J595" s="1129">
        <v>0</v>
      </c>
      <c r="K595" s="1136">
        <v>0</v>
      </c>
      <c r="L595" s="1129">
        <v>0</v>
      </c>
      <c r="M595" s="1136">
        <v>0</v>
      </c>
      <c r="N595" s="1129">
        <v>0</v>
      </c>
      <c r="O595" s="1129">
        <v>767.5</v>
      </c>
      <c r="P595" s="1129">
        <v>2446629</v>
      </c>
      <c r="Q595" s="1129">
        <v>0</v>
      </c>
      <c r="R595" s="1129">
        <v>0</v>
      </c>
      <c r="S595" s="1129">
        <v>0</v>
      </c>
      <c r="T595" s="1129">
        <v>0</v>
      </c>
      <c r="U595" s="1129">
        <v>0</v>
      </c>
      <c r="V595" s="1129">
        <v>0</v>
      </c>
      <c r="W595" s="1129">
        <v>0</v>
      </c>
      <c r="X595" s="1129">
        <v>191629</v>
      </c>
      <c r="Y595" s="1129">
        <v>0</v>
      </c>
    </row>
    <row r="596" spans="1:25" s="1152" customFormat="1" ht="80.45" customHeight="1">
      <c r="A596" s="1280"/>
      <c r="B596" s="1135" t="s">
        <v>49</v>
      </c>
      <c r="C596" s="1129">
        <f>C597+C599+C601+C603+C606+C608</f>
        <v>14284465</v>
      </c>
      <c r="D596" s="1129">
        <f t="shared" ref="D596:Y596" si="257">D597+D599+D601+D603+D606+D608</f>
        <v>0</v>
      </c>
      <c r="E596" s="1129">
        <f t="shared" si="257"/>
        <v>0</v>
      </c>
      <c r="F596" s="1129">
        <f t="shared" si="257"/>
        <v>0</v>
      </c>
      <c r="G596" s="1129">
        <f t="shared" si="257"/>
        <v>0</v>
      </c>
      <c r="H596" s="1129">
        <f t="shared" si="257"/>
        <v>0</v>
      </c>
      <c r="I596" s="1129">
        <f t="shared" si="257"/>
        <v>0</v>
      </c>
      <c r="J596" s="1129">
        <f t="shared" si="257"/>
        <v>0</v>
      </c>
      <c r="K596" s="1223">
        <f t="shared" si="257"/>
        <v>0</v>
      </c>
      <c r="L596" s="1129">
        <f t="shared" si="257"/>
        <v>0</v>
      </c>
      <c r="M596" s="1223">
        <f t="shared" si="257"/>
        <v>0</v>
      </c>
      <c r="N596" s="1129">
        <f t="shared" si="257"/>
        <v>0</v>
      </c>
      <c r="O596" s="1129">
        <f t="shared" si="257"/>
        <v>3882.58</v>
      </c>
      <c r="P596" s="1129">
        <f t="shared" si="257"/>
        <v>11988387</v>
      </c>
      <c r="Q596" s="1129">
        <f t="shared" si="257"/>
        <v>0</v>
      </c>
      <c r="R596" s="1129">
        <f t="shared" si="257"/>
        <v>0</v>
      </c>
      <c r="S596" s="1129">
        <f t="shared" si="257"/>
        <v>510</v>
      </c>
      <c r="T596" s="1129">
        <f t="shared" si="257"/>
        <v>1258528</v>
      </c>
      <c r="U596" s="1129">
        <f t="shared" si="257"/>
        <v>0</v>
      </c>
      <c r="V596" s="1129">
        <f t="shared" si="257"/>
        <v>0</v>
      </c>
      <c r="W596" s="1129">
        <f t="shared" si="257"/>
        <v>0</v>
      </c>
      <c r="X596" s="1129">
        <f t="shared" si="257"/>
        <v>1037550</v>
      </c>
      <c r="Y596" s="1129">
        <f t="shared" si="257"/>
        <v>0</v>
      </c>
    </row>
    <row r="597" spans="1:25" s="1152" customFormat="1" ht="131.44999999999999" customHeight="1">
      <c r="A597" s="1280"/>
      <c r="B597" s="1135" t="s">
        <v>1866</v>
      </c>
      <c r="C597" s="1129">
        <f>C598</f>
        <v>2953066</v>
      </c>
      <c r="D597" s="1129">
        <f t="shared" ref="D597:Y597" si="258">D598</f>
        <v>0</v>
      </c>
      <c r="E597" s="1129">
        <f t="shared" si="258"/>
        <v>0</v>
      </c>
      <c r="F597" s="1129">
        <f t="shared" si="258"/>
        <v>0</v>
      </c>
      <c r="G597" s="1129">
        <f t="shared" si="258"/>
        <v>0</v>
      </c>
      <c r="H597" s="1129">
        <f t="shared" si="258"/>
        <v>0</v>
      </c>
      <c r="I597" s="1129">
        <f t="shared" si="258"/>
        <v>0</v>
      </c>
      <c r="J597" s="1129">
        <f t="shared" si="258"/>
        <v>0</v>
      </c>
      <c r="K597" s="1136">
        <f t="shared" si="258"/>
        <v>0</v>
      </c>
      <c r="L597" s="1129">
        <f t="shared" si="258"/>
        <v>0</v>
      </c>
      <c r="M597" s="1136">
        <f t="shared" si="258"/>
        <v>0</v>
      </c>
      <c r="N597" s="1129">
        <f t="shared" si="258"/>
        <v>0</v>
      </c>
      <c r="O597" s="1129">
        <f t="shared" si="258"/>
        <v>872.5</v>
      </c>
      <c r="P597" s="1129">
        <f t="shared" si="258"/>
        <v>2738571</v>
      </c>
      <c r="Q597" s="1129">
        <f t="shared" si="258"/>
        <v>0</v>
      </c>
      <c r="R597" s="1129">
        <f t="shared" si="258"/>
        <v>0</v>
      </c>
      <c r="S597" s="1129">
        <f t="shared" si="258"/>
        <v>0</v>
      </c>
      <c r="T597" s="1129">
        <f t="shared" si="258"/>
        <v>0</v>
      </c>
      <c r="U597" s="1129">
        <f t="shared" si="258"/>
        <v>0</v>
      </c>
      <c r="V597" s="1129">
        <f t="shared" si="258"/>
        <v>0</v>
      </c>
      <c r="W597" s="1167">
        <v>0</v>
      </c>
      <c r="X597" s="1129">
        <f t="shared" si="258"/>
        <v>214495</v>
      </c>
      <c r="Y597" s="1129">
        <f t="shared" si="258"/>
        <v>0</v>
      </c>
    </row>
    <row r="598" spans="1:25" s="1152" customFormat="1" ht="82.15" customHeight="1">
      <c r="A598" s="1280">
        <v>143</v>
      </c>
      <c r="B598" s="1135" t="s">
        <v>1349</v>
      </c>
      <c r="C598" s="1129">
        <f>D598+N598+P598+R598+T598+V598+X598</f>
        <v>2953066</v>
      </c>
      <c r="D598" s="1129">
        <f>SUM(E598:J598)</f>
        <v>0</v>
      </c>
      <c r="E598" s="1129">
        <v>0</v>
      </c>
      <c r="F598" s="1129">
        <v>0</v>
      </c>
      <c r="G598" s="1129">
        <v>0</v>
      </c>
      <c r="H598" s="1129">
        <v>0</v>
      </c>
      <c r="I598" s="1129">
        <v>0</v>
      </c>
      <c r="J598" s="1129">
        <v>0</v>
      </c>
      <c r="K598" s="1136">
        <v>0</v>
      </c>
      <c r="L598" s="1129">
        <v>0</v>
      </c>
      <c r="M598" s="1136">
        <v>0</v>
      </c>
      <c r="N598" s="1129">
        <v>0</v>
      </c>
      <c r="O598" s="1129">
        <v>872.5</v>
      </c>
      <c r="P598" s="1129">
        <v>2738571</v>
      </c>
      <c r="Q598" s="1129">
        <v>0</v>
      </c>
      <c r="R598" s="1129">
        <v>0</v>
      </c>
      <c r="S598" s="1129">
        <v>0</v>
      </c>
      <c r="T598" s="1129">
        <v>0</v>
      </c>
      <c r="U598" s="1129">
        <v>0</v>
      </c>
      <c r="V598" s="1129">
        <v>0</v>
      </c>
      <c r="W598" s="1167">
        <v>0</v>
      </c>
      <c r="X598" s="1129">
        <v>214495</v>
      </c>
      <c r="Y598" s="1129">
        <v>0</v>
      </c>
    </row>
    <row r="599" spans="1:25" s="1152" customFormat="1" ht="155.44999999999999" customHeight="1">
      <c r="A599" s="1280"/>
      <c r="B599" s="1135" t="s">
        <v>1125</v>
      </c>
      <c r="C599" s="1129">
        <f>C600</f>
        <v>2389620</v>
      </c>
      <c r="D599" s="1129">
        <f t="shared" ref="D599:Y599" si="259">D600</f>
        <v>0</v>
      </c>
      <c r="E599" s="1129">
        <f t="shared" si="259"/>
        <v>0</v>
      </c>
      <c r="F599" s="1129">
        <f t="shared" si="259"/>
        <v>0</v>
      </c>
      <c r="G599" s="1129">
        <f t="shared" si="259"/>
        <v>0</v>
      </c>
      <c r="H599" s="1129">
        <f t="shared" si="259"/>
        <v>0</v>
      </c>
      <c r="I599" s="1129">
        <f t="shared" si="259"/>
        <v>0</v>
      </c>
      <c r="J599" s="1129">
        <f t="shared" si="259"/>
        <v>0</v>
      </c>
      <c r="K599" s="1136">
        <v>0</v>
      </c>
      <c r="L599" s="1129">
        <v>0</v>
      </c>
      <c r="M599" s="1136">
        <f t="shared" si="259"/>
        <v>0</v>
      </c>
      <c r="N599" s="1129">
        <f t="shared" si="259"/>
        <v>0</v>
      </c>
      <c r="O599" s="1129">
        <f t="shared" si="259"/>
        <v>380</v>
      </c>
      <c r="P599" s="1129">
        <f t="shared" si="259"/>
        <v>957522</v>
      </c>
      <c r="Q599" s="1129">
        <f t="shared" si="259"/>
        <v>0</v>
      </c>
      <c r="R599" s="1129">
        <f t="shared" si="259"/>
        <v>0</v>
      </c>
      <c r="S599" s="1129">
        <f t="shared" si="259"/>
        <v>510</v>
      </c>
      <c r="T599" s="1129">
        <f t="shared" si="259"/>
        <v>1258528</v>
      </c>
      <c r="U599" s="1129">
        <f t="shared" si="259"/>
        <v>0</v>
      </c>
      <c r="V599" s="1129">
        <f t="shared" si="259"/>
        <v>0</v>
      </c>
      <c r="W599" s="1129">
        <v>0</v>
      </c>
      <c r="X599" s="1129">
        <f t="shared" si="259"/>
        <v>173570</v>
      </c>
      <c r="Y599" s="1129">
        <f t="shared" si="259"/>
        <v>0</v>
      </c>
    </row>
    <row r="600" spans="1:25" s="1152" customFormat="1" ht="131.44999999999999" customHeight="1">
      <c r="A600" s="1280">
        <v>144</v>
      </c>
      <c r="B600" s="1128" t="s">
        <v>2422</v>
      </c>
      <c r="C600" s="1129">
        <f>D600+N600+P600+R600+T600+V600+X600</f>
        <v>2389620</v>
      </c>
      <c r="D600" s="1129">
        <f>SUM(E600:J600)</f>
        <v>0</v>
      </c>
      <c r="E600" s="1129">
        <v>0</v>
      </c>
      <c r="F600" s="1129">
        <v>0</v>
      </c>
      <c r="G600" s="1129">
        <v>0</v>
      </c>
      <c r="H600" s="1129">
        <v>0</v>
      </c>
      <c r="I600" s="1129">
        <v>0</v>
      </c>
      <c r="J600" s="1129">
        <v>0</v>
      </c>
      <c r="K600" s="1136">
        <v>0</v>
      </c>
      <c r="L600" s="1129">
        <v>0</v>
      </c>
      <c r="M600" s="1136">
        <v>0</v>
      </c>
      <c r="N600" s="1129">
        <v>0</v>
      </c>
      <c r="O600" s="1129">
        <v>380</v>
      </c>
      <c r="P600" s="1129">
        <v>957522</v>
      </c>
      <c r="Q600" s="1129">
        <v>0</v>
      </c>
      <c r="R600" s="1129">
        <v>0</v>
      </c>
      <c r="S600" s="1129">
        <v>510</v>
      </c>
      <c r="T600" s="1129">
        <v>1258528</v>
      </c>
      <c r="U600" s="1129">
        <v>0</v>
      </c>
      <c r="V600" s="1129">
        <v>0</v>
      </c>
      <c r="W600" s="1167">
        <v>0</v>
      </c>
      <c r="X600" s="1129">
        <v>173570</v>
      </c>
      <c r="Y600" s="1129">
        <v>0</v>
      </c>
    </row>
    <row r="601" spans="1:25" s="1152" customFormat="1" ht="141" customHeight="1">
      <c r="A601" s="1280"/>
      <c r="B601" s="1135" t="s">
        <v>1147</v>
      </c>
      <c r="C601" s="1129">
        <f>C602</f>
        <v>1952139</v>
      </c>
      <c r="D601" s="1129">
        <f t="shared" ref="D601:Y601" si="260">D602</f>
        <v>0</v>
      </c>
      <c r="E601" s="1129">
        <f t="shared" si="260"/>
        <v>0</v>
      </c>
      <c r="F601" s="1129">
        <f t="shared" si="260"/>
        <v>0</v>
      </c>
      <c r="G601" s="1129">
        <f t="shared" si="260"/>
        <v>0</v>
      </c>
      <c r="H601" s="1129">
        <f t="shared" si="260"/>
        <v>0</v>
      </c>
      <c r="I601" s="1129">
        <f t="shared" si="260"/>
        <v>0</v>
      </c>
      <c r="J601" s="1129">
        <f t="shared" si="260"/>
        <v>0</v>
      </c>
      <c r="K601" s="1136">
        <f t="shared" si="260"/>
        <v>0</v>
      </c>
      <c r="L601" s="1129">
        <f t="shared" si="260"/>
        <v>0</v>
      </c>
      <c r="M601" s="1136">
        <f t="shared" si="260"/>
        <v>0</v>
      </c>
      <c r="N601" s="1129">
        <f t="shared" si="260"/>
        <v>0</v>
      </c>
      <c r="O601" s="1129">
        <f t="shared" si="260"/>
        <v>567.9</v>
      </c>
      <c r="P601" s="1129">
        <f t="shared" si="260"/>
        <v>1810346</v>
      </c>
      <c r="Q601" s="1129">
        <f t="shared" si="260"/>
        <v>0</v>
      </c>
      <c r="R601" s="1129">
        <f t="shared" si="260"/>
        <v>0</v>
      </c>
      <c r="S601" s="1129">
        <f t="shared" si="260"/>
        <v>0</v>
      </c>
      <c r="T601" s="1129">
        <f t="shared" si="260"/>
        <v>0</v>
      </c>
      <c r="U601" s="1129">
        <f t="shared" si="260"/>
        <v>0</v>
      </c>
      <c r="V601" s="1129">
        <f t="shared" si="260"/>
        <v>0</v>
      </c>
      <c r="W601" s="1129">
        <f t="shared" si="260"/>
        <v>0</v>
      </c>
      <c r="X601" s="1129">
        <f t="shared" si="260"/>
        <v>141793</v>
      </c>
      <c r="Y601" s="1129">
        <f t="shared" si="260"/>
        <v>0</v>
      </c>
    </row>
    <row r="602" spans="1:25" s="1152" customFormat="1" ht="93" customHeight="1">
      <c r="A602" s="1280">
        <v>145</v>
      </c>
      <c r="B602" s="1128" t="s">
        <v>1963</v>
      </c>
      <c r="C602" s="1129">
        <f>D602+N602+P602+R602+T602+V602+X602</f>
        <v>1952139</v>
      </c>
      <c r="D602" s="1129">
        <f>SUM(E602:J602)</f>
        <v>0</v>
      </c>
      <c r="E602" s="1129">
        <v>0</v>
      </c>
      <c r="F602" s="1129">
        <v>0</v>
      </c>
      <c r="G602" s="1129">
        <v>0</v>
      </c>
      <c r="H602" s="1129">
        <v>0</v>
      </c>
      <c r="I602" s="1129">
        <v>0</v>
      </c>
      <c r="J602" s="1129">
        <v>0</v>
      </c>
      <c r="K602" s="1136">
        <v>0</v>
      </c>
      <c r="L602" s="1129">
        <v>0</v>
      </c>
      <c r="M602" s="1136">
        <v>0</v>
      </c>
      <c r="N602" s="1129">
        <v>0</v>
      </c>
      <c r="O602" s="1129">
        <v>567.9</v>
      </c>
      <c r="P602" s="1129">
        <v>1810346</v>
      </c>
      <c r="Q602" s="1129">
        <v>0</v>
      </c>
      <c r="R602" s="1129">
        <v>0</v>
      </c>
      <c r="S602" s="1129">
        <v>0</v>
      </c>
      <c r="T602" s="1129">
        <v>0</v>
      </c>
      <c r="U602" s="1129">
        <v>0</v>
      </c>
      <c r="V602" s="1129">
        <v>0</v>
      </c>
      <c r="W602" s="1167">
        <v>0</v>
      </c>
      <c r="X602" s="1129">
        <v>141793</v>
      </c>
      <c r="Y602" s="1129">
        <v>0</v>
      </c>
    </row>
    <row r="603" spans="1:25" s="1152" customFormat="1" ht="131.44999999999999" customHeight="1">
      <c r="A603" s="1280"/>
      <c r="B603" s="1135" t="s">
        <v>1964</v>
      </c>
      <c r="C603" s="1129">
        <f>C604+C605</f>
        <v>2933548</v>
      </c>
      <c r="D603" s="1129">
        <f t="shared" ref="D603:Y603" si="261">D604+D605</f>
        <v>0</v>
      </c>
      <c r="E603" s="1129">
        <f t="shared" si="261"/>
        <v>0</v>
      </c>
      <c r="F603" s="1129">
        <f t="shared" si="261"/>
        <v>0</v>
      </c>
      <c r="G603" s="1129">
        <f t="shared" si="261"/>
        <v>0</v>
      </c>
      <c r="H603" s="1129">
        <f t="shared" si="261"/>
        <v>0</v>
      </c>
      <c r="I603" s="1129">
        <f t="shared" si="261"/>
        <v>0</v>
      </c>
      <c r="J603" s="1129">
        <f t="shared" si="261"/>
        <v>0</v>
      </c>
      <c r="K603" s="1136">
        <f t="shared" si="261"/>
        <v>0</v>
      </c>
      <c r="L603" s="1129">
        <f t="shared" si="261"/>
        <v>0</v>
      </c>
      <c r="M603" s="1136">
        <f t="shared" si="261"/>
        <v>0</v>
      </c>
      <c r="N603" s="1129">
        <f t="shared" si="261"/>
        <v>0</v>
      </c>
      <c r="O603" s="1129">
        <f t="shared" si="261"/>
        <v>723.18000000000006</v>
      </c>
      <c r="P603" s="1129">
        <f t="shared" si="261"/>
        <v>2720470</v>
      </c>
      <c r="Q603" s="1129">
        <f t="shared" si="261"/>
        <v>0</v>
      </c>
      <c r="R603" s="1129">
        <f t="shared" si="261"/>
        <v>0</v>
      </c>
      <c r="S603" s="1129">
        <f t="shared" si="261"/>
        <v>0</v>
      </c>
      <c r="T603" s="1129">
        <f t="shared" si="261"/>
        <v>0</v>
      </c>
      <c r="U603" s="1129">
        <f t="shared" si="261"/>
        <v>0</v>
      </c>
      <c r="V603" s="1129">
        <f t="shared" si="261"/>
        <v>0</v>
      </c>
      <c r="W603" s="1129">
        <f t="shared" si="261"/>
        <v>0</v>
      </c>
      <c r="X603" s="1129">
        <f t="shared" si="261"/>
        <v>213078</v>
      </c>
      <c r="Y603" s="1129">
        <f t="shared" si="261"/>
        <v>0</v>
      </c>
    </row>
    <row r="604" spans="1:25" s="1153" customFormat="1" ht="84" customHeight="1">
      <c r="A604" s="1280">
        <v>146</v>
      </c>
      <c r="B604" s="1128" t="s">
        <v>2423</v>
      </c>
      <c r="C604" s="1129">
        <f>D604+N604+P604+R604+T604+V604+X604</f>
        <v>1240586</v>
      </c>
      <c r="D604" s="1129">
        <f>SUM(E604:J604)</f>
        <v>0</v>
      </c>
      <c r="E604" s="1129">
        <v>0</v>
      </c>
      <c r="F604" s="1129">
        <v>0</v>
      </c>
      <c r="G604" s="1129">
        <v>0</v>
      </c>
      <c r="H604" s="1129">
        <v>0</v>
      </c>
      <c r="I604" s="1129">
        <v>0</v>
      </c>
      <c r="J604" s="1129">
        <v>0</v>
      </c>
      <c r="K604" s="1136">
        <v>0</v>
      </c>
      <c r="L604" s="1129">
        <v>0</v>
      </c>
      <c r="M604" s="1136">
        <v>0</v>
      </c>
      <c r="N604" s="1129">
        <v>0</v>
      </c>
      <c r="O604" s="1129">
        <v>305.83</v>
      </c>
      <c r="P604" s="1129">
        <v>1150476</v>
      </c>
      <c r="Q604" s="1129">
        <v>0</v>
      </c>
      <c r="R604" s="1129">
        <v>0</v>
      </c>
      <c r="S604" s="1129">
        <v>0</v>
      </c>
      <c r="T604" s="1129">
        <v>0</v>
      </c>
      <c r="U604" s="1129">
        <v>0</v>
      </c>
      <c r="V604" s="1129">
        <v>0</v>
      </c>
      <c r="W604" s="1167">
        <v>0</v>
      </c>
      <c r="X604" s="1129">
        <v>90110</v>
      </c>
      <c r="Y604" s="1129">
        <v>0</v>
      </c>
    </row>
    <row r="605" spans="1:25" s="1137" customFormat="1" ht="91.15" customHeight="1">
      <c r="A605" s="1280">
        <v>147</v>
      </c>
      <c r="B605" s="1128" t="s">
        <v>3020</v>
      </c>
      <c r="C605" s="1129">
        <f>D605+N605+P605+R605+T605+V605+X605</f>
        <v>1692962</v>
      </c>
      <c r="D605" s="1129">
        <f>SUM(E605:J605)</f>
        <v>0</v>
      </c>
      <c r="E605" s="1129">
        <v>0</v>
      </c>
      <c r="F605" s="1129">
        <v>0</v>
      </c>
      <c r="G605" s="1129">
        <v>0</v>
      </c>
      <c r="H605" s="1129">
        <v>0</v>
      </c>
      <c r="I605" s="1129">
        <v>0</v>
      </c>
      <c r="J605" s="1129">
        <v>0</v>
      </c>
      <c r="K605" s="1136">
        <v>0</v>
      </c>
      <c r="L605" s="1129">
        <v>0</v>
      </c>
      <c r="M605" s="1136">
        <v>0</v>
      </c>
      <c r="N605" s="1129">
        <v>0</v>
      </c>
      <c r="O605" s="1129">
        <v>417.35</v>
      </c>
      <c r="P605" s="1129">
        <v>1569994</v>
      </c>
      <c r="Q605" s="1129">
        <v>0</v>
      </c>
      <c r="R605" s="1129">
        <v>0</v>
      </c>
      <c r="S605" s="1129">
        <v>0</v>
      </c>
      <c r="T605" s="1129">
        <v>0</v>
      </c>
      <c r="U605" s="1129">
        <v>0</v>
      </c>
      <c r="V605" s="1129">
        <v>0</v>
      </c>
      <c r="W605" s="1167">
        <v>0</v>
      </c>
      <c r="X605" s="1129">
        <v>122968</v>
      </c>
      <c r="Y605" s="1129">
        <v>0</v>
      </c>
    </row>
    <row r="606" spans="1:25" s="1152" customFormat="1" ht="92.45" customHeight="1">
      <c r="A606" s="1280"/>
      <c r="B606" s="1135" t="s">
        <v>1065</v>
      </c>
      <c r="C606" s="1129">
        <f>C607</f>
        <v>2118761</v>
      </c>
      <c r="D606" s="1129">
        <f t="shared" ref="D606:Y606" si="262">D607</f>
        <v>0</v>
      </c>
      <c r="E606" s="1129">
        <f t="shared" si="262"/>
        <v>0</v>
      </c>
      <c r="F606" s="1129">
        <f t="shared" si="262"/>
        <v>0</v>
      </c>
      <c r="G606" s="1129">
        <f t="shared" si="262"/>
        <v>0</v>
      </c>
      <c r="H606" s="1129">
        <f t="shared" si="262"/>
        <v>0</v>
      </c>
      <c r="I606" s="1129">
        <f t="shared" si="262"/>
        <v>0</v>
      </c>
      <c r="J606" s="1129">
        <f t="shared" si="262"/>
        <v>0</v>
      </c>
      <c r="K606" s="1136">
        <f t="shared" si="262"/>
        <v>0</v>
      </c>
      <c r="L606" s="1129">
        <f t="shared" si="262"/>
        <v>0</v>
      </c>
      <c r="M606" s="1136">
        <f t="shared" si="262"/>
        <v>0</v>
      </c>
      <c r="N606" s="1129">
        <f t="shared" si="262"/>
        <v>0</v>
      </c>
      <c r="O606" s="1129">
        <f t="shared" si="262"/>
        <v>626</v>
      </c>
      <c r="P606" s="1129">
        <f t="shared" si="262"/>
        <v>1964865</v>
      </c>
      <c r="Q606" s="1129">
        <f t="shared" si="262"/>
        <v>0</v>
      </c>
      <c r="R606" s="1129">
        <f t="shared" si="262"/>
        <v>0</v>
      </c>
      <c r="S606" s="1129">
        <f t="shared" si="262"/>
        <v>0</v>
      </c>
      <c r="T606" s="1129">
        <f t="shared" si="262"/>
        <v>0</v>
      </c>
      <c r="U606" s="1129">
        <f t="shared" si="262"/>
        <v>0</v>
      </c>
      <c r="V606" s="1129">
        <f t="shared" si="262"/>
        <v>0</v>
      </c>
      <c r="W606" s="1167">
        <v>0</v>
      </c>
      <c r="X606" s="1129">
        <f t="shared" si="262"/>
        <v>153896</v>
      </c>
      <c r="Y606" s="1129">
        <f t="shared" si="262"/>
        <v>0</v>
      </c>
    </row>
    <row r="607" spans="1:25" s="1152" customFormat="1" ht="66.599999999999994" customHeight="1">
      <c r="A607" s="1280">
        <v>148</v>
      </c>
      <c r="B607" s="1128" t="s">
        <v>1185</v>
      </c>
      <c r="C607" s="1129">
        <f>D607+N607+P607+R607+T607+V607+X607</f>
        <v>2118761</v>
      </c>
      <c r="D607" s="1129">
        <f>SUM(E607:J607)</f>
        <v>0</v>
      </c>
      <c r="E607" s="1129">
        <v>0</v>
      </c>
      <c r="F607" s="1129">
        <v>0</v>
      </c>
      <c r="G607" s="1129">
        <v>0</v>
      </c>
      <c r="H607" s="1129">
        <v>0</v>
      </c>
      <c r="I607" s="1129">
        <v>0</v>
      </c>
      <c r="J607" s="1129">
        <v>0</v>
      </c>
      <c r="K607" s="1136">
        <v>0</v>
      </c>
      <c r="L607" s="1129">
        <v>0</v>
      </c>
      <c r="M607" s="1136">
        <v>0</v>
      </c>
      <c r="N607" s="1129">
        <v>0</v>
      </c>
      <c r="O607" s="1129">
        <v>626</v>
      </c>
      <c r="P607" s="1129">
        <v>1964865</v>
      </c>
      <c r="Q607" s="1129">
        <v>0</v>
      </c>
      <c r="R607" s="1129">
        <v>0</v>
      </c>
      <c r="S607" s="1129">
        <v>0</v>
      </c>
      <c r="T607" s="1129">
        <v>0</v>
      </c>
      <c r="U607" s="1129">
        <v>0</v>
      </c>
      <c r="V607" s="1129">
        <v>0</v>
      </c>
      <c r="W607" s="1129">
        <v>0</v>
      </c>
      <c r="X607" s="1129">
        <v>153896</v>
      </c>
      <c r="Y607" s="1129">
        <v>0</v>
      </c>
    </row>
    <row r="608" spans="1:25" s="1152" customFormat="1" ht="131.44999999999999" customHeight="1">
      <c r="A608" s="1280"/>
      <c r="B608" s="1135" t="s">
        <v>1128</v>
      </c>
      <c r="C608" s="1129">
        <f>C609</f>
        <v>1937331</v>
      </c>
      <c r="D608" s="1129">
        <f t="shared" ref="D608:Y608" si="263">D609</f>
        <v>0</v>
      </c>
      <c r="E608" s="1129">
        <f t="shared" si="263"/>
        <v>0</v>
      </c>
      <c r="F608" s="1129">
        <f t="shared" si="263"/>
        <v>0</v>
      </c>
      <c r="G608" s="1129">
        <f t="shared" si="263"/>
        <v>0</v>
      </c>
      <c r="H608" s="1129">
        <f t="shared" si="263"/>
        <v>0</v>
      </c>
      <c r="I608" s="1129">
        <f t="shared" si="263"/>
        <v>0</v>
      </c>
      <c r="J608" s="1129">
        <f t="shared" si="263"/>
        <v>0</v>
      </c>
      <c r="K608" s="1136">
        <f t="shared" si="263"/>
        <v>0</v>
      </c>
      <c r="L608" s="1129">
        <f t="shared" si="263"/>
        <v>0</v>
      </c>
      <c r="M608" s="1136">
        <f t="shared" si="263"/>
        <v>0</v>
      </c>
      <c r="N608" s="1129">
        <f t="shared" si="263"/>
        <v>0</v>
      </c>
      <c r="O608" s="1129">
        <f t="shared" si="263"/>
        <v>713</v>
      </c>
      <c r="P608" s="1129">
        <f t="shared" si="263"/>
        <v>1796613</v>
      </c>
      <c r="Q608" s="1129">
        <f t="shared" si="263"/>
        <v>0</v>
      </c>
      <c r="R608" s="1129">
        <f t="shared" si="263"/>
        <v>0</v>
      </c>
      <c r="S608" s="1129">
        <f t="shared" si="263"/>
        <v>0</v>
      </c>
      <c r="T608" s="1129">
        <f t="shared" si="263"/>
        <v>0</v>
      </c>
      <c r="U608" s="1129">
        <f t="shared" si="263"/>
        <v>0</v>
      </c>
      <c r="V608" s="1129">
        <f t="shared" si="263"/>
        <v>0</v>
      </c>
      <c r="W608" s="1167">
        <v>0</v>
      </c>
      <c r="X608" s="1129">
        <f t="shared" si="263"/>
        <v>140718</v>
      </c>
      <c r="Y608" s="1129">
        <f t="shared" si="263"/>
        <v>0</v>
      </c>
    </row>
    <row r="609" spans="1:25" s="1152" customFormat="1" ht="97.15" customHeight="1">
      <c r="A609" s="1280">
        <v>149</v>
      </c>
      <c r="B609" s="1135" t="s">
        <v>3021</v>
      </c>
      <c r="C609" s="1129">
        <f>D609+N609+P609+R609+T609+V609+X609</f>
        <v>1937331</v>
      </c>
      <c r="D609" s="1129">
        <f>SUM(E609:J609)</f>
        <v>0</v>
      </c>
      <c r="E609" s="1129">
        <v>0</v>
      </c>
      <c r="F609" s="1129">
        <v>0</v>
      </c>
      <c r="G609" s="1129">
        <v>0</v>
      </c>
      <c r="H609" s="1129">
        <v>0</v>
      </c>
      <c r="I609" s="1129">
        <v>0</v>
      </c>
      <c r="J609" s="1129">
        <v>0</v>
      </c>
      <c r="K609" s="1136">
        <v>0</v>
      </c>
      <c r="L609" s="1129">
        <v>0</v>
      </c>
      <c r="M609" s="1136">
        <v>0</v>
      </c>
      <c r="N609" s="1129">
        <v>0</v>
      </c>
      <c r="O609" s="1129">
        <v>713</v>
      </c>
      <c r="P609" s="1129">
        <v>1796613</v>
      </c>
      <c r="Q609" s="1129">
        <v>0</v>
      </c>
      <c r="R609" s="1129">
        <v>0</v>
      </c>
      <c r="S609" s="1129">
        <v>0</v>
      </c>
      <c r="T609" s="1129">
        <v>0</v>
      </c>
      <c r="U609" s="1129">
        <v>0</v>
      </c>
      <c r="V609" s="1129">
        <v>0</v>
      </c>
      <c r="W609" s="1129">
        <v>0</v>
      </c>
      <c r="X609" s="1129">
        <v>140718</v>
      </c>
      <c r="Y609" s="1129">
        <v>0</v>
      </c>
    </row>
    <row r="610" spans="1:25" s="1152" customFormat="1" ht="70.150000000000006" customHeight="1">
      <c r="A610" s="1280"/>
      <c r="B610" s="1135" t="s">
        <v>50</v>
      </c>
      <c r="C610" s="1129">
        <f>C611</f>
        <v>12056009</v>
      </c>
      <c r="D610" s="1129">
        <f t="shared" ref="D610:Y610" si="264">D611</f>
        <v>0</v>
      </c>
      <c r="E610" s="1129">
        <f t="shared" si="264"/>
        <v>0</v>
      </c>
      <c r="F610" s="1129">
        <f t="shared" si="264"/>
        <v>0</v>
      </c>
      <c r="G610" s="1129">
        <f t="shared" si="264"/>
        <v>0</v>
      </c>
      <c r="H610" s="1129">
        <f t="shared" si="264"/>
        <v>0</v>
      </c>
      <c r="I610" s="1129">
        <f t="shared" si="264"/>
        <v>0</v>
      </c>
      <c r="J610" s="1129">
        <f t="shared" si="264"/>
        <v>0</v>
      </c>
      <c r="K610" s="1136">
        <v>0</v>
      </c>
      <c r="L610" s="1129">
        <v>0</v>
      </c>
      <c r="M610" s="1136">
        <f t="shared" si="264"/>
        <v>0</v>
      </c>
      <c r="N610" s="1129">
        <f t="shared" si="264"/>
        <v>0</v>
      </c>
      <c r="O610" s="1129">
        <f t="shared" si="264"/>
        <v>4437</v>
      </c>
      <c r="P610" s="1129">
        <f t="shared" si="264"/>
        <v>11180324</v>
      </c>
      <c r="Q610" s="1129">
        <f t="shared" si="264"/>
        <v>0</v>
      </c>
      <c r="R610" s="1129">
        <f t="shared" si="264"/>
        <v>0</v>
      </c>
      <c r="S610" s="1129">
        <f t="shared" si="264"/>
        <v>0</v>
      </c>
      <c r="T610" s="1129">
        <f t="shared" si="264"/>
        <v>0</v>
      </c>
      <c r="U610" s="1129">
        <f t="shared" si="264"/>
        <v>0</v>
      </c>
      <c r="V610" s="1129">
        <f t="shared" si="264"/>
        <v>0</v>
      </c>
      <c r="W610" s="1167">
        <v>0</v>
      </c>
      <c r="X610" s="1129">
        <f t="shared" si="264"/>
        <v>875685</v>
      </c>
      <c r="Y610" s="1129">
        <f t="shared" si="264"/>
        <v>0</v>
      </c>
    </row>
    <row r="611" spans="1:25" s="1152" customFormat="1" ht="136.5" customHeight="1">
      <c r="A611" s="1280"/>
      <c r="B611" s="1135" t="s">
        <v>2825</v>
      </c>
      <c r="C611" s="1145">
        <f>SUM(C612:C615)</f>
        <v>12056009</v>
      </c>
      <c r="D611" s="1145">
        <f t="shared" ref="D611:Y611" si="265">SUM(D612:D615)</f>
        <v>0</v>
      </c>
      <c r="E611" s="1145">
        <f t="shared" si="265"/>
        <v>0</v>
      </c>
      <c r="F611" s="1145">
        <f t="shared" si="265"/>
        <v>0</v>
      </c>
      <c r="G611" s="1145">
        <f t="shared" si="265"/>
        <v>0</v>
      </c>
      <c r="H611" s="1145">
        <f t="shared" si="265"/>
        <v>0</v>
      </c>
      <c r="I611" s="1145">
        <f t="shared" si="265"/>
        <v>0</v>
      </c>
      <c r="J611" s="1145">
        <f t="shared" si="265"/>
        <v>0</v>
      </c>
      <c r="K611" s="1136">
        <f t="shared" si="265"/>
        <v>0</v>
      </c>
      <c r="L611" s="1145">
        <f t="shared" si="265"/>
        <v>0</v>
      </c>
      <c r="M611" s="1136">
        <f t="shared" si="265"/>
        <v>0</v>
      </c>
      <c r="N611" s="1145">
        <f t="shared" si="265"/>
        <v>0</v>
      </c>
      <c r="O611" s="1145">
        <f t="shared" si="265"/>
        <v>4437</v>
      </c>
      <c r="P611" s="1145">
        <f t="shared" si="265"/>
        <v>11180324</v>
      </c>
      <c r="Q611" s="1145">
        <f t="shared" si="265"/>
        <v>0</v>
      </c>
      <c r="R611" s="1145">
        <f t="shared" si="265"/>
        <v>0</v>
      </c>
      <c r="S611" s="1145">
        <f t="shared" si="265"/>
        <v>0</v>
      </c>
      <c r="T611" s="1145">
        <f t="shared" si="265"/>
        <v>0</v>
      </c>
      <c r="U611" s="1145">
        <f t="shared" si="265"/>
        <v>0</v>
      </c>
      <c r="V611" s="1145">
        <f t="shared" si="265"/>
        <v>0</v>
      </c>
      <c r="W611" s="1167">
        <v>0</v>
      </c>
      <c r="X611" s="1145">
        <f t="shared" si="265"/>
        <v>875685</v>
      </c>
      <c r="Y611" s="1145">
        <f t="shared" si="265"/>
        <v>0</v>
      </c>
    </row>
    <row r="612" spans="1:25" s="1137" customFormat="1" ht="59.45" customHeight="1">
      <c r="A612" s="1280">
        <v>150</v>
      </c>
      <c r="B612" s="1135" t="s">
        <v>1252</v>
      </c>
      <c r="C612" s="1129">
        <f>D612+N612+P612+R612+T612+V612+X612</f>
        <v>3768692</v>
      </c>
      <c r="D612" s="1129">
        <f t="shared" ref="D612" si="266">SUM(E612:J612)</f>
        <v>0</v>
      </c>
      <c r="E612" s="1129">
        <v>0</v>
      </c>
      <c r="F612" s="1129">
        <v>0</v>
      </c>
      <c r="G612" s="1129">
        <v>0</v>
      </c>
      <c r="H612" s="1129">
        <v>0</v>
      </c>
      <c r="I612" s="1129">
        <v>0</v>
      </c>
      <c r="J612" s="1129">
        <v>0</v>
      </c>
      <c r="K612" s="1136">
        <v>0</v>
      </c>
      <c r="L612" s="1129">
        <v>0</v>
      </c>
      <c r="M612" s="1136">
        <v>0</v>
      </c>
      <c r="N612" s="1129">
        <v>0</v>
      </c>
      <c r="O612" s="1129">
        <v>1387</v>
      </c>
      <c r="P612" s="1145">
        <v>3494954</v>
      </c>
      <c r="Q612" s="1129">
        <v>0</v>
      </c>
      <c r="R612" s="1129">
        <v>0</v>
      </c>
      <c r="S612" s="1129">
        <v>0</v>
      </c>
      <c r="T612" s="1129">
        <v>0</v>
      </c>
      <c r="U612" s="1129">
        <v>0</v>
      </c>
      <c r="V612" s="1129">
        <v>0</v>
      </c>
      <c r="W612" s="1129">
        <v>0</v>
      </c>
      <c r="X612" s="1129">
        <v>273738</v>
      </c>
      <c r="Y612" s="1129">
        <v>0</v>
      </c>
    </row>
    <row r="613" spans="1:25" s="1137" customFormat="1" ht="59.45" customHeight="1">
      <c r="A613" s="1280">
        <v>151</v>
      </c>
      <c r="B613" s="1128" t="s">
        <v>1253</v>
      </c>
      <c r="C613" s="1129">
        <f>D613+N613+P613+R613+T613+V613+X613</f>
        <v>2418266</v>
      </c>
      <c r="D613" s="1129">
        <f t="shared" ref="D613:D614" si="267">SUM(E613:J613)</f>
        <v>0</v>
      </c>
      <c r="E613" s="1129">
        <v>0</v>
      </c>
      <c r="F613" s="1129">
        <v>0</v>
      </c>
      <c r="G613" s="1129">
        <v>0</v>
      </c>
      <c r="H613" s="1129">
        <v>0</v>
      </c>
      <c r="I613" s="1129">
        <v>0</v>
      </c>
      <c r="J613" s="1129">
        <v>0</v>
      </c>
      <c r="K613" s="1136">
        <v>0</v>
      </c>
      <c r="L613" s="1129">
        <v>0</v>
      </c>
      <c r="M613" s="1136">
        <v>0</v>
      </c>
      <c r="N613" s="1129">
        <v>0</v>
      </c>
      <c r="O613" s="1129">
        <v>890</v>
      </c>
      <c r="P613" s="1154">
        <v>2242616</v>
      </c>
      <c r="Q613" s="1129">
        <v>0</v>
      </c>
      <c r="R613" s="1129">
        <v>0</v>
      </c>
      <c r="S613" s="1129">
        <v>0</v>
      </c>
      <c r="T613" s="1129">
        <v>0</v>
      </c>
      <c r="U613" s="1129">
        <v>0</v>
      </c>
      <c r="V613" s="1129">
        <v>0</v>
      </c>
      <c r="W613" s="1167">
        <v>0</v>
      </c>
      <c r="X613" s="1129">
        <v>175650</v>
      </c>
      <c r="Y613" s="1129">
        <v>0</v>
      </c>
    </row>
    <row r="614" spans="1:25" s="1137" customFormat="1" ht="63" customHeight="1">
      <c r="A614" s="1280">
        <v>152</v>
      </c>
      <c r="B614" s="1128" t="s">
        <v>1254</v>
      </c>
      <c r="C614" s="1129">
        <f>D614+N614+P614+R614+T614+V614+X614</f>
        <v>2907354</v>
      </c>
      <c r="D614" s="1129">
        <f t="shared" si="267"/>
        <v>0</v>
      </c>
      <c r="E614" s="1129">
        <v>0</v>
      </c>
      <c r="F614" s="1129">
        <v>0</v>
      </c>
      <c r="G614" s="1129">
        <v>0</v>
      </c>
      <c r="H614" s="1129">
        <v>0</v>
      </c>
      <c r="I614" s="1129">
        <v>0</v>
      </c>
      <c r="J614" s="1129">
        <v>0</v>
      </c>
      <c r="K614" s="1136">
        <v>0</v>
      </c>
      <c r="L614" s="1129">
        <v>0</v>
      </c>
      <c r="M614" s="1136">
        <v>0</v>
      </c>
      <c r="N614" s="1129">
        <v>0</v>
      </c>
      <c r="O614" s="1129">
        <v>1070</v>
      </c>
      <c r="P614" s="1154">
        <v>2696179</v>
      </c>
      <c r="Q614" s="1129">
        <v>0</v>
      </c>
      <c r="R614" s="1129">
        <v>0</v>
      </c>
      <c r="S614" s="1129">
        <v>0</v>
      </c>
      <c r="T614" s="1129">
        <v>0</v>
      </c>
      <c r="U614" s="1129">
        <v>0</v>
      </c>
      <c r="V614" s="1129">
        <v>0</v>
      </c>
      <c r="W614" s="1167">
        <v>0</v>
      </c>
      <c r="X614" s="1129">
        <v>211175</v>
      </c>
      <c r="Y614" s="1129">
        <v>0</v>
      </c>
    </row>
    <row r="615" spans="1:25" s="1137" customFormat="1" ht="71.45" customHeight="1">
      <c r="A615" s="1280">
        <v>153</v>
      </c>
      <c r="B615" s="1172" t="s">
        <v>1255</v>
      </c>
      <c r="C615" s="1129">
        <f>D615+N615+P615+R615+T615+V615+X615</f>
        <v>2961697</v>
      </c>
      <c r="D615" s="1129">
        <f t="shared" ref="D615" si="268">SUM(E615:J615)</f>
        <v>0</v>
      </c>
      <c r="E615" s="1129">
        <v>0</v>
      </c>
      <c r="F615" s="1129">
        <v>0</v>
      </c>
      <c r="G615" s="1129">
        <v>0</v>
      </c>
      <c r="H615" s="1129">
        <v>0</v>
      </c>
      <c r="I615" s="1129">
        <v>0</v>
      </c>
      <c r="J615" s="1129">
        <v>0</v>
      </c>
      <c r="K615" s="1136">
        <v>0</v>
      </c>
      <c r="L615" s="1129">
        <v>0</v>
      </c>
      <c r="M615" s="1136">
        <v>0</v>
      </c>
      <c r="N615" s="1129">
        <v>0</v>
      </c>
      <c r="O615" s="1129">
        <v>1090</v>
      </c>
      <c r="P615" s="1173">
        <v>2746575</v>
      </c>
      <c r="Q615" s="1129">
        <v>0</v>
      </c>
      <c r="R615" s="1129">
        <v>0</v>
      </c>
      <c r="S615" s="1129">
        <v>0</v>
      </c>
      <c r="T615" s="1129">
        <v>0</v>
      </c>
      <c r="U615" s="1129">
        <v>0</v>
      </c>
      <c r="V615" s="1129">
        <v>0</v>
      </c>
      <c r="W615" s="1129">
        <v>0</v>
      </c>
      <c r="X615" s="1129">
        <v>215122</v>
      </c>
      <c r="Y615" s="1129">
        <v>0</v>
      </c>
    </row>
    <row r="616" spans="1:25" s="1137" customFormat="1" ht="92.45" customHeight="1">
      <c r="A616" s="1280"/>
      <c r="B616" s="1135" t="s">
        <v>1169</v>
      </c>
      <c r="C616" s="1145">
        <f>C617+C618+C619+C620+C621+C622</f>
        <v>15755369</v>
      </c>
      <c r="D616" s="1145">
        <f t="shared" ref="D616:Y616" si="269">D617+D618+D619+D620+D621+D622</f>
        <v>0</v>
      </c>
      <c r="E616" s="1145">
        <f t="shared" si="269"/>
        <v>0</v>
      </c>
      <c r="F616" s="1145">
        <f t="shared" si="269"/>
        <v>0</v>
      </c>
      <c r="G616" s="1145">
        <f t="shared" si="269"/>
        <v>0</v>
      </c>
      <c r="H616" s="1145">
        <f t="shared" si="269"/>
        <v>0</v>
      </c>
      <c r="I616" s="1145">
        <f t="shared" si="269"/>
        <v>0</v>
      </c>
      <c r="J616" s="1145">
        <f t="shared" si="269"/>
        <v>0</v>
      </c>
      <c r="K616" s="1163">
        <f t="shared" si="269"/>
        <v>0</v>
      </c>
      <c r="L616" s="1145">
        <f t="shared" si="269"/>
        <v>0</v>
      </c>
      <c r="M616" s="1163">
        <f t="shared" si="269"/>
        <v>0</v>
      </c>
      <c r="N616" s="1145">
        <f t="shared" si="269"/>
        <v>0</v>
      </c>
      <c r="O616" s="1145">
        <f t="shared" si="269"/>
        <v>8597.7999999999993</v>
      </c>
      <c r="P616" s="1145">
        <f t="shared" si="269"/>
        <v>14610980</v>
      </c>
      <c r="Q616" s="1145">
        <f t="shared" si="269"/>
        <v>0</v>
      </c>
      <c r="R616" s="1145">
        <f t="shared" si="269"/>
        <v>0</v>
      </c>
      <c r="S616" s="1145">
        <f t="shared" si="269"/>
        <v>0</v>
      </c>
      <c r="T616" s="1145">
        <f t="shared" si="269"/>
        <v>0</v>
      </c>
      <c r="U616" s="1145">
        <f t="shared" si="269"/>
        <v>0</v>
      </c>
      <c r="V616" s="1145">
        <f t="shared" si="269"/>
        <v>0</v>
      </c>
      <c r="W616" s="1145">
        <f t="shared" si="269"/>
        <v>0</v>
      </c>
      <c r="X616" s="1145">
        <f t="shared" si="269"/>
        <v>1144389</v>
      </c>
      <c r="Y616" s="1145">
        <f t="shared" si="269"/>
        <v>0</v>
      </c>
    </row>
    <row r="617" spans="1:25" s="1137" customFormat="1" ht="94.9" customHeight="1">
      <c r="A617" s="1280">
        <v>154</v>
      </c>
      <c r="B617" s="1135" t="s">
        <v>1867</v>
      </c>
      <c r="C617" s="1129">
        <f>D617+N617+P617+R617+T617+V617+X617</f>
        <v>1722085</v>
      </c>
      <c r="D617" s="1129">
        <f>SUM(E617:J617)</f>
        <v>0</v>
      </c>
      <c r="E617" s="1129">
        <v>0</v>
      </c>
      <c r="F617" s="1129">
        <v>0</v>
      </c>
      <c r="G617" s="1129">
        <v>0</v>
      </c>
      <c r="H617" s="1129">
        <v>0</v>
      </c>
      <c r="I617" s="1129">
        <v>0</v>
      </c>
      <c r="J617" s="1129">
        <v>0</v>
      </c>
      <c r="K617" s="1136">
        <v>0</v>
      </c>
      <c r="L617" s="1129">
        <v>0</v>
      </c>
      <c r="M617" s="1136">
        <v>0</v>
      </c>
      <c r="N617" s="1129">
        <v>0</v>
      </c>
      <c r="O617" s="1129">
        <v>508.8</v>
      </c>
      <c r="P617" s="1129">
        <v>1597002</v>
      </c>
      <c r="Q617" s="1129">
        <v>0</v>
      </c>
      <c r="R617" s="1129">
        <v>0</v>
      </c>
      <c r="S617" s="1129">
        <v>0</v>
      </c>
      <c r="T617" s="1129">
        <v>0</v>
      </c>
      <c r="U617" s="1129">
        <v>0</v>
      </c>
      <c r="V617" s="1129">
        <v>0</v>
      </c>
      <c r="W617" s="1167">
        <v>0</v>
      </c>
      <c r="X617" s="1157">
        <v>125083</v>
      </c>
      <c r="Y617" s="1157">
        <v>0</v>
      </c>
    </row>
    <row r="618" spans="1:25" s="1137" customFormat="1" ht="84" customHeight="1">
      <c r="A618" s="1280">
        <v>155</v>
      </c>
      <c r="B618" s="1135" t="s">
        <v>2424</v>
      </c>
      <c r="C618" s="1129">
        <f t="shared" ref="C618:C622" si="270">D618+N618+P618+R618+T618+V618+X618</f>
        <v>1861251</v>
      </c>
      <c r="D618" s="1129">
        <f t="shared" ref="D618:D622" si="271">SUM(E618:J618)</f>
        <v>0</v>
      </c>
      <c r="E618" s="1129">
        <v>0</v>
      </c>
      <c r="F618" s="1129">
        <v>0</v>
      </c>
      <c r="G618" s="1129">
        <v>0</v>
      </c>
      <c r="H618" s="1129">
        <v>0</v>
      </c>
      <c r="I618" s="1129">
        <v>0</v>
      </c>
      <c r="J618" s="1129">
        <v>0</v>
      </c>
      <c r="K618" s="1136">
        <v>0</v>
      </c>
      <c r="L618" s="1129">
        <v>0</v>
      </c>
      <c r="M618" s="1136">
        <v>0</v>
      </c>
      <c r="N618" s="1129">
        <v>0</v>
      </c>
      <c r="O618" s="1129">
        <v>685</v>
      </c>
      <c r="P618" s="1129">
        <v>1726059</v>
      </c>
      <c r="Q618" s="1129">
        <v>0</v>
      </c>
      <c r="R618" s="1129">
        <v>0</v>
      </c>
      <c r="S618" s="1129">
        <v>0</v>
      </c>
      <c r="T618" s="1129">
        <v>0</v>
      </c>
      <c r="U618" s="1129">
        <v>0</v>
      </c>
      <c r="V618" s="1129">
        <v>0</v>
      </c>
      <c r="W618" s="1129">
        <v>0</v>
      </c>
      <c r="X618" s="1157">
        <v>135192</v>
      </c>
      <c r="Y618" s="1157">
        <v>0</v>
      </c>
    </row>
    <row r="619" spans="1:25" s="1137" customFormat="1" ht="131.44999999999999" customHeight="1">
      <c r="A619" s="1280">
        <v>156</v>
      </c>
      <c r="B619" s="1135" t="s">
        <v>2425</v>
      </c>
      <c r="C619" s="1129">
        <f t="shared" si="270"/>
        <v>3085872</v>
      </c>
      <c r="D619" s="1129">
        <f t="shared" si="271"/>
        <v>0</v>
      </c>
      <c r="E619" s="1129">
        <v>0</v>
      </c>
      <c r="F619" s="1129">
        <v>0</v>
      </c>
      <c r="G619" s="1129">
        <v>0</v>
      </c>
      <c r="H619" s="1129">
        <v>0</v>
      </c>
      <c r="I619" s="1129">
        <v>0</v>
      </c>
      <c r="J619" s="1129">
        <v>0</v>
      </c>
      <c r="K619" s="1136">
        <v>0</v>
      </c>
      <c r="L619" s="1129">
        <v>0</v>
      </c>
      <c r="M619" s="1136">
        <v>0</v>
      </c>
      <c r="N619" s="1129">
        <v>0</v>
      </c>
      <c r="O619" s="1129">
        <v>1135.7</v>
      </c>
      <c r="P619" s="1129">
        <v>2861730</v>
      </c>
      <c r="Q619" s="1129">
        <v>0</v>
      </c>
      <c r="R619" s="1129">
        <v>0</v>
      </c>
      <c r="S619" s="1129">
        <v>0</v>
      </c>
      <c r="T619" s="1129">
        <v>0</v>
      </c>
      <c r="U619" s="1129">
        <v>0</v>
      </c>
      <c r="V619" s="1129">
        <v>0</v>
      </c>
      <c r="W619" s="1167">
        <v>0</v>
      </c>
      <c r="X619" s="1157">
        <v>224142</v>
      </c>
      <c r="Y619" s="1157">
        <v>0</v>
      </c>
    </row>
    <row r="620" spans="1:25" s="1137" customFormat="1" ht="97.15" customHeight="1">
      <c r="A620" s="1280">
        <v>157</v>
      </c>
      <c r="B620" s="1135" t="s">
        <v>2426</v>
      </c>
      <c r="C620" s="1129">
        <f t="shared" si="270"/>
        <v>3497520</v>
      </c>
      <c r="D620" s="1129">
        <f t="shared" si="271"/>
        <v>0</v>
      </c>
      <c r="E620" s="1129">
        <v>0</v>
      </c>
      <c r="F620" s="1129">
        <v>0</v>
      </c>
      <c r="G620" s="1129">
        <v>0</v>
      </c>
      <c r="H620" s="1129">
        <v>0</v>
      </c>
      <c r="I620" s="1129">
        <v>0</v>
      </c>
      <c r="J620" s="1129">
        <v>0</v>
      </c>
      <c r="K620" s="1136">
        <v>0</v>
      </c>
      <c r="L620" s="1129">
        <v>0</v>
      </c>
      <c r="M620" s="1136">
        <v>0</v>
      </c>
      <c r="N620" s="1129">
        <v>0</v>
      </c>
      <c r="O620" s="1129">
        <v>1287.2</v>
      </c>
      <c r="P620" s="1129">
        <v>3243478</v>
      </c>
      <c r="Q620" s="1129">
        <v>0</v>
      </c>
      <c r="R620" s="1129">
        <v>0</v>
      </c>
      <c r="S620" s="1129">
        <v>0</v>
      </c>
      <c r="T620" s="1129">
        <v>0</v>
      </c>
      <c r="U620" s="1129">
        <v>0</v>
      </c>
      <c r="V620" s="1129">
        <v>0</v>
      </c>
      <c r="W620" s="1129">
        <v>0</v>
      </c>
      <c r="X620" s="1157">
        <v>254042</v>
      </c>
      <c r="Y620" s="1157">
        <v>0</v>
      </c>
    </row>
    <row r="621" spans="1:25" s="1137" customFormat="1" ht="124.15" customHeight="1">
      <c r="A621" s="1280">
        <v>158</v>
      </c>
      <c r="B621" s="1135" t="s">
        <v>2427</v>
      </c>
      <c r="C621" s="1129">
        <f t="shared" si="270"/>
        <v>3398072</v>
      </c>
      <c r="D621" s="1129">
        <f t="shared" si="271"/>
        <v>0</v>
      </c>
      <c r="E621" s="1129">
        <v>0</v>
      </c>
      <c r="F621" s="1129">
        <v>0</v>
      </c>
      <c r="G621" s="1129">
        <v>0</v>
      </c>
      <c r="H621" s="1129">
        <v>0</v>
      </c>
      <c r="I621" s="1129">
        <v>0</v>
      </c>
      <c r="J621" s="1129">
        <v>0</v>
      </c>
      <c r="K621" s="1136">
        <v>0</v>
      </c>
      <c r="L621" s="1129">
        <v>0</v>
      </c>
      <c r="M621" s="1136">
        <v>0</v>
      </c>
      <c r="N621" s="1129">
        <v>0</v>
      </c>
      <c r="O621" s="1129">
        <v>1250.5999999999999</v>
      </c>
      <c r="P621" s="1129">
        <v>3151254</v>
      </c>
      <c r="Q621" s="1129">
        <v>0</v>
      </c>
      <c r="R621" s="1129">
        <v>0</v>
      </c>
      <c r="S621" s="1129">
        <v>0</v>
      </c>
      <c r="T621" s="1129">
        <v>0</v>
      </c>
      <c r="U621" s="1129">
        <v>0</v>
      </c>
      <c r="V621" s="1129">
        <v>0</v>
      </c>
      <c r="W621" s="1167">
        <v>0</v>
      </c>
      <c r="X621" s="1157">
        <v>246818</v>
      </c>
      <c r="Y621" s="1157">
        <v>0</v>
      </c>
    </row>
    <row r="622" spans="1:25" s="1137" customFormat="1" ht="124.15" customHeight="1">
      <c r="A622" s="1280">
        <v>159</v>
      </c>
      <c r="B622" s="1135" t="s">
        <v>2428</v>
      </c>
      <c r="C622" s="1129">
        <f t="shared" si="270"/>
        <v>2190569</v>
      </c>
      <c r="D622" s="1129">
        <f t="shared" si="271"/>
        <v>0</v>
      </c>
      <c r="E622" s="1129">
        <v>0</v>
      </c>
      <c r="F622" s="1129">
        <v>0</v>
      </c>
      <c r="G622" s="1129">
        <v>0</v>
      </c>
      <c r="H622" s="1129">
        <v>0</v>
      </c>
      <c r="I622" s="1129">
        <v>0</v>
      </c>
      <c r="J622" s="1129">
        <v>0</v>
      </c>
      <c r="K622" s="1136">
        <v>0</v>
      </c>
      <c r="L622" s="1129">
        <v>0</v>
      </c>
      <c r="M622" s="1136">
        <v>0</v>
      </c>
      <c r="N622" s="1129">
        <v>0</v>
      </c>
      <c r="O622" s="1129">
        <v>3730.5</v>
      </c>
      <c r="P622" s="1129">
        <v>2031457</v>
      </c>
      <c r="Q622" s="1129">
        <v>0</v>
      </c>
      <c r="R622" s="1129">
        <v>0</v>
      </c>
      <c r="S622" s="1129">
        <v>0</v>
      </c>
      <c r="T622" s="1129">
        <v>0</v>
      </c>
      <c r="U622" s="1129">
        <v>0</v>
      </c>
      <c r="V622" s="1129">
        <v>0</v>
      </c>
      <c r="W622" s="1167">
        <v>0</v>
      </c>
      <c r="X622" s="1157">
        <v>159112</v>
      </c>
      <c r="Y622" s="1157">
        <v>0</v>
      </c>
    </row>
    <row r="623" spans="1:25" s="1165" customFormat="1" ht="136.5" customHeight="1">
      <c r="A623" s="1138"/>
      <c r="B623" s="1135" t="s">
        <v>2702</v>
      </c>
      <c r="C623" s="1129">
        <f>C624+C626</f>
        <v>4709023.1500000004</v>
      </c>
      <c r="D623" s="1129">
        <f t="shared" ref="D623:Y623" si="272">D624+D626</f>
        <v>3204695.9600000004</v>
      </c>
      <c r="E623" s="1129">
        <f t="shared" si="272"/>
        <v>571525.32999999996</v>
      </c>
      <c r="F623" s="1129">
        <f t="shared" si="272"/>
        <v>1082749.04</v>
      </c>
      <c r="G623" s="1129">
        <f t="shared" si="272"/>
        <v>465662.49</v>
      </c>
      <c r="H623" s="1129">
        <f t="shared" si="272"/>
        <v>664657.82999999996</v>
      </c>
      <c r="I623" s="1129">
        <f t="shared" si="272"/>
        <v>0</v>
      </c>
      <c r="J623" s="1129">
        <f t="shared" si="272"/>
        <v>420101.27</v>
      </c>
      <c r="K623" s="1129">
        <f t="shared" si="272"/>
        <v>0</v>
      </c>
      <c r="L623" s="1129">
        <f t="shared" si="272"/>
        <v>0</v>
      </c>
      <c r="M623" s="1129">
        <f t="shared" si="272"/>
        <v>0</v>
      </c>
      <c r="N623" s="1129">
        <f t="shared" si="272"/>
        <v>0</v>
      </c>
      <c r="O623" s="1129">
        <f t="shared" si="272"/>
        <v>0</v>
      </c>
      <c r="P623" s="1129">
        <f t="shared" si="272"/>
        <v>0</v>
      </c>
      <c r="Q623" s="1129">
        <f t="shared" si="272"/>
        <v>0</v>
      </c>
      <c r="R623" s="1129">
        <f t="shared" si="272"/>
        <v>0</v>
      </c>
      <c r="S623" s="1129">
        <f t="shared" si="272"/>
        <v>471</v>
      </c>
      <c r="T623" s="1129">
        <f t="shared" si="272"/>
        <v>1162288</v>
      </c>
      <c r="U623" s="1129">
        <f t="shared" si="272"/>
        <v>0</v>
      </c>
      <c r="V623" s="1129">
        <f t="shared" si="272"/>
        <v>0</v>
      </c>
      <c r="W623" s="1129">
        <f t="shared" si="272"/>
        <v>0</v>
      </c>
      <c r="X623" s="1129">
        <f t="shared" si="272"/>
        <v>342039.19</v>
      </c>
      <c r="Y623" s="1129">
        <f t="shared" si="272"/>
        <v>0</v>
      </c>
    </row>
    <row r="624" spans="1:25" s="1137" customFormat="1" ht="88.9" customHeight="1">
      <c r="A624" s="1280"/>
      <c r="B624" s="1128" t="s">
        <v>2341</v>
      </c>
      <c r="C624" s="1129">
        <f>C625</f>
        <v>1253323</v>
      </c>
      <c r="D624" s="1129">
        <f t="shared" ref="D624:Y624" si="273">D625</f>
        <v>0</v>
      </c>
      <c r="E624" s="1129">
        <f t="shared" si="273"/>
        <v>0</v>
      </c>
      <c r="F624" s="1129">
        <f t="shared" si="273"/>
        <v>0</v>
      </c>
      <c r="G624" s="1129">
        <f t="shared" si="273"/>
        <v>0</v>
      </c>
      <c r="H624" s="1129">
        <f t="shared" si="273"/>
        <v>0</v>
      </c>
      <c r="I624" s="1129">
        <f t="shared" si="273"/>
        <v>0</v>
      </c>
      <c r="J624" s="1129">
        <f t="shared" si="273"/>
        <v>0</v>
      </c>
      <c r="K624" s="1136">
        <f t="shared" si="273"/>
        <v>0</v>
      </c>
      <c r="L624" s="1129">
        <f t="shared" si="273"/>
        <v>0</v>
      </c>
      <c r="M624" s="1136">
        <f t="shared" si="273"/>
        <v>0</v>
      </c>
      <c r="N624" s="1129">
        <f t="shared" si="273"/>
        <v>0</v>
      </c>
      <c r="O624" s="1129">
        <f t="shared" si="273"/>
        <v>0</v>
      </c>
      <c r="P624" s="1129">
        <f t="shared" si="273"/>
        <v>0</v>
      </c>
      <c r="Q624" s="1129">
        <f t="shared" si="273"/>
        <v>0</v>
      </c>
      <c r="R624" s="1129">
        <f t="shared" si="273"/>
        <v>0</v>
      </c>
      <c r="S624" s="1129">
        <f t="shared" si="273"/>
        <v>471</v>
      </c>
      <c r="T624" s="1129">
        <f t="shared" si="273"/>
        <v>1162288</v>
      </c>
      <c r="U624" s="1129">
        <f t="shared" si="273"/>
        <v>0</v>
      </c>
      <c r="V624" s="1129">
        <f t="shared" si="273"/>
        <v>0</v>
      </c>
      <c r="W624" s="1167">
        <v>0</v>
      </c>
      <c r="X624" s="1129">
        <f t="shared" si="273"/>
        <v>91035</v>
      </c>
      <c r="Y624" s="1129">
        <f t="shared" si="273"/>
        <v>0</v>
      </c>
    </row>
    <row r="625" spans="1:25" s="1152" customFormat="1" ht="72.599999999999994" customHeight="1">
      <c r="A625" s="1280">
        <v>160</v>
      </c>
      <c r="B625" s="1135" t="s">
        <v>1580</v>
      </c>
      <c r="C625" s="1129">
        <f>D625+N625+P625+R625+T625+V625+X625</f>
        <v>1253323</v>
      </c>
      <c r="D625" s="1129">
        <f t="shared" ref="D625" si="274">SUM(E625:J625)</f>
        <v>0</v>
      </c>
      <c r="E625" s="1129">
        <v>0</v>
      </c>
      <c r="F625" s="1129">
        <v>0</v>
      </c>
      <c r="G625" s="1129">
        <v>0</v>
      </c>
      <c r="H625" s="1129">
        <v>0</v>
      </c>
      <c r="I625" s="1129">
        <v>0</v>
      </c>
      <c r="J625" s="1129">
        <v>0</v>
      </c>
      <c r="K625" s="1136">
        <v>0</v>
      </c>
      <c r="L625" s="1129">
        <v>0</v>
      </c>
      <c r="M625" s="1136">
        <v>0</v>
      </c>
      <c r="N625" s="1129">
        <v>0</v>
      </c>
      <c r="O625" s="1129">
        <v>0</v>
      </c>
      <c r="P625" s="1129">
        <v>0</v>
      </c>
      <c r="Q625" s="1129">
        <v>0</v>
      </c>
      <c r="R625" s="1129">
        <v>0</v>
      </c>
      <c r="S625" s="1129">
        <v>471</v>
      </c>
      <c r="T625" s="1129">
        <v>1162288</v>
      </c>
      <c r="U625" s="1129">
        <v>0</v>
      </c>
      <c r="V625" s="1129">
        <v>0</v>
      </c>
      <c r="W625" s="1129">
        <v>0</v>
      </c>
      <c r="X625" s="1129">
        <v>91035</v>
      </c>
      <c r="Y625" s="1129">
        <v>0</v>
      </c>
    </row>
    <row r="626" spans="1:25" s="1165" customFormat="1" ht="129" customHeight="1">
      <c r="A626" s="1280"/>
      <c r="B626" s="1135" t="s">
        <v>2826</v>
      </c>
      <c r="C626" s="1129">
        <f>C627</f>
        <v>3455700.1500000004</v>
      </c>
      <c r="D626" s="1129">
        <f t="shared" ref="D626:Y626" si="275">D627</f>
        <v>3204695.9600000004</v>
      </c>
      <c r="E626" s="1129">
        <f t="shared" si="275"/>
        <v>571525.32999999996</v>
      </c>
      <c r="F626" s="1129">
        <f t="shared" si="275"/>
        <v>1082749.04</v>
      </c>
      <c r="G626" s="1129">
        <f t="shared" si="275"/>
        <v>465662.49</v>
      </c>
      <c r="H626" s="1129">
        <f t="shared" si="275"/>
        <v>664657.82999999996</v>
      </c>
      <c r="I626" s="1129">
        <f t="shared" si="275"/>
        <v>0</v>
      </c>
      <c r="J626" s="1129">
        <f t="shared" si="275"/>
        <v>420101.27</v>
      </c>
      <c r="K626" s="1136">
        <f t="shared" si="275"/>
        <v>0</v>
      </c>
      <c r="L626" s="1129">
        <f t="shared" si="275"/>
        <v>0</v>
      </c>
      <c r="M626" s="1136">
        <f t="shared" si="275"/>
        <v>0</v>
      </c>
      <c r="N626" s="1129">
        <f t="shared" si="275"/>
        <v>0</v>
      </c>
      <c r="O626" s="1129">
        <f t="shared" si="275"/>
        <v>0</v>
      </c>
      <c r="P626" s="1129">
        <f t="shared" si="275"/>
        <v>0</v>
      </c>
      <c r="Q626" s="1129">
        <f t="shared" si="275"/>
        <v>0</v>
      </c>
      <c r="R626" s="1129">
        <f t="shared" si="275"/>
        <v>0</v>
      </c>
      <c r="S626" s="1129">
        <f t="shared" si="275"/>
        <v>0</v>
      </c>
      <c r="T626" s="1129">
        <f t="shared" si="275"/>
        <v>0</v>
      </c>
      <c r="U626" s="1129">
        <f t="shared" si="275"/>
        <v>0</v>
      </c>
      <c r="V626" s="1129">
        <f t="shared" si="275"/>
        <v>0</v>
      </c>
      <c r="W626" s="1167">
        <v>0</v>
      </c>
      <c r="X626" s="1129">
        <f t="shared" si="275"/>
        <v>251004.19</v>
      </c>
      <c r="Y626" s="1129">
        <f t="shared" si="275"/>
        <v>0</v>
      </c>
    </row>
    <row r="627" spans="1:25" s="1165" customFormat="1" ht="88.9" customHeight="1">
      <c r="A627" s="1280">
        <v>161</v>
      </c>
      <c r="B627" s="1128" t="s">
        <v>2278</v>
      </c>
      <c r="C627" s="1129">
        <f>D627+N627+P627+R627+T627+V627+X627+L627</f>
        <v>3455700.1500000004</v>
      </c>
      <c r="D627" s="1129">
        <f t="shared" ref="D627" si="276">SUM(E627:J627)</f>
        <v>3204695.9600000004</v>
      </c>
      <c r="E627" s="1129">
        <v>571525.32999999996</v>
      </c>
      <c r="F627" s="1129">
        <v>1082749.04</v>
      </c>
      <c r="G627" s="1129">
        <v>465662.49</v>
      </c>
      <c r="H627" s="1129">
        <v>664657.82999999996</v>
      </c>
      <c r="I627" s="1129">
        <v>0</v>
      </c>
      <c r="J627" s="1129">
        <v>420101.27</v>
      </c>
      <c r="K627" s="1136">
        <v>0</v>
      </c>
      <c r="L627" s="1129">
        <v>0</v>
      </c>
      <c r="M627" s="1136">
        <v>0</v>
      </c>
      <c r="N627" s="1129">
        <v>0</v>
      </c>
      <c r="O627" s="1129">
        <v>0</v>
      </c>
      <c r="P627" s="1129">
        <v>0</v>
      </c>
      <c r="Q627" s="1129">
        <v>0</v>
      </c>
      <c r="R627" s="1129">
        <v>0</v>
      </c>
      <c r="S627" s="1129">
        <v>0</v>
      </c>
      <c r="T627" s="1129">
        <v>0</v>
      </c>
      <c r="U627" s="1129">
        <v>0</v>
      </c>
      <c r="V627" s="1129">
        <v>0</v>
      </c>
      <c r="W627" s="1129">
        <v>0</v>
      </c>
      <c r="X627" s="1129">
        <v>251004.19</v>
      </c>
      <c r="Y627" s="1129">
        <v>0</v>
      </c>
    </row>
    <row r="628" spans="1:25" s="1137" customFormat="1" ht="75" customHeight="1">
      <c r="A628" s="1280"/>
      <c r="B628" s="1135" t="s">
        <v>53</v>
      </c>
      <c r="C628" s="1129">
        <f t="shared" ref="C628:Y628" si="277">C629+C639+C641+C647+C649+C644</f>
        <v>75144785.290000007</v>
      </c>
      <c r="D628" s="1129">
        <f t="shared" si="277"/>
        <v>3661944.8</v>
      </c>
      <c r="E628" s="1129">
        <f t="shared" si="277"/>
        <v>38272.6</v>
      </c>
      <c r="F628" s="1129">
        <f t="shared" si="277"/>
        <v>1257266.1499999999</v>
      </c>
      <c r="G628" s="1129">
        <f t="shared" si="277"/>
        <v>215917.25</v>
      </c>
      <c r="H628" s="1129">
        <f t="shared" si="277"/>
        <v>861761.2</v>
      </c>
      <c r="I628" s="1129">
        <f t="shared" si="277"/>
        <v>679160.2</v>
      </c>
      <c r="J628" s="1129">
        <f t="shared" si="277"/>
        <v>609567.4</v>
      </c>
      <c r="K628" s="1136">
        <f t="shared" si="277"/>
        <v>0</v>
      </c>
      <c r="L628" s="1129">
        <f t="shared" si="277"/>
        <v>0</v>
      </c>
      <c r="M628" s="1136">
        <f t="shared" si="277"/>
        <v>6</v>
      </c>
      <c r="N628" s="1129">
        <f t="shared" si="277"/>
        <v>13529466</v>
      </c>
      <c r="O628" s="1129">
        <f t="shared" si="277"/>
        <v>11104.41</v>
      </c>
      <c r="P628" s="1129">
        <f t="shared" si="277"/>
        <v>35419845.829999998</v>
      </c>
      <c r="Q628" s="1129">
        <f t="shared" si="277"/>
        <v>0</v>
      </c>
      <c r="R628" s="1129">
        <f t="shared" si="277"/>
        <v>0</v>
      </c>
      <c r="S628" s="1129">
        <f t="shared" si="277"/>
        <v>4988.24</v>
      </c>
      <c r="T628" s="1129">
        <f t="shared" si="277"/>
        <v>16986246.52</v>
      </c>
      <c r="U628" s="1129">
        <f t="shared" si="277"/>
        <v>0</v>
      </c>
      <c r="V628" s="1129">
        <f t="shared" si="277"/>
        <v>0</v>
      </c>
      <c r="W628" s="1129">
        <f t="shared" si="277"/>
        <v>0</v>
      </c>
      <c r="X628" s="1129">
        <f t="shared" si="277"/>
        <v>5547282.1399999997</v>
      </c>
      <c r="Y628" s="1129">
        <f t="shared" si="277"/>
        <v>0</v>
      </c>
    </row>
    <row r="629" spans="1:25" s="1137" customFormat="1" ht="126.6" customHeight="1">
      <c r="A629" s="1280"/>
      <c r="B629" s="1135" t="s">
        <v>2429</v>
      </c>
      <c r="C629" s="1145">
        <f>SUM(C630:C638)</f>
        <v>46415518.339999996</v>
      </c>
      <c r="D629" s="1145">
        <f t="shared" ref="D629:Y629" si="278">SUM(D630:D638)</f>
        <v>888524.3</v>
      </c>
      <c r="E629" s="1145">
        <f t="shared" si="278"/>
        <v>0</v>
      </c>
      <c r="F629" s="1145">
        <f t="shared" si="278"/>
        <v>321355.3</v>
      </c>
      <c r="G629" s="1145">
        <f t="shared" si="278"/>
        <v>0</v>
      </c>
      <c r="H629" s="1145">
        <f t="shared" si="278"/>
        <v>347459</v>
      </c>
      <c r="I629" s="1145">
        <f t="shared" si="278"/>
        <v>0</v>
      </c>
      <c r="J629" s="1145">
        <f t="shared" si="278"/>
        <v>219710</v>
      </c>
      <c r="K629" s="1163">
        <f t="shared" si="278"/>
        <v>0</v>
      </c>
      <c r="L629" s="1145">
        <f t="shared" si="278"/>
        <v>0</v>
      </c>
      <c r="M629" s="1163">
        <f t="shared" si="278"/>
        <v>6</v>
      </c>
      <c r="N629" s="1145">
        <f t="shared" si="278"/>
        <v>13529466</v>
      </c>
      <c r="O629" s="1145">
        <f t="shared" si="278"/>
        <v>3806.5</v>
      </c>
      <c r="P629" s="1145">
        <f t="shared" si="278"/>
        <v>11720154.08</v>
      </c>
      <c r="Q629" s="1145">
        <f t="shared" si="278"/>
        <v>0</v>
      </c>
      <c r="R629" s="1145">
        <f t="shared" si="278"/>
        <v>0</v>
      </c>
      <c r="S629" s="1145">
        <f t="shared" si="278"/>
        <v>4988.24</v>
      </c>
      <c r="T629" s="1145">
        <f t="shared" si="278"/>
        <v>16986246.52</v>
      </c>
      <c r="U629" s="1145">
        <f t="shared" si="278"/>
        <v>0</v>
      </c>
      <c r="V629" s="1145">
        <f t="shared" si="278"/>
        <v>0</v>
      </c>
      <c r="W629" s="1145">
        <f t="shared" si="278"/>
        <v>0</v>
      </c>
      <c r="X629" s="1145">
        <f t="shared" si="278"/>
        <v>3291127.44</v>
      </c>
      <c r="Y629" s="1145">
        <f t="shared" si="278"/>
        <v>0</v>
      </c>
    </row>
    <row r="630" spans="1:25" s="1137" customFormat="1" ht="60.6" customHeight="1">
      <c r="A630" s="1280">
        <v>162</v>
      </c>
      <c r="B630" s="1135" t="s">
        <v>1297</v>
      </c>
      <c r="C630" s="1145">
        <f t="shared" ref="C630" si="279">D630+N630+P630+R630+T630+V630+X630</f>
        <v>4863049</v>
      </c>
      <c r="D630" s="1145">
        <f t="shared" ref="D630" si="280">SUM(E630:J630)</f>
        <v>0</v>
      </c>
      <c r="E630" s="1145">
        <v>0</v>
      </c>
      <c r="F630" s="1145">
        <v>0</v>
      </c>
      <c r="G630" s="1145">
        <v>0</v>
      </c>
      <c r="H630" s="1145">
        <v>0</v>
      </c>
      <c r="I630" s="1145">
        <v>0</v>
      </c>
      <c r="J630" s="1145">
        <v>0</v>
      </c>
      <c r="K630" s="1136">
        <v>0</v>
      </c>
      <c r="L630" s="1145">
        <v>0</v>
      </c>
      <c r="M630" s="1136">
        <v>2</v>
      </c>
      <c r="N630" s="1145">
        <v>4509822</v>
      </c>
      <c r="O630" s="1145">
        <v>0</v>
      </c>
      <c r="P630" s="1145">
        <v>0</v>
      </c>
      <c r="Q630" s="1145">
        <v>0</v>
      </c>
      <c r="R630" s="1145">
        <v>0</v>
      </c>
      <c r="S630" s="1145">
        <v>0</v>
      </c>
      <c r="T630" s="1145">
        <v>0</v>
      </c>
      <c r="U630" s="1145">
        <v>0</v>
      </c>
      <c r="V630" s="1145">
        <v>0</v>
      </c>
      <c r="W630" s="1167">
        <v>0</v>
      </c>
      <c r="X630" s="1145">
        <v>353227</v>
      </c>
      <c r="Y630" s="1145">
        <v>0</v>
      </c>
    </row>
    <row r="631" spans="1:25" s="1137" customFormat="1" ht="59.45" customHeight="1">
      <c r="A631" s="1280">
        <v>163</v>
      </c>
      <c r="B631" s="1135" t="s">
        <v>1133</v>
      </c>
      <c r="C631" s="1145">
        <f t="shared" ref="C631:C636" si="281">D631+N631+P631+R631+T631+V631+X631</f>
        <v>4863049</v>
      </c>
      <c r="D631" s="1145">
        <f t="shared" ref="D631:D636" si="282">SUM(E631:J631)</f>
        <v>0</v>
      </c>
      <c r="E631" s="1145">
        <v>0</v>
      </c>
      <c r="F631" s="1145">
        <v>0</v>
      </c>
      <c r="G631" s="1145">
        <v>0</v>
      </c>
      <c r="H631" s="1145">
        <v>0</v>
      </c>
      <c r="I631" s="1145">
        <v>0</v>
      </c>
      <c r="J631" s="1145">
        <v>0</v>
      </c>
      <c r="K631" s="1136">
        <v>0</v>
      </c>
      <c r="L631" s="1145">
        <v>0</v>
      </c>
      <c r="M631" s="1136">
        <v>2</v>
      </c>
      <c r="N631" s="1145">
        <v>4509822</v>
      </c>
      <c r="O631" s="1145">
        <v>0</v>
      </c>
      <c r="P631" s="1145">
        <v>0</v>
      </c>
      <c r="Q631" s="1145">
        <v>0</v>
      </c>
      <c r="R631" s="1145">
        <v>0</v>
      </c>
      <c r="S631" s="1145">
        <v>0</v>
      </c>
      <c r="T631" s="1145">
        <v>0</v>
      </c>
      <c r="U631" s="1145">
        <v>0</v>
      </c>
      <c r="V631" s="1145">
        <v>0</v>
      </c>
      <c r="W631" s="1129">
        <v>0</v>
      </c>
      <c r="X631" s="1145">
        <v>353227</v>
      </c>
      <c r="Y631" s="1145">
        <v>0</v>
      </c>
    </row>
    <row r="632" spans="1:25" s="1137" customFormat="1" ht="63" customHeight="1">
      <c r="A632" s="1280">
        <v>164</v>
      </c>
      <c r="B632" s="1135" t="s">
        <v>1298</v>
      </c>
      <c r="C632" s="1145">
        <f t="shared" si="281"/>
        <v>4863049</v>
      </c>
      <c r="D632" s="1145">
        <f t="shared" si="282"/>
        <v>0</v>
      </c>
      <c r="E632" s="1145">
        <v>0</v>
      </c>
      <c r="F632" s="1145">
        <v>0</v>
      </c>
      <c r="G632" s="1145">
        <v>0</v>
      </c>
      <c r="H632" s="1145">
        <v>0</v>
      </c>
      <c r="I632" s="1145">
        <v>0</v>
      </c>
      <c r="J632" s="1145">
        <v>0</v>
      </c>
      <c r="K632" s="1136">
        <v>0</v>
      </c>
      <c r="L632" s="1145">
        <v>0</v>
      </c>
      <c r="M632" s="1136">
        <v>2</v>
      </c>
      <c r="N632" s="1145">
        <v>4509822</v>
      </c>
      <c r="O632" s="1145">
        <v>0</v>
      </c>
      <c r="P632" s="1145">
        <v>0</v>
      </c>
      <c r="Q632" s="1145">
        <v>0</v>
      </c>
      <c r="R632" s="1145">
        <v>0</v>
      </c>
      <c r="S632" s="1145">
        <v>0</v>
      </c>
      <c r="T632" s="1145">
        <v>0</v>
      </c>
      <c r="U632" s="1145">
        <v>0</v>
      </c>
      <c r="V632" s="1145">
        <v>0</v>
      </c>
      <c r="W632" s="1167">
        <v>0</v>
      </c>
      <c r="X632" s="1145">
        <v>353227</v>
      </c>
      <c r="Y632" s="1145">
        <v>0</v>
      </c>
    </row>
    <row r="633" spans="1:25" s="1137" customFormat="1" ht="54.6" customHeight="1">
      <c r="A633" s="1280">
        <v>165</v>
      </c>
      <c r="B633" s="1135" t="s">
        <v>1299</v>
      </c>
      <c r="C633" s="1145">
        <f t="shared" si="281"/>
        <v>3611341.3600000003</v>
      </c>
      <c r="D633" s="1145">
        <f t="shared" si="282"/>
        <v>567169</v>
      </c>
      <c r="E633" s="1145">
        <v>0</v>
      </c>
      <c r="F633" s="1145">
        <v>0</v>
      </c>
      <c r="G633" s="1145">
        <v>0</v>
      </c>
      <c r="H633" s="1145">
        <v>347459</v>
      </c>
      <c r="I633" s="1145">
        <v>0</v>
      </c>
      <c r="J633" s="1145">
        <v>219710</v>
      </c>
      <c r="K633" s="1136">
        <v>0</v>
      </c>
      <c r="L633" s="1145">
        <v>0</v>
      </c>
      <c r="M633" s="1136">
        <v>0</v>
      </c>
      <c r="N633" s="1145">
        <v>0</v>
      </c>
      <c r="O633" s="1145">
        <v>739.5</v>
      </c>
      <c r="P633" s="1145">
        <v>2781863.08</v>
      </c>
      <c r="Q633" s="1145">
        <v>0</v>
      </c>
      <c r="R633" s="1145">
        <v>0</v>
      </c>
      <c r="S633" s="1145">
        <v>0</v>
      </c>
      <c r="T633" s="1145">
        <v>0</v>
      </c>
      <c r="U633" s="1145">
        <v>0</v>
      </c>
      <c r="V633" s="1145">
        <v>0</v>
      </c>
      <c r="W633" s="1129">
        <v>0</v>
      </c>
      <c r="X633" s="1145">
        <v>262309.28000000003</v>
      </c>
      <c r="Y633" s="1145">
        <v>0</v>
      </c>
    </row>
    <row r="634" spans="1:25" s="1137" customFormat="1" ht="64.150000000000006" customHeight="1">
      <c r="A634" s="1280">
        <v>166</v>
      </c>
      <c r="B634" s="1135" t="s">
        <v>1294</v>
      </c>
      <c r="C634" s="1145">
        <f t="shared" si="281"/>
        <v>21110177.68</v>
      </c>
      <c r="D634" s="1145">
        <f t="shared" si="282"/>
        <v>0</v>
      </c>
      <c r="E634" s="1145">
        <v>0</v>
      </c>
      <c r="F634" s="1145">
        <v>0</v>
      </c>
      <c r="G634" s="1145">
        <v>0</v>
      </c>
      <c r="H634" s="1145">
        <v>0</v>
      </c>
      <c r="I634" s="1145">
        <v>0</v>
      </c>
      <c r="J634" s="1145">
        <v>0</v>
      </c>
      <c r="K634" s="1136">
        <v>0</v>
      </c>
      <c r="L634" s="1145">
        <v>0</v>
      </c>
      <c r="M634" s="1136">
        <v>0</v>
      </c>
      <c r="N634" s="1145">
        <v>0</v>
      </c>
      <c r="O634" s="1145">
        <v>1075</v>
      </c>
      <c r="P634" s="1145">
        <f>3374169</f>
        <v>3374169</v>
      </c>
      <c r="Q634" s="1145">
        <v>0</v>
      </c>
      <c r="R634" s="1145">
        <v>0</v>
      </c>
      <c r="S634" s="1145">
        <v>2932.2</v>
      </c>
      <c r="T634" s="1145">
        <v>16202674.52</v>
      </c>
      <c r="U634" s="1145">
        <v>0</v>
      </c>
      <c r="V634" s="1145">
        <v>0</v>
      </c>
      <c r="W634" s="1167">
        <v>0</v>
      </c>
      <c r="X634" s="1145">
        <v>1533334.16</v>
      </c>
      <c r="Y634" s="1145">
        <v>0</v>
      </c>
    </row>
    <row r="635" spans="1:25" s="1137" customFormat="1" ht="58.15" customHeight="1">
      <c r="A635" s="1280">
        <v>167</v>
      </c>
      <c r="B635" s="1135" t="s">
        <v>1295</v>
      </c>
      <c r="C635" s="1145">
        <f t="shared" si="281"/>
        <v>2978450</v>
      </c>
      <c r="D635" s="1145">
        <f t="shared" si="282"/>
        <v>0</v>
      </c>
      <c r="E635" s="1145">
        <v>0</v>
      </c>
      <c r="F635" s="1145">
        <v>0</v>
      </c>
      <c r="G635" s="1145">
        <v>0</v>
      </c>
      <c r="H635" s="1145">
        <v>0</v>
      </c>
      <c r="I635" s="1145">
        <v>0</v>
      </c>
      <c r="J635" s="1145">
        <v>0</v>
      </c>
      <c r="K635" s="1136">
        <v>0</v>
      </c>
      <c r="L635" s="1145">
        <v>0</v>
      </c>
      <c r="M635" s="1136">
        <v>0</v>
      </c>
      <c r="N635" s="1145">
        <v>0</v>
      </c>
      <c r="O635" s="1145">
        <v>880</v>
      </c>
      <c r="P635" s="1145">
        <v>2762111</v>
      </c>
      <c r="Q635" s="1145">
        <v>0</v>
      </c>
      <c r="R635" s="1145">
        <v>0</v>
      </c>
      <c r="S635" s="1145">
        <v>0</v>
      </c>
      <c r="T635" s="1145">
        <v>0</v>
      </c>
      <c r="U635" s="1145">
        <v>0</v>
      </c>
      <c r="V635" s="1145">
        <v>0</v>
      </c>
      <c r="W635" s="1167">
        <v>0</v>
      </c>
      <c r="X635" s="1145">
        <v>216339</v>
      </c>
      <c r="Y635" s="1145">
        <v>0</v>
      </c>
    </row>
    <row r="636" spans="1:25" s="1137" customFormat="1" ht="66.599999999999994" customHeight="1">
      <c r="A636" s="1280">
        <v>168</v>
      </c>
      <c r="B636" s="1135" t="s">
        <v>1296</v>
      </c>
      <c r="C636" s="1145">
        <f t="shared" si="281"/>
        <v>3021475</v>
      </c>
      <c r="D636" s="1145">
        <f t="shared" si="282"/>
        <v>0</v>
      </c>
      <c r="E636" s="1145">
        <v>0</v>
      </c>
      <c r="F636" s="1145">
        <v>0</v>
      </c>
      <c r="G636" s="1145">
        <v>0</v>
      </c>
      <c r="H636" s="1145">
        <v>0</v>
      </c>
      <c r="I636" s="1145">
        <v>0</v>
      </c>
      <c r="J636" s="1145">
        <v>0</v>
      </c>
      <c r="K636" s="1136">
        <v>0</v>
      </c>
      <c r="L636" s="1145">
        <v>0</v>
      </c>
      <c r="M636" s="1136">
        <v>0</v>
      </c>
      <c r="N636" s="1145">
        <v>0</v>
      </c>
      <c r="O636" s="1145">
        <v>1112</v>
      </c>
      <c r="P636" s="1145">
        <v>2802011</v>
      </c>
      <c r="Q636" s="1145">
        <v>0</v>
      </c>
      <c r="R636" s="1145">
        <v>0</v>
      </c>
      <c r="S636" s="1145">
        <v>0</v>
      </c>
      <c r="T636" s="1145">
        <v>0</v>
      </c>
      <c r="U636" s="1145">
        <v>0</v>
      </c>
      <c r="V636" s="1145">
        <v>0</v>
      </c>
      <c r="W636" s="1129">
        <v>0</v>
      </c>
      <c r="X636" s="1145">
        <f>219464</f>
        <v>219464</v>
      </c>
      <c r="Y636" s="1145">
        <v>0</v>
      </c>
    </row>
    <row r="637" spans="1:25" s="1137" customFormat="1" ht="60.6" customHeight="1">
      <c r="A637" s="1280">
        <v>169</v>
      </c>
      <c r="B637" s="1135" t="s">
        <v>2017</v>
      </c>
      <c r="C637" s="1145">
        <f t="shared" ref="C637:C638" si="283">D637+N637+P637+R637+T637+V637+X637</f>
        <v>321355.3</v>
      </c>
      <c r="D637" s="1145">
        <f t="shared" ref="D637:D638" si="284">SUM(E637:J637)</f>
        <v>321355.3</v>
      </c>
      <c r="E637" s="1145">
        <v>0</v>
      </c>
      <c r="F637" s="1145">
        <v>321355.3</v>
      </c>
      <c r="G637" s="1145">
        <v>0</v>
      </c>
      <c r="H637" s="1145">
        <v>0</v>
      </c>
      <c r="I637" s="1145">
        <v>0</v>
      </c>
      <c r="J637" s="1145">
        <v>0</v>
      </c>
      <c r="K637" s="1136">
        <v>0</v>
      </c>
      <c r="L637" s="1145">
        <v>0</v>
      </c>
      <c r="M637" s="1136">
        <v>0</v>
      </c>
      <c r="N637" s="1145">
        <v>0</v>
      </c>
      <c r="O637" s="1145">
        <v>0</v>
      </c>
      <c r="P637" s="1145">
        <v>0</v>
      </c>
      <c r="Q637" s="1145">
        <v>0</v>
      </c>
      <c r="R637" s="1145">
        <v>0</v>
      </c>
      <c r="S637" s="1145">
        <v>0</v>
      </c>
      <c r="T637" s="1145">
        <v>0</v>
      </c>
      <c r="U637" s="1145">
        <v>0</v>
      </c>
      <c r="V637" s="1145">
        <v>0</v>
      </c>
      <c r="W637" s="1129">
        <v>0</v>
      </c>
      <c r="X637" s="1145">
        <v>0</v>
      </c>
      <c r="Y637" s="1145">
        <v>0</v>
      </c>
    </row>
    <row r="638" spans="1:25" s="1137" customFormat="1" ht="61.9" customHeight="1">
      <c r="A638" s="1280">
        <v>170</v>
      </c>
      <c r="B638" s="1135" t="s">
        <v>2020</v>
      </c>
      <c r="C638" s="1145">
        <f t="shared" si="283"/>
        <v>783572</v>
      </c>
      <c r="D638" s="1145">
        <f t="shared" si="284"/>
        <v>0</v>
      </c>
      <c r="E638" s="1145">
        <v>0</v>
      </c>
      <c r="F638" s="1145">
        <v>0</v>
      </c>
      <c r="G638" s="1145">
        <v>0</v>
      </c>
      <c r="H638" s="1145">
        <v>0</v>
      </c>
      <c r="I638" s="1145">
        <v>0</v>
      </c>
      <c r="J638" s="1145">
        <v>0</v>
      </c>
      <c r="K638" s="1136">
        <v>0</v>
      </c>
      <c r="L638" s="1145">
        <v>0</v>
      </c>
      <c r="M638" s="1136">
        <v>0</v>
      </c>
      <c r="N638" s="1145">
        <v>0</v>
      </c>
      <c r="O638" s="1145">
        <v>0</v>
      </c>
      <c r="P638" s="1145">
        <v>0</v>
      </c>
      <c r="Q638" s="1145">
        <v>0</v>
      </c>
      <c r="R638" s="1145">
        <v>0</v>
      </c>
      <c r="S638" s="1145">
        <v>2056.04</v>
      </c>
      <c r="T638" s="1145">
        <v>783572</v>
      </c>
      <c r="U638" s="1145">
        <v>0</v>
      </c>
      <c r="V638" s="1145">
        <v>0</v>
      </c>
      <c r="W638" s="1129">
        <v>0</v>
      </c>
      <c r="X638" s="1145">
        <v>0</v>
      </c>
      <c r="Y638" s="1145">
        <v>0</v>
      </c>
    </row>
    <row r="639" spans="1:25" s="1137" customFormat="1" ht="94.9" customHeight="1">
      <c r="A639" s="1280"/>
      <c r="B639" s="1135" t="s">
        <v>1070</v>
      </c>
      <c r="C639" s="1145">
        <f>C640</f>
        <v>4080205</v>
      </c>
      <c r="D639" s="1145">
        <f t="shared" ref="D639:Y639" si="285">D640</f>
        <v>0</v>
      </c>
      <c r="E639" s="1145">
        <f t="shared" si="285"/>
        <v>0</v>
      </c>
      <c r="F639" s="1145">
        <f t="shared" si="285"/>
        <v>0</v>
      </c>
      <c r="G639" s="1145">
        <f t="shared" si="285"/>
        <v>0</v>
      </c>
      <c r="H639" s="1145">
        <f t="shared" si="285"/>
        <v>0</v>
      </c>
      <c r="I639" s="1145">
        <f t="shared" si="285"/>
        <v>0</v>
      </c>
      <c r="J639" s="1145">
        <f t="shared" si="285"/>
        <v>0</v>
      </c>
      <c r="K639" s="1163">
        <f t="shared" si="285"/>
        <v>0</v>
      </c>
      <c r="L639" s="1145">
        <f t="shared" si="285"/>
        <v>0</v>
      </c>
      <c r="M639" s="1163">
        <f t="shared" si="285"/>
        <v>0</v>
      </c>
      <c r="N639" s="1145">
        <f t="shared" si="285"/>
        <v>0</v>
      </c>
      <c r="O639" s="1145">
        <f t="shared" si="285"/>
        <v>598.4</v>
      </c>
      <c r="P639" s="1145">
        <f t="shared" si="285"/>
        <v>3783840</v>
      </c>
      <c r="Q639" s="1145">
        <f t="shared" si="285"/>
        <v>0</v>
      </c>
      <c r="R639" s="1145">
        <f t="shared" si="285"/>
        <v>0</v>
      </c>
      <c r="S639" s="1145">
        <f t="shared" si="285"/>
        <v>0</v>
      </c>
      <c r="T639" s="1145">
        <f t="shared" si="285"/>
        <v>0</v>
      </c>
      <c r="U639" s="1145">
        <f t="shared" si="285"/>
        <v>0</v>
      </c>
      <c r="V639" s="1145">
        <f t="shared" si="285"/>
        <v>0</v>
      </c>
      <c r="W639" s="1145">
        <f t="shared" si="285"/>
        <v>0</v>
      </c>
      <c r="X639" s="1145">
        <f t="shared" si="285"/>
        <v>296365</v>
      </c>
      <c r="Y639" s="1145">
        <f t="shared" si="285"/>
        <v>0</v>
      </c>
    </row>
    <row r="640" spans="1:25" s="1137" customFormat="1" ht="88.15" customHeight="1">
      <c r="A640" s="1280">
        <v>171</v>
      </c>
      <c r="B640" s="1135" t="s">
        <v>2430</v>
      </c>
      <c r="C640" s="1145">
        <f t="shared" ref="C640" si="286">D640+N640+P640+R640+T640+V640+X640</f>
        <v>4080205</v>
      </c>
      <c r="D640" s="1145">
        <f t="shared" ref="D640" si="287">SUM(E640:J640)</f>
        <v>0</v>
      </c>
      <c r="E640" s="1145">
        <v>0</v>
      </c>
      <c r="F640" s="1145">
        <v>0</v>
      </c>
      <c r="G640" s="1145">
        <v>0</v>
      </c>
      <c r="H640" s="1145">
        <v>0</v>
      </c>
      <c r="I640" s="1145">
        <v>0</v>
      </c>
      <c r="J640" s="1145">
        <v>0</v>
      </c>
      <c r="K640" s="1136">
        <v>0</v>
      </c>
      <c r="L640" s="1145">
        <v>0</v>
      </c>
      <c r="M640" s="1136">
        <v>0</v>
      </c>
      <c r="N640" s="1145">
        <v>0</v>
      </c>
      <c r="O640" s="1145">
        <v>598.4</v>
      </c>
      <c r="P640" s="1145">
        <v>3783840</v>
      </c>
      <c r="Q640" s="1145">
        <v>0</v>
      </c>
      <c r="R640" s="1145">
        <v>0</v>
      </c>
      <c r="S640" s="1145">
        <v>0</v>
      </c>
      <c r="T640" s="1145">
        <v>0</v>
      </c>
      <c r="U640" s="1145">
        <v>0</v>
      </c>
      <c r="V640" s="1145">
        <v>0</v>
      </c>
      <c r="W640" s="1167">
        <v>0</v>
      </c>
      <c r="X640" s="1145">
        <v>296365</v>
      </c>
      <c r="Y640" s="1145">
        <v>0</v>
      </c>
    </row>
    <row r="641" spans="1:25" s="1137" customFormat="1" ht="96" customHeight="1">
      <c r="A641" s="1280"/>
      <c r="B641" s="1135" t="s">
        <v>1072</v>
      </c>
      <c r="C641" s="1145">
        <f>C642+C643</f>
        <v>3195064</v>
      </c>
      <c r="D641" s="1145">
        <f t="shared" ref="D641:Y641" si="288">D642+D643</f>
        <v>0</v>
      </c>
      <c r="E641" s="1145">
        <f t="shared" si="288"/>
        <v>0</v>
      </c>
      <c r="F641" s="1145">
        <f t="shared" si="288"/>
        <v>0</v>
      </c>
      <c r="G641" s="1145">
        <f t="shared" si="288"/>
        <v>0</v>
      </c>
      <c r="H641" s="1145">
        <f t="shared" si="288"/>
        <v>0</v>
      </c>
      <c r="I641" s="1145">
        <f t="shared" si="288"/>
        <v>0</v>
      </c>
      <c r="J641" s="1145">
        <f t="shared" si="288"/>
        <v>0</v>
      </c>
      <c r="K641" s="1136">
        <f t="shared" si="288"/>
        <v>0</v>
      </c>
      <c r="L641" s="1145">
        <f t="shared" si="288"/>
        <v>0</v>
      </c>
      <c r="M641" s="1136">
        <f t="shared" si="288"/>
        <v>0</v>
      </c>
      <c r="N641" s="1145">
        <f t="shared" si="288"/>
        <v>0</v>
      </c>
      <c r="O641" s="1145">
        <f t="shared" si="288"/>
        <v>944</v>
      </c>
      <c r="P641" s="1145">
        <f t="shared" si="288"/>
        <v>2962991</v>
      </c>
      <c r="Q641" s="1145">
        <f t="shared" si="288"/>
        <v>0</v>
      </c>
      <c r="R641" s="1145">
        <f t="shared" si="288"/>
        <v>0</v>
      </c>
      <c r="S641" s="1145">
        <f t="shared" si="288"/>
        <v>0</v>
      </c>
      <c r="T641" s="1145">
        <f t="shared" si="288"/>
        <v>0</v>
      </c>
      <c r="U641" s="1145">
        <f t="shared" si="288"/>
        <v>0</v>
      </c>
      <c r="V641" s="1145">
        <f t="shared" si="288"/>
        <v>0</v>
      </c>
      <c r="W641" s="1129">
        <v>0</v>
      </c>
      <c r="X641" s="1145">
        <f t="shared" si="288"/>
        <v>232073</v>
      </c>
      <c r="Y641" s="1145">
        <f t="shared" si="288"/>
        <v>0</v>
      </c>
    </row>
    <row r="642" spans="1:25" s="1137" customFormat="1" ht="63" customHeight="1">
      <c r="A642" s="1280">
        <v>172</v>
      </c>
      <c r="B642" s="1135" t="s">
        <v>1346</v>
      </c>
      <c r="C642" s="1145">
        <f t="shared" ref="C642:C643" si="289">D642+N642+P642+R642+T642+V642+X642</f>
        <v>1705839</v>
      </c>
      <c r="D642" s="1145">
        <f t="shared" ref="D642:D643" si="290">SUM(E642:J642)</f>
        <v>0</v>
      </c>
      <c r="E642" s="1145">
        <v>0</v>
      </c>
      <c r="F642" s="1145">
        <v>0</v>
      </c>
      <c r="G642" s="1145">
        <v>0</v>
      </c>
      <c r="H642" s="1145">
        <v>0</v>
      </c>
      <c r="I642" s="1145">
        <v>0</v>
      </c>
      <c r="J642" s="1145">
        <v>0</v>
      </c>
      <c r="K642" s="1136">
        <v>0</v>
      </c>
      <c r="L642" s="1145">
        <v>0</v>
      </c>
      <c r="M642" s="1136">
        <v>0</v>
      </c>
      <c r="N642" s="1145">
        <v>0</v>
      </c>
      <c r="O642" s="1145">
        <v>504</v>
      </c>
      <c r="P642" s="1145">
        <v>1581936</v>
      </c>
      <c r="Q642" s="1145">
        <v>0</v>
      </c>
      <c r="R642" s="1145">
        <v>0</v>
      </c>
      <c r="S642" s="1145">
        <v>0</v>
      </c>
      <c r="T642" s="1145">
        <v>0</v>
      </c>
      <c r="U642" s="1145">
        <v>0</v>
      </c>
      <c r="V642" s="1145">
        <v>0</v>
      </c>
      <c r="W642" s="1167">
        <v>0</v>
      </c>
      <c r="X642" s="1145">
        <v>123903</v>
      </c>
      <c r="Y642" s="1145">
        <v>0</v>
      </c>
    </row>
    <row r="643" spans="1:25" s="1137" customFormat="1" ht="76.150000000000006" customHeight="1">
      <c r="A643" s="1280">
        <v>173</v>
      </c>
      <c r="B643" s="1135" t="s">
        <v>1347</v>
      </c>
      <c r="C643" s="1145">
        <f t="shared" si="289"/>
        <v>1489225</v>
      </c>
      <c r="D643" s="1145">
        <f t="shared" si="290"/>
        <v>0</v>
      </c>
      <c r="E643" s="1145">
        <v>0</v>
      </c>
      <c r="F643" s="1145">
        <v>0</v>
      </c>
      <c r="G643" s="1145">
        <v>0</v>
      </c>
      <c r="H643" s="1145">
        <v>0</v>
      </c>
      <c r="I643" s="1145">
        <v>0</v>
      </c>
      <c r="J643" s="1145">
        <v>0</v>
      </c>
      <c r="K643" s="1136">
        <v>0</v>
      </c>
      <c r="L643" s="1145">
        <v>0</v>
      </c>
      <c r="M643" s="1136">
        <v>0</v>
      </c>
      <c r="N643" s="1145">
        <v>0</v>
      </c>
      <c r="O643" s="1145">
        <v>440</v>
      </c>
      <c r="P643" s="1145">
        <v>1381055</v>
      </c>
      <c r="Q643" s="1145">
        <v>0</v>
      </c>
      <c r="R643" s="1145">
        <v>0</v>
      </c>
      <c r="S643" s="1145">
        <v>0</v>
      </c>
      <c r="T643" s="1145">
        <v>0</v>
      </c>
      <c r="U643" s="1145">
        <v>0</v>
      </c>
      <c r="V643" s="1145">
        <v>0</v>
      </c>
      <c r="W643" s="1167">
        <v>0</v>
      </c>
      <c r="X643" s="1145">
        <v>108170</v>
      </c>
      <c r="Y643" s="1145">
        <v>0</v>
      </c>
    </row>
    <row r="644" spans="1:25" s="1137" customFormat="1" ht="129" customHeight="1">
      <c r="A644" s="1280"/>
      <c r="B644" s="1135" t="s">
        <v>2431</v>
      </c>
      <c r="C644" s="1145">
        <f>C645+C646</f>
        <v>7899748.9500000002</v>
      </c>
      <c r="D644" s="1145">
        <f t="shared" ref="D644:Y644" si="291">D645+D646</f>
        <v>2773420.4999999995</v>
      </c>
      <c r="E644" s="1145">
        <f t="shared" si="291"/>
        <v>38272.6</v>
      </c>
      <c r="F644" s="1145">
        <f t="shared" si="291"/>
        <v>935910.85</v>
      </c>
      <c r="G644" s="1145">
        <f t="shared" si="291"/>
        <v>215917.25</v>
      </c>
      <c r="H644" s="1145">
        <f t="shared" si="291"/>
        <v>514302.2</v>
      </c>
      <c r="I644" s="1145">
        <f t="shared" si="291"/>
        <v>679160.2</v>
      </c>
      <c r="J644" s="1145">
        <f t="shared" si="291"/>
        <v>389857.4</v>
      </c>
      <c r="K644" s="1163">
        <f t="shared" si="291"/>
        <v>0</v>
      </c>
      <c r="L644" s="1145">
        <f t="shared" si="291"/>
        <v>0</v>
      </c>
      <c r="M644" s="1163">
        <f t="shared" si="291"/>
        <v>0</v>
      </c>
      <c r="N644" s="1145">
        <f t="shared" si="291"/>
        <v>0</v>
      </c>
      <c r="O644" s="1145">
        <f t="shared" si="291"/>
        <v>1473.76</v>
      </c>
      <c r="P644" s="1145">
        <f t="shared" si="291"/>
        <v>4383122.75</v>
      </c>
      <c r="Q644" s="1145">
        <f t="shared" si="291"/>
        <v>0</v>
      </c>
      <c r="R644" s="1145">
        <f t="shared" si="291"/>
        <v>0</v>
      </c>
      <c r="S644" s="1145">
        <f t="shared" si="291"/>
        <v>0</v>
      </c>
      <c r="T644" s="1145">
        <f t="shared" si="291"/>
        <v>0</v>
      </c>
      <c r="U644" s="1145">
        <f t="shared" si="291"/>
        <v>0</v>
      </c>
      <c r="V644" s="1145">
        <f t="shared" si="291"/>
        <v>0</v>
      </c>
      <c r="W644" s="1145">
        <f t="shared" si="291"/>
        <v>0</v>
      </c>
      <c r="X644" s="1145">
        <f t="shared" si="291"/>
        <v>743205.7</v>
      </c>
      <c r="Y644" s="1145">
        <f t="shared" si="291"/>
        <v>0</v>
      </c>
    </row>
    <row r="645" spans="1:25" s="1137" customFormat="1" ht="59.45" customHeight="1">
      <c r="A645" s="1280">
        <v>174</v>
      </c>
      <c r="B645" s="1135" t="s">
        <v>1992</v>
      </c>
      <c r="C645" s="1145">
        <f t="shared" ref="C645:C646" si="292">D645+N645+P645+R645+T645+V645+X645</f>
        <v>1806908</v>
      </c>
      <c r="D645" s="1145">
        <f t="shared" ref="D645:D646" si="293">SUM(E645:J645)</f>
        <v>0</v>
      </c>
      <c r="E645" s="1145">
        <v>0</v>
      </c>
      <c r="F645" s="1145">
        <v>0</v>
      </c>
      <c r="G645" s="1145">
        <v>0</v>
      </c>
      <c r="H645" s="1145">
        <v>0</v>
      </c>
      <c r="I645" s="1145">
        <v>0</v>
      </c>
      <c r="J645" s="1145">
        <v>0</v>
      </c>
      <c r="K645" s="1136">
        <v>0</v>
      </c>
      <c r="L645" s="1145">
        <v>0</v>
      </c>
      <c r="M645" s="1136">
        <v>0</v>
      </c>
      <c r="N645" s="1145">
        <v>0</v>
      </c>
      <c r="O645" s="1145">
        <v>445.44</v>
      </c>
      <c r="P645" s="1145">
        <v>1675664</v>
      </c>
      <c r="Q645" s="1145">
        <v>0</v>
      </c>
      <c r="R645" s="1145">
        <v>0</v>
      </c>
      <c r="S645" s="1145">
        <v>0</v>
      </c>
      <c r="T645" s="1145">
        <v>0</v>
      </c>
      <c r="U645" s="1145">
        <v>0</v>
      </c>
      <c r="V645" s="1145">
        <v>0</v>
      </c>
      <c r="W645" s="1167">
        <v>0</v>
      </c>
      <c r="X645" s="1145">
        <v>131244</v>
      </c>
      <c r="Y645" s="1145">
        <v>0</v>
      </c>
    </row>
    <row r="646" spans="1:25" s="1137" customFormat="1" ht="71.45" customHeight="1">
      <c r="A646" s="1280">
        <v>175</v>
      </c>
      <c r="B646" s="1135" t="s">
        <v>1993</v>
      </c>
      <c r="C646" s="1145">
        <f t="shared" si="292"/>
        <v>6092840.9500000002</v>
      </c>
      <c r="D646" s="1145">
        <f t="shared" si="293"/>
        <v>2773420.4999999995</v>
      </c>
      <c r="E646" s="1145">
        <v>38272.6</v>
      </c>
      <c r="F646" s="1145">
        <v>935910.85</v>
      </c>
      <c r="G646" s="1145">
        <v>215917.25</v>
      </c>
      <c r="H646" s="1145">
        <v>514302.2</v>
      </c>
      <c r="I646" s="1145">
        <v>679160.2</v>
      </c>
      <c r="J646" s="1145">
        <v>389857.4</v>
      </c>
      <c r="K646" s="1136">
        <v>0</v>
      </c>
      <c r="L646" s="1145">
        <v>0</v>
      </c>
      <c r="M646" s="1136">
        <v>0</v>
      </c>
      <c r="N646" s="1145">
        <v>0</v>
      </c>
      <c r="O646" s="1145">
        <v>1028.32</v>
      </c>
      <c r="P646" s="1145">
        <v>2707458.75</v>
      </c>
      <c r="Q646" s="1145">
        <v>0</v>
      </c>
      <c r="R646" s="1145">
        <v>0</v>
      </c>
      <c r="S646" s="1145">
        <v>0</v>
      </c>
      <c r="T646" s="1145">
        <v>0</v>
      </c>
      <c r="U646" s="1145">
        <v>0</v>
      </c>
      <c r="V646" s="1145">
        <v>0</v>
      </c>
      <c r="W646" s="1167">
        <v>0</v>
      </c>
      <c r="X646" s="1145">
        <v>611961.69999999995</v>
      </c>
      <c r="Y646" s="1145">
        <v>0</v>
      </c>
    </row>
    <row r="647" spans="1:25" s="1137" customFormat="1" ht="128.44999999999999" customHeight="1">
      <c r="A647" s="1280"/>
      <c r="B647" s="1135" t="s">
        <v>1074</v>
      </c>
      <c r="C647" s="1145">
        <f>C648</f>
        <v>2540404</v>
      </c>
      <c r="D647" s="1145">
        <f t="shared" ref="D647:Y647" si="294">D648</f>
        <v>0</v>
      </c>
      <c r="E647" s="1145">
        <f t="shared" si="294"/>
        <v>0</v>
      </c>
      <c r="F647" s="1145">
        <f t="shared" si="294"/>
        <v>0</v>
      </c>
      <c r="G647" s="1145">
        <f t="shared" si="294"/>
        <v>0</v>
      </c>
      <c r="H647" s="1145">
        <f t="shared" si="294"/>
        <v>0</v>
      </c>
      <c r="I647" s="1145">
        <f t="shared" si="294"/>
        <v>0</v>
      </c>
      <c r="J647" s="1145">
        <f t="shared" si="294"/>
        <v>0</v>
      </c>
      <c r="K647" s="1136">
        <f t="shared" si="294"/>
        <v>0</v>
      </c>
      <c r="L647" s="1145">
        <f t="shared" si="294"/>
        <v>0</v>
      </c>
      <c r="M647" s="1136">
        <f t="shared" si="294"/>
        <v>0</v>
      </c>
      <c r="N647" s="1145">
        <f t="shared" si="294"/>
        <v>0</v>
      </c>
      <c r="O647" s="1145">
        <f t="shared" si="294"/>
        <v>893.55</v>
      </c>
      <c r="P647" s="1145">
        <f t="shared" si="294"/>
        <v>2355882</v>
      </c>
      <c r="Q647" s="1145">
        <f t="shared" si="294"/>
        <v>0</v>
      </c>
      <c r="R647" s="1145">
        <f t="shared" si="294"/>
        <v>0</v>
      </c>
      <c r="S647" s="1145">
        <f t="shared" si="294"/>
        <v>0</v>
      </c>
      <c r="T647" s="1145">
        <f t="shared" si="294"/>
        <v>0</v>
      </c>
      <c r="U647" s="1145">
        <f t="shared" si="294"/>
        <v>0</v>
      </c>
      <c r="V647" s="1145">
        <f t="shared" si="294"/>
        <v>0</v>
      </c>
      <c r="W647" s="1129">
        <v>0</v>
      </c>
      <c r="X647" s="1145">
        <f t="shared" si="294"/>
        <v>184522</v>
      </c>
      <c r="Y647" s="1145">
        <f t="shared" si="294"/>
        <v>0</v>
      </c>
    </row>
    <row r="648" spans="1:25" s="1137" customFormat="1" ht="69" customHeight="1">
      <c r="A648" s="1280">
        <v>176</v>
      </c>
      <c r="B648" s="1135" t="s">
        <v>1354</v>
      </c>
      <c r="C648" s="1145">
        <f t="shared" ref="C648" si="295">D648+N648+P648+R648+T648+V648+X648</f>
        <v>2540404</v>
      </c>
      <c r="D648" s="1145">
        <f t="shared" ref="D648" si="296">SUM(E648:J648)</f>
        <v>0</v>
      </c>
      <c r="E648" s="1145">
        <v>0</v>
      </c>
      <c r="F648" s="1145">
        <v>0</v>
      </c>
      <c r="G648" s="1145">
        <v>0</v>
      </c>
      <c r="H648" s="1145">
        <v>0</v>
      </c>
      <c r="I648" s="1145">
        <v>0</v>
      </c>
      <c r="J648" s="1145">
        <v>0</v>
      </c>
      <c r="K648" s="1136">
        <v>0</v>
      </c>
      <c r="L648" s="1145">
        <v>0</v>
      </c>
      <c r="M648" s="1136">
        <v>0</v>
      </c>
      <c r="N648" s="1145">
        <v>0</v>
      </c>
      <c r="O648" s="1145">
        <v>893.55</v>
      </c>
      <c r="P648" s="1145">
        <v>2355882</v>
      </c>
      <c r="Q648" s="1145">
        <v>0</v>
      </c>
      <c r="R648" s="1145">
        <v>0</v>
      </c>
      <c r="S648" s="1145">
        <v>0</v>
      </c>
      <c r="T648" s="1145">
        <v>0</v>
      </c>
      <c r="U648" s="1145">
        <v>0</v>
      </c>
      <c r="V648" s="1145">
        <v>0</v>
      </c>
      <c r="W648" s="1167">
        <v>0</v>
      </c>
      <c r="X648" s="1145">
        <v>184522</v>
      </c>
      <c r="Y648" s="1145">
        <v>0</v>
      </c>
    </row>
    <row r="649" spans="1:25" s="1137" customFormat="1" ht="100.9" customHeight="1">
      <c r="A649" s="1280"/>
      <c r="B649" s="1135" t="s">
        <v>1073</v>
      </c>
      <c r="C649" s="1145">
        <f>C650+C651+C652+C653</f>
        <v>11013845</v>
      </c>
      <c r="D649" s="1145">
        <f t="shared" ref="D649:Y649" si="297">D650+D651+D652+D653</f>
        <v>0</v>
      </c>
      <c r="E649" s="1145">
        <f t="shared" si="297"/>
        <v>0</v>
      </c>
      <c r="F649" s="1145">
        <f t="shared" si="297"/>
        <v>0</v>
      </c>
      <c r="G649" s="1145">
        <f t="shared" si="297"/>
        <v>0</v>
      </c>
      <c r="H649" s="1145">
        <f t="shared" si="297"/>
        <v>0</v>
      </c>
      <c r="I649" s="1145">
        <f t="shared" si="297"/>
        <v>0</v>
      </c>
      <c r="J649" s="1145">
        <f t="shared" si="297"/>
        <v>0</v>
      </c>
      <c r="K649" s="1136">
        <f t="shared" si="297"/>
        <v>0</v>
      </c>
      <c r="L649" s="1145">
        <f t="shared" si="297"/>
        <v>0</v>
      </c>
      <c r="M649" s="1136">
        <f t="shared" si="297"/>
        <v>0</v>
      </c>
      <c r="N649" s="1145">
        <f t="shared" si="297"/>
        <v>0</v>
      </c>
      <c r="O649" s="1145">
        <f t="shared" si="297"/>
        <v>3388.2</v>
      </c>
      <c r="P649" s="1145">
        <f t="shared" si="297"/>
        <v>10213856</v>
      </c>
      <c r="Q649" s="1145">
        <f t="shared" si="297"/>
        <v>0</v>
      </c>
      <c r="R649" s="1145">
        <f t="shared" si="297"/>
        <v>0</v>
      </c>
      <c r="S649" s="1145">
        <f t="shared" si="297"/>
        <v>0</v>
      </c>
      <c r="T649" s="1145">
        <f t="shared" si="297"/>
        <v>0</v>
      </c>
      <c r="U649" s="1145">
        <f t="shared" si="297"/>
        <v>0</v>
      </c>
      <c r="V649" s="1145">
        <f t="shared" si="297"/>
        <v>0</v>
      </c>
      <c r="W649" s="1167">
        <v>0</v>
      </c>
      <c r="X649" s="1145">
        <f t="shared" si="297"/>
        <v>799989</v>
      </c>
      <c r="Y649" s="1145">
        <f t="shared" si="297"/>
        <v>0</v>
      </c>
    </row>
    <row r="650" spans="1:25" s="1137" customFormat="1" ht="58.15" customHeight="1">
      <c r="A650" s="1280">
        <v>177</v>
      </c>
      <c r="B650" s="1135" t="s">
        <v>1364</v>
      </c>
      <c r="C650" s="1145">
        <f t="shared" ref="C650" si="298">D650+N650+P650+R650+T650+V650+X650</f>
        <v>2329284</v>
      </c>
      <c r="D650" s="1145">
        <f t="shared" ref="D650" si="299">SUM(E650:J650)</f>
        <v>0</v>
      </c>
      <c r="E650" s="1145">
        <v>0</v>
      </c>
      <c r="F650" s="1145">
        <v>0</v>
      </c>
      <c r="G650" s="1145">
        <v>0</v>
      </c>
      <c r="H650" s="1145">
        <v>0</v>
      </c>
      <c r="I650" s="1145">
        <v>0</v>
      </c>
      <c r="J650" s="1145">
        <v>0</v>
      </c>
      <c r="K650" s="1136">
        <v>0</v>
      </c>
      <c r="L650" s="1145">
        <v>0</v>
      </c>
      <c r="M650" s="1136">
        <v>0</v>
      </c>
      <c r="N650" s="1145">
        <v>0</v>
      </c>
      <c r="O650" s="1145">
        <v>688.2</v>
      </c>
      <c r="P650" s="1145">
        <v>2160097</v>
      </c>
      <c r="Q650" s="1145">
        <v>0</v>
      </c>
      <c r="R650" s="1145">
        <v>0</v>
      </c>
      <c r="S650" s="1145">
        <v>0</v>
      </c>
      <c r="T650" s="1145">
        <v>0</v>
      </c>
      <c r="U650" s="1145">
        <v>0</v>
      </c>
      <c r="V650" s="1145">
        <v>0</v>
      </c>
      <c r="W650" s="1129">
        <v>0</v>
      </c>
      <c r="X650" s="1145">
        <v>169187</v>
      </c>
      <c r="Y650" s="1145">
        <v>0</v>
      </c>
    </row>
    <row r="651" spans="1:25" s="1137" customFormat="1" ht="54.6" customHeight="1">
      <c r="A651" s="1280">
        <v>178</v>
      </c>
      <c r="B651" s="1135" t="s">
        <v>1365</v>
      </c>
      <c r="C651" s="1145">
        <f t="shared" ref="C651:C653" si="300">D651+N651+P651+R651+T651+V651+X651</f>
        <v>1847665</v>
      </c>
      <c r="D651" s="1145">
        <f t="shared" ref="D651:D653" si="301">SUM(E651:J651)</f>
        <v>0</v>
      </c>
      <c r="E651" s="1145">
        <v>0</v>
      </c>
      <c r="F651" s="1145">
        <v>0</v>
      </c>
      <c r="G651" s="1145">
        <v>0</v>
      </c>
      <c r="H651" s="1145">
        <v>0</v>
      </c>
      <c r="I651" s="1145">
        <v>0</v>
      </c>
      <c r="J651" s="1145">
        <v>0</v>
      </c>
      <c r="K651" s="1136">
        <v>0</v>
      </c>
      <c r="L651" s="1145">
        <v>0</v>
      </c>
      <c r="M651" s="1136">
        <v>0</v>
      </c>
      <c r="N651" s="1145">
        <v>0</v>
      </c>
      <c r="O651" s="1145">
        <v>680</v>
      </c>
      <c r="P651" s="1145">
        <v>1713460</v>
      </c>
      <c r="Q651" s="1145">
        <v>0</v>
      </c>
      <c r="R651" s="1145">
        <v>0</v>
      </c>
      <c r="S651" s="1145">
        <v>0</v>
      </c>
      <c r="T651" s="1145">
        <v>0</v>
      </c>
      <c r="U651" s="1145">
        <v>0</v>
      </c>
      <c r="V651" s="1145">
        <v>0</v>
      </c>
      <c r="W651" s="1167">
        <v>0</v>
      </c>
      <c r="X651" s="1145">
        <v>134205</v>
      </c>
      <c r="Y651" s="1145">
        <v>0</v>
      </c>
    </row>
    <row r="652" spans="1:25" s="1137" customFormat="1" ht="58.15" customHeight="1">
      <c r="A652" s="1280">
        <v>179</v>
      </c>
      <c r="B652" s="1135" t="s">
        <v>1366</v>
      </c>
      <c r="C652" s="1145">
        <f t="shared" si="300"/>
        <v>3255987</v>
      </c>
      <c r="D652" s="1145">
        <f t="shared" si="301"/>
        <v>0</v>
      </c>
      <c r="E652" s="1145">
        <v>0</v>
      </c>
      <c r="F652" s="1145">
        <v>0</v>
      </c>
      <c r="G652" s="1145">
        <v>0</v>
      </c>
      <c r="H652" s="1145">
        <v>0</v>
      </c>
      <c r="I652" s="1145">
        <v>0</v>
      </c>
      <c r="J652" s="1145">
        <v>0</v>
      </c>
      <c r="K652" s="1136">
        <v>0</v>
      </c>
      <c r="L652" s="1145">
        <v>0</v>
      </c>
      <c r="M652" s="1136">
        <v>0</v>
      </c>
      <c r="N652" s="1145">
        <v>0</v>
      </c>
      <c r="O652" s="1145">
        <v>962</v>
      </c>
      <c r="P652" s="1145">
        <v>3019489</v>
      </c>
      <c r="Q652" s="1145">
        <v>0</v>
      </c>
      <c r="R652" s="1145">
        <v>0</v>
      </c>
      <c r="S652" s="1145">
        <v>0</v>
      </c>
      <c r="T652" s="1145">
        <v>0</v>
      </c>
      <c r="U652" s="1145">
        <v>0</v>
      </c>
      <c r="V652" s="1145">
        <v>0</v>
      </c>
      <c r="W652" s="1167">
        <v>0</v>
      </c>
      <c r="X652" s="1145">
        <v>236498</v>
      </c>
      <c r="Y652" s="1145">
        <v>0</v>
      </c>
    </row>
    <row r="653" spans="1:25" s="1137" customFormat="1" ht="63" customHeight="1">
      <c r="A653" s="1280">
        <v>180</v>
      </c>
      <c r="B653" s="1135" t="s">
        <v>1367</v>
      </c>
      <c r="C653" s="1145">
        <f t="shared" si="300"/>
        <v>3580909</v>
      </c>
      <c r="D653" s="1145">
        <f t="shared" si="301"/>
        <v>0</v>
      </c>
      <c r="E653" s="1145">
        <v>0</v>
      </c>
      <c r="F653" s="1145">
        <v>0</v>
      </c>
      <c r="G653" s="1145">
        <v>0</v>
      </c>
      <c r="H653" s="1145">
        <v>0</v>
      </c>
      <c r="I653" s="1145">
        <v>0</v>
      </c>
      <c r="J653" s="1145">
        <v>0</v>
      </c>
      <c r="K653" s="1136">
        <v>0</v>
      </c>
      <c r="L653" s="1145">
        <v>0</v>
      </c>
      <c r="M653" s="1136">
        <v>0</v>
      </c>
      <c r="N653" s="1145">
        <v>0</v>
      </c>
      <c r="O653" s="1145">
        <v>1058</v>
      </c>
      <c r="P653" s="1145">
        <v>3320810</v>
      </c>
      <c r="Q653" s="1145">
        <v>0</v>
      </c>
      <c r="R653" s="1145">
        <v>0</v>
      </c>
      <c r="S653" s="1145">
        <v>0</v>
      </c>
      <c r="T653" s="1145">
        <v>0</v>
      </c>
      <c r="U653" s="1145">
        <v>0</v>
      </c>
      <c r="V653" s="1145">
        <v>0</v>
      </c>
      <c r="W653" s="1129">
        <v>0</v>
      </c>
      <c r="X653" s="1145">
        <v>260099</v>
      </c>
      <c r="Y653" s="1145">
        <v>0</v>
      </c>
    </row>
    <row r="654" spans="1:25" s="1137" customFormat="1" ht="97.15" customHeight="1">
      <c r="A654" s="1280"/>
      <c r="B654" s="1135" t="s">
        <v>1652</v>
      </c>
      <c r="C654" s="1129">
        <f>C655+C656</f>
        <v>4711789.2</v>
      </c>
      <c r="D654" s="1129">
        <f t="shared" ref="D654:Y654" si="302">D655+D656</f>
        <v>0</v>
      </c>
      <c r="E654" s="1129">
        <f t="shared" si="302"/>
        <v>0</v>
      </c>
      <c r="F654" s="1129">
        <f t="shared" si="302"/>
        <v>0</v>
      </c>
      <c r="G654" s="1129">
        <f t="shared" si="302"/>
        <v>0</v>
      </c>
      <c r="H654" s="1129">
        <f t="shared" si="302"/>
        <v>0</v>
      </c>
      <c r="I654" s="1129">
        <f t="shared" si="302"/>
        <v>0</v>
      </c>
      <c r="J654" s="1129">
        <f t="shared" si="302"/>
        <v>0</v>
      </c>
      <c r="K654" s="1136">
        <f t="shared" si="302"/>
        <v>0</v>
      </c>
      <c r="L654" s="1129">
        <f t="shared" si="302"/>
        <v>0</v>
      </c>
      <c r="M654" s="1136">
        <f t="shared" si="302"/>
        <v>0</v>
      </c>
      <c r="N654" s="1129">
        <f t="shared" si="302"/>
        <v>0</v>
      </c>
      <c r="O654" s="1129">
        <f t="shared" si="302"/>
        <v>720</v>
      </c>
      <c r="P654" s="1129">
        <f t="shared" si="302"/>
        <v>4369549.2</v>
      </c>
      <c r="Q654" s="1129">
        <f t="shared" si="302"/>
        <v>0</v>
      </c>
      <c r="R654" s="1129">
        <f t="shared" si="302"/>
        <v>0</v>
      </c>
      <c r="S654" s="1129">
        <f t="shared" si="302"/>
        <v>0</v>
      </c>
      <c r="T654" s="1129">
        <f t="shared" si="302"/>
        <v>0</v>
      </c>
      <c r="U654" s="1129">
        <f t="shared" si="302"/>
        <v>0</v>
      </c>
      <c r="V654" s="1129">
        <f t="shared" si="302"/>
        <v>0</v>
      </c>
      <c r="W654" s="1167">
        <v>0</v>
      </c>
      <c r="X654" s="1129">
        <f t="shared" si="302"/>
        <v>342240</v>
      </c>
      <c r="Y654" s="1129">
        <f t="shared" si="302"/>
        <v>0</v>
      </c>
    </row>
    <row r="655" spans="1:25" s="1137" customFormat="1" ht="91.15" customHeight="1">
      <c r="A655" s="1280">
        <v>181</v>
      </c>
      <c r="B655" s="1128" t="s">
        <v>2432</v>
      </c>
      <c r="C655" s="1129">
        <f>D655+N655+P655+R655+T655+V655+X655+L655</f>
        <v>3688544.54</v>
      </c>
      <c r="D655" s="1129">
        <f t="shared" ref="D655:D656" si="303">SUM(E655:J655)</f>
        <v>0</v>
      </c>
      <c r="E655" s="1129">
        <v>0</v>
      </c>
      <c r="F655" s="1129">
        <v>0</v>
      </c>
      <c r="G655" s="1129">
        <v>0</v>
      </c>
      <c r="H655" s="1129">
        <v>0</v>
      </c>
      <c r="I655" s="1129">
        <v>0</v>
      </c>
      <c r="J655" s="1129">
        <v>0</v>
      </c>
      <c r="K655" s="1136">
        <v>0</v>
      </c>
      <c r="L655" s="1129">
        <v>0</v>
      </c>
      <c r="M655" s="1136">
        <v>0</v>
      </c>
      <c r="N655" s="1129">
        <v>0</v>
      </c>
      <c r="O655" s="1129">
        <v>480</v>
      </c>
      <c r="P655" s="1129">
        <v>3420627.74</v>
      </c>
      <c r="Q655" s="1129">
        <v>0</v>
      </c>
      <c r="R655" s="1129">
        <v>0</v>
      </c>
      <c r="S655" s="1129">
        <v>0</v>
      </c>
      <c r="T655" s="1129">
        <v>0</v>
      </c>
      <c r="U655" s="1129">
        <v>0</v>
      </c>
      <c r="V655" s="1129">
        <v>0</v>
      </c>
      <c r="W655" s="1167">
        <v>0</v>
      </c>
      <c r="X655" s="1129">
        <v>267916.79999999999</v>
      </c>
      <c r="Y655" s="1129">
        <v>0</v>
      </c>
    </row>
    <row r="656" spans="1:25" s="1137" customFormat="1" ht="86.45" customHeight="1">
      <c r="A656" s="1280">
        <v>182</v>
      </c>
      <c r="B656" s="1128" t="s">
        <v>2433</v>
      </c>
      <c r="C656" s="1129">
        <f>D656+N656+P656+R656+T656+V656+X656+L656</f>
        <v>1023244.6599999999</v>
      </c>
      <c r="D656" s="1129">
        <f t="shared" si="303"/>
        <v>0</v>
      </c>
      <c r="E656" s="1129">
        <v>0</v>
      </c>
      <c r="F656" s="1129">
        <v>0</v>
      </c>
      <c r="G656" s="1129">
        <v>0</v>
      </c>
      <c r="H656" s="1129">
        <v>0</v>
      </c>
      <c r="I656" s="1129">
        <v>0</v>
      </c>
      <c r="J656" s="1129">
        <v>0</v>
      </c>
      <c r="K656" s="1136">
        <v>0</v>
      </c>
      <c r="L656" s="1129">
        <v>0</v>
      </c>
      <c r="M656" s="1136">
        <v>0</v>
      </c>
      <c r="N656" s="1129">
        <v>0</v>
      </c>
      <c r="O656" s="1129">
        <v>240</v>
      </c>
      <c r="P656" s="1129">
        <v>948921.46</v>
      </c>
      <c r="Q656" s="1129">
        <v>0</v>
      </c>
      <c r="R656" s="1129">
        <v>0</v>
      </c>
      <c r="S656" s="1129">
        <v>0</v>
      </c>
      <c r="T656" s="1129">
        <v>0</v>
      </c>
      <c r="U656" s="1129">
        <v>0</v>
      </c>
      <c r="V656" s="1129">
        <v>0</v>
      </c>
      <c r="W656" s="1129">
        <v>0</v>
      </c>
      <c r="X656" s="1129">
        <v>74323.199999999997</v>
      </c>
      <c r="Y656" s="1129">
        <v>0</v>
      </c>
    </row>
    <row r="657" spans="1:25" s="1137" customFormat="1" ht="55.9" customHeight="1">
      <c r="A657" s="1280"/>
      <c r="B657" s="1135" t="s">
        <v>55</v>
      </c>
      <c r="C657" s="1129">
        <f>C658</f>
        <v>4304423</v>
      </c>
      <c r="D657" s="1129">
        <f t="shared" ref="D657:Y657" si="304">D658</f>
        <v>0</v>
      </c>
      <c r="E657" s="1129">
        <f t="shared" si="304"/>
        <v>0</v>
      </c>
      <c r="F657" s="1129">
        <f t="shared" si="304"/>
        <v>0</v>
      </c>
      <c r="G657" s="1129">
        <f t="shared" si="304"/>
        <v>0</v>
      </c>
      <c r="H657" s="1129">
        <f t="shared" si="304"/>
        <v>0</v>
      </c>
      <c r="I657" s="1129">
        <f t="shared" si="304"/>
        <v>0</v>
      </c>
      <c r="J657" s="1129">
        <f t="shared" si="304"/>
        <v>0</v>
      </c>
      <c r="K657" s="1136">
        <f t="shared" si="304"/>
        <v>0</v>
      </c>
      <c r="L657" s="1129">
        <f t="shared" si="304"/>
        <v>0</v>
      </c>
      <c r="M657" s="1136">
        <f t="shared" si="304"/>
        <v>0</v>
      </c>
      <c r="N657" s="1129">
        <f t="shared" si="304"/>
        <v>0</v>
      </c>
      <c r="O657" s="1129">
        <f t="shared" si="304"/>
        <v>1079</v>
      </c>
      <c r="P657" s="1129">
        <f t="shared" si="304"/>
        <v>3991772</v>
      </c>
      <c r="Q657" s="1129">
        <f t="shared" si="304"/>
        <v>0</v>
      </c>
      <c r="R657" s="1129">
        <f t="shared" si="304"/>
        <v>0</v>
      </c>
      <c r="S657" s="1129">
        <f t="shared" si="304"/>
        <v>0</v>
      </c>
      <c r="T657" s="1129">
        <f t="shared" si="304"/>
        <v>0</v>
      </c>
      <c r="U657" s="1129">
        <f t="shared" si="304"/>
        <v>0</v>
      </c>
      <c r="V657" s="1129">
        <f t="shared" si="304"/>
        <v>0</v>
      </c>
      <c r="W657" s="1167">
        <v>0</v>
      </c>
      <c r="X657" s="1129">
        <f t="shared" si="304"/>
        <v>312651</v>
      </c>
      <c r="Y657" s="1129">
        <f t="shared" si="304"/>
        <v>0</v>
      </c>
    </row>
    <row r="658" spans="1:25" s="1137" customFormat="1" ht="129" customHeight="1">
      <c r="A658" s="1280"/>
      <c r="B658" s="1135" t="s">
        <v>2434</v>
      </c>
      <c r="C658" s="1129">
        <f>C659</f>
        <v>4304423</v>
      </c>
      <c r="D658" s="1129">
        <f t="shared" ref="D658:Y658" si="305">D659</f>
        <v>0</v>
      </c>
      <c r="E658" s="1129">
        <f t="shared" si="305"/>
        <v>0</v>
      </c>
      <c r="F658" s="1129">
        <f t="shared" si="305"/>
        <v>0</v>
      </c>
      <c r="G658" s="1129">
        <f t="shared" si="305"/>
        <v>0</v>
      </c>
      <c r="H658" s="1129">
        <f t="shared" si="305"/>
        <v>0</v>
      </c>
      <c r="I658" s="1129">
        <f t="shared" si="305"/>
        <v>0</v>
      </c>
      <c r="J658" s="1129">
        <f t="shared" si="305"/>
        <v>0</v>
      </c>
      <c r="K658" s="1136">
        <f t="shared" si="305"/>
        <v>0</v>
      </c>
      <c r="L658" s="1129">
        <f t="shared" si="305"/>
        <v>0</v>
      </c>
      <c r="M658" s="1136">
        <f t="shared" si="305"/>
        <v>0</v>
      </c>
      <c r="N658" s="1129">
        <f t="shared" si="305"/>
        <v>0</v>
      </c>
      <c r="O658" s="1129">
        <f t="shared" si="305"/>
        <v>1079</v>
      </c>
      <c r="P658" s="1129">
        <f t="shared" si="305"/>
        <v>3991772</v>
      </c>
      <c r="Q658" s="1129">
        <f t="shared" si="305"/>
        <v>0</v>
      </c>
      <c r="R658" s="1129">
        <f t="shared" si="305"/>
        <v>0</v>
      </c>
      <c r="S658" s="1129">
        <f t="shared" si="305"/>
        <v>0</v>
      </c>
      <c r="T658" s="1129">
        <f t="shared" si="305"/>
        <v>0</v>
      </c>
      <c r="U658" s="1129">
        <f t="shared" si="305"/>
        <v>0</v>
      </c>
      <c r="V658" s="1129">
        <f t="shared" si="305"/>
        <v>0</v>
      </c>
      <c r="W658" s="1129">
        <v>0</v>
      </c>
      <c r="X658" s="1129">
        <f t="shared" si="305"/>
        <v>312651</v>
      </c>
      <c r="Y658" s="1129">
        <f t="shared" si="305"/>
        <v>0</v>
      </c>
    </row>
    <row r="659" spans="1:25" s="1137" customFormat="1" ht="92.45" customHeight="1">
      <c r="A659" s="1280">
        <v>183</v>
      </c>
      <c r="B659" s="1128" t="s">
        <v>2806</v>
      </c>
      <c r="C659" s="1129">
        <f>D659+N659+P659+R659+T659+V659+X659</f>
        <v>4304423</v>
      </c>
      <c r="D659" s="1129">
        <f>SUM(E659:J659)</f>
        <v>0</v>
      </c>
      <c r="E659" s="1129">
        <v>0</v>
      </c>
      <c r="F659" s="1129">
        <v>0</v>
      </c>
      <c r="G659" s="1129">
        <v>0</v>
      </c>
      <c r="H659" s="1129">
        <v>0</v>
      </c>
      <c r="I659" s="1129">
        <v>0</v>
      </c>
      <c r="J659" s="1129">
        <v>0</v>
      </c>
      <c r="K659" s="1136">
        <v>0</v>
      </c>
      <c r="L659" s="1129">
        <v>0</v>
      </c>
      <c r="M659" s="1136">
        <v>0</v>
      </c>
      <c r="N659" s="1129">
        <v>0</v>
      </c>
      <c r="O659" s="1129">
        <v>1079</v>
      </c>
      <c r="P659" s="1129">
        <v>3991772</v>
      </c>
      <c r="Q659" s="1129">
        <v>0</v>
      </c>
      <c r="R659" s="1129">
        <v>0</v>
      </c>
      <c r="S659" s="1129">
        <v>0</v>
      </c>
      <c r="T659" s="1129">
        <v>0</v>
      </c>
      <c r="U659" s="1129">
        <v>0</v>
      </c>
      <c r="V659" s="1129">
        <v>0</v>
      </c>
      <c r="W659" s="1167">
        <v>0</v>
      </c>
      <c r="X659" s="1129">
        <v>312651</v>
      </c>
      <c r="Y659" s="1129">
        <v>0</v>
      </c>
    </row>
    <row r="660" spans="1:25" s="1137" customFormat="1" ht="90" customHeight="1">
      <c r="A660" s="1280"/>
      <c r="B660" s="1128" t="s">
        <v>1991</v>
      </c>
      <c r="C660" s="1129">
        <f>C664+C666+C661</f>
        <v>11563936.059999999</v>
      </c>
      <c r="D660" s="1129">
        <f t="shared" ref="D660:Y660" si="306">D664+D666+D661</f>
        <v>6480701.2999999989</v>
      </c>
      <c r="E660" s="1129">
        <f t="shared" si="306"/>
        <v>1115031.1299999999</v>
      </c>
      <c r="F660" s="1129">
        <f t="shared" si="306"/>
        <v>1761666.6</v>
      </c>
      <c r="G660" s="1129">
        <f t="shared" si="306"/>
        <v>757647.45</v>
      </c>
      <c r="H660" s="1129">
        <f t="shared" si="306"/>
        <v>1081419.1000000001</v>
      </c>
      <c r="I660" s="1129">
        <f t="shared" si="306"/>
        <v>1081419.1000000001</v>
      </c>
      <c r="J660" s="1129">
        <f t="shared" si="306"/>
        <v>683517.92</v>
      </c>
      <c r="K660" s="1136">
        <f t="shared" si="306"/>
        <v>0</v>
      </c>
      <c r="L660" s="1129">
        <f t="shared" si="306"/>
        <v>0</v>
      </c>
      <c r="M660" s="1136">
        <f t="shared" si="306"/>
        <v>0</v>
      </c>
      <c r="N660" s="1129">
        <f t="shared" si="306"/>
        <v>0</v>
      </c>
      <c r="O660" s="1129">
        <f t="shared" si="306"/>
        <v>1366.4</v>
      </c>
      <c r="P660" s="1129">
        <f t="shared" si="306"/>
        <v>4243290.0999999996</v>
      </c>
      <c r="Q660" s="1129">
        <f t="shared" si="306"/>
        <v>0</v>
      </c>
      <c r="R660" s="1129">
        <f t="shared" si="306"/>
        <v>0</v>
      </c>
      <c r="S660" s="1129">
        <f t="shared" si="306"/>
        <v>0</v>
      </c>
      <c r="T660" s="1129">
        <f t="shared" si="306"/>
        <v>0</v>
      </c>
      <c r="U660" s="1129">
        <f t="shared" si="306"/>
        <v>0</v>
      </c>
      <c r="V660" s="1129">
        <f t="shared" si="306"/>
        <v>0</v>
      </c>
      <c r="W660" s="1167">
        <v>0</v>
      </c>
      <c r="X660" s="1129">
        <f t="shared" si="306"/>
        <v>839944.65999999992</v>
      </c>
      <c r="Y660" s="1129">
        <f t="shared" si="306"/>
        <v>0</v>
      </c>
    </row>
    <row r="661" spans="1:25" s="1137" customFormat="1" ht="92.45" customHeight="1">
      <c r="A661" s="1280"/>
      <c r="B661" s="1135" t="s">
        <v>2435</v>
      </c>
      <c r="C661" s="1129">
        <f>C662+C663</f>
        <v>8573045.0599999987</v>
      </c>
      <c r="D661" s="1129">
        <f t="shared" ref="D661:Y661" si="307">D662+D663</f>
        <v>6480701.2999999989</v>
      </c>
      <c r="E661" s="1129">
        <f t="shared" si="307"/>
        <v>1115031.1299999999</v>
      </c>
      <c r="F661" s="1129">
        <f t="shared" si="307"/>
        <v>1761666.6</v>
      </c>
      <c r="G661" s="1129">
        <f t="shared" si="307"/>
        <v>757647.45</v>
      </c>
      <c r="H661" s="1129">
        <f t="shared" si="307"/>
        <v>1081419.1000000001</v>
      </c>
      <c r="I661" s="1129">
        <f t="shared" si="307"/>
        <v>1081419.1000000001</v>
      </c>
      <c r="J661" s="1129">
        <f t="shared" si="307"/>
        <v>683517.92</v>
      </c>
      <c r="K661" s="1136">
        <f t="shared" si="307"/>
        <v>0</v>
      </c>
      <c r="L661" s="1129">
        <f t="shared" si="307"/>
        <v>0</v>
      </c>
      <c r="M661" s="1136">
        <f t="shared" si="307"/>
        <v>0</v>
      </c>
      <c r="N661" s="1129">
        <f t="shared" si="307"/>
        <v>0</v>
      </c>
      <c r="O661" s="1129">
        <f t="shared" si="307"/>
        <v>371.7</v>
      </c>
      <c r="P661" s="1129">
        <f t="shared" si="307"/>
        <v>1469642.1</v>
      </c>
      <c r="Q661" s="1129">
        <f t="shared" si="307"/>
        <v>0</v>
      </c>
      <c r="R661" s="1129">
        <f t="shared" si="307"/>
        <v>0</v>
      </c>
      <c r="S661" s="1129">
        <f t="shared" si="307"/>
        <v>0</v>
      </c>
      <c r="T661" s="1129">
        <f t="shared" si="307"/>
        <v>0</v>
      </c>
      <c r="U661" s="1129">
        <f t="shared" si="307"/>
        <v>0</v>
      </c>
      <c r="V661" s="1129">
        <f t="shared" si="307"/>
        <v>0</v>
      </c>
      <c r="W661" s="1129">
        <v>0</v>
      </c>
      <c r="X661" s="1129">
        <f t="shared" si="307"/>
        <v>622701.65999999992</v>
      </c>
      <c r="Y661" s="1129">
        <f t="shared" si="307"/>
        <v>0</v>
      </c>
    </row>
    <row r="662" spans="1:25" s="1137" customFormat="1" ht="94.9" customHeight="1">
      <c r="A662" s="1280">
        <v>184</v>
      </c>
      <c r="B662" s="1135" t="s">
        <v>2436</v>
      </c>
      <c r="C662" s="1129">
        <f t="shared" ref="C662:C663" si="308">D662+P662+T662+X662</f>
        <v>6788652.379999999</v>
      </c>
      <c r="D662" s="1129">
        <f t="shared" ref="D662:D663" si="309">E662+F662+G662+H662+I662+J662</f>
        <v>6295559.7799999993</v>
      </c>
      <c r="E662" s="1129">
        <v>929889.61</v>
      </c>
      <c r="F662" s="1129">
        <v>1761666.6</v>
      </c>
      <c r="G662" s="1129">
        <v>757647.45</v>
      </c>
      <c r="H662" s="1129">
        <v>1081419.1000000001</v>
      </c>
      <c r="I662" s="1129">
        <v>1081419.1000000001</v>
      </c>
      <c r="J662" s="1129">
        <v>683517.92</v>
      </c>
      <c r="K662" s="1136">
        <v>0</v>
      </c>
      <c r="L662" s="1129">
        <v>0</v>
      </c>
      <c r="M662" s="1136">
        <v>0</v>
      </c>
      <c r="N662" s="1129">
        <v>0</v>
      </c>
      <c r="O662" s="1129">
        <v>0</v>
      </c>
      <c r="P662" s="1129">
        <v>0</v>
      </c>
      <c r="Q662" s="1129">
        <v>0</v>
      </c>
      <c r="R662" s="1129">
        <v>0</v>
      </c>
      <c r="S662" s="1129">
        <v>0</v>
      </c>
      <c r="T662" s="1129">
        <v>0</v>
      </c>
      <c r="U662" s="1129">
        <v>0</v>
      </c>
      <c r="V662" s="1129">
        <v>0</v>
      </c>
      <c r="W662" s="1167">
        <v>0</v>
      </c>
      <c r="X662" s="1129">
        <v>493092.6</v>
      </c>
      <c r="Y662" s="1157">
        <v>0</v>
      </c>
    </row>
    <row r="663" spans="1:25" s="1148" customFormat="1" ht="96.6" customHeight="1">
      <c r="A663" s="1280">
        <v>185</v>
      </c>
      <c r="B663" s="1135" t="s">
        <v>2437</v>
      </c>
      <c r="C663" s="1129">
        <f t="shared" si="308"/>
        <v>1784392.6800000002</v>
      </c>
      <c r="D663" s="1129">
        <f t="shared" si="309"/>
        <v>185141.52</v>
      </c>
      <c r="E663" s="1129">
        <v>185141.52</v>
      </c>
      <c r="F663" s="1129">
        <v>0</v>
      </c>
      <c r="G663" s="1129">
        <v>0</v>
      </c>
      <c r="H663" s="1129">
        <v>0</v>
      </c>
      <c r="I663" s="1129">
        <v>0</v>
      </c>
      <c r="J663" s="1129">
        <v>0</v>
      </c>
      <c r="K663" s="1136">
        <v>0</v>
      </c>
      <c r="L663" s="1129">
        <v>0</v>
      </c>
      <c r="M663" s="1136">
        <v>0</v>
      </c>
      <c r="N663" s="1129">
        <v>0</v>
      </c>
      <c r="O663" s="1129">
        <v>371.7</v>
      </c>
      <c r="P663" s="1129">
        <v>1469642.1</v>
      </c>
      <c r="Q663" s="1129">
        <v>0</v>
      </c>
      <c r="R663" s="1129">
        <v>0</v>
      </c>
      <c r="S663" s="1129">
        <v>0</v>
      </c>
      <c r="T663" s="1129">
        <v>0</v>
      </c>
      <c r="U663" s="1129">
        <v>0</v>
      </c>
      <c r="V663" s="1129">
        <v>0</v>
      </c>
      <c r="W663" s="1167">
        <v>0</v>
      </c>
      <c r="X663" s="1129">
        <v>129609.06</v>
      </c>
      <c r="Y663" s="1129">
        <v>0</v>
      </c>
    </row>
    <row r="664" spans="1:25" s="1148" customFormat="1" ht="76.5">
      <c r="A664" s="1280"/>
      <c r="B664" s="1135" t="s">
        <v>2438</v>
      </c>
      <c r="C664" s="1129">
        <f>C665</f>
        <v>1461133</v>
      </c>
      <c r="D664" s="1129">
        <f t="shared" ref="D664:Y664" si="310">D665</f>
        <v>0</v>
      </c>
      <c r="E664" s="1129">
        <f t="shared" si="310"/>
        <v>0</v>
      </c>
      <c r="F664" s="1129">
        <f t="shared" si="310"/>
        <v>0</v>
      </c>
      <c r="G664" s="1129">
        <f t="shared" si="310"/>
        <v>0</v>
      </c>
      <c r="H664" s="1129">
        <f t="shared" si="310"/>
        <v>0</v>
      </c>
      <c r="I664" s="1129">
        <f t="shared" si="310"/>
        <v>0</v>
      </c>
      <c r="J664" s="1129">
        <f t="shared" si="310"/>
        <v>0</v>
      </c>
      <c r="K664" s="1136">
        <v>0</v>
      </c>
      <c r="L664" s="1129">
        <v>0</v>
      </c>
      <c r="M664" s="1136">
        <f t="shared" si="310"/>
        <v>0</v>
      </c>
      <c r="N664" s="1129">
        <f t="shared" si="310"/>
        <v>0</v>
      </c>
      <c r="O664" s="1129">
        <f t="shared" si="310"/>
        <v>431.7</v>
      </c>
      <c r="P664" s="1129">
        <f t="shared" si="310"/>
        <v>1355004</v>
      </c>
      <c r="Q664" s="1129">
        <f t="shared" si="310"/>
        <v>0</v>
      </c>
      <c r="R664" s="1129">
        <f t="shared" si="310"/>
        <v>0</v>
      </c>
      <c r="S664" s="1129">
        <f t="shared" si="310"/>
        <v>0</v>
      </c>
      <c r="T664" s="1129">
        <f t="shared" si="310"/>
        <v>0</v>
      </c>
      <c r="U664" s="1129">
        <f t="shared" si="310"/>
        <v>0</v>
      </c>
      <c r="V664" s="1129">
        <f t="shared" si="310"/>
        <v>0</v>
      </c>
      <c r="W664" s="1129">
        <v>0</v>
      </c>
      <c r="X664" s="1129">
        <f t="shared" si="310"/>
        <v>106129</v>
      </c>
      <c r="Y664" s="1129">
        <f t="shared" si="310"/>
        <v>0</v>
      </c>
    </row>
    <row r="665" spans="1:25" s="1148" customFormat="1" ht="93.6" customHeight="1">
      <c r="A665" s="1280">
        <v>186</v>
      </c>
      <c r="B665" s="1135" t="s">
        <v>2439</v>
      </c>
      <c r="C665" s="1129">
        <f>D665+N665+P665+R665+T665+V665+X665</f>
        <v>1461133</v>
      </c>
      <c r="D665" s="1129">
        <f>SUM(E665:J665)</f>
        <v>0</v>
      </c>
      <c r="E665" s="1129">
        <v>0</v>
      </c>
      <c r="F665" s="1129">
        <v>0</v>
      </c>
      <c r="G665" s="1129">
        <v>0</v>
      </c>
      <c r="H665" s="1129">
        <v>0</v>
      </c>
      <c r="I665" s="1129">
        <v>0</v>
      </c>
      <c r="J665" s="1129">
        <v>0</v>
      </c>
      <c r="K665" s="1136">
        <v>0</v>
      </c>
      <c r="L665" s="1129">
        <v>0</v>
      </c>
      <c r="M665" s="1136">
        <v>0</v>
      </c>
      <c r="N665" s="1129">
        <v>0</v>
      </c>
      <c r="O665" s="1129">
        <v>431.7</v>
      </c>
      <c r="P665" s="1129">
        <v>1355004</v>
      </c>
      <c r="Q665" s="1129">
        <v>0</v>
      </c>
      <c r="R665" s="1129">
        <v>0</v>
      </c>
      <c r="S665" s="1129">
        <v>0</v>
      </c>
      <c r="T665" s="1129">
        <v>0</v>
      </c>
      <c r="U665" s="1129">
        <v>0</v>
      </c>
      <c r="V665" s="1129">
        <v>0</v>
      </c>
      <c r="W665" s="1167">
        <v>0</v>
      </c>
      <c r="X665" s="1129">
        <v>106129</v>
      </c>
      <c r="Y665" s="1129">
        <v>0</v>
      </c>
    </row>
    <row r="666" spans="1:25" s="1148" customFormat="1" ht="93.6" customHeight="1">
      <c r="A666" s="1280"/>
      <c r="B666" s="1135" t="s">
        <v>807</v>
      </c>
      <c r="C666" s="1129">
        <f>C667</f>
        <v>1529758</v>
      </c>
      <c r="D666" s="1129">
        <f t="shared" ref="D666:Y666" si="311">D667</f>
        <v>0</v>
      </c>
      <c r="E666" s="1129">
        <f t="shared" si="311"/>
        <v>0</v>
      </c>
      <c r="F666" s="1129">
        <f t="shared" si="311"/>
        <v>0</v>
      </c>
      <c r="G666" s="1129">
        <f t="shared" si="311"/>
        <v>0</v>
      </c>
      <c r="H666" s="1129">
        <f t="shared" si="311"/>
        <v>0</v>
      </c>
      <c r="I666" s="1129">
        <f t="shared" si="311"/>
        <v>0</v>
      </c>
      <c r="J666" s="1129">
        <f t="shared" si="311"/>
        <v>0</v>
      </c>
      <c r="K666" s="1136">
        <f t="shared" si="311"/>
        <v>0</v>
      </c>
      <c r="L666" s="1129">
        <f t="shared" si="311"/>
        <v>0</v>
      </c>
      <c r="M666" s="1136">
        <f t="shared" si="311"/>
        <v>0</v>
      </c>
      <c r="N666" s="1129">
        <f t="shared" si="311"/>
        <v>0</v>
      </c>
      <c r="O666" s="1129">
        <f t="shared" si="311"/>
        <v>563</v>
      </c>
      <c r="P666" s="1129">
        <f t="shared" si="311"/>
        <v>1418644</v>
      </c>
      <c r="Q666" s="1129">
        <f t="shared" si="311"/>
        <v>0</v>
      </c>
      <c r="R666" s="1129">
        <f t="shared" si="311"/>
        <v>0</v>
      </c>
      <c r="S666" s="1129">
        <f t="shared" si="311"/>
        <v>0</v>
      </c>
      <c r="T666" s="1129">
        <f t="shared" si="311"/>
        <v>0</v>
      </c>
      <c r="U666" s="1129">
        <f t="shared" si="311"/>
        <v>0</v>
      </c>
      <c r="V666" s="1129">
        <f t="shared" si="311"/>
        <v>0</v>
      </c>
      <c r="W666" s="1167">
        <v>0</v>
      </c>
      <c r="X666" s="1129">
        <f t="shared" si="311"/>
        <v>111114</v>
      </c>
      <c r="Y666" s="1129">
        <f t="shared" si="311"/>
        <v>0</v>
      </c>
    </row>
    <row r="667" spans="1:25" s="1148" customFormat="1" ht="91.15" customHeight="1">
      <c r="A667" s="1280">
        <v>187</v>
      </c>
      <c r="B667" s="1135" t="s">
        <v>1868</v>
      </c>
      <c r="C667" s="1129">
        <f>D667+N667+P667+R667+T667+V667+X667</f>
        <v>1529758</v>
      </c>
      <c r="D667" s="1129">
        <f>SUM(E667:J667)</f>
        <v>0</v>
      </c>
      <c r="E667" s="1129">
        <v>0</v>
      </c>
      <c r="F667" s="1129">
        <v>0</v>
      </c>
      <c r="G667" s="1129">
        <v>0</v>
      </c>
      <c r="H667" s="1129">
        <v>0</v>
      </c>
      <c r="I667" s="1129">
        <v>0</v>
      </c>
      <c r="J667" s="1129">
        <v>0</v>
      </c>
      <c r="K667" s="1136">
        <v>0</v>
      </c>
      <c r="L667" s="1129">
        <v>0</v>
      </c>
      <c r="M667" s="1136">
        <v>0</v>
      </c>
      <c r="N667" s="1129">
        <v>0</v>
      </c>
      <c r="O667" s="1129">
        <v>563</v>
      </c>
      <c r="P667" s="1129">
        <v>1418644</v>
      </c>
      <c r="Q667" s="1129">
        <v>0</v>
      </c>
      <c r="R667" s="1129">
        <v>0</v>
      </c>
      <c r="S667" s="1129">
        <v>0</v>
      </c>
      <c r="T667" s="1129">
        <v>0</v>
      </c>
      <c r="U667" s="1129">
        <v>0</v>
      </c>
      <c r="V667" s="1129">
        <v>0</v>
      </c>
      <c r="W667" s="1129">
        <v>0</v>
      </c>
      <c r="X667" s="1129">
        <v>111114</v>
      </c>
      <c r="Y667" s="1129">
        <v>0</v>
      </c>
    </row>
    <row r="668" spans="1:25" s="1137" customFormat="1" ht="109.5" customHeight="1">
      <c r="A668" s="1280"/>
      <c r="B668" s="1135" t="s">
        <v>2676</v>
      </c>
      <c r="C668" s="1129">
        <f>C669+C670+C671+C672</f>
        <v>8642732</v>
      </c>
      <c r="D668" s="1129">
        <f t="shared" ref="D668:Y668" si="312">D669+D670+D671+D672</f>
        <v>0</v>
      </c>
      <c r="E668" s="1129">
        <f t="shared" si="312"/>
        <v>0</v>
      </c>
      <c r="F668" s="1129">
        <f t="shared" si="312"/>
        <v>0</v>
      </c>
      <c r="G668" s="1129">
        <f t="shared" si="312"/>
        <v>0</v>
      </c>
      <c r="H668" s="1129">
        <f t="shared" si="312"/>
        <v>0</v>
      </c>
      <c r="I668" s="1129">
        <f t="shared" si="312"/>
        <v>0</v>
      </c>
      <c r="J668" s="1129">
        <f t="shared" si="312"/>
        <v>0</v>
      </c>
      <c r="K668" s="1129">
        <f t="shared" si="312"/>
        <v>0</v>
      </c>
      <c r="L668" s="1129">
        <f t="shared" si="312"/>
        <v>0</v>
      </c>
      <c r="M668" s="1129">
        <f t="shared" si="312"/>
        <v>0</v>
      </c>
      <c r="N668" s="1129">
        <f t="shared" si="312"/>
        <v>0</v>
      </c>
      <c r="O668" s="1129">
        <f t="shared" si="312"/>
        <v>1969</v>
      </c>
      <c r="P668" s="1129">
        <f t="shared" si="312"/>
        <v>5473236</v>
      </c>
      <c r="Q668" s="1129">
        <f t="shared" si="312"/>
        <v>0</v>
      </c>
      <c r="R668" s="1129">
        <f t="shared" si="312"/>
        <v>0</v>
      </c>
      <c r="S668" s="1129">
        <f t="shared" si="312"/>
        <v>1030</v>
      </c>
      <c r="T668" s="1129">
        <f t="shared" si="312"/>
        <v>2541733</v>
      </c>
      <c r="U668" s="1129">
        <f t="shared" si="312"/>
        <v>0</v>
      </c>
      <c r="V668" s="1129">
        <f t="shared" si="312"/>
        <v>0</v>
      </c>
      <c r="W668" s="1129">
        <f t="shared" si="312"/>
        <v>0</v>
      </c>
      <c r="X668" s="1129">
        <f t="shared" si="312"/>
        <v>627763</v>
      </c>
      <c r="Y668" s="1129">
        <f t="shared" si="312"/>
        <v>0</v>
      </c>
    </row>
    <row r="669" spans="1:25" s="1137" customFormat="1" ht="96" customHeight="1">
      <c r="A669" s="1280">
        <v>188</v>
      </c>
      <c r="B669" s="1135" t="s">
        <v>2827</v>
      </c>
      <c r="C669" s="1129">
        <f>D669+N669+P669+R669+T669+V669+X669</f>
        <v>944102</v>
      </c>
      <c r="D669" s="1129">
        <f>SUM(E669:J669)</f>
        <v>0</v>
      </c>
      <c r="E669" s="1129">
        <v>0</v>
      </c>
      <c r="F669" s="1129">
        <v>0</v>
      </c>
      <c r="G669" s="1129">
        <v>0</v>
      </c>
      <c r="H669" s="1129">
        <v>0</v>
      </c>
      <c r="I669" s="1129">
        <v>0</v>
      </c>
      <c r="J669" s="1129">
        <v>0</v>
      </c>
      <c r="K669" s="1136">
        <v>0</v>
      </c>
      <c r="L669" s="1129">
        <v>0</v>
      </c>
      <c r="M669" s="1136">
        <v>0</v>
      </c>
      <c r="N669" s="1129">
        <v>0</v>
      </c>
      <c r="O669" s="1129">
        <v>715</v>
      </c>
      <c r="P669" s="1129">
        <v>875527</v>
      </c>
      <c r="Q669" s="1129">
        <v>0</v>
      </c>
      <c r="R669" s="1129">
        <v>0</v>
      </c>
      <c r="S669" s="1129">
        <v>0</v>
      </c>
      <c r="T669" s="1129">
        <v>0</v>
      </c>
      <c r="U669" s="1129">
        <v>0</v>
      </c>
      <c r="V669" s="1129">
        <v>0</v>
      </c>
      <c r="W669" s="1129">
        <v>0</v>
      </c>
      <c r="X669" s="1129">
        <v>68575</v>
      </c>
      <c r="Y669" s="1129">
        <v>0</v>
      </c>
    </row>
    <row r="670" spans="1:25" s="1137" customFormat="1" ht="97.5" customHeight="1">
      <c r="A670" s="1280">
        <v>189</v>
      </c>
      <c r="B670" s="1135" t="s">
        <v>2828</v>
      </c>
      <c r="C670" s="1129">
        <f t="shared" ref="C670:C672" si="313">D670+N670+P670+R670+T670+V670+X670</f>
        <v>1465252</v>
      </c>
      <c r="D670" s="1129">
        <f t="shared" ref="D670:D672" si="314">SUM(E670:J670)</f>
        <v>0</v>
      </c>
      <c r="E670" s="1129">
        <v>0</v>
      </c>
      <c r="F670" s="1129">
        <v>0</v>
      </c>
      <c r="G670" s="1129">
        <v>0</v>
      </c>
      <c r="H670" s="1129">
        <v>0</v>
      </c>
      <c r="I670" s="1129">
        <v>0</v>
      </c>
      <c r="J670" s="1129">
        <v>0</v>
      </c>
      <c r="K670" s="1136">
        <v>0</v>
      </c>
      <c r="L670" s="1129">
        <v>0</v>
      </c>
      <c r="M670" s="1136">
        <v>0</v>
      </c>
      <c r="N670" s="1129">
        <v>0</v>
      </c>
      <c r="O670" s="1129">
        <v>539</v>
      </c>
      <c r="P670" s="1129">
        <v>1358824</v>
      </c>
      <c r="Q670" s="1129">
        <v>0</v>
      </c>
      <c r="R670" s="1129">
        <v>0</v>
      </c>
      <c r="S670" s="1129">
        <v>0</v>
      </c>
      <c r="T670" s="1129">
        <v>0</v>
      </c>
      <c r="U670" s="1129">
        <v>0</v>
      </c>
      <c r="V670" s="1129">
        <v>0</v>
      </c>
      <c r="W670" s="1167">
        <v>0</v>
      </c>
      <c r="X670" s="1129">
        <v>106428</v>
      </c>
      <c r="Y670" s="1129">
        <v>0</v>
      </c>
    </row>
    <row r="671" spans="1:25" s="1137" customFormat="1" ht="114.75" customHeight="1">
      <c r="A671" s="1280">
        <v>190</v>
      </c>
      <c r="B671" s="1135" t="s">
        <v>2829</v>
      </c>
      <c r="C671" s="1129">
        <f t="shared" si="313"/>
        <v>3492567</v>
      </c>
      <c r="D671" s="1129">
        <f t="shared" si="314"/>
        <v>0</v>
      </c>
      <c r="E671" s="1129">
        <v>0</v>
      </c>
      <c r="F671" s="1129">
        <v>0</v>
      </c>
      <c r="G671" s="1129">
        <v>0</v>
      </c>
      <c r="H671" s="1129">
        <v>0</v>
      </c>
      <c r="I671" s="1129">
        <v>0</v>
      </c>
      <c r="J671" s="1129">
        <v>0</v>
      </c>
      <c r="K671" s="1136">
        <v>0</v>
      </c>
      <c r="L671" s="1129">
        <v>0</v>
      </c>
      <c r="M671" s="1136">
        <v>0</v>
      </c>
      <c r="N671" s="1129">
        <v>0</v>
      </c>
      <c r="O671" s="1129">
        <v>715</v>
      </c>
      <c r="P671" s="1129">
        <v>3238885</v>
      </c>
      <c r="Q671" s="1129">
        <v>0</v>
      </c>
      <c r="R671" s="1129">
        <v>0</v>
      </c>
      <c r="S671" s="1129">
        <v>0</v>
      </c>
      <c r="T671" s="1129">
        <v>0</v>
      </c>
      <c r="U671" s="1129">
        <v>0</v>
      </c>
      <c r="V671" s="1129">
        <v>0</v>
      </c>
      <c r="W671" s="1167">
        <v>0</v>
      </c>
      <c r="X671" s="1129">
        <v>253682</v>
      </c>
      <c r="Y671" s="1129">
        <v>0</v>
      </c>
    </row>
    <row r="672" spans="1:25" s="1137" customFormat="1" ht="105" customHeight="1">
      <c r="A672" s="1280">
        <v>191</v>
      </c>
      <c r="B672" s="1135" t="s">
        <v>2819</v>
      </c>
      <c r="C672" s="1129">
        <f t="shared" si="313"/>
        <v>2740811</v>
      </c>
      <c r="D672" s="1129">
        <f t="shared" si="314"/>
        <v>0</v>
      </c>
      <c r="E672" s="1129">
        <v>0</v>
      </c>
      <c r="F672" s="1129">
        <v>0</v>
      </c>
      <c r="G672" s="1129">
        <v>0</v>
      </c>
      <c r="H672" s="1129">
        <v>0</v>
      </c>
      <c r="I672" s="1129">
        <v>0</v>
      </c>
      <c r="J672" s="1129">
        <v>0</v>
      </c>
      <c r="K672" s="1136">
        <v>0</v>
      </c>
      <c r="L672" s="1129">
        <v>0</v>
      </c>
      <c r="M672" s="1136">
        <v>0</v>
      </c>
      <c r="N672" s="1129">
        <v>0</v>
      </c>
      <c r="O672" s="1129">
        <v>0</v>
      </c>
      <c r="P672" s="1129">
        <v>0</v>
      </c>
      <c r="Q672" s="1129">
        <v>0</v>
      </c>
      <c r="R672" s="1129">
        <v>0</v>
      </c>
      <c r="S672" s="1129">
        <v>1030</v>
      </c>
      <c r="T672" s="1129">
        <v>2541733</v>
      </c>
      <c r="U672" s="1129">
        <v>0</v>
      </c>
      <c r="V672" s="1129">
        <v>0</v>
      </c>
      <c r="W672" s="1129">
        <v>0</v>
      </c>
      <c r="X672" s="1129">
        <v>199078</v>
      </c>
      <c r="Y672" s="1129">
        <v>0</v>
      </c>
    </row>
    <row r="673" spans="1:25" s="1152" customFormat="1" ht="125.45" customHeight="1">
      <c r="A673" s="1280"/>
      <c r="B673" s="1135" t="s">
        <v>1168</v>
      </c>
      <c r="C673" s="1129">
        <f>C674+C675+C676</f>
        <v>7595351.3699999992</v>
      </c>
      <c r="D673" s="1129">
        <f t="shared" ref="D673:Y673" si="315">D674+D675+D676</f>
        <v>613191.36</v>
      </c>
      <c r="E673" s="1129">
        <f t="shared" si="315"/>
        <v>0</v>
      </c>
      <c r="F673" s="1129">
        <f t="shared" si="315"/>
        <v>613191.36</v>
      </c>
      <c r="G673" s="1129">
        <f t="shared" si="315"/>
        <v>0</v>
      </c>
      <c r="H673" s="1129">
        <f t="shared" si="315"/>
        <v>0</v>
      </c>
      <c r="I673" s="1129">
        <f t="shared" si="315"/>
        <v>0</v>
      </c>
      <c r="J673" s="1129">
        <f t="shared" si="315"/>
        <v>0</v>
      </c>
      <c r="K673" s="1136">
        <f t="shared" si="315"/>
        <v>0</v>
      </c>
      <c r="L673" s="1129">
        <f t="shared" si="315"/>
        <v>0</v>
      </c>
      <c r="M673" s="1136">
        <f t="shared" si="315"/>
        <v>0</v>
      </c>
      <c r="N673" s="1129">
        <f t="shared" si="315"/>
        <v>0</v>
      </c>
      <c r="O673" s="1129">
        <f t="shared" si="315"/>
        <v>1828</v>
      </c>
      <c r="P673" s="1129">
        <f t="shared" si="315"/>
        <v>6430472.4900000002</v>
      </c>
      <c r="Q673" s="1129">
        <f t="shared" si="315"/>
        <v>0</v>
      </c>
      <c r="R673" s="1129">
        <f t="shared" si="315"/>
        <v>0</v>
      </c>
      <c r="S673" s="1129">
        <f t="shared" si="315"/>
        <v>0</v>
      </c>
      <c r="T673" s="1129">
        <f t="shared" si="315"/>
        <v>0</v>
      </c>
      <c r="U673" s="1129">
        <f t="shared" si="315"/>
        <v>0</v>
      </c>
      <c r="V673" s="1129">
        <f t="shared" si="315"/>
        <v>0</v>
      </c>
      <c r="W673" s="1167">
        <v>0</v>
      </c>
      <c r="X673" s="1129">
        <f t="shared" si="315"/>
        <v>551687.52</v>
      </c>
      <c r="Y673" s="1129">
        <f t="shared" si="315"/>
        <v>0</v>
      </c>
    </row>
    <row r="674" spans="1:25" s="1152" customFormat="1" ht="91.15" customHeight="1">
      <c r="A674" s="1280">
        <v>192</v>
      </c>
      <c r="B674" s="1135" t="s">
        <v>2440</v>
      </c>
      <c r="C674" s="1129">
        <f t="shared" ref="C674" si="316">D674+N674+P674+R674+T674+V674+X674</f>
        <v>2089124.51</v>
      </c>
      <c r="D674" s="1129">
        <f t="shared" ref="D674" si="317">SUM(E674:J674)</f>
        <v>0</v>
      </c>
      <c r="E674" s="1129">
        <v>0</v>
      </c>
      <c r="F674" s="1129">
        <v>0</v>
      </c>
      <c r="G674" s="1129">
        <v>0</v>
      </c>
      <c r="H674" s="1129">
        <v>0</v>
      </c>
      <c r="I674" s="1129">
        <v>0</v>
      </c>
      <c r="J674" s="1129">
        <v>0</v>
      </c>
      <c r="K674" s="1136">
        <v>0</v>
      </c>
      <c r="L674" s="1129">
        <v>0</v>
      </c>
      <c r="M674" s="1136">
        <v>0</v>
      </c>
      <c r="N674" s="1129">
        <v>0</v>
      </c>
      <c r="O674" s="1129">
        <v>490</v>
      </c>
      <c r="P674" s="1129">
        <v>1937381.31</v>
      </c>
      <c r="Q674" s="1129">
        <v>0</v>
      </c>
      <c r="R674" s="1129">
        <v>0</v>
      </c>
      <c r="S674" s="1129">
        <v>0</v>
      </c>
      <c r="T674" s="1129">
        <v>0</v>
      </c>
      <c r="U674" s="1129">
        <v>0</v>
      </c>
      <c r="V674" s="1129">
        <v>0</v>
      </c>
      <c r="W674" s="1167">
        <v>0</v>
      </c>
      <c r="X674" s="1129">
        <v>151743.20000000001</v>
      </c>
      <c r="Y674" s="1129">
        <v>0</v>
      </c>
    </row>
    <row r="675" spans="1:25" s="1152" customFormat="1" ht="96" customHeight="1">
      <c r="A675" s="1280">
        <v>193</v>
      </c>
      <c r="B675" s="1135" t="s">
        <v>2441</v>
      </c>
      <c r="C675" s="1129">
        <f t="shared" ref="C675:C676" si="318">D675+N675+P675+R675+T675+V675+X675</f>
        <v>3310141</v>
      </c>
      <c r="D675" s="1129">
        <f t="shared" ref="D675:D697" si="319">SUM(E675:J675)</f>
        <v>0</v>
      </c>
      <c r="E675" s="1129">
        <v>0</v>
      </c>
      <c r="F675" s="1129">
        <v>0</v>
      </c>
      <c r="G675" s="1129">
        <v>0</v>
      </c>
      <c r="H675" s="1129">
        <v>0</v>
      </c>
      <c r="I675" s="1129">
        <v>0</v>
      </c>
      <c r="J675" s="1129">
        <v>0</v>
      </c>
      <c r="K675" s="1136">
        <v>0</v>
      </c>
      <c r="L675" s="1129">
        <v>0</v>
      </c>
      <c r="M675" s="1136">
        <v>0</v>
      </c>
      <c r="N675" s="1129">
        <v>0</v>
      </c>
      <c r="O675" s="1129">
        <v>978</v>
      </c>
      <c r="P675" s="1129">
        <v>3069709</v>
      </c>
      <c r="Q675" s="1129">
        <v>0</v>
      </c>
      <c r="R675" s="1129">
        <v>0</v>
      </c>
      <c r="S675" s="1129">
        <v>0</v>
      </c>
      <c r="T675" s="1129">
        <v>0</v>
      </c>
      <c r="U675" s="1129">
        <v>0</v>
      </c>
      <c r="V675" s="1129">
        <v>0</v>
      </c>
      <c r="W675" s="1129">
        <v>0</v>
      </c>
      <c r="X675" s="1129">
        <v>240432</v>
      </c>
      <c r="Y675" s="1129">
        <v>0</v>
      </c>
    </row>
    <row r="676" spans="1:25" s="1152" customFormat="1" ht="100.9" customHeight="1">
      <c r="A676" s="1280">
        <v>194</v>
      </c>
      <c r="B676" s="1135" t="s">
        <v>2100</v>
      </c>
      <c r="C676" s="1129">
        <f t="shared" si="318"/>
        <v>2196085.86</v>
      </c>
      <c r="D676" s="1129">
        <f t="shared" si="319"/>
        <v>613191.36</v>
      </c>
      <c r="E676" s="1129">
        <v>0</v>
      </c>
      <c r="F676" s="1129">
        <v>613191.36</v>
      </c>
      <c r="G676" s="1129">
        <v>0</v>
      </c>
      <c r="H676" s="1129">
        <v>0</v>
      </c>
      <c r="I676" s="1129">
        <v>0</v>
      </c>
      <c r="J676" s="1129">
        <v>0</v>
      </c>
      <c r="K676" s="1136">
        <v>0</v>
      </c>
      <c r="L676" s="1129">
        <v>0</v>
      </c>
      <c r="M676" s="1136">
        <v>0</v>
      </c>
      <c r="N676" s="1129">
        <v>0</v>
      </c>
      <c r="O676" s="1129">
        <v>360</v>
      </c>
      <c r="P676" s="1129">
        <v>1423382.18</v>
      </c>
      <c r="Q676" s="1129">
        <v>0</v>
      </c>
      <c r="R676" s="1129">
        <v>0</v>
      </c>
      <c r="S676" s="1129">
        <v>0</v>
      </c>
      <c r="T676" s="1129">
        <v>0</v>
      </c>
      <c r="U676" s="1129">
        <v>0</v>
      </c>
      <c r="V676" s="1129">
        <v>0</v>
      </c>
      <c r="W676" s="1167">
        <v>0</v>
      </c>
      <c r="X676" s="1129">
        <v>159512.32000000001</v>
      </c>
      <c r="Y676" s="1129">
        <v>0</v>
      </c>
    </row>
    <row r="677" spans="1:25" s="1152" customFormat="1" ht="76.5">
      <c r="A677" s="1280"/>
      <c r="B677" s="1135" t="s">
        <v>1969</v>
      </c>
      <c r="C677" s="1145">
        <f>SUM(C678:C697)</f>
        <v>6212616</v>
      </c>
      <c r="D677" s="1145">
        <f t="shared" ref="D677:Y677" si="320">SUM(D678:D697)</f>
        <v>2714740</v>
      </c>
      <c r="E677" s="1145">
        <f t="shared" si="320"/>
        <v>434898</v>
      </c>
      <c r="F677" s="1145">
        <f t="shared" si="320"/>
        <v>1292199</v>
      </c>
      <c r="G677" s="1145">
        <f t="shared" si="320"/>
        <v>0</v>
      </c>
      <c r="H677" s="1145">
        <f t="shared" si="320"/>
        <v>615082</v>
      </c>
      <c r="I677" s="1145">
        <f t="shared" si="320"/>
        <v>0</v>
      </c>
      <c r="J677" s="1145">
        <f t="shared" si="320"/>
        <v>372561</v>
      </c>
      <c r="K677" s="1163">
        <f t="shared" si="320"/>
        <v>0</v>
      </c>
      <c r="L677" s="1145">
        <f t="shared" si="320"/>
        <v>0</v>
      </c>
      <c r="M677" s="1163">
        <f t="shared" si="320"/>
        <v>0</v>
      </c>
      <c r="N677" s="1145">
        <f t="shared" si="320"/>
        <v>0</v>
      </c>
      <c r="O677" s="1145">
        <f t="shared" si="320"/>
        <v>1314</v>
      </c>
      <c r="P677" s="1145">
        <f t="shared" si="320"/>
        <v>1901902</v>
      </c>
      <c r="Q677" s="1145">
        <f t="shared" si="320"/>
        <v>0</v>
      </c>
      <c r="R677" s="1145">
        <f t="shared" si="320"/>
        <v>0</v>
      </c>
      <c r="S677" s="1145">
        <f t="shared" si="320"/>
        <v>76</v>
      </c>
      <c r="T677" s="1145">
        <f t="shared" si="320"/>
        <v>300000</v>
      </c>
      <c r="U677" s="1226">
        <f t="shared" si="320"/>
        <v>400.1</v>
      </c>
      <c r="V677" s="1226">
        <f t="shared" si="320"/>
        <v>1295974</v>
      </c>
      <c r="W677" s="1145">
        <f t="shared" si="320"/>
        <v>0</v>
      </c>
      <c r="X677" s="1145">
        <f t="shared" si="320"/>
        <v>0</v>
      </c>
      <c r="Y677" s="1145">
        <f t="shared" si="320"/>
        <v>0</v>
      </c>
    </row>
    <row r="678" spans="1:25" s="1137" customFormat="1" ht="93.6" customHeight="1">
      <c r="A678" s="1280">
        <v>195</v>
      </c>
      <c r="B678" s="1128" t="s">
        <v>2446</v>
      </c>
      <c r="C678" s="1129">
        <f t="shared" ref="C678:C697" si="321">D678+N678+P678+R678+T678+V678+X678</f>
        <v>832356</v>
      </c>
      <c r="D678" s="1129">
        <f t="shared" si="319"/>
        <v>0</v>
      </c>
      <c r="E678" s="1145">
        <v>0</v>
      </c>
      <c r="F678" s="1145">
        <v>0</v>
      </c>
      <c r="G678" s="1145">
        <v>0</v>
      </c>
      <c r="H678" s="1145">
        <v>0</v>
      </c>
      <c r="I678" s="1145">
        <v>0</v>
      </c>
      <c r="J678" s="1145">
        <v>0</v>
      </c>
      <c r="K678" s="1163">
        <v>0</v>
      </c>
      <c r="L678" s="1145">
        <v>0</v>
      </c>
      <c r="M678" s="1163">
        <v>0</v>
      </c>
      <c r="N678" s="1208">
        <v>0</v>
      </c>
      <c r="O678" s="1208">
        <v>517</v>
      </c>
      <c r="P678" s="1145">
        <v>832356</v>
      </c>
      <c r="Q678" s="1209">
        <v>0</v>
      </c>
      <c r="R678" s="1210">
        <v>0</v>
      </c>
      <c r="S678" s="1210">
        <v>0</v>
      </c>
      <c r="T678" s="1210">
        <v>0</v>
      </c>
      <c r="U678" s="1210">
        <v>0</v>
      </c>
      <c r="V678" s="1210">
        <v>0</v>
      </c>
      <c r="W678" s="1209">
        <v>0</v>
      </c>
      <c r="X678" s="1210">
        <v>0</v>
      </c>
      <c r="Y678" s="1209">
        <v>0</v>
      </c>
    </row>
    <row r="679" spans="1:25" s="1137" customFormat="1" ht="87.6" customHeight="1">
      <c r="A679" s="1280">
        <v>196</v>
      </c>
      <c r="B679" s="1128" t="s">
        <v>2442</v>
      </c>
      <c r="C679" s="1129">
        <f t="shared" si="321"/>
        <v>618527</v>
      </c>
      <c r="D679" s="1129">
        <f t="shared" si="319"/>
        <v>618527</v>
      </c>
      <c r="E679" s="1145">
        <v>184835</v>
      </c>
      <c r="F679" s="1145">
        <v>196710</v>
      </c>
      <c r="G679" s="1145">
        <v>0</v>
      </c>
      <c r="H679" s="1145">
        <v>128559</v>
      </c>
      <c r="I679" s="1145">
        <v>0</v>
      </c>
      <c r="J679" s="1145">
        <v>108423</v>
      </c>
      <c r="K679" s="1163">
        <v>0</v>
      </c>
      <c r="L679" s="1145">
        <v>0</v>
      </c>
      <c r="M679" s="1163">
        <v>0</v>
      </c>
      <c r="N679" s="1208">
        <v>0</v>
      </c>
      <c r="O679" s="1208">
        <v>0</v>
      </c>
      <c r="P679" s="1145">
        <v>0</v>
      </c>
      <c r="Q679" s="1209">
        <v>0</v>
      </c>
      <c r="R679" s="1210">
        <v>0</v>
      </c>
      <c r="S679" s="1210">
        <v>0</v>
      </c>
      <c r="T679" s="1210">
        <v>0</v>
      </c>
      <c r="U679" s="1210">
        <v>0</v>
      </c>
      <c r="V679" s="1210">
        <v>0</v>
      </c>
      <c r="W679" s="1209">
        <v>0</v>
      </c>
      <c r="X679" s="1210">
        <v>0</v>
      </c>
      <c r="Y679" s="1209">
        <v>0</v>
      </c>
    </row>
    <row r="680" spans="1:25" s="1137" customFormat="1" ht="94.9" customHeight="1">
      <c r="A680" s="1280">
        <v>197</v>
      </c>
      <c r="B680" s="1128" t="s">
        <v>2443</v>
      </c>
      <c r="C680" s="1129">
        <f t="shared" si="321"/>
        <v>568116</v>
      </c>
      <c r="D680" s="1129">
        <f t="shared" si="319"/>
        <v>0</v>
      </c>
      <c r="E680" s="1145">
        <v>0</v>
      </c>
      <c r="F680" s="1145">
        <v>0</v>
      </c>
      <c r="G680" s="1145">
        <v>0</v>
      </c>
      <c r="H680" s="1145">
        <v>0</v>
      </c>
      <c r="I680" s="1145">
        <v>0</v>
      </c>
      <c r="J680" s="1145">
        <v>0</v>
      </c>
      <c r="K680" s="1163">
        <v>0</v>
      </c>
      <c r="L680" s="1145">
        <v>0</v>
      </c>
      <c r="M680" s="1163">
        <v>0</v>
      </c>
      <c r="N680" s="1208">
        <v>0</v>
      </c>
      <c r="O680" s="1208">
        <v>387</v>
      </c>
      <c r="P680" s="1145">
        <v>568116</v>
      </c>
      <c r="Q680" s="1209">
        <v>0</v>
      </c>
      <c r="R680" s="1210">
        <v>0</v>
      </c>
      <c r="S680" s="1210">
        <v>0</v>
      </c>
      <c r="T680" s="1210">
        <v>0</v>
      </c>
      <c r="U680" s="1210">
        <v>0</v>
      </c>
      <c r="V680" s="1210">
        <v>0</v>
      </c>
      <c r="W680" s="1209">
        <v>0</v>
      </c>
      <c r="X680" s="1210">
        <v>0</v>
      </c>
      <c r="Y680" s="1209">
        <v>0</v>
      </c>
    </row>
    <row r="681" spans="1:25" s="1137" customFormat="1" ht="86.45" customHeight="1">
      <c r="A681" s="1280">
        <v>198</v>
      </c>
      <c r="B681" s="1128" t="s">
        <v>2444</v>
      </c>
      <c r="C681" s="1129">
        <f t="shared" si="321"/>
        <v>250063</v>
      </c>
      <c r="D681" s="1129">
        <f t="shared" si="319"/>
        <v>250063</v>
      </c>
      <c r="E681" s="1145">
        <v>250063</v>
      </c>
      <c r="F681" s="1145">
        <v>0</v>
      </c>
      <c r="G681" s="1145">
        <v>0</v>
      </c>
      <c r="H681" s="1145">
        <v>0</v>
      </c>
      <c r="I681" s="1145">
        <v>0</v>
      </c>
      <c r="J681" s="1145">
        <v>0</v>
      </c>
      <c r="K681" s="1163">
        <v>0</v>
      </c>
      <c r="L681" s="1145">
        <v>0</v>
      </c>
      <c r="M681" s="1163">
        <v>0</v>
      </c>
      <c r="N681" s="1208">
        <v>0</v>
      </c>
      <c r="O681" s="1208">
        <v>0</v>
      </c>
      <c r="P681" s="1145">
        <v>0</v>
      </c>
      <c r="Q681" s="1209">
        <v>0</v>
      </c>
      <c r="R681" s="1210">
        <v>0</v>
      </c>
      <c r="S681" s="1210">
        <v>0</v>
      </c>
      <c r="T681" s="1210">
        <v>0</v>
      </c>
      <c r="U681" s="1210">
        <v>0</v>
      </c>
      <c r="V681" s="1210">
        <v>0</v>
      </c>
      <c r="W681" s="1209">
        <v>0</v>
      </c>
      <c r="X681" s="1210">
        <v>0</v>
      </c>
      <c r="Y681" s="1209">
        <v>0</v>
      </c>
    </row>
    <row r="682" spans="1:25" s="1137" customFormat="1" ht="93.6" customHeight="1">
      <c r="A682" s="1280">
        <v>199</v>
      </c>
      <c r="B682" s="1128" t="s">
        <v>2445</v>
      </c>
      <c r="C682" s="1129">
        <f t="shared" si="321"/>
        <v>558779</v>
      </c>
      <c r="D682" s="1129">
        <f t="shared" si="319"/>
        <v>355587</v>
      </c>
      <c r="E682" s="1145">
        <v>0</v>
      </c>
      <c r="F682" s="1145">
        <v>355587</v>
      </c>
      <c r="G682" s="1145">
        <v>0</v>
      </c>
      <c r="H682" s="1145">
        <v>0</v>
      </c>
      <c r="I682" s="1145">
        <v>0</v>
      </c>
      <c r="J682" s="1145">
        <v>0</v>
      </c>
      <c r="K682" s="1163">
        <v>0</v>
      </c>
      <c r="L682" s="1145">
        <v>0</v>
      </c>
      <c r="M682" s="1163">
        <v>0</v>
      </c>
      <c r="N682" s="1208">
        <v>0</v>
      </c>
      <c r="O682" s="1208">
        <v>0</v>
      </c>
      <c r="P682" s="1145">
        <v>0</v>
      </c>
      <c r="Q682" s="1209">
        <v>0</v>
      </c>
      <c r="R682" s="1210">
        <v>0</v>
      </c>
      <c r="S682" s="1210">
        <v>0</v>
      </c>
      <c r="T682" s="1210">
        <v>0</v>
      </c>
      <c r="U682" s="1210">
        <v>25</v>
      </c>
      <c r="V682" s="1210">
        <v>203192</v>
      </c>
      <c r="W682" s="1209">
        <v>0</v>
      </c>
      <c r="X682" s="1210">
        <v>0</v>
      </c>
      <c r="Y682" s="1209">
        <v>0</v>
      </c>
    </row>
    <row r="683" spans="1:25" s="1137" customFormat="1" ht="88.9" customHeight="1">
      <c r="A683" s="1280">
        <v>200</v>
      </c>
      <c r="B683" s="1128" t="s">
        <v>2447</v>
      </c>
      <c r="C683" s="1129">
        <f t="shared" si="321"/>
        <v>450578</v>
      </c>
      <c r="D683" s="1129">
        <f t="shared" si="319"/>
        <v>450578</v>
      </c>
      <c r="E683" s="1145">
        <v>0</v>
      </c>
      <c r="F683" s="1145">
        <v>290474</v>
      </c>
      <c r="G683" s="1145">
        <v>0</v>
      </c>
      <c r="H683" s="1145">
        <v>0</v>
      </c>
      <c r="I683" s="1145">
        <v>0</v>
      </c>
      <c r="J683" s="1145">
        <v>160104</v>
      </c>
      <c r="K683" s="1163">
        <v>0</v>
      </c>
      <c r="L683" s="1145">
        <v>0</v>
      </c>
      <c r="M683" s="1163">
        <v>0</v>
      </c>
      <c r="N683" s="1208">
        <v>0</v>
      </c>
      <c r="O683" s="1208">
        <v>0</v>
      </c>
      <c r="P683" s="1145">
        <v>0</v>
      </c>
      <c r="Q683" s="1209">
        <v>0</v>
      </c>
      <c r="R683" s="1210">
        <v>0</v>
      </c>
      <c r="S683" s="1210">
        <v>0</v>
      </c>
      <c r="T683" s="1210">
        <v>0</v>
      </c>
      <c r="U683" s="1210">
        <v>0</v>
      </c>
      <c r="V683" s="1210">
        <v>0</v>
      </c>
      <c r="W683" s="1209">
        <v>0</v>
      </c>
      <c r="X683" s="1210">
        <v>0</v>
      </c>
      <c r="Y683" s="1209">
        <v>0</v>
      </c>
    </row>
    <row r="684" spans="1:25" s="1137" customFormat="1" ht="87.6" customHeight="1">
      <c r="A684" s="1280">
        <v>201</v>
      </c>
      <c r="B684" s="1128" t="s">
        <v>2448</v>
      </c>
      <c r="C684" s="1129">
        <f t="shared" si="321"/>
        <v>84436</v>
      </c>
      <c r="D684" s="1129">
        <f t="shared" si="319"/>
        <v>84436</v>
      </c>
      <c r="E684" s="1145">
        <v>0</v>
      </c>
      <c r="F684" s="1145">
        <v>0</v>
      </c>
      <c r="G684" s="1145">
        <v>0</v>
      </c>
      <c r="H684" s="1145">
        <v>84436</v>
      </c>
      <c r="I684" s="1145">
        <v>0</v>
      </c>
      <c r="J684" s="1145">
        <v>0</v>
      </c>
      <c r="K684" s="1163">
        <v>0</v>
      </c>
      <c r="L684" s="1145">
        <v>0</v>
      </c>
      <c r="M684" s="1163">
        <v>0</v>
      </c>
      <c r="N684" s="1208">
        <v>0</v>
      </c>
      <c r="O684" s="1208">
        <v>0</v>
      </c>
      <c r="P684" s="1145">
        <v>0</v>
      </c>
      <c r="Q684" s="1209">
        <v>0</v>
      </c>
      <c r="R684" s="1210">
        <v>0</v>
      </c>
      <c r="S684" s="1210">
        <v>0</v>
      </c>
      <c r="T684" s="1210">
        <v>0</v>
      </c>
      <c r="U684" s="1210">
        <v>0</v>
      </c>
      <c r="V684" s="1210">
        <v>0</v>
      </c>
      <c r="W684" s="1209">
        <v>0</v>
      </c>
      <c r="X684" s="1210">
        <v>0</v>
      </c>
      <c r="Y684" s="1209">
        <v>0</v>
      </c>
    </row>
    <row r="685" spans="1:25" s="1137" customFormat="1" ht="92.45" customHeight="1">
      <c r="A685" s="1280">
        <v>202</v>
      </c>
      <c r="B685" s="1128" t="s">
        <v>2449</v>
      </c>
      <c r="C685" s="1129">
        <f t="shared" si="321"/>
        <v>130028</v>
      </c>
      <c r="D685" s="1129">
        <f t="shared" si="319"/>
        <v>130028</v>
      </c>
      <c r="E685" s="1145">
        <v>0</v>
      </c>
      <c r="F685" s="1145">
        <v>0</v>
      </c>
      <c r="G685" s="1145">
        <v>0</v>
      </c>
      <c r="H685" s="1145">
        <v>130028</v>
      </c>
      <c r="I685" s="1145">
        <v>0</v>
      </c>
      <c r="J685" s="1145">
        <v>0</v>
      </c>
      <c r="K685" s="1163">
        <v>0</v>
      </c>
      <c r="L685" s="1145">
        <v>0</v>
      </c>
      <c r="M685" s="1163">
        <v>0</v>
      </c>
      <c r="N685" s="1208">
        <v>0</v>
      </c>
      <c r="O685" s="1208">
        <v>0</v>
      </c>
      <c r="P685" s="1145">
        <v>0</v>
      </c>
      <c r="Q685" s="1209">
        <v>0</v>
      </c>
      <c r="R685" s="1210">
        <v>0</v>
      </c>
      <c r="S685" s="1210">
        <v>0</v>
      </c>
      <c r="T685" s="1210">
        <v>0</v>
      </c>
      <c r="U685" s="1210">
        <v>0</v>
      </c>
      <c r="V685" s="1210">
        <v>0</v>
      </c>
      <c r="W685" s="1209">
        <v>0</v>
      </c>
      <c r="X685" s="1210">
        <v>0</v>
      </c>
      <c r="Y685" s="1209">
        <v>0</v>
      </c>
    </row>
    <row r="686" spans="1:25" s="1137" customFormat="1" ht="92.45" customHeight="1">
      <c r="A686" s="1280">
        <v>203</v>
      </c>
      <c r="B686" s="1128" t="s">
        <v>2232</v>
      </c>
      <c r="C686" s="1129">
        <f t="shared" si="321"/>
        <v>130053</v>
      </c>
      <c r="D686" s="1129">
        <f t="shared" si="319"/>
        <v>130053</v>
      </c>
      <c r="E686" s="1145">
        <v>0</v>
      </c>
      <c r="F686" s="1145">
        <v>0</v>
      </c>
      <c r="G686" s="1145">
        <v>0</v>
      </c>
      <c r="H686" s="1129">
        <v>130053</v>
      </c>
      <c r="I686" s="1145">
        <v>0</v>
      </c>
      <c r="J686" s="1145">
        <v>0</v>
      </c>
      <c r="K686" s="1163">
        <v>0</v>
      </c>
      <c r="L686" s="1145">
        <v>0</v>
      </c>
      <c r="M686" s="1163">
        <v>0</v>
      </c>
      <c r="N686" s="1208">
        <v>0</v>
      </c>
      <c r="O686" s="1208">
        <v>0</v>
      </c>
      <c r="P686" s="1145">
        <v>0</v>
      </c>
      <c r="Q686" s="1209">
        <v>0</v>
      </c>
      <c r="R686" s="1210">
        <v>0</v>
      </c>
      <c r="S686" s="1210">
        <v>0</v>
      </c>
      <c r="T686" s="1210">
        <v>0</v>
      </c>
      <c r="U686" s="1210">
        <v>0</v>
      </c>
      <c r="V686" s="1210">
        <v>0</v>
      </c>
      <c r="W686" s="1209">
        <v>0</v>
      </c>
      <c r="X686" s="1210">
        <v>0</v>
      </c>
      <c r="Y686" s="1209">
        <v>0</v>
      </c>
    </row>
    <row r="687" spans="1:25" s="1143" customFormat="1" ht="86.45" customHeight="1">
      <c r="A687" s="1280">
        <v>204</v>
      </c>
      <c r="B687" s="1128" t="s">
        <v>2233</v>
      </c>
      <c r="C687" s="1129">
        <f t="shared" si="321"/>
        <v>217867</v>
      </c>
      <c r="D687" s="1129">
        <f t="shared" si="319"/>
        <v>92006</v>
      </c>
      <c r="E687" s="1145">
        <v>0</v>
      </c>
      <c r="F687" s="1145">
        <v>0</v>
      </c>
      <c r="G687" s="1145">
        <v>0</v>
      </c>
      <c r="H687" s="1129">
        <v>92006</v>
      </c>
      <c r="I687" s="1145">
        <v>0</v>
      </c>
      <c r="J687" s="1145">
        <v>0</v>
      </c>
      <c r="K687" s="1163">
        <v>0</v>
      </c>
      <c r="L687" s="1145">
        <v>0</v>
      </c>
      <c r="M687" s="1163">
        <v>0</v>
      </c>
      <c r="N687" s="1208">
        <v>0</v>
      </c>
      <c r="O687" s="1208">
        <v>0</v>
      </c>
      <c r="P687" s="1145">
        <v>0</v>
      </c>
      <c r="Q687" s="1209">
        <v>0</v>
      </c>
      <c r="R687" s="1210">
        <v>0</v>
      </c>
      <c r="S687" s="1210">
        <v>0</v>
      </c>
      <c r="T687" s="1210">
        <v>0</v>
      </c>
      <c r="U687" s="1210">
        <v>20</v>
      </c>
      <c r="V687" s="1210">
        <v>125861</v>
      </c>
      <c r="W687" s="1209">
        <v>0</v>
      </c>
      <c r="X687" s="1210">
        <v>0</v>
      </c>
      <c r="Y687" s="1209">
        <v>0</v>
      </c>
    </row>
    <row r="688" spans="1:25" s="1143" customFormat="1" ht="86.45" customHeight="1">
      <c r="A688" s="1280">
        <v>205</v>
      </c>
      <c r="B688" s="1128" t="s">
        <v>2653</v>
      </c>
      <c r="C688" s="1129">
        <f t="shared" ref="C688" si="322">D688+N688+P688+R688+T688+V688+X688</f>
        <v>300000</v>
      </c>
      <c r="D688" s="1129">
        <f t="shared" ref="D688" si="323">SUM(E688:J688)</f>
        <v>0</v>
      </c>
      <c r="E688" s="1145">
        <v>0</v>
      </c>
      <c r="F688" s="1145">
        <v>0</v>
      </c>
      <c r="G688" s="1145">
        <v>0</v>
      </c>
      <c r="H688" s="1129">
        <v>0</v>
      </c>
      <c r="I688" s="1145">
        <v>0</v>
      </c>
      <c r="J688" s="1145">
        <v>0</v>
      </c>
      <c r="K688" s="1163">
        <v>0</v>
      </c>
      <c r="L688" s="1145">
        <v>0</v>
      </c>
      <c r="M688" s="1163">
        <v>0</v>
      </c>
      <c r="N688" s="1208">
        <v>0</v>
      </c>
      <c r="O688" s="1208">
        <v>0</v>
      </c>
      <c r="P688" s="1145">
        <v>0</v>
      </c>
      <c r="Q688" s="1209">
        <v>0</v>
      </c>
      <c r="R688" s="1210">
        <v>0</v>
      </c>
      <c r="S688" s="1210">
        <v>76</v>
      </c>
      <c r="T688" s="1210">
        <v>300000</v>
      </c>
      <c r="U688" s="1210">
        <v>0</v>
      </c>
      <c r="V688" s="1210">
        <v>0</v>
      </c>
      <c r="W688" s="1209">
        <v>0</v>
      </c>
      <c r="X688" s="1210">
        <v>0</v>
      </c>
      <c r="Y688" s="1209">
        <v>0</v>
      </c>
    </row>
    <row r="689" spans="1:25" s="1143" customFormat="1" ht="91.15" customHeight="1">
      <c r="A689" s="1280">
        <v>206</v>
      </c>
      <c r="B689" s="1128" t="s">
        <v>2450</v>
      </c>
      <c r="C689" s="1129">
        <f t="shared" si="321"/>
        <v>154034</v>
      </c>
      <c r="D689" s="1129">
        <f t="shared" si="319"/>
        <v>154034</v>
      </c>
      <c r="E689" s="1145">
        <v>0</v>
      </c>
      <c r="F689" s="1145">
        <v>0</v>
      </c>
      <c r="G689" s="1145">
        <v>0</v>
      </c>
      <c r="H689" s="1145">
        <v>50000</v>
      </c>
      <c r="I689" s="1145">
        <v>0</v>
      </c>
      <c r="J689" s="1129">
        <v>104034</v>
      </c>
      <c r="K689" s="1163">
        <v>0</v>
      </c>
      <c r="L689" s="1145">
        <v>0</v>
      </c>
      <c r="M689" s="1163">
        <v>0</v>
      </c>
      <c r="N689" s="1208">
        <v>0</v>
      </c>
      <c r="O689" s="1208">
        <v>0</v>
      </c>
      <c r="P689" s="1145">
        <v>0</v>
      </c>
      <c r="Q689" s="1209">
        <v>0</v>
      </c>
      <c r="R689" s="1210">
        <v>0</v>
      </c>
      <c r="S689" s="1210">
        <v>0</v>
      </c>
      <c r="T689" s="1210">
        <v>0</v>
      </c>
      <c r="U689" s="1210">
        <v>0</v>
      </c>
      <c r="V689" s="1210">
        <v>0</v>
      </c>
      <c r="W689" s="1209">
        <v>0</v>
      </c>
      <c r="X689" s="1210">
        <v>0</v>
      </c>
      <c r="Y689" s="1209">
        <v>0</v>
      </c>
    </row>
    <row r="690" spans="1:25" s="1143" customFormat="1" ht="96" customHeight="1">
      <c r="A690" s="1280">
        <v>207</v>
      </c>
      <c r="B690" s="1128" t="s">
        <v>2452</v>
      </c>
      <c r="C690" s="1129">
        <f t="shared" si="321"/>
        <v>284612</v>
      </c>
      <c r="D690" s="1129">
        <f t="shared" si="319"/>
        <v>0</v>
      </c>
      <c r="E690" s="1145">
        <v>0</v>
      </c>
      <c r="F690" s="1145">
        <v>0</v>
      </c>
      <c r="G690" s="1145">
        <v>0</v>
      </c>
      <c r="H690" s="1145">
        <v>0</v>
      </c>
      <c r="I690" s="1145">
        <v>0</v>
      </c>
      <c r="J690" s="1145">
        <v>0</v>
      </c>
      <c r="K690" s="1163">
        <v>0</v>
      </c>
      <c r="L690" s="1145">
        <v>0</v>
      </c>
      <c r="M690" s="1163">
        <v>0</v>
      </c>
      <c r="N690" s="1208">
        <v>0</v>
      </c>
      <c r="O690" s="1208">
        <v>0</v>
      </c>
      <c r="P690" s="1145">
        <v>0</v>
      </c>
      <c r="Q690" s="1209">
        <v>0</v>
      </c>
      <c r="R690" s="1210">
        <v>0</v>
      </c>
      <c r="S690" s="1210">
        <v>0</v>
      </c>
      <c r="T690" s="1210">
        <v>0</v>
      </c>
      <c r="U690" s="1210">
        <v>84</v>
      </c>
      <c r="V690" s="1210">
        <v>284612</v>
      </c>
      <c r="W690" s="1209">
        <v>0</v>
      </c>
      <c r="X690" s="1210">
        <v>0</v>
      </c>
      <c r="Y690" s="1209">
        <v>0</v>
      </c>
    </row>
    <row r="691" spans="1:25" s="1137" customFormat="1" ht="90" customHeight="1">
      <c r="A691" s="1280">
        <v>208</v>
      </c>
      <c r="B691" s="1128" t="s">
        <v>2451</v>
      </c>
      <c r="C691" s="1129">
        <f t="shared" si="321"/>
        <v>227146</v>
      </c>
      <c r="D691" s="1129">
        <f t="shared" si="319"/>
        <v>0</v>
      </c>
      <c r="E691" s="1145">
        <v>0</v>
      </c>
      <c r="F691" s="1145">
        <v>0</v>
      </c>
      <c r="G691" s="1145">
        <v>0</v>
      </c>
      <c r="H691" s="1145">
        <v>0</v>
      </c>
      <c r="I691" s="1145">
        <v>0</v>
      </c>
      <c r="J691" s="1145">
        <v>0</v>
      </c>
      <c r="K691" s="1163">
        <v>0</v>
      </c>
      <c r="L691" s="1145">
        <v>0</v>
      </c>
      <c r="M691" s="1163">
        <v>0</v>
      </c>
      <c r="N691" s="1208">
        <v>0</v>
      </c>
      <c r="O691" s="1208">
        <v>0</v>
      </c>
      <c r="P691" s="1145">
        <v>0</v>
      </c>
      <c r="Q691" s="1209">
        <v>0</v>
      </c>
      <c r="R691" s="1210">
        <v>0</v>
      </c>
      <c r="S691" s="1210">
        <v>0</v>
      </c>
      <c r="T691" s="1210">
        <v>0</v>
      </c>
      <c r="U691" s="1210">
        <v>70</v>
      </c>
      <c r="V691" s="1210">
        <v>227146</v>
      </c>
      <c r="W691" s="1209">
        <v>0</v>
      </c>
      <c r="X691" s="1210">
        <v>0</v>
      </c>
      <c r="Y691" s="1209">
        <v>0</v>
      </c>
    </row>
    <row r="692" spans="1:25" s="1137" customFormat="1" ht="92.45" customHeight="1">
      <c r="A692" s="1280">
        <v>209</v>
      </c>
      <c r="B692" s="1128" t="s">
        <v>2453</v>
      </c>
      <c r="C692" s="1129">
        <f t="shared" si="321"/>
        <v>181597</v>
      </c>
      <c r="D692" s="1129">
        <f t="shared" si="319"/>
        <v>0</v>
      </c>
      <c r="E692" s="1145">
        <v>0</v>
      </c>
      <c r="F692" s="1145">
        <v>0</v>
      </c>
      <c r="G692" s="1145">
        <v>0</v>
      </c>
      <c r="H692" s="1145">
        <v>0</v>
      </c>
      <c r="I692" s="1145">
        <v>0</v>
      </c>
      <c r="J692" s="1145">
        <v>0</v>
      </c>
      <c r="K692" s="1163">
        <v>0</v>
      </c>
      <c r="L692" s="1145">
        <v>0</v>
      </c>
      <c r="M692" s="1163">
        <v>0</v>
      </c>
      <c r="N692" s="1208">
        <v>0</v>
      </c>
      <c r="O692" s="1208">
        <v>0</v>
      </c>
      <c r="P692" s="1145">
        <v>0</v>
      </c>
      <c r="Q692" s="1209">
        <v>0</v>
      </c>
      <c r="R692" s="1210">
        <v>0</v>
      </c>
      <c r="S692" s="1210">
        <v>0</v>
      </c>
      <c r="T692" s="1210">
        <v>0</v>
      </c>
      <c r="U692" s="1210">
        <v>51.1</v>
      </c>
      <c r="V692" s="1210">
        <v>181597</v>
      </c>
      <c r="W692" s="1209">
        <v>0</v>
      </c>
      <c r="X692" s="1210">
        <v>0</v>
      </c>
      <c r="Y692" s="1209">
        <v>0</v>
      </c>
    </row>
    <row r="693" spans="1:25" s="1137" customFormat="1" ht="87.6" customHeight="1">
      <c r="A693" s="1280">
        <v>210</v>
      </c>
      <c r="B693" s="1128" t="s">
        <v>2454</v>
      </c>
      <c r="C693" s="1129">
        <f t="shared" si="321"/>
        <v>501430</v>
      </c>
      <c r="D693" s="1129">
        <f t="shared" si="319"/>
        <v>0</v>
      </c>
      <c r="E693" s="1145">
        <v>0</v>
      </c>
      <c r="F693" s="1145">
        <v>0</v>
      </c>
      <c r="G693" s="1145">
        <v>0</v>
      </c>
      <c r="H693" s="1145">
        <v>0</v>
      </c>
      <c r="I693" s="1145">
        <v>0</v>
      </c>
      <c r="J693" s="1145">
        <v>0</v>
      </c>
      <c r="K693" s="1163">
        <v>0</v>
      </c>
      <c r="L693" s="1145">
        <v>0</v>
      </c>
      <c r="M693" s="1163">
        <v>0</v>
      </c>
      <c r="N693" s="1208">
        <v>0</v>
      </c>
      <c r="O693" s="1208">
        <v>410</v>
      </c>
      <c r="P693" s="1145">
        <v>501430</v>
      </c>
      <c r="Q693" s="1209">
        <v>0</v>
      </c>
      <c r="R693" s="1210">
        <v>0</v>
      </c>
      <c r="S693" s="1210">
        <v>0</v>
      </c>
      <c r="T693" s="1210">
        <v>0</v>
      </c>
      <c r="U693" s="1210">
        <v>0</v>
      </c>
      <c r="V693" s="1210">
        <v>0</v>
      </c>
      <c r="W693" s="1209">
        <v>0</v>
      </c>
      <c r="X693" s="1210">
        <v>0</v>
      </c>
      <c r="Y693" s="1209">
        <v>0</v>
      </c>
    </row>
    <row r="694" spans="1:25" s="1137" customFormat="1" ht="92.45" customHeight="1">
      <c r="A694" s="1280">
        <v>211</v>
      </c>
      <c r="B694" s="1128" t="s">
        <v>2456</v>
      </c>
      <c r="C694" s="1129">
        <f t="shared" si="321"/>
        <v>270472</v>
      </c>
      <c r="D694" s="1129">
        <f t="shared" si="319"/>
        <v>270472</v>
      </c>
      <c r="E694" s="1145">
        <v>0</v>
      </c>
      <c r="F694" s="1145">
        <v>270472</v>
      </c>
      <c r="G694" s="1145">
        <v>0</v>
      </c>
      <c r="H694" s="1145">
        <v>0</v>
      </c>
      <c r="I694" s="1145">
        <v>0</v>
      </c>
      <c r="J694" s="1145">
        <v>0</v>
      </c>
      <c r="K694" s="1163">
        <v>0</v>
      </c>
      <c r="L694" s="1145">
        <v>0</v>
      </c>
      <c r="M694" s="1163">
        <v>0</v>
      </c>
      <c r="N694" s="1208">
        <v>0</v>
      </c>
      <c r="O694" s="1208">
        <v>0</v>
      </c>
      <c r="P694" s="1145">
        <v>0</v>
      </c>
      <c r="Q694" s="1209">
        <v>0</v>
      </c>
      <c r="R694" s="1210">
        <v>0</v>
      </c>
      <c r="S694" s="1210">
        <v>0</v>
      </c>
      <c r="T694" s="1210">
        <v>0</v>
      </c>
      <c r="U694" s="1210">
        <v>0</v>
      </c>
      <c r="V694" s="1210">
        <v>0</v>
      </c>
      <c r="W694" s="1209">
        <v>0</v>
      </c>
      <c r="X694" s="1210">
        <v>0</v>
      </c>
      <c r="Y694" s="1209">
        <v>0</v>
      </c>
    </row>
    <row r="695" spans="1:25" s="1137" customFormat="1" ht="91.15" customHeight="1">
      <c r="A695" s="1280">
        <v>212</v>
      </c>
      <c r="B695" s="1128" t="s">
        <v>2455</v>
      </c>
      <c r="C695" s="1129">
        <f t="shared" si="321"/>
        <v>178956</v>
      </c>
      <c r="D695" s="1129">
        <f t="shared" si="319"/>
        <v>178956</v>
      </c>
      <c r="E695" s="1145">
        <v>0</v>
      </c>
      <c r="F695" s="1145">
        <v>178956</v>
      </c>
      <c r="G695" s="1145">
        <v>0</v>
      </c>
      <c r="H695" s="1145">
        <v>0</v>
      </c>
      <c r="I695" s="1145">
        <v>0</v>
      </c>
      <c r="J695" s="1145">
        <v>0</v>
      </c>
      <c r="K695" s="1163">
        <v>0</v>
      </c>
      <c r="L695" s="1145">
        <v>0</v>
      </c>
      <c r="M695" s="1163">
        <v>0</v>
      </c>
      <c r="N695" s="1208">
        <v>0</v>
      </c>
      <c r="O695" s="1208">
        <v>0</v>
      </c>
      <c r="P695" s="1145">
        <v>0</v>
      </c>
      <c r="Q695" s="1209">
        <v>0</v>
      </c>
      <c r="R695" s="1210">
        <v>0</v>
      </c>
      <c r="S695" s="1210">
        <v>0</v>
      </c>
      <c r="T695" s="1210">
        <v>0</v>
      </c>
      <c r="U695" s="1210">
        <v>0</v>
      </c>
      <c r="V695" s="1210">
        <v>0</v>
      </c>
      <c r="W695" s="1209">
        <v>0</v>
      </c>
      <c r="X695" s="1210">
        <v>0</v>
      </c>
      <c r="Y695" s="1209">
        <v>0</v>
      </c>
    </row>
    <row r="696" spans="1:25" s="1137" customFormat="1" ht="93.6" customHeight="1">
      <c r="A696" s="1280">
        <v>213</v>
      </c>
      <c r="B696" s="1128" t="s">
        <v>2457</v>
      </c>
      <c r="C696" s="1129">
        <f t="shared" si="321"/>
        <v>135418</v>
      </c>
      <c r="D696" s="1129">
        <f t="shared" si="319"/>
        <v>0</v>
      </c>
      <c r="E696" s="1145">
        <v>0</v>
      </c>
      <c r="F696" s="1145">
        <v>0</v>
      </c>
      <c r="G696" s="1145">
        <v>0</v>
      </c>
      <c r="H696" s="1145">
        <v>0</v>
      </c>
      <c r="I696" s="1145">
        <v>0</v>
      </c>
      <c r="J696" s="1145">
        <v>0</v>
      </c>
      <c r="K696" s="1163">
        <v>0</v>
      </c>
      <c r="L696" s="1145">
        <v>0</v>
      </c>
      <c r="M696" s="1163">
        <v>0</v>
      </c>
      <c r="N696" s="1208">
        <v>0</v>
      </c>
      <c r="O696" s="1208">
        <v>0</v>
      </c>
      <c r="P696" s="1145">
        <v>0</v>
      </c>
      <c r="Q696" s="1209">
        <v>0</v>
      </c>
      <c r="R696" s="1210">
        <v>0</v>
      </c>
      <c r="S696" s="1210">
        <v>0</v>
      </c>
      <c r="T696" s="1210">
        <v>0</v>
      </c>
      <c r="U696" s="1210">
        <v>75</v>
      </c>
      <c r="V696" s="1210">
        <v>135418</v>
      </c>
      <c r="W696" s="1209">
        <v>0</v>
      </c>
      <c r="X696" s="1210">
        <v>0</v>
      </c>
      <c r="Y696" s="1209">
        <v>0</v>
      </c>
    </row>
    <row r="697" spans="1:25" s="1137" customFormat="1" ht="100.9" customHeight="1">
      <c r="A697" s="1280">
        <v>214</v>
      </c>
      <c r="B697" s="1128" t="s">
        <v>2458</v>
      </c>
      <c r="C697" s="1129">
        <f t="shared" si="321"/>
        <v>138148</v>
      </c>
      <c r="D697" s="1129">
        <f t="shared" si="319"/>
        <v>0</v>
      </c>
      <c r="E697" s="1145">
        <v>0</v>
      </c>
      <c r="F697" s="1145">
        <v>0</v>
      </c>
      <c r="G697" s="1145">
        <v>0</v>
      </c>
      <c r="H697" s="1145">
        <v>0</v>
      </c>
      <c r="I697" s="1145">
        <v>0</v>
      </c>
      <c r="J697" s="1145">
        <v>0</v>
      </c>
      <c r="K697" s="1163">
        <v>0</v>
      </c>
      <c r="L697" s="1145">
        <v>0</v>
      </c>
      <c r="M697" s="1163">
        <v>0</v>
      </c>
      <c r="N697" s="1208">
        <v>0</v>
      </c>
      <c r="O697" s="1208">
        <v>0</v>
      </c>
      <c r="P697" s="1145">
        <v>0</v>
      </c>
      <c r="Q697" s="1209">
        <v>0</v>
      </c>
      <c r="R697" s="1210">
        <v>0</v>
      </c>
      <c r="S697" s="1210">
        <v>0</v>
      </c>
      <c r="T697" s="1210">
        <v>0</v>
      </c>
      <c r="U697" s="1210">
        <v>75</v>
      </c>
      <c r="V697" s="1210">
        <v>138148</v>
      </c>
      <c r="W697" s="1209">
        <v>0</v>
      </c>
      <c r="X697" s="1210">
        <v>0</v>
      </c>
      <c r="Y697" s="1209">
        <v>0</v>
      </c>
    </row>
    <row r="698" spans="1:25" s="1137" customFormat="1" ht="127.9" customHeight="1">
      <c r="A698" s="1280"/>
      <c r="B698" s="1135" t="s">
        <v>1119</v>
      </c>
      <c r="C698" s="1145">
        <f>SUM(C699:C706)</f>
        <v>29250322.59</v>
      </c>
      <c r="D698" s="1145">
        <f t="shared" ref="D698:Y698" si="324">SUM(D699:D706)</f>
        <v>19726898</v>
      </c>
      <c r="E698" s="1145">
        <f t="shared" si="324"/>
        <v>767467</v>
      </c>
      <c r="F698" s="1145">
        <f t="shared" si="324"/>
        <v>1966694</v>
      </c>
      <c r="G698" s="1145">
        <f t="shared" si="324"/>
        <v>0</v>
      </c>
      <c r="H698" s="1145">
        <f t="shared" si="324"/>
        <v>8903271</v>
      </c>
      <c r="I698" s="1145">
        <f t="shared" si="324"/>
        <v>7695778</v>
      </c>
      <c r="J698" s="1145">
        <f t="shared" si="324"/>
        <v>393688</v>
      </c>
      <c r="K698" s="1136">
        <f t="shared" si="324"/>
        <v>4</v>
      </c>
      <c r="L698" s="1145">
        <f t="shared" si="324"/>
        <v>977438</v>
      </c>
      <c r="M698" s="1136">
        <f t="shared" si="324"/>
        <v>0</v>
      </c>
      <c r="N698" s="1145">
        <f t="shared" si="324"/>
        <v>0</v>
      </c>
      <c r="O698" s="1145">
        <f t="shared" si="324"/>
        <v>2429</v>
      </c>
      <c r="P698" s="1145">
        <f t="shared" si="324"/>
        <v>6421398</v>
      </c>
      <c r="Q698" s="1145">
        <f t="shared" si="324"/>
        <v>0</v>
      </c>
      <c r="R698" s="1145">
        <f t="shared" si="324"/>
        <v>0</v>
      </c>
      <c r="S698" s="1145">
        <f t="shared" si="324"/>
        <v>0</v>
      </c>
      <c r="T698" s="1145">
        <f t="shared" si="324"/>
        <v>0</v>
      </c>
      <c r="U698" s="1145">
        <f t="shared" si="324"/>
        <v>0</v>
      </c>
      <c r="V698" s="1145">
        <f t="shared" si="324"/>
        <v>0</v>
      </c>
      <c r="W698" s="1167">
        <v>0</v>
      </c>
      <c r="X698" s="1145">
        <f t="shared" si="324"/>
        <v>2124588.59</v>
      </c>
      <c r="Y698" s="1145">
        <f t="shared" si="324"/>
        <v>0</v>
      </c>
    </row>
    <row r="699" spans="1:25" s="1137" customFormat="1" ht="100.9" customHeight="1">
      <c r="A699" s="1280">
        <v>215</v>
      </c>
      <c r="B699" s="1128" t="s">
        <v>2459</v>
      </c>
      <c r="C699" s="1145">
        <f t="shared" ref="C699" si="325">D699+N699+P699+R699+T699+V699+X699+L699</f>
        <v>250289.75</v>
      </c>
      <c r="D699" s="1145">
        <f t="shared" ref="D699" si="326">SUM(E699:J699)</f>
        <v>232110</v>
      </c>
      <c r="E699" s="1145">
        <v>232110</v>
      </c>
      <c r="F699" s="1145">
        <v>0</v>
      </c>
      <c r="G699" s="1145">
        <v>0</v>
      </c>
      <c r="H699" s="1145">
        <v>0</v>
      </c>
      <c r="I699" s="1145">
        <v>0</v>
      </c>
      <c r="J699" s="1145">
        <v>0</v>
      </c>
      <c r="K699" s="1136">
        <v>0</v>
      </c>
      <c r="L699" s="1145">
        <v>0</v>
      </c>
      <c r="M699" s="1136">
        <v>0</v>
      </c>
      <c r="N699" s="1145">
        <v>0</v>
      </c>
      <c r="O699" s="1145">
        <v>0</v>
      </c>
      <c r="P699" s="1145">
        <v>0</v>
      </c>
      <c r="Q699" s="1145">
        <v>0</v>
      </c>
      <c r="R699" s="1145">
        <v>0</v>
      </c>
      <c r="S699" s="1145">
        <v>0</v>
      </c>
      <c r="T699" s="1145">
        <v>0</v>
      </c>
      <c r="U699" s="1145">
        <v>0</v>
      </c>
      <c r="V699" s="1145">
        <v>0</v>
      </c>
      <c r="W699" s="1129">
        <v>0</v>
      </c>
      <c r="X699" s="1145">
        <v>18179.75</v>
      </c>
      <c r="Y699" s="1145">
        <v>0</v>
      </c>
    </row>
    <row r="700" spans="1:25" s="1137" customFormat="1" ht="86.45" customHeight="1">
      <c r="A700" s="1280">
        <v>216</v>
      </c>
      <c r="B700" s="1128" t="s">
        <v>2460</v>
      </c>
      <c r="C700" s="1145">
        <f t="shared" ref="C700:C706" si="327">D700+N700+P700+R700+T700+V700+X700+L700</f>
        <v>3586643</v>
      </c>
      <c r="D700" s="1145">
        <f t="shared" ref="D700:D706" si="328">SUM(E700:J700)</f>
        <v>0</v>
      </c>
      <c r="E700" s="1145">
        <v>0</v>
      </c>
      <c r="F700" s="1145">
        <v>0</v>
      </c>
      <c r="G700" s="1145">
        <v>0</v>
      </c>
      <c r="H700" s="1145">
        <v>0</v>
      </c>
      <c r="I700" s="1145">
        <v>0</v>
      </c>
      <c r="J700" s="1145">
        <v>0</v>
      </c>
      <c r="K700" s="1136">
        <v>0</v>
      </c>
      <c r="L700" s="1145">
        <v>0</v>
      </c>
      <c r="M700" s="1136">
        <v>0</v>
      </c>
      <c r="N700" s="1145">
        <v>0</v>
      </c>
      <c r="O700" s="1145">
        <v>1320</v>
      </c>
      <c r="P700" s="1145">
        <v>3326128</v>
      </c>
      <c r="Q700" s="1145">
        <v>0</v>
      </c>
      <c r="R700" s="1145">
        <v>0</v>
      </c>
      <c r="S700" s="1145">
        <v>0</v>
      </c>
      <c r="T700" s="1145">
        <v>0</v>
      </c>
      <c r="U700" s="1145">
        <v>0</v>
      </c>
      <c r="V700" s="1145">
        <v>0</v>
      </c>
      <c r="W700" s="1167">
        <v>0</v>
      </c>
      <c r="X700" s="1145">
        <v>260515</v>
      </c>
      <c r="Y700" s="1145">
        <v>0</v>
      </c>
    </row>
    <row r="701" spans="1:25" s="1137" customFormat="1" ht="85.15" customHeight="1">
      <c r="A701" s="1280">
        <v>217</v>
      </c>
      <c r="B701" s="1128" t="s">
        <v>2461</v>
      </c>
      <c r="C701" s="1145">
        <f t="shared" si="327"/>
        <v>1692787</v>
      </c>
      <c r="D701" s="1145">
        <f t="shared" si="328"/>
        <v>0</v>
      </c>
      <c r="E701" s="1145">
        <v>0</v>
      </c>
      <c r="F701" s="1145">
        <v>0</v>
      </c>
      <c r="G701" s="1145">
        <v>0</v>
      </c>
      <c r="H701" s="1145">
        <v>0</v>
      </c>
      <c r="I701" s="1145">
        <v>0</v>
      </c>
      <c r="J701" s="1145">
        <v>0</v>
      </c>
      <c r="K701" s="1136">
        <v>0</v>
      </c>
      <c r="L701" s="1145">
        <v>0</v>
      </c>
      <c r="M701" s="1136">
        <v>0</v>
      </c>
      <c r="N701" s="1145">
        <v>0</v>
      </c>
      <c r="O701" s="1145">
        <v>623</v>
      </c>
      <c r="P701" s="1174">
        <v>1569832</v>
      </c>
      <c r="Q701" s="1145">
        <v>0</v>
      </c>
      <c r="R701" s="1145">
        <v>0</v>
      </c>
      <c r="S701" s="1145">
        <v>0</v>
      </c>
      <c r="T701" s="1145">
        <v>0</v>
      </c>
      <c r="U701" s="1145">
        <v>0</v>
      </c>
      <c r="V701" s="1145">
        <v>0</v>
      </c>
      <c r="W701" s="1167">
        <v>0</v>
      </c>
      <c r="X701" s="1145">
        <v>122955</v>
      </c>
      <c r="Y701" s="1145">
        <v>0</v>
      </c>
    </row>
    <row r="702" spans="1:25" s="1137" customFormat="1" ht="91.15" customHeight="1">
      <c r="A702" s="1280">
        <v>218</v>
      </c>
      <c r="B702" s="1128" t="s">
        <v>2462</v>
      </c>
      <c r="C702" s="1145">
        <f t="shared" si="327"/>
        <v>1902957</v>
      </c>
      <c r="D702" s="1145">
        <f t="shared" si="328"/>
        <v>1488098</v>
      </c>
      <c r="E702" s="1145">
        <v>310507</v>
      </c>
      <c r="F702" s="1145">
        <v>588147</v>
      </c>
      <c r="G702" s="1145">
        <v>0</v>
      </c>
      <c r="H702" s="1145">
        <v>361105</v>
      </c>
      <c r="I702" s="1145">
        <v>0</v>
      </c>
      <c r="J702" s="1145">
        <v>228339</v>
      </c>
      <c r="K702" s="1136">
        <v>1</v>
      </c>
      <c r="L702" s="1145">
        <v>276639</v>
      </c>
      <c r="M702" s="1136">
        <v>0</v>
      </c>
      <c r="N702" s="1145">
        <v>0</v>
      </c>
      <c r="O702" s="1145">
        <v>0</v>
      </c>
      <c r="P702" s="1145">
        <v>0</v>
      </c>
      <c r="Q702" s="1145">
        <v>0</v>
      </c>
      <c r="R702" s="1145">
        <v>0</v>
      </c>
      <c r="S702" s="1145">
        <v>0</v>
      </c>
      <c r="T702" s="1145">
        <v>0</v>
      </c>
      <c r="U702" s="1145">
        <v>0</v>
      </c>
      <c r="V702" s="1145">
        <v>0</v>
      </c>
      <c r="W702" s="1129">
        <v>0</v>
      </c>
      <c r="X702" s="1145">
        <v>138220</v>
      </c>
      <c r="Y702" s="1145">
        <v>0</v>
      </c>
    </row>
    <row r="703" spans="1:25" s="1148" customFormat="1" ht="127.9" customHeight="1">
      <c r="A703" s="1280">
        <v>219</v>
      </c>
      <c r="B703" s="1128" t="s">
        <v>3009</v>
      </c>
      <c r="C703" s="1145">
        <f t="shared" si="327"/>
        <v>16756157</v>
      </c>
      <c r="D703" s="1145">
        <f t="shared" si="328"/>
        <v>15391556</v>
      </c>
      <c r="E703" s="1145">
        <v>0</v>
      </c>
      <c r="F703" s="1145">
        <v>0</v>
      </c>
      <c r="G703" s="1145">
        <v>0</v>
      </c>
      <c r="H703" s="1145">
        <v>7695778</v>
      </c>
      <c r="I703" s="1145">
        <v>7695778</v>
      </c>
      <c r="J703" s="1145">
        <v>0</v>
      </c>
      <c r="K703" s="1136">
        <v>1</v>
      </c>
      <c r="L703" s="1145">
        <v>147521</v>
      </c>
      <c r="M703" s="1136">
        <v>0</v>
      </c>
      <c r="N703" s="1145">
        <v>0</v>
      </c>
      <c r="O703" s="1145">
        <v>0</v>
      </c>
      <c r="P703" s="1145">
        <v>0</v>
      </c>
      <c r="Q703" s="1145">
        <v>0</v>
      </c>
      <c r="R703" s="1145">
        <v>0</v>
      </c>
      <c r="S703" s="1145">
        <v>0</v>
      </c>
      <c r="T703" s="1145">
        <v>0</v>
      </c>
      <c r="U703" s="1145">
        <v>0</v>
      </c>
      <c r="V703" s="1145">
        <v>0</v>
      </c>
      <c r="W703" s="1167">
        <v>0</v>
      </c>
      <c r="X703" s="1145">
        <v>1217080</v>
      </c>
      <c r="Y703" s="1145">
        <v>0</v>
      </c>
    </row>
    <row r="704" spans="1:25" s="1148" customFormat="1" ht="96" customHeight="1">
      <c r="A704" s="1280">
        <v>220</v>
      </c>
      <c r="B704" s="1128" t="s">
        <v>2463</v>
      </c>
      <c r="C704" s="1145">
        <f t="shared" si="327"/>
        <v>1460295</v>
      </c>
      <c r="D704" s="1145">
        <f t="shared" si="328"/>
        <v>1077588</v>
      </c>
      <c r="E704" s="1145">
        <v>224850</v>
      </c>
      <c r="F704" s="1145">
        <v>425899</v>
      </c>
      <c r="G704" s="1145">
        <v>0</v>
      </c>
      <c r="H704" s="1145">
        <v>261490</v>
      </c>
      <c r="I704" s="1145">
        <v>0</v>
      </c>
      <c r="J704" s="1145">
        <v>165349</v>
      </c>
      <c r="K704" s="1136">
        <v>1</v>
      </c>
      <c r="L704" s="1145">
        <v>276639</v>
      </c>
      <c r="M704" s="1136">
        <v>0</v>
      </c>
      <c r="N704" s="1145">
        <v>0</v>
      </c>
      <c r="O704" s="1145">
        <v>0</v>
      </c>
      <c r="P704" s="1145">
        <v>0</v>
      </c>
      <c r="Q704" s="1145">
        <v>0</v>
      </c>
      <c r="R704" s="1145">
        <v>0</v>
      </c>
      <c r="S704" s="1145">
        <v>0</v>
      </c>
      <c r="T704" s="1145">
        <v>0</v>
      </c>
      <c r="U704" s="1145">
        <v>0</v>
      </c>
      <c r="V704" s="1145">
        <v>0</v>
      </c>
      <c r="W704" s="1167">
        <v>0</v>
      </c>
      <c r="X704" s="1145">
        <v>106068</v>
      </c>
      <c r="Y704" s="1145">
        <v>0</v>
      </c>
    </row>
    <row r="705" spans="1:16288" s="1137" customFormat="1" ht="91.15" customHeight="1">
      <c r="A705" s="1280">
        <v>221</v>
      </c>
      <c r="B705" s="1128" t="s">
        <v>2992</v>
      </c>
      <c r="C705" s="1145">
        <f t="shared" si="327"/>
        <v>1956277.84</v>
      </c>
      <c r="D705" s="1145">
        <f t="shared" si="328"/>
        <v>1537546</v>
      </c>
      <c r="E705" s="1145">
        <v>0</v>
      </c>
      <c r="F705" s="1145">
        <v>952648</v>
      </c>
      <c r="G705" s="1145">
        <v>0</v>
      </c>
      <c r="H705" s="1145">
        <v>584898</v>
      </c>
      <c r="I705" s="1145">
        <v>0</v>
      </c>
      <c r="J705" s="1145">
        <v>0</v>
      </c>
      <c r="K705" s="1136">
        <v>1</v>
      </c>
      <c r="L705" s="1145">
        <v>276639</v>
      </c>
      <c r="M705" s="1136">
        <v>0</v>
      </c>
      <c r="N705" s="1145">
        <v>0</v>
      </c>
      <c r="O705" s="1145">
        <v>0</v>
      </c>
      <c r="P705" s="1145">
        <v>0</v>
      </c>
      <c r="Q705" s="1145">
        <v>0</v>
      </c>
      <c r="R705" s="1145">
        <v>0</v>
      </c>
      <c r="S705" s="1145">
        <v>0</v>
      </c>
      <c r="T705" s="1145">
        <v>0</v>
      </c>
      <c r="U705" s="1145">
        <v>0</v>
      </c>
      <c r="V705" s="1145">
        <v>0</v>
      </c>
      <c r="W705" s="1129">
        <v>0</v>
      </c>
      <c r="X705" s="1145">
        <v>142092.84</v>
      </c>
      <c r="Y705" s="1145">
        <v>0</v>
      </c>
    </row>
    <row r="706" spans="1:16288" s="1137" customFormat="1" ht="90" customHeight="1">
      <c r="A706" s="1280">
        <v>222</v>
      </c>
      <c r="B706" s="1128" t="s">
        <v>2993</v>
      </c>
      <c r="C706" s="1145">
        <f t="shared" si="327"/>
        <v>1644916</v>
      </c>
      <c r="D706" s="1145">
        <f t="shared" si="328"/>
        <v>0</v>
      </c>
      <c r="E706" s="1145">
        <v>0</v>
      </c>
      <c r="F706" s="1145">
        <v>0</v>
      </c>
      <c r="G706" s="1145">
        <v>0</v>
      </c>
      <c r="H706" s="1145">
        <v>0</v>
      </c>
      <c r="I706" s="1145">
        <v>0</v>
      </c>
      <c r="J706" s="1145">
        <v>0</v>
      </c>
      <c r="K706" s="1136">
        <v>0</v>
      </c>
      <c r="L706" s="1145">
        <v>0</v>
      </c>
      <c r="M706" s="1136">
        <v>0</v>
      </c>
      <c r="N706" s="1145">
        <v>0</v>
      </c>
      <c r="O706" s="1145">
        <v>486</v>
      </c>
      <c r="P706" s="1145">
        <v>1525438</v>
      </c>
      <c r="Q706" s="1145">
        <v>0</v>
      </c>
      <c r="R706" s="1145">
        <v>0</v>
      </c>
      <c r="S706" s="1145">
        <v>0</v>
      </c>
      <c r="T706" s="1145">
        <v>0</v>
      </c>
      <c r="U706" s="1145">
        <v>0</v>
      </c>
      <c r="V706" s="1145">
        <v>0</v>
      </c>
      <c r="W706" s="1167">
        <v>0</v>
      </c>
      <c r="X706" s="1145">
        <v>119478</v>
      </c>
      <c r="Y706" s="1145">
        <v>0</v>
      </c>
    </row>
    <row r="707" spans="1:16288" s="1137" customFormat="1" ht="99.6" customHeight="1">
      <c r="A707" s="1280"/>
      <c r="B707" s="1128" t="s">
        <v>1650</v>
      </c>
      <c r="C707" s="1145">
        <f>C708</f>
        <v>6692193</v>
      </c>
      <c r="D707" s="1145">
        <f t="shared" ref="D707:Y707" si="329">D708</f>
        <v>0</v>
      </c>
      <c r="E707" s="1145">
        <f t="shared" si="329"/>
        <v>0</v>
      </c>
      <c r="F707" s="1145">
        <f t="shared" si="329"/>
        <v>0</v>
      </c>
      <c r="G707" s="1145">
        <f t="shared" si="329"/>
        <v>0</v>
      </c>
      <c r="H707" s="1145">
        <f t="shared" si="329"/>
        <v>0</v>
      </c>
      <c r="I707" s="1145">
        <f t="shared" si="329"/>
        <v>0</v>
      </c>
      <c r="J707" s="1145">
        <f t="shared" si="329"/>
        <v>0</v>
      </c>
      <c r="K707" s="1136">
        <f t="shared" si="329"/>
        <v>0</v>
      </c>
      <c r="L707" s="1145">
        <f t="shared" si="329"/>
        <v>0</v>
      </c>
      <c r="M707" s="1136">
        <f t="shared" si="329"/>
        <v>0</v>
      </c>
      <c r="N707" s="1145">
        <f t="shared" si="329"/>
        <v>0</v>
      </c>
      <c r="O707" s="1145">
        <f t="shared" si="329"/>
        <v>682.8</v>
      </c>
      <c r="P707" s="1145">
        <f t="shared" si="329"/>
        <v>2143146</v>
      </c>
      <c r="Q707" s="1145">
        <f t="shared" si="329"/>
        <v>0</v>
      </c>
      <c r="R707" s="1145">
        <f t="shared" si="329"/>
        <v>0</v>
      </c>
      <c r="S707" s="1145">
        <f t="shared" si="329"/>
        <v>847.61</v>
      </c>
      <c r="T707" s="1145">
        <f t="shared" si="329"/>
        <v>4062960</v>
      </c>
      <c r="U707" s="1145">
        <f t="shared" si="329"/>
        <v>0</v>
      </c>
      <c r="V707" s="1145">
        <f t="shared" si="329"/>
        <v>0</v>
      </c>
      <c r="W707" s="1167">
        <v>0</v>
      </c>
      <c r="X707" s="1145">
        <f t="shared" si="329"/>
        <v>486087</v>
      </c>
      <c r="Y707" s="1145">
        <f t="shared" si="329"/>
        <v>0</v>
      </c>
    </row>
    <row r="708" spans="1:16288" s="1137" customFormat="1" ht="106.9" customHeight="1">
      <c r="A708" s="1280">
        <v>223</v>
      </c>
      <c r="B708" s="1128" t="s">
        <v>2464</v>
      </c>
      <c r="C708" s="1145">
        <f t="shared" ref="C708" si="330">D708+N708+P708+R708+T708+V708+X708+L708</f>
        <v>6692193</v>
      </c>
      <c r="D708" s="1145">
        <f t="shared" ref="D708" si="331">SUM(E708:J708)</f>
        <v>0</v>
      </c>
      <c r="E708" s="1145">
        <v>0</v>
      </c>
      <c r="F708" s="1145">
        <v>0</v>
      </c>
      <c r="G708" s="1145">
        <v>0</v>
      </c>
      <c r="H708" s="1145">
        <v>0</v>
      </c>
      <c r="I708" s="1145">
        <v>0</v>
      </c>
      <c r="J708" s="1145">
        <v>0</v>
      </c>
      <c r="K708" s="1136">
        <v>0</v>
      </c>
      <c r="L708" s="1145">
        <v>0</v>
      </c>
      <c r="M708" s="1136">
        <v>0</v>
      </c>
      <c r="N708" s="1145">
        <v>0</v>
      </c>
      <c r="O708" s="1145">
        <v>682.8</v>
      </c>
      <c r="P708" s="1145">
        <v>2143146</v>
      </c>
      <c r="Q708" s="1145">
        <v>0</v>
      </c>
      <c r="R708" s="1145">
        <v>0</v>
      </c>
      <c r="S708" s="1145">
        <v>847.61</v>
      </c>
      <c r="T708" s="1145">
        <v>4062960</v>
      </c>
      <c r="U708" s="1145">
        <v>0</v>
      </c>
      <c r="V708" s="1145">
        <v>0</v>
      </c>
      <c r="W708" s="1129">
        <v>0</v>
      </c>
      <c r="X708" s="1145">
        <v>486087</v>
      </c>
      <c r="Y708" s="1145">
        <v>0</v>
      </c>
    </row>
    <row r="709" spans="1:16288" s="1137" customFormat="1" ht="98.45" customHeight="1">
      <c r="A709" s="1280"/>
      <c r="B709" s="1135" t="s">
        <v>1988</v>
      </c>
      <c r="C709" s="1129">
        <f>C710</f>
        <v>1442222.5</v>
      </c>
      <c r="D709" s="1129">
        <f t="shared" ref="D709:Y709" si="332">D710</f>
        <v>1337466.92</v>
      </c>
      <c r="E709" s="1129">
        <f t="shared" si="332"/>
        <v>0</v>
      </c>
      <c r="F709" s="1129">
        <f t="shared" si="332"/>
        <v>1337466.92</v>
      </c>
      <c r="G709" s="1129">
        <f t="shared" si="332"/>
        <v>0</v>
      </c>
      <c r="H709" s="1129">
        <f t="shared" si="332"/>
        <v>0</v>
      </c>
      <c r="I709" s="1129">
        <f t="shared" si="332"/>
        <v>0</v>
      </c>
      <c r="J709" s="1129">
        <f t="shared" si="332"/>
        <v>0</v>
      </c>
      <c r="K709" s="1136">
        <f t="shared" si="332"/>
        <v>0</v>
      </c>
      <c r="L709" s="1129">
        <f t="shared" si="332"/>
        <v>0</v>
      </c>
      <c r="M709" s="1136">
        <f t="shared" si="332"/>
        <v>0</v>
      </c>
      <c r="N709" s="1129">
        <f t="shared" si="332"/>
        <v>0</v>
      </c>
      <c r="O709" s="1129">
        <f t="shared" si="332"/>
        <v>0</v>
      </c>
      <c r="P709" s="1129">
        <f t="shared" si="332"/>
        <v>0</v>
      </c>
      <c r="Q709" s="1129">
        <f t="shared" si="332"/>
        <v>0</v>
      </c>
      <c r="R709" s="1129">
        <f t="shared" si="332"/>
        <v>0</v>
      </c>
      <c r="S709" s="1129">
        <f t="shared" si="332"/>
        <v>0</v>
      </c>
      <c r="T709" s="1129">
        <f t="shared" si="332"/>
        <v>0</v>
      </c>
      <c r="U709" s="1129">
        <f t="shared" si="332"/>
        <v>0</v>
      </c>
      <c r="V709" s="1129">
        <f t="shared" si="332"/>
        <v>0</v>
      </c>
      <c r="W709" s="1167">
        <v>0</v>
      </c>
      <c r="X709" s="1129">
        <f t="shared" si="332"/>
        <v>104755.58</v>
      </c>
      <c r="Y709" s="1129">
        <f t="shared" si="332"/>
        <v>0</v>
      </c>
    </row>
    <row r="710" spans="1:16288" s="1175" customFormat="1" ht="60.6" customHeight="1">
      <c r="A710" s="1280"/>
      <c r="B710" s="1135" t="s">
        <v>2027</v>
      </c>
      <c r="C710" s="1129">
        <f>C711</f>
        <v>1442222.5</v>
      </c>
      <c r="D710" s="1129">
        <f t="shared" ref="D710:Y710" si="333">D711</f>
        <v>1337466.92</v>
      </c>
      <c r="E710" s="1129">
        <f t="shared" si="333"/>
        <v>0</v>
      </c>
      <c r="F710" s="1129">
        <f t="shared" si="333"/>
        <v>1337466.92</v>
      </c>
      <c r="G710" s="1129">
        <f t="shared" si="333"/>
        <v>0</v>
      </c>
      <c r="H710" s="1129">
        <f t="shared" si="333"/>
        <v>0</v>
      </c>
      <c r="I710" s="1129">
        <f t="shared" si="333"/>
        <v>0</v>
      </c>
      <c r="J710" s="1129">
        <f t="shared" si="333"/>
        <v>0</v>
      </c>
      <c r="K710" s="1136">
        <f t="shared" si="333"/>
        <v>0</v>
      </c>
      <c r="L710" s="1129">
        <f t="shared" si="333"/>
        <v>0</v>
      </c>
      <c r="M710" s="1136">
        <f t="shared" si="333"/>
        <v>0</v>
      </c>
      <c r="N710" s="1129">
        <f t="shared" si="333"/>
        <v>0</v>
      </c>
      <c r="O710" s="1129">
        <f t="shared" si="333"/>
        <v>0</v>
      </c>
      <c r="P710" s="1129">
        <f t="shared" si="333"/>
        <v>0</v>
      </c>
      <c r="Q710" s="1129">
        <f t="shared" si="333"/>
        <v>0</v>
      </c>
      <c r="R710" s="1129">
        <f t="shared" si="333"/>
        <v>0</v>
      </c>
      <c r="S710" s="1129">
        <f t="shared" si="333"/>
        <v>0</v>
      </c>
      <c r="T710" s="1129">
        <f t="shared" si="333"/>
        <v>0</v>
      </c>
      <c r="U710" s="1129">
        <f t="shared" si="333"/>
        <v>0</v>
      </c>
      <c r="V710" s="1129">
        <f t="shared" si="333"/>
        <v>0</v>
      </c>
      <c r="W710" s="1167">
        <v>0</v>
      </c>
      <c r="X710" s="1129">
        <f t="shared" si="333"/>
        <v>104755.58</v>
      </c>
      <c r="Y710" s="1129">
        <f t="shared" si="333"/>
        <v>0</v>
      </c>
    </row>
    <row r="711" spans="1:16288" s="1175" customFormat="1" ht="91.15" customHeight="1">
      <c r="A711" s="1280">
        <v>224</v>
      </c>
      <c r="B711" s="1135" t="s">
        <v>2465</v>
      </c>
      <c r="C711" s="1129">
        <f>D711+N711+P711+R711+T711+V711+X711</f>
        <v>1442222.5</v>
      </c>
      <c r="D711" s="1129">
        <f>SUM(E711:J711)</f>
        <v>1337466.92</v>
      </c>
      <c r="E711" s="1129">
        <v>0</v>
      </c>
      <c r="F711" s="1129">
        <v>1337466.92</v>
      </c>
      <c r="G711" s="1129">
        <v>0</v>
      </c>
      <c r="H711" s="1129">
        <v>0</v>
      </c>
      <c r="I711" s="1129">
        <v>0</v>
      </c>
      <c r="J711" s="1129">
        <v>0</v>
      </c>
      <c r="K711" s="1136">
        <v>0</v>
      </c>
      <c r="L711" s="1129">
        <v>0</v>
      </c>
      <c r="M711" s="1136">
        <v>0</v>
      </c>
      <c r="N711" s="1129">
        <v>0</v>
      </c>
      <c r="O711" s="1129">
        <v>0</v>
      </c>
      <c r="P711" s="1129">
        <v>0</v>
      </c>
      <c r="Q711" s="1129">
        <v>0</v>
      </c>
      <c r="R711" s="1129">
        <v>0</v>
      </c>
      <c r="S711" s="1129">
        <v>0</v>
      </c>
      <c r="T711" s="1129">
        <v>0</v>
      </c>
      <c r="U711" s="1129">
        <v>0</v>
      </c>
      <c r="V711" s="1129">
        <v>0</v>
      </c>
      <c r="W711" s="1129">
        <v>0</v>
      </c>
      <c r="X711" s="1129">
        <v>104755.58</v>
      </c>
      <c r="Y711" s="1129">
        <v>0</v>
      </c>
    </row>
    <row r="712" spans="1:16288" s="1171" customFormat="1" ht="96" customHeight="1">
      <c r="A712" s="1280"/>
      <c r="B712" s="1135" t="s">
        <v>1651</v>
      </c>
      <c r="C712" s="1129">
        <f>C713+C714</f>
        <v>2063504.2</v>
      </c>
      <c r="D712" s="1129">
        <f t="shared" ref="D712:Y712" si="334">D713+D714</f>
        <v>0</v>
      </c>
      <c r="E712" s="1129">
        <f t="shared" si="334"/>
        <v>0</v>
      </c>
      <c r="F712" s="1129">
        <f t="shared" si="334"/>
        <v>0</v>
      </c>
      <c r="G712" s="1129">
        <f t="shared" si="334"/>
        <v>0</v>
      </c>
      <c r="H712" s="1129">
        <f t="shared" si="334"/>
        <v>0</v>
      </c>
      <c r="I712" s="1129">
        <f t="shared" si="334"/>
        <v>0</v>
      </c>
      <c r="J712" s="1129">
        <f t="shared" si="334"/>
        <v>0</v>
      </c>
      <c r="K712" s="1136">
        <f t="shared" si="334"/>
        <v>0</v>
      </c>
      <c r="L712" s="1129">
        <f t="shared" si="334"/>
        <v>0</v>
      </c>
      <c r="M712" s="1136">
        <f t="shared" si="334"/>
        <v>0</v>
      </c>
      <c r="N712" s="1129">
        <f t="shared" si="334"/>
        <v>0</v>
      </c>
      <c r="O712" s="1129">
        <f t="shared" si="334"/>
        <v>474</v>
      </c>
      <c r="P712" s="1129">
        <f t="shared" si="334"/>
        <v>1874119.88</v>
      </c>
      <c r="Q712" s="1129">
        <f t="shared" si="334"/>
        <v>0</v>
      </c>
      <c r="R712" s="1129">
        <f t="shared" si="334"/>
        <v>0</v>
      </c>
      <c r="S712" s="1129">
        <f t="shared" si="334"/>
        <v>0</v>
      </c>
      <c r="T712" s="1129">
        <f t="shared" si="334"/>
        <v>0</v>
      </c>
      <c r="U712" s="1129">
        <f t="shared" si="334"/>
        <v>0</v>
      </c>
      <c r="V712" s="1129">
        <f t="shared" si="334"/>
        <v>0</v>
      </c>
      <c r="W712" s="1167">
        <v>0</v>
      </c>
      <c r="X712" s="1129">
        <f t="shared" si="334"/>
        <v>189384.32000000001</v>
      </c>
      <c r="Y712" s="1129">
        <f t="shared" si="334"/>
        <v>0</v>
      </c>
    </row>
    <row r="713" spans="1:16288" s="1171" customFormat="1" ht="92.45" customHeight="1">
      <c r="A713" s="1280">
        <v>225</v>
      </c>
      <c r="B713" s="1135" t="s">
        <v>2466</v>
      </c>
      <c r="C713" s="1129">
        <f>D713+N713+P713+R713+T713+V713+X713</f>
        <v>42596</v>
      </c>
      <c r="D713" s="1129">
        <f>SUM(E713:J713)</f>
        <v>0</v>
      </c>
      <c r="E713" s="1129">
        <v>0</v>
      </c>
      <c r="F713" s="1129">
        <v>0</v>
      </c>
      <c r="G713" s="1129">
        <v>0</v>
      </c>
      <c r="H713" s="1129">
        <v>0</v>
      </c>
      <c r="I713" s="1129">
        <v>0</v>
      </c>
      <c r="J713" s="1129">
        <v>0</v>
      </c>
      <c r="K713" s="1136">
        <v>0</v>
      </c>
      <c r="L713" s="1129">
        <v>0</v>
      </c>
      <c r="M713" s="1136">
        <v>0</v>
      </c>
      <c r="N713" s="1129">
        <v>0</v>
      </c>
      <c r="O713" s="1129">
        <v>0</v>
      </c>
      <c r="P713" s="1129">
        <v>0</v>
      </c>
      <c r="Q713" s="1129">
        <v>0</v>
      </c>
      <c r="R713" s="1129">
        <v>0</v>
      </c>
      <c r="S713" s="1129">
        <v>0</v>
      </c>
      <c r="T713" s="1129">
        <v>0</v>
      </c>
      <c r="U713" s="1129">
        <v>0</v>
      </c>
      <c r="V713" s="1129">
        <v>0</v>
      </c>
      <c r="W713" s="1167">
        <v>0</v>
      </c>
      <c r="X713" s="1129">
        <v>42596</v>
      </c>
      <c r="Y713" s="1129">
        <v>0</v>
      </c>
    </row>
    <row r="714" spans="1:16288" s="1171" customFormat="1" ht="106.9" customHeight="1">
      <c r="A714" s="1280">
        <v>226</v>
      </c>
      <c r="B714" s="1135" t="s">
        <v>2467</v>
      </c>
      <c r="C714" s="1129">
        <f>D714+N714+P714+R714+T714+V714+X714</f>
        <v>2020908.2</v>
      </c>
      <c r="D714" s="1129">
        <f>SUM(E714:J714)</f>
        <v>0</v>
      </c>
      <c r="E714" s="1129">
        <v>0</v>
      </c>
      <c r="F714" s="1129">
        <v>0</v>
      </c>
      <c r="G714" s="1129">
        <v>0</v>
      </c>
      <c r="H714" s="1129">
        <v>0</v>
      </c>
      <c r="I714" s="1129">
        <v>0</v>
      </c>
      <c r="J714" s="1129">
        <v>0</v>
      </c>
      <c r="K714" s="1136">
        <v>0</v>
      </c>
      <c r="L714" s="1129">
        <v>0</v>
      </c>
      <c r="M714" s="1136">
        <v>0</v>
      </c>
      <c r="N714" s="1129">
        <v>0</v>
      </c>
      <c r="O714" s="1129">
        <v>474</v>
      </c>
      <c r="P714" s="1129">
        <v>1874119.88</v>
      </c>
      <c r="Q714" s="1129">
        <v>0</v>
      </c>
      <c r="R714" s="1129">
        <v>0</v>
      </c>
      <c r="S714" s="1129">
        <v>0</v>
      </c>
      <c r="T714" s="1129">
        <v>0</v>
      </c>
      <c r="U714" s="1129">
        <v>0</v>
      </c>
      <c r="V714" s="1129">
        <v>0</v>
      </c>
      <c r="W714" s="1129">
        <v>0</v>
      </c>
      <c r="X714" s="1129">
        <v>146788.32</v>
      </c>
      <c r="Y714" s="1129">
        <v>0</v>
      </c>
    </row>
    <row r="715" spans="1:16288" s="1171" customFormat="1" ht="123" customHeight="1">
      <c r="A715" s="1280"/>
      <c r="B715" s="1135" t="s">
        <v>1653</v>
      </c>
      <c r="C715" s="1129">
        <f>C716+C717+C718</f>
        <v>4281862</v>
      </c>
      <c r="D715" s="1129">
        <f t="shared" ref="D715:Y715" si="335">D716+D717+D718</f>
        <v>0</v>
      </c>
      <c r="E715" s="1129">
        <f t="shared" si="335"/>
        <v>0</v>
      </c>
      <c r="F715" s="1129">
        <f t="shared" si="335"/>
        <v>0</v>
      </c>
      <c r="G715" s="1129">
        <f t="shared" si="335"/>
        <v>0</v>
      </c>
      <c r="H715" s="1129">
        <f t="shared" si="335"/>
        <v>0</v>
      </c>
      <c r="I715" s="1129">
        <f t="shared" si="335"/>
        <v>0</v>
      </c>
      <c r="J715" s="1129">
        <f t="shared" si="335"/>
        <v>0</v>
      </c>
      <c r="K715" s="1136">
        <f t="shared" si="335"/>
        <v>0</v>
      </c>
      <c r="L715" s="1129">
        <f t="shared" si="335"/>
        <v>0</v>
      </c>
      <c r="M715" s="1136">
        <f t="shared" si="335"/>
        <v>0</v>
      </c>
      <c r="N715" s="1129">
        <f t="shared" si="335"/>
        <v>0</v>
      </c>
      <c r="O715" s="1129">
        <f t="shared" si="335"/>
        <v>1265.0999999999999</v>
      </c>
      <c r="P715" s="1129">
        <f t="shared" si="335"/>
        <v>3970849</v>
      </c>
      <c r="Q715" s="1129">
        <f t="shared" si="335"/>
        <v>0</v>
      </c>
      <c r="R715" s="1129">
        <f t="shared" si="335"/>
        <v>0</v>
      </c>
      <c r="S715" s="1129">
        <f t="shared" si="335"/>
        <v>0</v>
      </c>
      <c r="T715" s="1129">
        <f t="shared" si="335"/>
        <v>0</v>
      </c>
      <c r="U715" s="1129">
        <f t="shared" si="335"/>
        <v>0</v>
      </c>
      <c r="V715" s="1129">
        <f t="shared" si="335"/>
        <v>0</v>
      </c>
      <c r="W715" s="1167">
        <v>0</v>
      </c>
      <c r="X715" s="1129">
        <f t="shared" si="335"/>
        <v>311013</v>
      </c>
      <c r="Y715" s="1129">
        <f t="shared" si="335"/>
        <v>0</v>
      </c>
    </row>
    <row r="716" spans="1:16288" s="1171" customFormat="1" ht="121.15" customHeight="1">
      <c r="A716" s="1280">
        <v>227</v>
      </c>
      <c r="B716" s="1135" t="s">
        <v>2468</v>
      </c>
      <c r="C716" s="1129">
        <f>P716+X716</f>
        <v>1614456</v>
      </c>
      <c r="D716" s="1129">
        <v>0</v>
      </c>
      <c r="E716" s="1129">
        <v>0</v>
      </c>
      <c r="F716" s="1129">
        <v>0</v>
      </c>
      <c r="G716" s="1129">
        <v>0</v>
      </c>
      <c r="H716" s="1129">
        <v>0</v>
      </c>
      <c r="I716" s="1129">
        <v>0</v>
      </c>
      <c r="J716" s="1129">
        <v>0</v>
      </c>
      <c r="K716" s="1136">
        <v>0</v>
      </c>
      <c r="L716" s="1129">
        <v>0</v>
      </c>
      <c r="M716" s="1136">
        <v>0</v>
      </c>
      <c r="N716" s="1129">
        <v>0</v>
      </c>
      <c r="O716" s="1129">
        <v>477</v>
      </c>
      <c r="P716" s="1129">
        <v>1497190</v>
      </c>
      <c r="Q716" s="1129">
        <v>0</v>
      </c>
      <c r="R716" s="1129">
        <v>0</v>
      </c>
      <c r="S716" s="1129">
        <v>0</v>
      </c>
      <c r="T716" s="1129">
        <v>0</v>
      </c>
      <c r="U716" s="1129">
        <v>0</v>
      </c>
      <c r="V716" s="1129">
        <v>0</v>
      </c>
      <c r="W716" s="1167">
        <v>0</v>
      </c>
      <c r="X716" s="1129">
        <v>117266</v>
      </c>
      <c r="Y716" s="1129">
        <v>0</v>
      </c>
    </row>
    <row r="717" spans="1:16288" s="1171" customFormat="1" ht="103.9" customHeight="1">
      <c r="A717" s="1280">
        <v>228</v>
      </c>
      <c r="B717" s="1135" t="s">
        <v>2469</v>
      </c>
      <c r="C717" s="1129">
        <f t="shared" ref="C717:C718" si="336">P717+X717</f>
        <v>1228611</v>
      </c>
      <c r="D717" s="1129">
        <v>0</v>
      </c>
      <c r="E717" s="1129">
        <v>0</v>
      </c>
      <c r="F717" s="1129">
        <v>0</v>
      </c>
      <c r="G717" s="1129">
        <v>0</v>
      </c>
      <c r="H717" s="1129">
        <v>0</v>
      </c>
      <c r="I717" s="1129">
        <v>0</v>
      </c>
      <c r="J717" s="1129">
        <v>0</v>
      </c>
      <c r="K717" s="1136">
        <v>0</v>
      </c>
      <c r="L717" s="1129">
        <v>0</v>
      </c>
      <c r="M717" s="1136">
        <v>0</v>
      </c>
      <c r="N717" s="1129">
        <v>0</v>
      </c>
      <c r="O717" s="1129">
        <v>363</v>
      </c>
      <c r="P717" s="1129">
        <v>1139371</v>
      </c>
      <c r="Q717" s="1129">
        <v>0</v>
      </c>
      <c r="R717" s="1129">
        <v>0</v>
      </c>
      <c r="S717" s="1129">
        <v>0</v>
      </c>
      <c r="T717" s="1129">
        <v>0</v>
      </c>
      <c r="U717" s="1129">
        <v>0</v>
      </c>
      <c r="V717" s="1129">
        <v>0</v>
      </c>
      <c r="W717" s="1129">
        <v>0</v>
      </c>
      <c r="X717" s="1129">
        <v>89240</v>
      </c>
      <c r="Y717" s="1129">
        <v>0</v>
      </c>
      <c r="Z717" s="1176"/>
      <c r="AA717" s="1176"/>
      <c r="AB717" s="1176"/>
      <c r="AC717" s="1176"/>
      <c r="AD717" s="1176"/>
      <c r="AE717" s="1176"/>
      <c r="AF717" s="1176"/>
      <c r="AG717" s="1176"/>
      <c r="AH717" s="1176"/>
      <c r="AI717" s="1176"/>
      <c r="AJ717" s="1176"/>
      <c r="AK717" s="1176"/>
      <c r="AL717" s="1176"/>
      <c r="AM717" s="1176"/>
      <c r="AN717" s="1176"/>
      <c r="AO717" s="1176"/>
      <c r="AP717" s="1176"/>
      <c r="AQ717" s="1176"/>
      <c r="AR717" s="1176"/>
      <c r="AS717" s="1176"/>
      <c r="AT717" s="1176"/>
      <c r="AU717" s="1176"/>
      <c r="AV717" s="1176"/>
      <c r="AW717" s="1176"/>
      <c r="AX717" s="1176"/>
      <c r="AY717" s="1176"/>
      <c r="AZ717" s="1176"/>
      <c r="BA717" s="1176"/>
      <c r="BB717" s="1176"/>
      <c r="BC717" s="1176"/>
      <c r="BD717" s="1176"/>
      <c r="BE717" s="1176"/>
      <c r="BF717" s="1176"/>
      <c r="BG717" s="1176"/>
      <c r="BH717" s="1176"/>
      <c r="BI717" s="1176"/>
      <c r="BJ717" s="1176"/>
      <c r="BK717" s="1176"/>
      <c r="BL717" s="1176"/>
      <c r="BM717" s="1176"/>
      <c r="BN717" s="1176"/>
      <c r="BO717" s="1176"/>
      <c r="BP717" s="1176"/>
      <c r="BQ717" s="1176"/>
      <c r="BR717" s="1176"/>
      <c r="BS717" s="1176"/>
      <c r="BT717" s="1176"/>
      <c r="BU717" s="1176"/>
      <c r="BV717" s="1176"/>
      <c r="BW717" s="1176"/>
      <c r="BX717" s="1176"/>
      <c r="BY717" s="1176"/>
      <c r="BZ717" s="1176"/>
      <c r="CA717" s="1176"/>
      <c r="CB717" s="1176"/>
      <c r="CC717" s="1176"/>
      <c r="CD717" s="1176"/>
      <c r="CE717" s="1176"/>
      <c r="CF717" s="1176"/>
      <c r="CG717" s="1176"/>
      <c r="CH717" s="1176"/>
      <c r="CI717" s="1176"/>
      <c r="CJ717" s="1176"/>
      <c r="CK717" s="1176"/>
      <c r="CL717" s="1176"/>
      <c r="CM717" s="1176"/>
      <c r="CN717" s="1176"/>
      <c r="CO717" s="1176"/>
      <c r="CP717" s="1176"/>
      <c r="CQ717" s="1176"/>
      <c r="CR717" s="1176"/>
      <c r="CS717" s="1176"/>
      <c r="CT717" s="1176"/>
      <c r="CU717" s="1176"/>
      <c r="CV717" s="1176"/>
      <c r="CW717" s="1176"/>
      <c r="CX717" s="1176"/>
      <c r="CY717" s="1176"/>
      <c r="CZ717" s="1176"/>
      <c r="DA717" s="1176"/>
      <c r="DB717" s="1176"/>
      <c r="DC717" s="1176"/>
      <c r="DD717" s="1176"/>
      <c r="DE717" s="1176"/>
      <c r="DF717" s="1176"/>
      <c r="DG717" s="1176"/>
      <c r="DH717" s="1176"/>
      <c r="DI717" s="1176"/>
      <c r="DJ717" s="1176"/>
      <c r="DK717" s="1176"/>
      <c r="DL717" s="1176"/>
      <c r="DM717" s="1176"/>
      <c r="DN717" s="1176"/>
      <c r="DO717" s="1176"/>
      <c r="DP717" s="1176"/>
      <c r="DQ717" s="1176"/>
      <c r="DR717" s="1176"/>
      <c r="DS717" s="1176"/>
      <c r="DT717" s="1176"/>
      <c r="DU717" s="1176"/>
      <c r="DV717" s="1176"/>
      <c r="DW717" s="1176"/>
      <c r="DX717" s="1176"/>
      <c r="DY717" s="1176"/>
      <c r="DZ717" s="1176"/>
      <c r="EA717" s="1176"/>
      <c r="EB717" s="1176"/>
      <c r="EC717" s="1176"/>
      <c r="ED717" s="1176"/>
      <c r="EE717" s="1176"/>
      <c r="EF717" s="1176"/>
      <c r="EG717" s="1176"/>
      <c r="EH717" s="1176"/>
      <c r="EI717" s="1176"/>
      <c r="EJ717" s="1176"/>
      <c r="EK717" s="1176"/>
      <c r="EL717" s="1176"/>
      <c r="EM717" s="1176"/>
      <c r="EN717" s="1176"/>
      <c r="EO717" s="1176"/>
      <c r="EP717" s="1176"/>
      <c r="EQ717" s="1176"/>
      <c r="ER717" s="1176"/>
      <c r="ES717" s="1176"/>
      <c r="ET717" s="1176"/>
      <c r="EU717" s="1176"/>
      <c r="EV717" s="1176"/>
      <c r="EW717" s="1176"/>
      <c r="EX717" s="1176"/>
      <c r="EY717" s="1176"/>
      <c r="EZ717" s="1176"/>
      <c r="FA717" s="1176"/>
      <c r="FB717" s="1176"/>
      <c r="FC717" s="1176"/>
      <c r="FD717" s="1176"/>
      <c r="FE717" s="1176"/>
      <c r="FF717" s="1176"/>
      <c r="FG717" s="1176"/>
      <c r="FH717" s="1176"/>
      <c r="FI717" s="1176"/>
      <c r="FJ717" s="1176"/>
      <c r="FK717" s="1176"/>
      <c r="FL717" s="1176"/>
      <c r="FM717" s="1176"/>
      <c r="FN717" s="1176"/>
      <c r="FO717" s="1176"/>
      <c r="FP717" s="1176"/>
      <c r="FQ717" s="1176"/>
      <c r="FR717" s="1176"/>
      <c r="FS717" s="1176"/>
      <c r="FT717" s="1176"/>
      <c r="FU717" s="1176"/>
      <c r="FV717" s="1176"/>
      <c r="FW717" s="1176"/>
      <c r="FX717" s="1176"/>
      <c r="FY717" s="1176"/>
      <c r="FZ717" s="1176"/>
      <c r="GA717" s="1176"/>
      <c r="GB717" s="1176"/>
      <c r="GC717" s="1176"/>
      <c r="GD717" s="1176"/>
      <c r="GE717" s="1176"/>
      <c r="GF717" s="1176"/>
      <c r="GG717" s="1176"/>
      <c r="GH717" s="1176"/>
      <c r="GI717" s="1176"/>
      <c r="GJ717" s="1176"/>
      <c r="GK717" s="1176"/>
      <c r="GL717" s="1176"/>
      <c r="GM717" s="1176"/>
      <c r="GN717" s="1176"/>
      <c r="GO717" s="1176"/>
      <c r="GP717" s="1176"/>
      <c r="GQ717" s="1176"/>
      <c r="GR717" s="1176"/>
      <c r="GS717" s="1176"/>
      <c r="GT717" s="1176"/>
      <c r="GU717" s="1176"/>
      <c r="GV717" s="1176"/>
      <c r="GW717" s="1176"/>
      <c r="GX717" s="1176"/>
      <c r="GY717" s="1176"/>
      <c r="GZ717" s="1176"/>
      <c r="HA717" s="1176"/>
      <c r="HB717" s="1176"/>
      <c r="HC717" s="1176"/>
      <c r="HD717" s="1176"/>
      <c r="HE717" s="1176"/>
      <c r="HF717" s="1176"/>
      <c r="HG717" s="1176"/>
      <c r="HH717" s="1176"/>
      <c r="HI717" s="1176"/>
      <c r="HJ717" s="1176"/>
      <c r="HK717" s="1176"/>
      <c r="HL717" s="1176"/>
      <c r="HM717" s="1176"/>
      <c r="HN717" s="1176"/>
      <c r="HO717" s="1176"/>
      <c r="HP717" s="1176"/>
      <c r="HQ717" s="1176"/>
      <c r="HR717" s="1176"/>
      <c r="HS717" s="1176"/>
      <c r="HT717" s="1176"/>
      <c r="HU717" s="1176"/>
      <c r="HV717" s="1176"/>
      <c r="HW717" s="1176"/>
      <c r="HX717" s="1176"/>
      <c r="HY717" s="1176"/>
      <c r="HZ717" s="1176"/>
      <c r="IA717" s="1176"/>
      <c r="IB717" s="1176"/>
      <c r="IC717" s="1176"/>
      <c r="ID717" s="1176"/>
      <c r="IE717" s="1176"/>
      <c r="IF717" s="1176"/>
      <c r="IG717" s="1176"/>
      <c r="IH717" s="1176"/>
      <c r="II717" s="1176"/>
      <c r="IJ717" s="1176"/>
      <c r="IK717" s="1176"/>
      <c r="IL717" s="1176"/>
      <c r="IM717" s="1176"/>
      <c r="IN717" s="1176"/>
      <c r="IO717" s="1176"/>
      <c r="IP717" s="1176"/>
      <c r="IQ717" s="1176"/>
      <c r="IR717" s="1176"/>
      <c r="IS717" s="1176"/>
      <c r="IT717" s="1176"/>
      <c r="IU717" s="1176"/>
      <c r="IV717" s="1176"/>
      <c r="IW717" s="1176"/>
      <c r="IX717" s="1176"/>
      <c r="IY717" s="1176"/>
      <c r="IZ717" s="1176"/>
      <c r="JA717" s="1176"/>
      <c r="JB717" s="1176"/>
      <c r="JC717" s="1176"/>
      <c r="JD717" s="1176"/>
      <c r="JE717" s="1176"/>
      <c r="JF717" s="1176"/>
      <c r="JG717" s="1176"/>
      <c r="JH717" s="1176"/>
      <c r="JI717" s="1176"/>
      <c r="JJ717" s="1176"/>
      <c r="JK717" s="1176"/>
      <c r="JL717" s="1176"/>
      <c r="JM717" s="1176"/>
      <c r="JN717" s="1176"/>
      <c r="JO717" s="1176"/>
      <c r="JP717" s="1176"/>
      <c r="JQ717" s="1176"/>
      <c r="JR717" s="1176"/>
      <c r="JS717" s="1176"/>
      <c r="JT717" s="1176"/>
      <c r="JU717" s="1176"/>
      <c r="JV717" s="1176"/>
      <c r="JW717" s="1176"/>
      <c r="JX717" s="1176"/>
      <c r="JY717" s="1176"/>
      <c r="JZ717" s="1176"/>
      <c r="KA717" s="1176"/>
      <c r="KB717" s="1176"/>
      <c r="KC717" s="1176"/>
      <c r="KD717" s="1176"/>
      <c r="KE717" s="1176"/>
      <c r="KF717" s="1176"/>
      <c r="KG717" s="1176"/>
      <c r="KH717" s="1176"/>
      <c r="KI717" s="1176"/>
      <c r="KJ717" s="1176"/>
      <c r="KK717" s="1176"/>
      <c r="KL717" s="1176"/>
      <c r="KM717" s="1176"/>
      <c r="KN717" s="1176"/>
      <c r="KO717" s="1176"/>
      <c r="KP717" s="1176"/>
      <c r="KQ717" s="1176"/>
      <c r="KR717" s="1176"/>
      <c r="KS717" s="1176"/>
      <c r="KT717" s="1176"/>
      <c r="KU717" s="1176"/>
      <c r="KV717" s="1176"/>
      <c r="KW717" s="1176"/>
      <c r="KX717" s="1176"/>
      <c r="KY717" s="1176"/>
      <c r="KZ717" s="1176"/>
      <c r="LA717" s="1176"/>
      <c r="LB717" s="1176"/>
      <c r="LC717" s="1176"/>
      <c r="LD717" s="1176"/>
      <c r="LE717" s="1176"/>
      <c r="LF717" s="1176"/>
      <c r="LG717" s="1176"/>
      <c r="LH717" s="1176"/>
      <c r="LI717" s="1176"/>
      <c r="LJ717" s="1176"/>
      <c r="LK717" s="1176"/>
      <c r="LL717" s="1176"/>
      <c r="LM717" s="1176"/>
      <c r="LN717" s="1176"/>
      <c r="LO717" s="1176"/>
      <c r="LP717" s="1176"/>
      <c r="LQ717" s="1176"/>
      <c r="LR717" s="1176"/>
      <c r="LS717" s="1176"/>
      <c r="LT717" s="1176"/>
      <c r="LU717" s="1176"/>
      <c r="LV717" s="1176"/>
      <c r="LW717" s="1176"/>
      <c r="LX717" s="1176"/>
      <c r="LY717" s="1176"/>
      <c r="LZ717" s="1176"/>
      <c r="MA717" s="1176"/>
      <c r="MB717" s="1176"/>
      <c r="MC717" s="1176"/>
      <c r="MD717" s="1176"/>
      <c r="ME717" s="1176"/>
      <c r="MF717" s="1176"/>
      <c r="MG717" s="1176"/>
      <c r="MH717" s="1176"/>
      <c r="MI717" s="1176"/>
      <c r="MJ717" s="1176"/>
      <c r="MK717" s="1176"/>
      <c r="ML717" s="1176"/>
      <c r="MM717" s="1176"/>
      <c r="MN717" s="1176"/>
      <c r="MO717" s="1176"/>
      <c r="MP717" s="1176"/>
      <c r="MQ717" s="1176"/>
      <c r="MR717" s="1176"/>
      <c r="MS717" s="1176"/>
      <c r="MT717" s="1176"/>
      <c r="MU717" s="1176"/>
      <c r="MV717" s="1176"/>
      <c r="MW717" s="1176"/>
      <c r="MX717" s="1176"/>
      <c r="MY717" s="1176"/>
      <c r="MZ717" s="1176"/>
      <c r="NA717" s="1176"/>
      <c r="NB717" s="1176"/>
      <c r="NC717" s="1176"/>
      <c r="ND717" s="1176"/>
      <c r="NE717" s="1176"/>
      <c r="NF717" s="1176"/>
      <c r="NG717" s="1176"/>
      <c r="NH717" s="1176"/>
      <c r="NI717" s="1176"/>
      <c r="NJ717" s="1176"/>
      <c r="NK717" s="1176"/>
      <c r="NL717" s="1176"/>
      <c r="NM717" s="1176"/>
      <c r="NN717" s="1176"/>
      <c r="NO717" s="1176"/>
      <c r="NP717" s="1176"/>
      <c r="NQ717" s="1176"/>
      <c r="NR717" s="1176"/>
      <c r="NS717" s="1176"/>
      <c r="NT717" s="1176"/>
      <c r="NU717" s="1176"/>
      <c r="NV717" s="1176"/>
      <c r="NW717" s="1176"/>
      <c r="NX717" s="1176"/>
      <c r="NY717" s="1176"/>
      <c r="NZ717" s="1176"/>
      <c r="OA717" s="1176"/>
      <c r="OB717" s="1176"/>
      <c r="OC717" s="1176"/>
      <c r="OD717" s="1176"/>
      <c r="OE717" s="1176"/>
      <c r="OF717" s="1176"/>
      <c r="OG717" s="1176"/>
      <c r="OH717" s="1176"/>
      <c r="OI717" s="1176"/>
      <c r="OJ717" s="1176"/>
      <c r="OK717" s="1176"/>
      <c r="OL717" s="1176"/>
      <c r="OM717" s="1176"/>
      <c r="ON717" s="1176"/>
      <c r="OO717" s="1176"/>
      <c r="OP717" s="1176"/>
      <c r="OQ717" s="1176"/>
      <c r="OR717" s="1176"/>
      <c r="OS717" s="1176"/>
      <c r="OT717" s="1176"/>
      <c r="OU717" s="1176"/>
      <c r="OV717" s="1176"/>
      <c r="OW717" s="1176"/>
      <c r="OX717" s="1176"/>
      <c r="OY717" s="1176"/>
      <c r="OZ717" s="1176"/>
      <c r="PA717" s="1176"/>
      <c r="PB717" s="1176"/>
      <c r="PC717" s="1176"/>
      <c r="PD717" s="1176"/>
      <c r="PE717" s="1176"/>
      <c r="PF717" s="1176"/>
      <c r="PG717" s="1176"/>
      <c r="PH717" s="1176"/>
      <c r="PI717" s="1176"/>
      <c r="PJ717" s="1176"/>
      <c r="PK717" s="1176"/>
      <c r="PL717" s="1176"/>
      <c r="PM717" s="1176"/>
      <c r="PN717" s="1176"/>
      <c r="PO717" s="1176"/>
      <c r="PP717" s="1176"/>
      <c r="PQ717" s="1176"/>
      <c r="PR717" s="1176"/>
      <c r="PS717" s="1176"/>
      <c r="PT717" s="1176"/>
      <c r="PU717" s="1176"/>
      <c r="PV717" s="1176"/>
      <c r="PW717" s="1176"/>
      <c r="PX717" s="1176"/>
      <c r="PY717" s="1176"/>
      <c r="PZ717" s="1176"/>
      <c r="QA717" s="1176"/>
      <c r="QB717" s="1176"/>
      <c r="QC717" s="1176"/>
      <c r="QD717" s="1176"/>
      <c r="QE717" s="1176"/>
      <c r="QF717" s="1176"/>
      <c r="QG717" s="1176"/>
      <c r="QH717" s="1176"/>
      <c r="QI717" s="1176"/>
      <c r="QJ717" s="1176"/>
      <c r="QK717" s="1176"/>
      <c r="QL717" s="1176"/>
      <c r="QM717" s="1176"/>
      <c r="QN717" s="1176"/>
      <c r="QO717" s="1176"/>
      <c r="QP717" s="1176"/>
      <c r="QQ717" s="1176"/>
      <c r="QR717" s="1176"/>
      <c r="QS717" s="1176"/>
      <c r="QT717" s="1176"/>
      <c r="QU717" s="1176"/>
      <c r="QV717" s="1176"/>
      <c r="QW717" s="1176"/>
      <c r="QX717" s="1176"/>
      <c r="QY717" s="1176"/>
      <c r="QZ717" s="1176"/>
      <c r="RA717" s="1176"/>
      <c r="RB717" s="1176"/>
      <c r="RC717" s="1176"/>
      <c r="RD717" s="1176"/>
      <c r="RE717" s="1176"/>
      <c r="RF717" s="1176"/>
      <c r="RG717" s="1176"/>
      <c r="RH717" s="1176"/>
      <c r="RI717" s="1176"/>
      <c r="RJ717" s="1176"/>
      <c r="RK717" s="1176"/>
      <c r="RL717" s="1176"/>
      <c r="RM717" s="1176"/>
      <c r="RN717" s="1176"/>
      <c r="RO717" s="1176"/>
      <c r="RP717" s="1176"/>
      <c r="RQ717" s="1176"/>
      <c r="RR717" s="1176"/>
      <c r="RS717" s="1176"/>
      <c r="RT717" s="1176"/>
      <c r="RU717" s="1176"/>
      <c r="RV717" s="1176"/>
      <c r="RW717" s="1176"/>
      <c r="RX717" s="1176"/>
      <c r="RY717" s="1176"/>
      <c r="RZ717" s="1176"/>
      <c r="SA717" s="1176"/>
      <c r="SB717" s="1176"/>
      <c r="SC717" s="1176"/>
      <c r="SD717" s="1176"/>
      <c r="SE717" s="1176"/>
      <c r="SF717" s="1176"/>
      <c r="SG717" s="1176"/>
      <c r="SH717" s="1176"/>
      <c r="SI717" s="1176"/>
      <c r="SJ717" s="1176"/>
      <c r="SK717" s="1176"/>
      <c r="SL717" s="1176"/>
      <c r="SM717" s="1176"/>
      <c r="SN717" s="1176"/>
      <c r="SO717" s="1176"/>
      <c r="SP717" s="1176"/>
      <c r="SQ717" s="1176"/>
      <c r="SR717" s="1176"/>
      <c r="SS717" s="1176"/>
      <c r="ST717" s="1176"/>
      <c r="SU717" s="1176"/>
      <c r="SV717" s="1176"/>
      <c r="SW717" s="1176"/>
      <c r="SX717" s="1176"/>
      <c r="SY717" s="1176"/>
      <c r="SZ717" s="1176"/>
      <c r="TA717" s="1176"/>
      <c r="TB717" s="1176"/>
      <c r="TC717" s="1176"/>
      <c r="TD717" s="1176"/>
      <c r="TE717" s="1176"/>
      <c r="TF717" s="1176"/>
      <c r="TG717" s="1176"/>
      <c r="TH717" s="1176"/>
      <c r="TI717" s="1176"/>
      <c r="TJ717" s="1176"/>
      <c r="TK717" s="1176"/>
      <c r="TL717" s="1176"/>
      <c r="TM717" s="1176"/>
      <c r="TN717" s="1176"/>
      <c r="TO717" s="1176"/>
      <c r="TP717" s="1176"/>
      <c r="TQ717" s="1176"/>
      <c r="TR717" s="1176"/>
      <c r="TS717" s="1176"/>
      <c r="TT717" s="1176"/>
      <c r="TU717" s="1176"/>
      <c r="TV717" s="1176"/>
      <c r="TW717" s="1176"/>
      <c r="TX717" s="1176"/>
      <c r="TY717" s="1176"/>
      <c r="TZ717" s="1176"/>
      <c r="UA717" s="1176"/>
      <c r="UB717" s="1176"/>
      <c r="UC717" s="1176"/>
      <c r="UD717" s="1176"/>
      <c r="UE717" s="1176"/>
      <c r="UF717" s="1176"/>
      <c r="UG717" s="1176"/>
      <c r="UH717" s="1176"/>
      <c r="UI717" s="1176"/>
      <c r="UJ717" s="1176"/>
      <c r="UK717" s="1176"/>
      <c r="UL717" s="1176"/>
      <c r="UM717" s="1176"/>
      <c r="UN717" s="1176"/>
      <c r="UO717" s="1176"/>
      <c r="UP717" s="1176"/>
      <c r="UQ717" s="1176"/>
      <c r="UR717" s="1176"/>
      <c r="US717" s="1176"/>
      <c r="UT717" s="1176"/>
      <c r="UU717" s="1176"/>
      <c r="UV717" s="1176"/>
      <c r="UW717" s="1176"/>
      <c r="UX717" s="1176"/>
      <c r="UY717" s="1176"/>
      <c r="UZ717" s="1176"/>
      <c r="VA717" s="1176"/>
      <c r="VB717" s="1176"/>
      <c r="VC717" s="1176"/>
      <c r="VD717" s="1176"/>
      <c r="VE717" s="1176"/>
      <c r="VF717" s="1176"/>
      <c r="VG717" s="1176"/>
      <c r="VH717" s="1176"/>
      <c r="VI717" s="1176"/>
      <c r="VJ717" s="1176"/>
      <c r="VK717" s="1176"/>
      <c r="VL717" s="1176"/>
      <c r="VM717" s="1176"/>
      <c r="VN717" s="1176"/>
      <c r="VO717" s="1176"/>
      <c r="VP717" s="1176"/>
      <c r="VQ717" s="1176"/>
      <c r="VR717" s="1176"/>
      <c r="VS717" s="1176"/>
      <c r="VT717" s="1176"/>
      <c r="VU717" s="1176"/>
      <c r="VV717" s="1176"/>
      <c r="VW717" s="1176"/>
      <c r="VX717" s="1176"/>
      <c r="VY717" s="1176"/>
      <c r="VZ717" s="1176"/>
      <c r="WA717" s="1176"/>
      <c r="WB717" s="1176"/>
      <c r="WC717" s="1176"/>
      <c r="WD717" s="1176"/>
      <c r="WE717" s="1176"/>
      <c r="WF717" s="1176"/>
      <c r="WG717" s="1176"/>
      <c r="WH717" s="1176"/>
      <c r="WI717" s="1176"/>
      <c r="WJ717" s="1176"/>
      <c r="WK717" s="1176"/>
      <c r="WL717" s="1176"/>
      <c r="WM717" s="1176"/>
      <c r="WN717" s="1176"/>
      <c r="WO717" s="1176"/>
      <c r="WP717" s="1176"/>
      <c r="WQ717" s="1176"/>
      <c r="WR717" s="1176"/>
      <c r="WS717" s="1176"/>
      <c r="WT717" s="1176"/>
      <c r="WU717" s="1176"/>
      <c r="WV717" s="1176"/>
      <c r="WW717" s="1176"/>
      <c r="WX717" s="1176"/>
      <c r="WY717" s="1176"/>
      <c r="WZ717" s="1176"/>
      <c r="XA717" s="1176"/>
      <c r="XB717" s="1176"/>
      <c r="XC717" s="1176"/>
      <c r="XD717" s="1176"/>
      <c r="XE717" s="1176"/>
      <c r="XF717" s="1176"/>
      <c r="XG717" s="1176"/>
      <c r="XH717" s="1176"/>
      <c r="XI717" s="1176"/>
      <c r="XJ717" s="1176"/>
      <c r="XK717" s="1176"/>
      <c r="XL717" s="1176"/>
      <c r="XM717" s="1176"/>
      <c r="XN717" s="1176"/>
      <c r="XO717" s="1176"/>
      <c r="XP717" s="1176"/>
      <c r="XQ717" s="1176"/>
      <c r="XR717" s="1176"/>
      <c r="XS717" s="1176"/>
      <c r="XT717" s="1176"/>
      <c r="XU717" s="1176"/>
      <c r="XV717" s="1176"/>
      <c r="XW717" s="1176"/>
      <c r="XX717" s="1176"/>
      <c r="XY717" s="1176"/>
      <c r="XZ717" s="1176"/>
      <c r="YA717" s="1176"/>
      <c r="YB717" s="1176"/>
      <c r="YC717" s="1176"/>
      <c r="YD717" s="1176"/>
      <c r="YE717" s="1176"/>
      <c r="YF717" s="1176"/>
      <c r="YG717" s="1176"/>
      <c r="YH717" s="1176"/>
      <c r="YI717" s="1176"/>
      <c r="YJ717" s="1176"/>
      <c r="YK717" s="1176"/>
      <c r="YL717" s="1176"/>
      <c r="YM717" s="1176"/>
      <c r="YN717" s="1176"/>
      <c r="YO717" s="1176"/>
      <c r="YP717" s="1176"/>
      <c r="YQ717" s="1176"/>
      <c r="YR717" s="1176"/>
      <c r="YS717" s="1176"/>
      <c r="YT717" s="1176"/>
      <c r="YU717" s="1176"/>
      <c r="YV717" s="1176"/>
      <c r="YW717" s="1176"/>
      <c r="YX717" s="1176"/>
      <c r="YY717" s="1176"/>
      <c r="YZ717" s="1176"/>
      <c r="ZA717" s="1176"/>
      <c r="ZB717" s="1176"/>
      <c r="ZC717" s="1176"/>
      <c r="ZD717" s="1176"/>
      <c r="ZE717" s="1176"/>
      <c r="ZF717" s="1176"/>
      <c r="ZG717" s="1176"/>
      <c r="ZH717" s="1176"/>
      <c r="ZI717" s="1176"/>
      <c r="ZJ717" s="1176"/>
      <c r="ZK717" s="1176"/>
      <c r="ZL717" s="1176"/>
      <c r="ZM717" s="1176"/>
      <c r="ZN717" s="1176"/>
      <c r="ZO717" s="1176"/>
      <c r="ZP717" s="1176"/>
      <c r="ZQ717" s="1176"/>
      <c r="ZR717" s="1176"/>
      <c r="ZS717" s="1176"/>
      <c r="ZT717" s="1176"/>
      <c r="ZU717" s="1176"/>
      <c r="ZV717" s="1176"/>
      <c r="ZW717" s="1176"/>
      <c r="ZX717" s="1176"/>
      <c r="ZY717" s="1176"/>
      <c r="ZZ717" s="1176"/>
      <c r="AAA717" s="1176"/>
      <c r="AAB717" s="1176"/>
      <c r="AAC717" s="1176"/>
      <c r="AAD717" s="1176"/>
      <c r="AAE717" s="1176"/>
      <c r="AAF717" s="1176"/>
      <c r="AAG717" s="1176"/>
      <c r="AAH717" s="1176"/>
      <c r="AAI717" s="1176"/>
      <c r="AAJ717" s="1176"/>
      <c r="AAK717" s="1176"/>
      <c r="AAL717" s="1176"/>
      <c r="AAM717" s="1176"/>
      <c r="AAN717" s="1176"/>
      <c r="AAO717" s="1176"/>
      <c r="AAP717" s="1176"/>
      <c r="AAQ717" s="1176"/>
      <c r="AAR717" s="1176"/>
      <c r="AAS717" s="1176"/>
      <c r="AAT717" s="1176"/>
      <c r="AAU717" s="1176"/>
      <c r="AAV717" s="1176"/>
      <c r="AAW717" s="1176"/>
      <c r="AAX717" s="1176"/>
      <c r="AAY717" s="1176"/>
      <c r="AAZ717" s="1176"/>
      <c r="ABA717" s="1176"/>
      <c r="ABB717" s="1176"/>
      <c r="ABC717" s="1176"/>
      <c r="ABD717" s="1176"/>
      <c r="ABE717" s="1176"/>
      <c r="ABF717" s="1176"/>
      <c r="ABG717" s="1176"/>
      <c r="ABH717" s="1176"/>
      <c r="ABI717" s="1176"/>
      <c r="ABJ717" s="1176"/>
      <c r="ABK717" s="1176"/>
      <c r="ABL717" s="1176"/>
      <c r="ABM717" s="1176"/>
      <c r="ABN717" s="1176"/>
      <c r="ABO717" s="1176"/>
      <c r="ABP717" s="1176"/>
      <c r="ABQ717" s="1176"/>
      <c r="ABR717" s="1176"/>
      <c r="ABS717" s="1176"/>
      <c r="ABT717" s="1176"/>
      <c r="ABU717" s="1176"/>
      <c r="ABV717" s="1176"/>
      <c r="ABW717" s="1176"/>
      <c r="ABX717" s="1176"/>
      <c r="ABY717" s="1176"/>
      <c r="ABZ717" s="1176"/>
      <c r="ACA717" s="1176"/>
      <c r="ACB717" s="1176"/>
      <c r="ACC717" s="1176"/>
      <c r="ACD717" s="1176"/>
      <c r="ACE717" s="1176"/>
      <c r="ACF717" s="1176"/>
      <c r="ACG717" s="1176"/>
      <c r="ACH717" s="1176"/>
      <c r="ACI717" s="1176"/>
      <c r="ACJ717" s="1176"/>
      <c r="ACK717" s="1176"/>
      <c r="ACL717" s="1176"/>
      <c r="ACM717" s="1176"/>
      <c r="ACN717" s="1176"/>
      <c r="ACO717" s="1176"/>
      <c r="ACP717" s="1176"/>
      <c r="ACQ717" s="1176"/>
      <c r="ACR717" s="1176"/>
      <c r="ACS717" s="1176"/>
      <c r="ACT717" s="1176"/>
      <c r="ACU717" s="1176"/>
      <c r="ACV717" s="1176"/>
      <c r="ACW717" s="1176"/>
      <c r="ACX717" s="1176"/>
      <c r="ACY717" s="1176"/>
      <c r="ACZ717" s="1176"/>
      <c r="ADA717" s="1176"/>
      <c r="ADB717" s="1176"/>
      <c r="ADC717" s="1176"/>
      <c r="ADD717" s="1176"/>
      <c r="ADE717" s="1176"/>
      <c r="ADF717" s="1176"/>
      <c r="ADG717" s="1176"/>
      <c r="ADH717" s="1176"/>
      <c r="ADI717" s="1176"/>
      <c r="ADJ717" s="1176"/>
      <c r="ADK717" s="1176"/>
      <c r="ADL717" s="1176"/>
      <c r="ADM717" s="1176"/>
      <c r="ADN717" s="1176"/>
      <c r="ADO717" s="1176"/>
      <c r="ADP717" s="1176"/>
      <c r="ADQ717" s="1176"/>
      <c r="ADR717" s="1176"/>
      <c r="ADS717" s="1176"/>
      <c r="ADT717" s="1176"/>
      <c r="ADU717" s="1176"/>
      <c r="ADV717" s="1176"/>
      <c r="ADW717" s="1176"/>
      <c r="ADX717" s="1176"/>
      <c r="ADY717" s="1176"/>
      <c r="ADZ717" s="1176"/>
      <c r="AEA717" s="1176"/>
      <c r="AEB717" s="1176"/>
      <c r="AEC717" s="1176"/>
      <c r="AED717" s="1176"/>
      <c r="AEE717" s="1176"/>
      <c r="AEF717" s="1176"/>
      <c r="AEG717" s="1176"/>
      <c r="AEH717" s="1176"/>
      <c r="AEI717" s="1176"/>
      <c r="AEJ717" s="1176"/>
      <c r="AEK717" s="1176"/>
      <c r="AEL717" s="1176"/>
      <c r="AEM717" s="1176"/>
      <c r="AEN717" s="1176"/>
      <c r="AEO717" s="1176"/>
      <c r="AEP717" s="1176"/>
      <c r="AEQ717" s="1176"/>
      <c r="AER717" s="1176"/>
      <c r="AES717" s="1176"/>
      <c r="AET717" s="1176"/>
      <c r="AEU717" s="1176"/>
      <c r="AEV717" s="1176"/>
      <c r="AEW717" s="1176"/>
      <c r="AEX717" s="1176"/>
      <c r="AEY717" s="1176"/>
      <c r="AEZ717" s="1176"/>
      <c r="AFA717" s="1176"/>
      <c r="AFB717" s="1176"/>
      <c r="AFC717" s="1176"/>
      <c r="AFD717" s="1176"/>
      <c r="AFE717" s="1176"/>
      <c r="AFF717" s="1176"/>
      <c r="AFG717" s="1176"/>
      <c r="AFH717" s="1176"/>
      <c r="AFI717" s="1176"/>
      <c r="AFJ717" s="1176"/>
      <c r="AFK717" s="1176"/>
      <c r="AFL717" s="1176"/>
      <c r="AFM717" s="1176"/>
      <c r="AFN717" s="1176"/>
      <c r="AFO717" s="1176"/>
      <c r="AFP717" s="1176"/>
      <c r="AFQ717" s="1176"/>
      <c r="AFR717" s="1176"/>
      <c r="AFS717" s="1176"/>
      <c r="AFT717" s="1176"/>
      <c r="AFU717" s="1176"/>
      <c r="AFV717" s="1176"/>
      <c r="AFW717" s="1176"/>
      <c r="AFX717" s="1176"/>
      <c r="AFY717" s="1176"/>
      <c r="AFZ717" s="1176"/>
      <c r="AGA717" s="1176"/>
      <c r="AGB717" s="1176"/>
      <c r="AGC717" s="1176"/>
      <c r="AGD717" s="1176"/>
      <c r="AGE717" s="1176"/>
      <c r="AGF717" s="1176"/>
      <c r="AGG717" s="1176"/>
      <c r="AGH717" s="1176"/>
      <c r="AGI717" s="1176"/>
      <c r="AGJ717" s="1176"/>
      <c r="AGK717" s="1176"/>
      <c r="AGL717" s="1176"/>
      <c r="AGM717" s="1176"/>
      <c r="AGN717" s="1176"/>
      <c r="AGO717" s="1176"/>
      <c r="AGP717" s="1176"/>
      <c r="AGQ717" s="1176"/>
      <c r="AGR717" s="1176"/>
      <c r="AGS717" s="1176"/>
      <c r="AGT717" s="1176"/>
      <c r="AGU717" s="1176"/>
      <c r="AGV717" s="1176"/>
      <c r="AGW717" s="1176"/>
      <c r="AGX717" s="1176"/>
      <c r="AGY717" s="1176"/>
      <c r="AGZ717" s="1176"/>
      <c r="AHA717" s="1176"/>
      <c r="AHB717" s="1176"/>
      <c r="AHC717" s="1176"/>
      <c r="AHD717" s="1176"/>
      <c r="AHE717" s="1176"/>
      <c r="AHF717" s="1176"/>
      <c r="AHG717" s="1176"/>
      <c r="AHH717" s="1176"/>
      <c r="AHI717" s="1176"/>
      <c r="AHJ717" s="1176"/>
      <c r="AHK717" s="1176"/>
      <c r="AHL717" s="1176"/>
      <c r="AHM717" s="1176"/>
      <c r="AHN717" s="1176"/>
      <c r="AHO717" s="1176"/>
      <c r="AHP717" s="1176"/>
      <c r="AHQ717" s="1176"/>
      <c r="AHR717" s="1176"/>
      <c r="AHS717" s="1176"/>
      <c r="AHT717" s="1176"/>
      <c r="AHU717" s="1176"/>
      <c r="AHV717" s="1176"/>
      <c r="AHW717" s="1176"/>
      <c r="AHX717" s="1176"/>
      <c r="AHY717" s="1176"/>
      <c r="AHZ717" s="1176"/>
      <c r="AIA717" s="1176"/>
      <c r="AIB717" s="1176"/>
      <c r="AIC717" s="1176"/>
      <c r="AID717" s="1176"/>
      <c r="AIE717" s="1176"/>
      <c r="AIF717" s="1176"/>
      <c r="AIG717" s="1176"/>
      <c r="AIH717" s="1176"/>
      <c r="AII717" s="1176"/>
      <c r="AIJ717" s="1176"/>
      <c r="AIK717" s="1176"/>
      <c r="AIL717" s="1176"/>
      <c r="AIM717" s="1176"/>
      <c r="AIN717" s="1176"/>
      <c r="AIO717" s="1176"/>
      <c r="AIP717" s="1176"/>
      <c r="AIQ717" s="1176"/>
      <c r="AIR717" s="1176"/>
      <c r="AIS717" s="1176"/>
      <c r="AIT717" s="1176"/>
      <c r="AIU717" s="1176"/>
      <c r="AIV717" s="1176"/>
      <c r="AIW717" s="1176"/>
      <c r="AIX717" s="1176"/>
      <c r="AIY717" s="1176"/>
      <c r="AIZ717" s="1176"/>
      <c r="AJA717" s="1176"/>
      <c r="AJB717" s="1176"/>
      <c r="AJC717" s="1176"/>
      <c r="AJD717" s="1176"/>
      <c r="AJE717" s="1176"/>
      <c r="AJF717" s="1176"/>
      <c r="AJG717" s="1176"/>
      <c r="AJH717" s="1176"/>
      <c r="AJI717" s="1176"/>
      <c r="AJJ717" s="1176"/>
      <c r="AJK717" s="1176"/>
      <c r="AJL717" s="1176"/>
      <c r="AJM717" s="1176"/>
      <c r="AJN717" s="1176"/>
      <c r="AJO717" s="1176"/>
      <c r="AJP717" s="1176"/>
      <c r="AJQ717" s="1176"/>
      <c r="AJR717" s="1176"/>
      <c r="AJS717" s="1176"/>
      <c r="AJT717" s="1176"/>
      <c r="AJU717" s="1176"/>
      <c r="AJV717" s="1176"/>
      <c r="AJW717" s="1176"/>
      <c r="AJX717" s="1176"/>
      <c r="AJY717" s="1176"/>
      <c r="AJZ717" s="1176"/>
      <c r="AKA717" s="1176"/>
      <c r="AKB717" s="1176"/>
      <c r="AKC717" s="1176"/>
      <c r="AKD717" s="1176"/>
      <c r="AKE717" s="1176"/>
      <c r="AKF717" s="1176"/>
      <c r="AKG717" s="1176"/>
      <c r="AKH717" s="1176"/>
      <c r="AKI717" s="1176"/>
      <c r="AKJ717" s="1176"/>
      <c r="AKK717" s="1176"/>
      <c r="AKL717" s="1176"/>
      <c r="AKM717" s="1176"/>
      <c r="AKN717" s="1176"/>
      <c r="AKO717" s="1176"/>
      <c r="AKP717" s="1176"/>
      <c r="AKQ717" s="1176"/>
      <c r="AKR717" s="1176"/>
      <c r="AKS717" s="1176"/>
      <c r="AKT717" s="1176"/>
      <c r="AKU717" s="1176"/>
      <c r="AKV717" s="1176"/>
      <c r="AKW717" s="1176"/>
      <c r="AKX717" s="1176"/>
      <c r="AKY717" s="1176"/>
      <c r="AKZ717" s="1176"/>
      <c r="ALA717" s="1176"/>
      <c r="ALB717" s="1176"/>
      <c r="ALC717" s="1176"/>
      <c r="ALD717" s="1176"/>
      <c r="ALE717" s="1176"/>
      <c r="ALF717" s="1176"/>
      <c r="ALG717" s="1176"/>
      <c r="ALH717" s="1176"/>
      <c r="ALI717" s="1176"/>
      <c r="ALJ717" s="1176"/>
      <c r="ALK717" s="1176"/>
      <c r="ALL717" s="1176"/>
      <c r="ALM717" s="1176"/>
      <c r="ALN717" s="1176"/>
      <c r="ALO717" s="1176"/>
      <c r="ALP717" s="1176"/>
      <c r="ALQ717" s="1176"/>
      <c r="ALR717" s="1176"/>
      <c r="ALS717" s="1176"/>
      <c r="ALT717" s="1176"/>
      <c r="ALU717" s="1176"/>
      <c r="ALV717" s="1176"/>
      <c r="ALW717" s="1176"/>
      <c r="ALX717" s="1176"/>
      <c r="ALY717" s="1176"/>
      <c r="ALZ717" s="1176"/>
      <c r="AMA717" s="1176"/>
      <c r="AMB717" s="1176"/>
      <c r="AMC717" s="1176"/>
      <c r="AMD717" s="1176"/>
      <c r="AME717" s="1176"/>
      <c r="AMF717" s="1176"/>
      <c r="AMG717" s="1176"/>
      <c r="AMH717" s="1176"/>
      <c r="AMI717" s="1176"/>
      <c r="AMJ717" s="1176"/>
      <c r="AMK717" s="1176"/>
      <c r="AML717" s="1176"/>
      <c r="AMM717" s="1176"/>
      <c r="AMN717" s="1176"/>
      <c r="AMO717" s="1176"/>
      <c r="AMP717" s="1176"/>
      <c r="AMQ717" s="1176"/>
      <c r="AMR717" s="1176"/>
      <c r="AMS717" s="1176"/>
      <c r="AMT717" s="1176"/>
      <c r="AMU717" s="1176"/>
      <c r="AMV717" s="1176"/>
      <c r="AMW717" s="1176"/>
      <c r="AMX717" s="1176"/>
      <c r="AMY717" s="1176"/>
      <c r="AMZ717" s="1176"/>
      <c r="ANA717" s="1176"/>
      <c r="ANB717" s="1176"/>
      <c r="ANC717" s="1176"/>
      <c r="AND717" s="1176"/>
      <c r="ANE717" s="1176"/>
      <c r="ANF717" s="1176"/>
      <c r="ANG717" s="1176"/>
      <c r="ANH717" s="1176"/>
      <c r="ANI717" s="1176"/>
      <c r="ANJ717" s="1176"/>
      <c r="ANK717" s="1176"/>
      <c r="ANL717" s="1176"/>
      <c r="ANM717" s="1176"/>
      <c r="ANN717" s="1176"/>
      <c r="ANO717" s="1176"/>
      <c r="ANP717" s="1176"/>
      <c r="ANQ717" s="1176"/>
      <c r="ANR717" s="1176"/>
      <c r="ANS717" s="1176"/>
      <c r="ANT717" s="1176"/>
      <c r="ANU717" s="1176"/>
      <c r="ANV717" s="1176"/>
      <c r="ANW717" s="1176"/>
      <c r="ANX717" s="1176"/>
      <c r="ANY717" s="1176"/>
      <c r="ANZ717" s="1176"/>
      <c r="AOA717" s="1176"/>
      <c r="AOB717" s="1176"/>
      <c r="AOC717" s="1176"/>
      <c r="AOD717" s="1176"/>
      <c r="AOE717" s="1176"/>
      <c r="AOF717" s="1176"/>
      <c r="AOG717" s="1176"/>
      <c r="AOH717" s="1176"/>
      <c r="AOI717" s="1176"/>
      <c r="AOJ717" s="1176"/>
      <c r="AOK717" s="1176"/>
      <c r="AOL717" s="1176"/>
      <c r="AOM717" s="1176"/>
      <c r="AON717" s="1176"/>
      <c r="AOO717" s="1176"/>
      <c r="AOP717" s="1176"/>
      <c r="AOQ717" s="1176"/>
      <c r="AOR717" s="1176"/>
      <c r="AOS717" s="1176"/>
      <c r="AOT717" s="1176"/>
      <c r="AOU717" s="1176"/>
      <c r="AOV717" s="1176"/>
      <c r="AOW717" s="1176"/>
      <c r="AOX717" s="1176"/>
      <c r="AOY717" s="1176"/>
      <c r="AOZ717" s="1176"/>
      <c r="APA717" s="1176"/>
      <c r="APB717" s="1176"/>
      <c r="APC717" s="1176"/>
      <c r="APD717" s="1176"/>
      <c r="APE717" s="1176"/>
      <c r="APF717" s="1176"/>
      <c r="APG717" s="1176"/>
      <c r="APH717" s="1176"/>
      <c r="API717" s="1176"/>
      <c r="APJ717" s="1176"/>
      <c r="APK717" s="1176"/>
      <c r="APL717" s="1176"/>
      <c r="APM717" s="1176"/>
      <c r="APN717" s="1176"/>
      <c r="APO717" s="1176"/>
      <c r="APP717" s="1176"/>
      <c r="APQ717" s="1176"/>
      <c r="APR717" s="1176"/>
      <c r="APS717" s="1176"/>
      <c r="APT717" s="1176"/>
      <c r="APU717" s="1176"/>
      <c r="APV717" s="1176"/>
      <c r="APW717" s="1176"/>
      <c r="APX717" s="1176"/>
      <c r="APY717" s="1176"/>
      <c r="APZ717" s="1176"/>
      <c r="AQA717" s="1176"/>
      <c r="AQB717" s="1176"/>
      <c r="AQC717" s="1176"/>
      <c r="AQD717" s="1176"/>
      <c r="AQE717" s="1176"/>
      <c r="AQF717" s="1176"/>
      <c r="AQG717" s="1176"/>
      <c r="AQH717" s="1176"/>
      <c r="AQI717" s="1176"/>
      <c r="AQJ717" s="1176"/>
      <c r="AQK717" s="1176"/>
      <c r="AQL717" s="1176"/>
      <c r="AQM717" s="1176"/>
      <c r="AQN717" s="1176"/>
      <c r="AQO717" s="1176"/>
      <c r="AQP717" s="1176"/>
      <c r="AQQ717" s="1176"/>
      <c r="AQR717" s="1176"/>
      <c r="AQS717" s="1176"/>
      <c r="AQT717" s="1176"/>
      <c r="AQU717" s="1176"/>
      <c r="AQV717" s="1176"/>
      <c r="AQW717" s="1176"/>
      <c r="AQX717" s="1176"/>
      <c r="AQY717" s="1176"/>
      <c r="AQZ717" s="1176"/>
      <c r="ARA717" s="1176"/>
      <c r="ARB717" s="1176"/>
      <c r="ARC717" s="1176"/>
      <c r="ARD717" s="1176"/>
      <c r="ARE717" s="1176"/>
      <c r="ARF717" s="1176"/>
      <c r="ARG717" s="1176"/>
      <c r="ARH717" s="1176"/>
      <c r="ARI717" s="1176"/>
      <c r="ARJ717" s="1176"/>
      <c r="ARK717" s="1176"/>
      <c r="ARL717" s="1176"/>
      <c r="ARM717" s="1176"/>
      <c r="ARN717" s="1176"/>
      <c r="ARO717" s="1176"/>
      <c r="ARP717" s="1176"/>
      <c r="ARQ717" s="1176"/>
      <c r="ARR717" s="1176"/>
      <c r="ARS717" s="1176"/>
      <c r="ART717" s="1176"/>
      <c r="ARU717" s="1176"/>
      <c r="ARV717" s="1176"/>
      <c r="ARW717" s="1176"/>
      <c r="ARX717" s="1176"/>
      <c r="ARY717" s="1176"/>
      <c r="ARZ717" s="1176"/>
      <c r="ASA717" s="1176"/>
      <c r="ASB717" s="1176"/>
      <c r="ASC717" s="1176"/>
      <c r="ASD717" s="1176"/>
      <c r="ASE717" s="1176"/>
      <c r="ASF717" s="1176"/>
      <c r="ASG717" s="1176"/>
      <c r="ASH717" s="1176"/>
      <c r="ASI717" s="1176"/>
      <c r="ASJ717" s="1176"/>
      <c r="ASK717" s="1176"/>
      <c r="ASL717" s="1176"/>
      <c r="ASM717" s="1176"/>
      <c r="ASN717" s="1176"/>
      <c r="ASO717" s="1176"/>
      <c r="ASP717" s="1176"/>
      <c r="ASQ717" s="1176"/>
      <c r="ASR717" s="1176"/>
      <c r="ASS717" s="1176"/>
      <c r="AST717" s="1176"/>
      <c r="ASU717" s="1176"/>
      <c r="ASV717" s="1176"/>
      <c r="ASW717" s="1176"/>
      <c r="ASX717" s="1176"/>
      <c r="ASY717" s="1176"/>
      <c r="ASZ717" s="1176"/>
      <c r="ATA717" s="1176"/>
      <c r="ATB717" s="1176"/>
      <c r="ATC717" s="1176"/>
      <c r="ATD717" s="1176"/>
      <c r="ATE717" s="1176"/>
      <c r="ATF717" s="1176"/>
      <c r="ATG717" s="1176"/>
      <c r="ATH717" s="1176"/>
      <c r="ATI717" s="1176"/>
      <c r="ATJ717" s="1176"/>
      <c r="ATK717" s="1176"/>
      <c r="ATL717" s="1176"/>
      <c r="ATM717" s="1176"/>
      <c r="ATN717" s="1176"/>
      <c r="ATO717" s="1176"/>
      <c r="ATP717" s="1176"/>
      <c r="ATQ717" s="1176"/>
      <c r="ATR717" s="1176"/>
      <c r="ATS717" s="1176"/>
      <c r="ATT717" s="1176"/>
      <c r="ATU717" s="1176"/>
      <c r="ATV717" s="1176"/>
      <c r="ATW717" s="1176"/>
      <c r="ATX717" s="1176"/>
      <c r="ATY717" s="1176"/>
      <c r="ATZ717" s="1176"/>
      <c r="AUA717" s="1176"/>
      <c r="AUB717" s="1176"/>
      <c r="AUC717" s="1176"/>
      <c r="AUD717" s="1176"/>
      <c r="AUE717" s="1176"/>
      <c r="AUF717" s="1176"/>
      <c r="AUG717" s="1176"/>
      <c r="AUH717" s="1176"/>
      <c r="AUI717" s="1176"/>
      <c r="AUJ717" s="1176"/>
      <c r="AUK717" s="1176"/>
      <c r="AUL717" s="1176"/>
      <c r="AUM717" s="1176"/>
      <c r="AUN717" s="1176"/>
      <c r="AUO717" s="1176"/>
      <c r="AUP717" s="1176"/>
      <c r="AUQ717" s="1176"/>
      <c r="AUR717" s="1176"/>
      <c r="AUS717" s="1176"/>
      <c r="AUT717" s="1176"/>
      <c r="AUU717" s="1176"/>
      <c r="AUV717" s="1176"/>
      <c r="AUW717" s="1176"/>
      <c r="AUX717" s="1176"/>
      <c r="AUY717" s="1176"/>
      <c r="AUZ717" s="1176"/>
      <c r="AVA717" s="1176"/>
      <c r="AVB717" s="1176"/>
      <c r="AVC717" s="1176"/>
      <c r="AVD717" s="1176"/>
      <c r="AVE717" s="1176"/>
      <c r="AVF717" s="1176"/>
      <c r="AVG717" s="1176"/>
      <c r="AVH717" s="1176"/>
      <c r="AVI717" s="1176"/>
      <c r="AVJ717" s="1176"/>
      <c r="AVK717" s="1176"/>
      <c r="AVL717" s="1176"/>
      <c r="AVM717" s="1176"/>
      <c r="AVN717" s="1176"/>
      <c r="AVO717" s="1176"/>
      <c r="AVP717" s="1176"/>
      <c r="AVQ717" s="1176"/>
      <c r="AVR717" s="1176"/>
      <c r="AVS717" s="1176"/>
      <c r="AVT717" s="1176"/>
      <c r="AVU717" s="1176"/>
      <c r="AVV717" s="1176"/>
      <c r="AVW717" s="1176"/>
      <c r="AVX717" s="1176"/>
      <c r="AVY717" s="1176"/>
      <c r="AVZ717" s="1176"/>
      <c r="AWA717" s="1176"/>
      <c r="AWB717" s="1176"/>
      <c r="AWC717" s="1176"/>
      <c r="AWD717" s="1176"/>
      <c r="AWE717" s="1176"/>
      <c r="AWF717" s="1176"/>
      <c r="AWG717" s="1176"/>
      <c r="AWH717" s="1176"/>
      <c r="AWI717" s="1176"/>
      <c r="AWJ717" s="1176"/>
      <c r="AWK717" s="1176"/>
      <c r="AWL717" s="1176"/>
      <c r="AWM717" s="1176"/>
      <c r="AWN717" s="1176"/>
      <c r="AWO717" s="1176"/>
      <c r="AWP717" s="1176"/>
      <c r="AWQ717" s="1176"/>
      <c r="AWR717" s="1176"/>
      <c r="AWS717" s="1176"/>
      <c r="AWT717" s="1176"/>
      <c r="AWU717" s="1176"/>
      <c r="AWV717" s="1176"/>
      <c r="AWW717" s="1176"/>
      <c r="AWX717" s="1176"/>
      <c r="AWY717" s="1176"/>
      <c r="AWZ717" s="1176"/>
      <c r="AXA717" s="1176"/>
      <c r="AXB717" s="1176"/>
      <c r="AXC717" s="1176"/>
      <c r="AXD717" s="1176"/>
      <c r="AXE717" s="1176"/>
      <c r="AXF717" s="1176"/>
      <c r="AXG717" s="1176"/>
      <c r="AXH717" s="1176"/>
      <c r="AXI717" s="1176"/>
      <c r="AXJ717" s="1176"/>
      <c r="AXK717" s="1176"/>
      <c r="AXL717" s="1176"/>
      <c r="AXM717" s="1176"/>
      <c r="AXN717" s="1176"/>
      <c r="AXO717" s="1176"/>
      <c r="AXP717" s="1176"/>
      <c r="AXQ717" s="1176"/>
      <c r="AXR717" s="1176"/>
      <c r="AXS717" s="1176"/>
      <c r="AXT717" s="1176"/>
      <c r="AXU717" s="1176"/>
      <c r="AXV717" s="1176"/>
      <c r="AXW717" s="1176"/>
      <c r="AXX717" s="1176"/>
      <c r="AXY717" s="1176"/>
      <c r="AXZ717" s="1176"/>
      <c r="AYA717" s="1176"/>
      <c r="AYB717" s="1176"/>
      <c r="AYC717" s="1176"/>
      <c r="AYD717" s="1176"/>
      <c r="AYE717" s="1176"/>
      <c r="AYF717" s="1176"/>
      <c r="AYG717" s="1176"/>
      <c r="AYH717" s="1176"/>
      <c r="AYI717" s="1176"/>
      <c r="AYJ717" s="1176"/>
      <c r="AYK717" s="1176"/>
      <c r="AYL717" s="1176"/>
      <c r="AYM717" s="1176"/>
      <c r="AYN717" s="1176"/>
      <c r="AYO717" s="1176"/>
      <c r="AYP717" s="1176"/>
      <c r="AYQ717" s="1176"/>
      <c r="AYR717" s="1176"/>
      <c r="AYS717" s="1176"/>
      <c r="AYT717" s="1176"/>
      <c r="AYU717" s="1176"/>
      <c r="AYV717" s="1176"/>
      <c r="AYW717" s="1176"/>
      <c r="AYX717" s="1176"/>
      <c r="AYY717" s="1176"/>
      <c r="AYZ717" s="1176"/>
      <c r="AZA717" s="1176"/>
      <c r="AZB717" s="1176"/>
      <c r="AZC717" s="1176"/>
      <c r="AZD717" s="1176"/>
      <c r="AZE717" s="1176"/>
      <c r="AZF717" s="1176"/>
      <c r="AZG717" s="1176"/>
      <c r="AZH717" s="1176"/>
      <c r="AZI717" s="1176"/>
      <c r="AZJ717" s="1176"/>
      <c r="AZK717" s="1176"/>
      <c r="AZL717" s="1176"/>
      <c r="AZM717" s="1176"/>
      <c r="AZN717" s="1176"/>
      <c r="AZO717" s="1176"/>
      <c r="AZP717" s="1176"/>
      <c r="AZQ717" s="1176"/>
      <c r="AZR717" s="1176"/>
      <c r="AZS717" s="1176"/>
      <c r="AZT717" s="1176"/>
      <c r="AZU717" s="1176"/>
      <c r="AZV717" s="1176"/>
      <c r="AZW717" s="1176"/>
      <c r="AZX717" s="1176"/>
      <c r="AZY717" s="1176"/>
      <c r="AZZ717" s="1176"/>
      <c r="BAA717" s="1176"/>
      <c r="BAB717" s="1176"/>
      <c r="BAC717" s="1176"/>
      <c r="BAD717" s="1176"/>
      <c r="BAE717" s="1176"/>
      <c r="BAF717" s="1176"/>
      <c r="BAG717" s="1176"/>
      <c r="BAH717" s="1176"/>
      <c r="BAI717" s="1176"/>
      <c r="BAJ717" s="1176"/>
      <c r="BAK717" s="1176"/>
      <c r="BAL717" s="1176"/>
      <c r="BAM717" s="1176"/>
      <c r="BAN717" s="1176"/>
      <c r="BAO717" s="1176"/>
      <c r="BAP717" s="1176"/>
      <c r="BAQ717" s="1176"/>
      <c r="BAR717" s="1176"/>
      <c r="BAS717" s="1176"/>
      <c r="BAT717" s="1176"/>
      <c r="BAU717" s="1176"/>
      <c r="BAV717" s="1176"/>
      <c r="BAW717" s="1176"/>
      <c r="BAX717" s="1176"/>
      <c r="BAY717" s="1176"/>
      <c r="BAZ717" s="1176"/>
      <c r="BBA717" s="1176"/>
      <c r="BBB717" s="1176"/>
      <c r="BBC717" s="1176"/>
      <c r="BBD717" s="1176"/>
      <c r="BBE717" s="1176"/>
      <c r="BBF717" s="1176"/>
      <c r="BBG717" s="1176"/>
      <c r="BBH717" s="1176"/>
      <c r="BBI717" s="1176"/>
      <c r="BBJ717" s="1176"/>
      <c r="BBK717" s="1176"/>
      <c r="BBL717" s="1176"/>
      <c r="BBM717" s="1176"/>
      <c r="BBN717" s="1176"/>
      <c r="BBO717" s="1176"/>
      <c r="BBP717" s="1176"/>
      <c r="BBQ717" s="1176"/>
      <c r="BBR717" s="1176"/>
      <c r="BBS717" s="1176"/>
      <c r="BBT717" s="1176"/>
      <c r="BBU717" s="1176"/>
      <c r="BBV717" s="1176"/>
      <c r="BBW717" s="1176"/>
      <c r="BBX717" s="1176"/>
      <c r="BBY717" s="1176"/>
      <c r="BBZ717" s="1176"/>
      <c r="BCA717" s="1176"/>
      <c r="BCB717" s="1176"/>
      <c r="BCC717" s="1176"/>
      <c r="BCD717" s="1176"/>
      <c r="BCE717" s="1176"/>
      <c r="BCF717" s="1176"/>
      <c r="BCG717" s="1176"/>
      <c r="BCH717" s="1176"/>
      <c r="BCI717" s="1176"/>
      <c r="BCJ717" s="1176"/>
      <c r="BCK717" s="1176"/>
      <c r="BCL717" s="1176"/>
      <c r="BCM717" s="1176"/>
      <c r="BCN717" s="1176"/>
      <c r="BCO717" s="1176"/>
      <c r="BCP717" s="1176"/>
      <c r="BCQ717" s="1176"/>
      <c r="BCR717" s="1176"/>
      <c r="BCS717" s="1176"/>
      <c r="BCT717" s="1176"/>
      <c r="BCU717" s="1176"/>
      <c r="BCV717" s="1176"/>
      <c r="BCW717" s="1176"/>
      <c r="BCX717" s="1176"/>
      <c r="BCY717" s="1176"/>
      <c r="BCZ717" s="1176"/>
      <c r="BDA717" s="1176"/>
      <c r="BDB717" s="1176"/>
      <c r="BDC717" s="1176"/>
      <c r="BDD717" s="1176"/>
      <c r="BDE717" s="1176"/>
      <c r="BDF717" s="1176"/>
      <c r="BDG717" s="1176"/>
      <c r="BDH717" s="1176"/>
      <c r="BDI717" s="1176"/>
      <c r="BDJ717" s="1176"/>
      <c r="BDK717" s="1176"/>
      <c r="BDL717" s="1176"/>
      <c r="BDM717" s="1176"/>
      <c r="BDN717" s="1176"/>
      <c r="BDO717" s="1176"/>
      <c r="BDP717" s="1176"/>
      <c r="BDQ717" s="1176"/>
      <c r="BDR717" s="1176"/>
      <c r="BDS717" s="1176"/>
      <c r="BDT717" s="1176"/>
      <c r="BDU717" s="1176"/>
      <c r="BDV717" s="1176"/>
      <c r="BDW717" s="1176"/>
      <c r="BDX717" s="1176"/>
      <c r="BDY717" s="1176"/>
      <c r="BDZ717" s="1176"/>
      <c r="BEA717" s="1176"/>
      <c r="BEB717" s="1176"/>
      <c r="BEC717" s="1176"/>
      <c r="BED717" s="1176"/>
      <c r="BEE717" s="1176"/>
      <c r="BEF717" s="1176"/>
      <c r="BEG717" s="1176"/>
      <c r="BEH717" s="1176"/>
      <c r="BEI717" s="1176"/>
      <c r="BEJ717" s="1176"/>
      <c r="BEK717" s="1176"/>
      <c r="BEL717" s="1176"/>
      <c r="BEM717" s="1176"/>
      <c r="BEN717" s="1176"/>
      <c r="BEO717" s="1176"/>
      <c r="BEP717" s="1176"/>
      <c r="BEQ717" s="1176"/>
      <c r="BER717" s="1176"/>
      <c r="BES717" s="1176"/>
      <c r="BET717" s="1176"/>
      <c r="BEU717" s="1176"/>
      <c r="BEV717" s="1176"/>
      <c r="BEW717" s="1176"/>
      <c r="BEX717" s="1176"/>
      <c r="BEY717" s="1176"/>
      <c r="BEZ717" s="1176"/>
      <c r="BFA717" s="1176"/>
      <c r="BFB717" s="1176"/>
      <c r="BFC717" s="1176"/>
      <c r="BFD717" s="1176"/>
      <c r="BFE717" s="1176"/>
      <c r="BFF717" s="1176"/>
      <c r="BFG717" s="1176"/>
      <c r="BFH717" s="1176"/>
      <c r="BFI717" s="1176"/>
      <c r="BFJ717" s="1176"/>
      <c r="BFK717" s="1176"/>
      <c r="BFL717" s="1176"/>
      <c r="BFM717" s="1176"/>
      <c r="BFN717" s="1176"/>
      <c r="BFO717" s="1176"/>
      <c r="BFP717" s="1176"/>
      <c r="BFQ717" s="1176"/>
      <c r="BFR717" s="1176"/>
      <c r="BFS717" s="1176"/>
      <c r="BFT717" s="1176"/>
      <c r="BFU717" s="1176"/>
      <c r="BFV717" s="1176"/>
      <c r="BFW717" s="1176"/>
      <c r="BFX717" s="1176"/>
      <c r="BFY717" s="1176"/>
      <c r="BFZ717" s="1176"/>
      <c r="BGA717" s="1176"/>
      <c r="BGB717" s="1176"/>
      <c r="BGC717" s="1176"/>
      <c r="BGD717" s="1176"/>
      <c r="BGE717" s="1176"/>
      <c r="BGF717" s="1176"/>
      <c r="BGG717" s="1176"/>
      <c r="BGH717" s="1176"/>
      <c r="BGI717" s="1176"/>
      <c r="BGJ717" s="1176"/>
      <c r="BGK717" s="1176"/>
      <c r="BGL717" s="1176"/>
      <c r="BGM717" s="1176"/>
      <c r="BGN717" s="1176"/>
      <c r="BGO717" s="1176"/>
      <c r="BGP717" s="1176"/>
      <c r="BGQ717" s="1176"/>
      <c r="BGR717" s="1176"/>
      <c r="BGS717" s="1176"/>
      <c r="BGT717" s="1176"/>
      <c r="BGU717" s="1176"/>
      <c r="BGV717" s="1176"/>
      <c r="BGW717" s="1176"/>
      <c r="BGX717" s="1176"/>
      <c r="BGY717" s="1176"/>
      <c r="BGZ717" s="1176"/>
      <c r="BHA717" s="1176"/>
      <c r="BHB717" s="1176"/>
      <c r="BHC717" s="1176"/>
      <c r="BHD717" s="1176"/>
      <c r="BHE717" s="1176"/>
      <c r="BHF717" s="1176"/>
      <c r="BHG717" s="1176"/>
      <c r="BHH717" s="1176"/>
      <c r="BHI717" s="1176"/>
      <c r="BHJ717" s="1176"/>
      <c r="BHK717" s="1176"/>
      <c r="BHL717" s="1176"/>
      <c r="BHM717" s="1176"/>
      <c r="BHN717" s="1176"/>
      <c r="BHO717" s="1176"/>
      <c r="BHP717" s="1176"/>
      <c r="BHQ717" s="1176"/>
      <c r="BHR717" s="1176"/>
      <c r="BHS717" s="1176"/>
      <c r="BHT717" s="1176"/>
      <c r="BHU717" s="1176"/>
      <c r="BHV717" s="1176"/>
      <c r="BHW717" s="1176"/>
      <c r="BHX717" s="1176"/>
      <c r="BHY717" s="1176"/>
      <c r="BHZ717" s="1176"/>
      <c r="BIA717" s="1176"/>
      <c r="BIB717" s="1176"/>
      <c r="BIC717" s="1176"/>
      <c r="BID717" s="1176"/>
      <c r="BIE717" s="1176"/>
      <c r="BIF717" s="1176"/>
      <c r="BIG717" s="1176"/>
      <c r="BIH717" s="1176"/>
      <c r="BII717" s="1176"/>
      <c r="BIJ717" s="1176"/>
      <c r="BIK717" s="1176"/>
      <c r="BIL717" s="1176"/>
      <c r="BIM717" s="1176"/>
      <c r="BIN717" s="1176"/>
      <c r="BIO717" s="1176"/>
      <c r="BIP717" s="1176"/>
      <c r="BIQ717" s="1176"/>
      <c r="BIR717" s="1176"/>
      <c r="BIS717" s="1176"/>
      <c r="BIT717" s="1176"/>
      <c r="BIU717" s="1176"/>
      <c r="BIV717" s="1176"/>
      <c r="BIW717" s="1176"/>
      <c r="BIX717" s="1176"/>
      <c r="BIY717" s="1176"/>
      <c r="BIZ717" s="1176"/>
      <c r="BJA717" s="1176"/>
      <c r="BJB717" s="1176"/>
      <c r="BJC717" s="1176"/>
      <c r="BJD717" s="1176"/>
      <c r="BJE717" s="1176"/>
      <c r="BJF717" s="1176"/>
      <c r="BJG717" s="1176"/>
      <c r="BJH717" s="1176"/>
      <c r="BJI717" s="1176"/>
      <c r="BJJ717" s="1176"/>
      <c r="BJK717" s="1176"/>
      <c r="BJL717" s="1176"/>
      <c r="BJM717" s="1176"/>
      <c r="BJN717" s="1176"/>
      <c r="BJO717" s="1176"/>
      <c r="BJP717" s="1176"/>
      <c r="BJQ717" s="1176"/>
      <c r="BJR717" s="1176"/>
      <c r="BJS717" s="1176"/>
      <c r="BJT717" s="1176"/>
      <c r="BJU717" s="1176"/>
      <c r="BJV717" s="1176"/>
      <c r="BJW717" s="1176"/>
      <c r="BJX717" s="1176"/>
      <c r="BJY717" s="1176"/>
      <c r="BJZ717" s="1176"/>
      <c r="BKA717" s="1176"/>
      <c r="BKB717" s="1176"/>
      <c r="BKC717" s="1176"/>
      <c r="BKD717" s="1176"/>
      <c r="BKE717" s="1176"/>
      <c r="BKF717" s="1176"/>
      <c r="BKG717" s="1176"/>
      <c r="BKH717" s="1176"/>
      <c r="BKI717" s="1176"/>
      <c r="BKJ717" s="1176"/>
      <c r="BKK717" s="1176"/>
      <c r="BKL717" s="1176"/>
      <c r="BKM717" s="1176"/>
      <c r="BKN717" s="1176"/>
      <c r="BKO717" s="1176"/>
      <c r="BKP717" s="1176"/>
      <c r="BKQ717" s="1176"/>
      <c r="BKR717" s="1176"/>
      <c r="BKS717" s="1176"/>
      <c r="BKT717" s="1176"/>
      <c r="BKU717" s="1176"/>
      <c r="BKV717" s="1176"/>
      <c r="BKW717" s="1176"/>
      <c r="BKX717" s="1176"/>
      <c r="BKY717" s="1176"/>
      <c r="BKZ717" s="1176"/>
      <c r="BLA717" s="1176"/>
      <c r="BLB717" s="1176"/>
      <c r="BLC717" s="1176"/>
      <c r="BLD717" s="1176"/>
      <c r="BLE717" s="1176"/>
      <c r="BLF717" s="1176"/>
      <c r="BLG717" s="1176"/>
      <c r="BLH717" s="1176"/>
      <c r="BLI717" s="1176"/>
      <c r="BLJ717" s="1176"/>
      <c r="BLK717" s="1176"/>
      <c r="BLL717" s="1176"/>
      <c r="BLM717" s="1176"/>
      <c r="BLN717" s="1176"/>
      <c r="BLO717" s="1176"/>
      <c r="BLP717" s="1176"/>
      <c r="BLQ717" s="1176"/>
      <c r="BLR717" s="1176"/>
      <c r="BLS717" s="1176"/>
      <c r="BLT717" s="1176"/>
      <c r="BLU717" s="1176"/>
      <c r="BLV717" s="1176"/>
      <c r="BLW717" s="1176"/>
      <c r="BLX717" s="1176"/>
      <c r="BLY717" s="1176"/>
      <c r="BLZ717" s="1176"/>
      <c r="BMA717" s="1176"/>
      <c r="BMB717" s="1176"/>
      <c r="BMC717" s="1176"/>
      <c r="BMD717" s="1176"/>
      <c r="BME717" s="1176"/>
      <c r="BMF717" s="1176"/>
      <c r="BMG717" s="1176"/>
      <c r="BMH717" s="1176"/>
      <c r="BMI717" s="1176"/>
      <c r="BMJ717" s="1176"/>
      <c r="BMK717" s="1176"/>
      <c r="BML717" s="1176"/>
      <c r="BMM717" s="1176"/>
      <c r="BMN717" s="1176"/>
      <c r="BMO717" s="1176"/>
      <c r="BMP717" s="1176"/>
      <c r="BMQ717" s="1176"/>
      <c r="BMR717" s="1176"/>
      <c r="BMS717" s="1176"/>
      <c r="BMT717" s="1176"/>
      <c r="BMU717" s="1176"/>
      <c r="BMV717" s="1176"/>
      <c r="BMW717" s="1176"/>
      <c r="BMX717" s="1176"/>
      <c r="BMY717" s="1176"/>
      <c r="BMZ717" s="1176"/>
      <c r="BNA717" s="1176"/>
      <c r="BNB717" s="1176"/>
      <c r="BNC717" s="1176"/>
      <c r="BND717" s="1176"/>
      <c r="BNE717" s="1176"/>
      <c r="BNF717" s="1176"/>
      <c r="BNG717" s="1176"/>
      <c r="BNH717" s="1176"/>
      <c r="BNI717" s="1176"/>
      <c r="BNJ717" s="1176"/>
      <c r="BNK717" s="1176"/>
      <c r="BNL717" s="1176"/>
      <c r="BNM717" s="1176"/>
      <c r="BNN717" s="1176"/>
      <c r="BNO717" s="1176"/>
      <c r="BNP717" s="1176"/>
      <c r="BNQ717" s="1176"/>
      <c r="BNR717" s="1176"/>
      <c r="BNS717" s="1176"/>
      <c r="BNT717" s="1176"/>
      <c r="BNU717" s="1176"/>
      <c r="BNV717" s="1176"/>
      <c r="BNW717" s="1176"/>
      <c r="BNX717" s="1176"/>
      <c r="BNY717" s="1176"/>
      <c r="BNZ717" s="1176"/>
      <c r="BOA717" s="1176"/>
      <c r="BOB717" s="1176"/>
      <c r="BOC717" s="1176"/>
      <c r="BOD717" s="1176"/>
      <c r="BOE717" s="1176"/>
      <c r="BOF717" s="1176"/>
      <c r="BOG717" s="1176"/>
      <c r="BOH717" s="1176"/>
      <c r="BOI717" s="1176"/>
      <c r="BOJ717" s="1176"/>
      <c r="BOK717" s="1176"/>
      <c r="BOL717" s="1176"/>
      <c r="BOM717" s="1176"/>
      <c r="BON717" s="1176"/>
      <c r="BOO717" s="1176"/>
      <c r="BOP717" s="1176"/>
      <c r="BOQ717" s="1176"/>
      <c r="BOR717" s="1176"/>
      <c r="BOS717" s="1176"/>
      <c r="BOT717" s="1176"/>
      <c r="BOU717" s="1176"/>
      <c r="BOV717" s="1176"/>
      <c r="BOW717" s="1176"/>
      <c r="BOX717" s="1176"/>
      <c r="BOY717" s="1176"/>
      <c r="BOZ717" s="1176"/>
      <c r="BPA717" s="1176"/>
      <c r="BPB717" s="1176"/>
      <c r="BPC717" s="1176"/>
      <c r="BPD717" s="1176"/>
      <c r="BPE717" s="1176"/>
      <c r="BPF717" s="1176"/>
      <c r="BPG717" s="1176"/>
      <c r="BPH717" s="1176"/>
      <c r="BPI717" s="1176"/>
      <c r="BPJ717" s="1176"/>
      <c r="BPK717" s="1176"/>
      <c r="BPL717" s="1176"/>
      <c r="BPM717" s="1176"/>
      <c r="BPN717" s="1176"/>
      <c r="BPO717" s="1176"/>
      <c r="BPP717" s="1176"/>
      <c r="BPQ717" s="1176"/>
      <c r="BPR717" s="1176"/>
      <c r="BPS717" s="1176"/>
      <c r="BPT717" s="1176"/>
      <c r="BPU717" s="1176"/>
      <c r="BPV717" s="1176"/>
      <c r="BPW717" s="1176"/>
      <c r="BPX717" s="1176"/>
      <c r="BPY717" s="1176"/>
      <c r="BPZ717" s="1176"/>
      <c r="BQA717" s="1176"/>
      <c r="BQB717" s="1176"/>
      <c r="BQC717" s="1176"/>
      <c r="BQD717" s="1176"/>
      <c r="BQE717" s="1176"/>
      <c r="BQF717" s="1176"/>
      <c r="BQG717" s="1176"/>
      <c r="BQH717" s="1176"/>
      <c r="BQI717" s="1176"/>
      <c r="BQJ717" s="1176"/>
      <c r="BQK717" s="1176"/>
      <c r="BQL717" s="1176"/>
      <c r="BQM717" s="1176"/>
      <c r="BQN717" s="1176"/>
      <c r="BQO717" s="1176"/>
      <c r="BQP717" s="1176"/>
      <c r="BQQ717" s="1176"/>
      <c r="BQR717" s="1176"/>
      <c r="BQS717" s="1176"/>
      <c r="BQT717" s="1176"/>
      <c r="BQU717" s="1176"/>
      <c r="BQV717" s="1176"/>
      <c r="BQW717" s="1176"/>
      <c r="BQX717" s="1176"/>
      <c r="BQY717" s="1176"/>
      <c r="BQZ717" s="1176"/>
      <c r="BRA717" s="1176"/>
      <c r="BRB717" s="1176"/>
      <c r="BRC717" s="1176"/>
      <c r="BRD717" s="1176"/>
      <c r="BRE717" s="1176"/>
      <c r="BRF717" s="1176"/>
      <c r="BRG717" s="1176"/>
      <c r="BRH717" s="1176"/>
      <c r="BRI717" s="1176"/>
      <c r="BRJ717" s="1176"/>
      <c r="BRK717" s="1176"/>
      <c r="BRL717" s="1176"/>
      <c r="BRM717" s="1176"/>
      <c r="BRN717" s="1176"/>
      <c r="BRO717" s="1176"/>
      <c r="BRP717" s="1176"/>
      <c r="BRQ717" s="1176"/>
      <c r="BRR717" s="1176"/>
      <c r="BRS717" s="1176"/>
      <c r="BRT717" s="1176"/>
      <c r="BRU717" s="1176"/>
      <c r="BRV717" s="1176"/>
      <c r="BRW717" s="1176"/>
      <c r="BRX717" s="1176"/>
      <c r="BRY717" s="1176"/>
      <c r="BRZ717" s="1176"/>
      <c r="BSA717" s="1176"/>
      <c r="BSB717" s="1176"/>
      <c r="BSC717" s="1176"/>
      <c r="BSD717" s="1176"/>
      <c r="BSE717" s="1176"/>
      <c r="BSF717" s="1176"/>
      <c r="BSG717" s="1176"/>
      <c r="BSH717" s="1176"/>
      <c r="BSI717" s="1176"/>
      <c r="BSJ717" s="1176"/>
      <c r="BSK717" s="1176"/>
      <c r="BSL717" s="1176"/>
      <c r="BSM717" s="1176"/>
      <c r="BSN717" s="1176"/>
      <c r="BSO717" s="1176"/>
      <c r="BSP717" s="1176"/>
      <c r="BSQ717" s="1176"/>
      <c r="BSR717" s="1176"/>
      <c r="BSS717" s="1176"/>
      <c r="BST717" s="1176"/>
      <c r="BSU717" s="1176"/>
      <c r="BSV717" s="1176"/>
      <c r="BSW717" s="1176"/>
      <c r="BSX717" s="1176"/>
      <c r="BSY717" s="1176"/>
      <c r="BSZ717" s="1176"/>
      <c r="BTA717" s="1176"/>
      <c r="BTB717" s="1176"/>
      <c r="BTC717" s="1176"/>
      <c r="BTD717" s="1176"/>
      <c r="BTE717" s="1176"/>
      <c r="BTF717" s="1176"/>
      <c r="BTG717" s="1176"/>
      <c r="BTH717" s="1176"/>
      <c r="BTI717" s="1176"/>
      <c r="BTJ717" s="1176"/>
      <c r="BTK717" s="1176"/>
      <c r="BTL717" s="1176"/>
      <c r="BTM717" s="1176"/>
      <c r="BTN717" s="1176"/>
      <c r="BTO717" s="1176"/>
      <c r="BTP717" s="1176"/>
      <c r="BTQ717" s="1176"/>
      <c r="BTR717" s="1176"/>
      <c r="BTS717" s="1176"/>
      <c r="BTT717" s="1176"/>
      <c r="BTU717" s="1176"/>
      <c r="BTV717" s="1176"/>
      <c r="BTW717" s="1176"/>
      <c r="BTX717" s="1176"/>
      <c r="BTY717" s="1176"/>
      <c r="BTZ717" s="1176"/>
      <c r="BUA717" s="1176"/>
      <c r="BUB717" s="1176"/>
      <c r="BUC717" s="1176"/>
      <c r="BUD717" s="1176"/>
      <c r="BUE717" s="1176"/>
      <c r="BUF717" s="1176"/>
      <c r="BUG717" s="1176"/>
      <c r="BUH717" s="1176"/>
      <c r="BUI717" s="1176"/>
      <c r="BUJ717" s="1176"/>
      <c r="BUK717" s="1176"/>
      <c r="BUL717" s="1176"/>
      <c r="BUM717" s="1176"/>
      <c r="BUN717" s="1176"/>
      <c r="BUO717" s="1176"/>
      <c r="BUP717" s="1176"/>
      <c r="BUQ717" s="1176"/>
      <c r="BUR717" s="1176"/>
      <c r="BUS717" s="1176"/>
      <c r="BUT717" s="1176"/>
      <c r="BUU717" s="1176"/>
      <c r="BUV717" s="1176"/>
      <c r="BUW717" s="1176"/>
      <c r="BUX717" s="1176"/>
      <c r="BUY717" s="1176"/>
      <c r="BUZ717" s="1176"/>
      <c r="BVA717" s="1176"/>
      <c r="BVB717" s="1176"/>
      <c r="BVC717" s="1176"/>
      <c r="BVD717" s="1176"/>
      <c r="BVE717" s="1176"/>
      <c r="BVF717" s="1176"/>
      <c r="BVG717" s="1176"/>
      <c r="BVH717" s="1176"/>
      <c r="BVI717" s="1176"/>
      <c r="BVJ717" s="1176"/>
      <c r="BVK717" s="1176"/>
      <c r="BVL717" s="1176"/>
      <c r="BVM717" s="1176"/>
      <c r="BVN717" s="1176"/>
      <c r="BVO717" s="1176"/>
      <c r="BVP717" s="1176"/>
      <c r="BVQ717" s="1176"/>
      <c r="BVR717" s="1176"/>
      <c r="BVS717" s="1176"/>
      <c r="BVT717" s="1176"/>
      <c r="BVU717" s="1176"/>
      <c r="BVV717" s="1176"/>
      <c r="BVW717" s="1176"/>
      <c r="BVX717" s="1176"/>
      <c r="BVY717" s="1176"/>
      <c r="BVZ717" s="1176"/>
      <c r="BWA717" s="1176"/>
      <c r="BWB717" s="1176"/>
      <c r="BWC717" s="1176"/>
      <c r="BWD717" s="1176"/>
      <c r="BWE717" s="1176"/>
      <c r="BWF717" s="1176"/>
      <c r="BWG717" s="1176"/>
      <c r="BWH717" s="1176"/>
      <c r="BWI717" s="1176"/>
      <c r="BWJ717" s="1176"/>
      <c r="BWK717" s="1176"/>
      <c r="BWL717" s="1176"/>
      <c r="BWM717" s="1176"/>
      <c r="BWN717" s="1176"/>
      <c r="BWO717" s="1176"/>
      <c r="BWP717" s="1176"/>
      <c r="BWQ717" s="1176"/>
      <c r="BWR717" s="1176"/>
      <c r="BWS717" s="1176"/>
      <c r="BWT717" s="1176"/>
      <c r="BWU717" s="1176"/>
      <c r="BWV717" s="1176"/>
      <c r="BWW717" s="1176"/>
      <c r="BWX717" s="1176"/>
      <c r="BWY717" s="1176"/>
      <c r="BWZ717" s="1176"/>
      <c r="BXA717" s="1176"/>
      <c r="BXB717" s="1176"/>
      <c r="BXC717" s="1176"/>
      <c r="BXD717" s="1176"/>
      <c r="BXE717" s="1176"/>
      <c r="BXF717" s="1176"/>
      <c r="BXG717" s="1176"/>
      <c r="BXH717" s="1176"/>
      <c r="BXI717" s="1176"/>
      <c r="BXJ717" s="1176"/>
      <c r="BXK717" s="1176"/>
      <c r="BXL717" s="1176"/>
      <c r="BXM717" s="1176"/>
      <c r="BXN717" s="1176"/>
      <c r="BXO717" s="1176"/>
      <c r="BXP717" s="1176"/>
      <c r="BXQ717" s="1176"/>
      <c r="BXR717" s="1176"/>
      <c r="BXS717" s="1176"/>
      <c r="BXT717" s="1176"/>
      <c r="BXU717" s="1176"/>
      <c r="BXV717" s="1176"/>
      <c r="BXW717" s="1176"/>
      <c r="BXX717" s="1176"/>
      <c r="BXY717" s="1176"/>
      <c r="BXZ717" s="1176"/>
      <c r="BYA717" s="1176"/>
      <c r="BYB717" s="1176"/>
      <c r="BYC717" s="1176"/>
      <c r="BYD717" s="1176"/>
      <c r="BYE717" s="1176"/>
      <c r="BYF717" s="1176"/>
      <c r="BYG717" s="1176"/>
      <c r="BYH717" s="1176"/>
      <c r="BYI717" s="1176"/>
      <c r="BYJ717" s="1176"/>
      <c r="BYK717" s="1176"/>
      <c r="BYL717" s="1176"/>
      <c r="BYM717" s="1176"/>
      <c r="BYN717" s="1176"/>
      <c r="BYO717" s="1176"/>
      <c r="BYP717" s="1176"/>
      <c r="BYQ717" s="1176"/>
      <c r="BYR717" s="1176"/>
      <c r="BYS717" s="1176"/>
      <c r="BYT717" s="1176"/>
      <c r="BYU717" s="1176"/>
      <c r="BYV717" s="1176"/>
      <c r="BYW717" s="1176"/>
      <c r="BYX717" s="1176"/>
      <c r="BYY717" s="1176"/>
      <c r="BYZ717" s="1176"/>
      <c r="BZA717" s="1176"/>
      <c r="BZB717" s="1176"/>
      <c r="BZC717" s="1176"/>
      <c r="BZD717" s="1176"/>
      <c r="BZE717" s="1176"/>
      <c r="BZF717" s="1176"/>
      <c r="BZG717" s="1176"/>
      <c r="BZH717" s="1176"/>
      <c r="BZI717" s="1176"/>
      <c r="BZJ717" s="1176"/>
      <c r="BZK717" s="1176"/>
      <c r="BZL717" s="1176"/>
      <c r="BZM717" s="1176"/>
      <c r="BZN717" s="1176"/>
      <c r="BZO717" s="1176"/>
      <c r="BZP717" s="1176"/>
      <c r="BZQ717" s="1176"/>
      <c r="BZR717" s="1176"/>
      <c r="BZS717" s="1176"/>
      <c r="BZT717" s="1176"/>
      <c r="BZU717" s="1176"/>
      <c r="BZV717" s="1176"/>
      <c r="BZW717" s="1176"/>
      <c r="BZX717" s="1176"/>
      <c r="BZY717" s="1176"/>
      <c r="BZZ717" s="1176"/>
      <c r="CAA717" s="1176"/>
      <c r="CAB717" s="1176"/>
      <c r="CAC717" s="1176"/>
      <c r="CAD717" s="1176"/>
      <c r="CAE717" s="1176"/>
      <c r="CAF717" s="1176"/>
      <c r="CAG717" s="1176"/>
      <c r="CAH717" s="1176"/>
      <c r="CAI717" s="1176"/>
      <c r="CAJ717" s="1176"/>
      <c r="CAK717" s="1176"/>
      <c r="CAL717" s="1176"/>
      <c r="CAM717" s="1176"/>
      <c r="CAN717" s="1176"/>
      <c r="CAO717" s="1176"/>
      <c r="CAP717" s="1176"/>
      <c r="CAQ717" s="1176"/>
      <c r="CAR717" s="1176"/>
      <c r="CAS717" s="1176"/>
      <c r="CAT717" s="1176"/>
      <c r="CAU717" s="1176"/>
      <c r="CAV717" s="1176"/>
      <c r="CAW717" s="1176"/>
      <c r="CAX717" s="1176"/>
      <c r="CAY717" s="1176"/>
      <c r="CAZ717" s="1176"/>
      <c r="CBA717" s="1176"/>
      <c r="CBB717" s="1176"/>
      <c r="CBC717" s="1176"/>
      <c r="CBD717" s="1176"/>
      <c r="CBE717" s="1176"/>
      <c r="CBF717" s="1176"/>
      <c r="CBG717" s="1176"/>
      <c r="CBH717" s="1176"/>
      <c r="CBI717" s="1176"/>
      <c r="CBJ717" s="1176"/>
      <c r="CBK717" s="1176"/>
      <c r="CBL717" s="1176"/>
      <c r="CBM717" s="1176"/>
      <c r="CBN717" s="1176"/>
      <c r="CBO717" s="1176"/>
      <c r="CBP717" s="1176"/>
      <c r="CBQ717" s="1176"/>
      <c r="CBR717" s="1176"/>
      <c r="CBS717" s="1176"/>
      <c r="CBT717" s="1176"/>
      <c r="CBU717" s="1176"/>
      <c r="CBV717" s="1176"/>
      <c r="CBW717" s="1176"/>
      <c r="CBX717" s="1176"/>
      <c r="CBY717" s="1176"/>
      <c r="CBZ717" s="1176"/>
      <c r="CCA717" s="1176"/>
      <c r="CCB717" s="1176"/>
      <c r="CCC717" s="1176"/>
      <c r="CCD717" s="1176"/>
      <c r="CCE717" s="1176"/>
      <c r="CCF717" s="1176"/>
      <c r="CCG717" s="1176"/>
      <c r="CCH717" s="1176"/>
      <c r="CCI717" s="1176"/>
      <c r="CCJ717" s="1176"/>
      <c r="CCK717" s="1176"/>
      <c r="CCL717" s="1176"/>
      <c r="CCM717" s="1176"/>
      <c r="CCN717" s="1176"/>
      <c r="CCO717" s="1176"/>
      <c r="CCP717" s="1176"/>
      <c r="CCQ717" s="1176"/>
      <c r="CCR717" s="1176"/>
      <c r="CCS717" s="1176"/>
      <c r="CCT717" s="1176"/>
      <c r="CCU717" s="1176"/>
      <c r="CCV717" s="1176"/>
      <c r="CCW717" s="1176"/>
      <c r="CCX717" s="1176"/>
      <c r="CCY717" s="1176"/>
      <c r="CCZ717" s="1176"/>
      <c r="CDA717" s="1176"/>
      <c r="CDB717" s="1176"/>
      <c r="CDC717" s="1176"/>
      <c r="CDD717" s="1176"/>
      <c r="CDE717" s="1176"/>
      <c r="CDF717" s="1176"/>
      <c r="CDG717" s="1176"/>
      <c r="CDH717" s="1176"/>
      <c r="CDI717" s="1176"/>
      <c r="CDJ717" s="1176"/>
      <c r="CDK717" s="1176"/>
      <c r="CDL717" s="1176"/>
      <c r="CDM717" s="1176"/>
      <c r="CDN717" s="1176"/>
      <c r="CDO717" s="1176"/>
      <c r="CDP717" s="1176"/>
      <c r="CDQ717" s="1176"/>
      <c r="CDR717" s="1176"/>
      <c r="CDS717" s="1176"/>
      <c r="CDT717" s="1176"/>
      <c r="CDU717" s="1176"/>
      <c r="CDV717" s="1176"/>
      <c r="CDW717" s="1176"/>
      <c r="CDX717" s="1176"/>
      <c r="CDY717" s="1176"/>
      <c r="CDZ717" s="1176"/>
      <c r="CEA717" s="1176"/>
      <c r="CEB717" s="1176"/>
      <c r="CEC717" s="1176"/>
      <c r="CED717" s="1176"/>
      <c r="CEE717" s="1176"/>
      <c r="CEF717" s="1176"/>
      <c r="CEG717" s="1176"/>
      <c r="CEH717" s="1176"/>
      <c r="CEI717" s="1176"/>
      <c r="CEJ717" s="1176"/>
      <c r="CEK717" s="1176"/>
      <c r="CEL717" s="1176"/>
      <c r="CEM717" s="1176"/>
      <c r="CEN717" s="1176"/>
      <c r="CEO717" s="1176"/>
      <c r="CEP717" s="1176"/>
      <c r="CEQ717" s="1176"/>
      <c r="CER717" s="1176"/>
      <c r="CES717" s="1176"/>
      <c r="CET717" s="1176"/>
      <c r="CEU717" s="1176"/>
      <c r="CEV717" s="1176"/>
      <c r="CEW717" s="1176"/>
      <c r="CEX717" s="1176"/>
      <c r="CEY717" s="1176"/>
      <c r="CEZ717" s="1176"/>
      <c r="CFA717" s="1176"/>
      <c r="CFB717" s="1176"/>
      <c r="CFC717" s="1176"/>
      <c r="CFD717" s="1176"/>
      <c r="CFE717" s="1176"/>
      <c r="CFF717" s="1176"/>
      <c r="CFG717" s="1176"/>
      <c r="CFH717" s="1176"/>
      <c r="CFI717" s="1176"/>
      <c r="CFJ717" s="1176"/>
      <c r="CFK717" s="1176"/>
      <c r="CFL717" s="1176"/>
      <c r="CFM717" s="1176"/>
      <c r="CFN717" s="1176"/>
      <c r="CFO717" s="1176"/>
      <c r="CFP717" s="1176"/>
      <c r="CFQ717" s="1176"/>
      <c r="CFR717" s="1176"/>
      <c r="CFS717" s="1176"/>
      <c r="CFT717" s="1176"/>
      <c r="CFU717" s="1176"/>
      <c r="CFV717" s="1176"/>
      <c r="CFW717" s="1176"/>
      <c r="CFX717" s="1176"/>
      <c r="CFY717" s="1176"/>
      <c r="CFZ717" s="1176"/>
      <c r="CGA717" s="1176"/>
      <c r="CGB717" s="1176"/>
      <c r="CGC717" s="1176"/>
      <c r="CGD717" s="1176"/>
      <c r="CGE717" s="1176"/>
      <c r="CGF717" s="1176"/>
      <c r="CGG717" s="1176"/>
      <c r="CGH717" s="1176"/>
      <c r="CGI717" s="1176"/>
      <c r="CGJ717" s="1176"/>
      <c r="CGK717" s="1176"/>
      <c r="CGL717" s="1176"/>
      <c r="CGM717" s="1176"/>
      <c r="CGN717" s="1176"/>
      <c r="CGO717" s="1176"/>
      <c r="CGP717" s="1176"/>
      <c r="CGQ717" s="1176"/>
      <c r="CGR717" s="1176"/>
      <c r="CGS717" s="1176"/>
      <c r="CGT717" s="1176"/>
      <c r="CGU717" s="1176"/>
      <c r="CGV717" s="1176"/>
      <c r="CGW717" s="1176"/>
      <c r="CGX717" s="1176"/>
      <c r="CGY717" s="1176"/>
      <c r="CGZ717" s="1176"/>
      <c r="CHA717" s="1176"/>
      <c r="CHB717" s="1176"/>
      <c r="CHC717" s="1176"/>
      <c r="CHD717" s="1176"/>
      <c r="CHE717" s="1176"/>
      <c r="CHF717" s="1176"/>
      <c r="CHG717" s="1176"/>
      <c r="CHH717" s="1176"/>
      <c r="CHI717" s="1176"/>
      <c r="CHJ717" s="1176"/>
      <c r="CHK717" s="1176"/>
      <c r="CHL717" s="1176"/>
      <c r="CHM717" s="1176"/>
      <c r="CHN717" s="1176"/>
      <c r="CHO717" s="1176"/>
      <c r="CHP717" s="1176"/>
      <c r="CHQ717" s="1176"/>
      <c r="CHR717" s="1176"/>
      <c r="CHS717" s="1176"/>
      <c r="CHT717" s="1176"/>
      <c r="CHU717" s="1176"/>
      <c r="CHV717" s="1176"/>
      <c r="CHW717" s="1176"/>
      <c r="CHX717" s="1176"/>
      <c r="CHY717" s="1176"/>
      <c r="CHZ717" s="1176"/>
      <c r="CIA717" s="1176"/>
      <c r="CIB717" s="1176"/>
      <c r="CIC717" s="1176"/>
      <c r="CID717" s="1176"/>
      <c r="CIE717" s="1176"/>
      <c r="CIF717" s="1176"/>
      <c r="CIG717" s="1176"/>
      <c r="CIH717" s="1176"/>
      <c r="CII717" s="1176"/>
      <c r="CIJ717" s="1176"/>
      <c r="CIK717" s="1176"/>
      <c r="CIL717" s="1176"/>
      <c r="CIM717" s="1176"/>
      <c r="CIN717" s="1176"/>
      <c r="CIO717" s="1176"/>
      <c r="CIP717" s="1176"/>
      <c r="CIQ717" s="1176"/>
      <c r="CIR717" s="1176"/>
      <c r="CIS717" s="1176"/>
      <c r="CIT717" s="1176"/>
      <c r="CIU717" s="1176"/>
      <c r="CIV717" s="1176"/>
      <c r="CIW717" s="1176"/>
      <c r="CIX717" s="1176"/>
      <c r="CIY717" s="1176"/>
      <c r="CIZ717" s="1176"/>
      <c r="CJA717" s="1176"/>
      <c r="CJB717" s="1176"/>
      <c r="CJC717" s="1176"/>
      <c r="CJD717" s="1176"/>
      <c r="CJE717" s="1176"/>
      <c r="CJF717" s="1176"/>
      <c r="CJG717" s="1176"/>
      <c r="CJH717" s="1176"/>
      <c r="CJI717" s="1176"/>
      <c r="CJJ717" s="1176"/>
      <c r="CJK717" s="1176"/>
      <c r="CJL717" s="1176"/>
      <c r="CJM717" s="1176"/>
      <c r="CJN717" s="1176"/>
      <c r="CJO717" s="1176"/>
      <c r="CJP717" s="1176"/>
      <c r="CJQ717" s="1176"/>
      <c r="CJR717" s="1176"/>
      <c r="CJS717" s="1176"/>
      <c r="CJT717" s="1176"/>
      <c r="CJU717" s="1176"/>
      <c r="CJV717" s="1176"/>
      <c r="CJW717" s="1176"/>
      <c r="CJX717" s="1176"/>
      <c r="CJY717" s="1176"/>
      <c r="CJZ717" s="1176"/>
      <c r="CKA717" s="1176"/>
      <c r="CKB717" s="1176"/>
      <c r="CKC717" s="1176"/>
      <c r="CKD717" s="1176"/>
      <c r="CKE717" s="1176"/>
      <c r="CKF717" s="1176"/>
      <c r="CKG717" s="1176"/>
      <c r="CKH717" s="1176"/>
      <c r="CKI717" s="1176"/>
      <c r="CKJ717" s="1176"/>
      <c r="CKK717" s="1176"/>
      <c r="CKL717" s="1176"/>
      <c r="CKM717" s="1176"/>
      <c r="CKN717" s="1176"/>
      <c r="CKO717" s="1176"/>
      <c r="CKP717" s="1176"/>
      <c r="CKQ717" s="1176"/>
      <c r="CKR717" s="1176"/>
      <c r="CKS717" s="1176"/>
      <c r="CKT717" s="1176"/>
      <c r="CKU717" s="1176"/>
      <c r="CKV717" s="1176"/>
      <c r="CKW717" s="1176"/>
      <c r="CKX717" s="1176"/>
      <c r="CKY717" s="1176"/>
      <c r="CKZ717" s="1176"/>
      <c r="CLA717" s="1176"/>
      <c r="CLB717" s="1176"/>
      <c r="CLC717" s="1176"/>
      <c r="CLD717" s="1176"/>
      <c r="CLE717" s="1176"/>
      <c r="CLF717" s="1176"/>
      <c r="CLG717" s="1176"/>
      <c r="CLH717" s="1176"/>
      <c r="CLI717" s="1176"/>
      <c r="CLJ717" s="1176"/>
      <c r="CLK717" s="1176"/>
      <c r="CLL717" s="1176"/>
      <c r="CLM717" s="1176"/>
      <c r="CLN717" s="1176"/>
      <c r="CLO717" s="1176"/>
      <c r="CLP717" s="1176"/>
      <c r="CLQ717" s="1176"/>
      <c r="CLR717" s="1176"/>
      <c r="CLS717" s="1176"/>
      <c r="CLT717" s="1176"/>
      <c r="CLU717" s="1176"/>
      <c r="CLV717" s="1176"/>
      <c r="CLW717" s="1176"/>
      <c r="CLX717" s="1176"/>
      <c r="CLY717" s="1176"/>
      <c r="CLZ717" s="1176"/>
      <c r="CMA717" s="1176"/>
      <c r="CMB717" s="1176"/>
      <c r="CMC717" s="1176"/>
      <c r="CMD717" s="1176"/>
      <c r="CME717" s="1176"/>
      <c r="CMF717" s="1176"/>
      <c r="CMG717" s="1176"/>
      <c r="CMH717" s="1176"/>
      <c r="CMI717" s="1176"/>
      <c r="CMJ717" s="1176"/>
      <c r="CMK717" s="1176"/>
      <c r="CML717" s="1176"/>
      <c r="CMM717" s="1176"/>
      <c r="CMN717" s="1176"/>
      <c r="CMO717" s="1176"/>
      <c r="CMP717" s="1176"/>
      <c r="CMQ717" s="1176"/>
      <c r="CMR717" s="1176"/>
      <c r="CMS717" s="1176"/>
      <c r="CMT717" s="1176"/>
      <c r="CMU717" s="1176"/>
      <c r="CMV717" s="1176"/>
      <c r="CMW717" s="1176"/>
      <c r="CMX717" s="1176"/>
      <c r="CMY717" s="1176"/>
      <c r="CMZ717" s="1176"/>
      <c r="CNA717" s="1176"/>
      <c r="CNB717" s="1176"/>
      <c r="CNC717" s="1176"/>
      <c r="CND717" s="1176"/>
      <c r="CNE717" s="1176"/>
      <c r="CNF717" s="1176"/>
      <c r="CNG717" s="1176"/>
      <c r="CNH717" s="1176"/>
      <c r="CNI717" s="1176"/>
      <c r="CNJ717" s="1176"/>
      <c r="CNK717" s="1176"/>
      <c r="CNL717" s="1176"/>
      <c r="CNM717" s="1176"/>
      <c r="CNN717" s="1176"/>
      <c r="CNO717" s="1176"/>
      <c r="CNP717" s="1176"/>
      <c r="CNQ717" s="1176"/>
      <c r="CNR717" s="1176"/>
      <c r="CNS717" s="1176"/>
      <c r="CNT717" s="1176"/>
      <c r="CNU717" s="1176"/>
      <c r="CNV717" s="1176"/>
      <c r="CNW717" s="1176"/>
      <c r="CNX717" s="1176"/>
      <c r="CNY717" s="1176"/>
      <c r="CNZ717" s="1176"/>
      <c r="COA717" s="1176"/>
      <c r="COB717" s="1176"/>
      <c r="COC717" s="1176"/>
      <c r="COD717" s="1176"/>
      <c r="COE717" s="1176"/>
      <c r="COF717" s="1176"/>
      <c r="COG717" s="1176"/>
      <c r="COH717" s="1176"/>
      <c r="COI717" s="1176"/>
      <c r="COJ717" s="1176"/>
      <c r="COK717" s="1176"/>
      <c r="COL717" s="1176"/>
      <c r="COM717" s="1176"/>
      <c r="CON717" s="1176"/>
      <c r="COO717" s="1176"/>
      <c r="COP717" s="1176"/>
      <c r="COQ717" s="1176"/>
      <c r="COR717" s="1176"/>
      <c r="COS717" s="1176"/>
      <c r="COT717" s="1176"/>
      <c r="COU717" s="1176"/>
      <c r="COV717" s="1176"/>
      <c r="COW717" s="1176"/>
      <c r="COX717" s="1176"/>
      <c r="COY717" s="1176"/>
      <c r="COZ717" s="1176"/>
      <c r="CPA717" s="1176"/>
      <c r="CPB717" s="1176"/>
      <c r="CPC717" s="1176"/>
      <c r="CPD717" s="1176"/>
      <c r="CPE717" s="1176"/>
      <c r="CPF717" s="1176"/>
      <c r="CPG717" s="1176"/>
      <c r="CPH717" s="1176"/>
      <c r="CPI717" s="1176"/>
      <c r="CPJ717" s="1176"/>
      <c r="CPK717" s="1176"/>
      <c r="CPL717" s="1176"/>
      <c r="CPM717" s="1176"/>
      <c r="CPN717" s="1176"/>
      <c r="CPO717" s="1176"/>
      <c r="CPP717" s="1176"/>
      <c r="CPQ717" s="1176"/>
      <c r="CPR717" s="1176"/>
      <c r="CPS717" s="1176"/>
      <c r="CPT717" s="1176"/>
      <c r="CPU717" s="1176"/>
      <c r="CPV717" s="1176"/>
      <c r="CPW717" s="1176"/>
      <c r="CPX717" s="1176"/>
      <c r="CPY717" s="1176"/>
      <c r="CPZ717" s="1176"/>
      <c r="CQA717" s="1176"/>
      <c r="CQB717" s="1176"/>
      <c r="CQC717" s="1176"/>
      <c r="CQD717" s="1176"/>
      <c r="CQE717" s="1176"/>
      <c r="CQF717" s="1176"/>
      <c r="CQG717" s="1176"/>
      <c r="CQH717" s="1176"/>
      <c r="CQI717" s="1176"/>
      <c r="CQJ717" s="1176"/>
      <c r="CQK717" s="1176"/>
      <c r="CQL717" s="1176"/>
      <c r="CQM717" s="1176"/>
      <c r="CQN717" s="1176"/>
      <c r="CQO717" s="1176"/>
      <c r="CQP717" s="1176"/>
      <c r="CQQ717" s="1176"/>
      <c r="CQR717" s="1176"/>
      <c r="CQS717" s="1176"/>
      <c r="CQT717" s="1176"/>
      <c r="CQU717" s="1176"/>
      <c r="CQV717" s="1176"/>
      <c r="CQW717" s="1176"/>
      <c r="CQX717" s="1176"/>
      <c r="CQY717" s="1176"/>
      <c r="CQZ717" s="1176"/>
      <c r="CRA717" s="1176"/>
      <c r="CRB717" s="1176"/>
      <c r="CRC717" s="1176"/>
      <c r="CRD717" s="1176"/>
      <c r="CRE717" s="1176"/>
      <c r="CRF717" s="1176"/>
      <c r="CRG717" s="1176"/>
      <c r="CRH717" s="1176"/>
      <c r="CRI717" s="1176"/>
      <c r="CRJ717" s="1176"/>
      <c r="CRK717" s="1176"/>
      <c r="CRL717" s="1176"/>
      <c r="CRM717" s="1176"/>
      <c r="CRN717" s="1176"/>
      <c r="CRO717" s="1176"/>
      <c r="CRP717" s="1176"/>
      <c r="CRQ717" s="1176"/>
      <c r="CRR717" s="1176"/>
      <c r="CRS717" s="1176"/>
      <c r="CRT717" s="1176"/>
      <c r="CRU717" s="1176"/>
      <c r="CRV717" s="1176"/>
      <c r="CRW717" s="1176"/>
      <c r="CRX717" s="1176"/>
      <c r="CRY717" s="1176"/>
      <c r="CRZ717" s="1176"/>
      <c r="CSA717" s="1176"/>
      <c r="CSB717" s="1176"/>
      <c r="CSC717" s="1176"/>
      <c r="CSD717" s="1176"/>
      <c r="CSE717" s="1176"/>
      <c r="CSF717" s="1176"/>
      <c r="CSG717" s="1176"/>
      <c r="CSH717" s="1176"/>
      <c r="CSI717" s="1176"/>
      <c r="CSJ717" s="1176"/>
      <c r="CSK717" s="1176"/>
      <c r="CSL717" s="1176"/>
      <c r="CSM717" s="1176"/>
      <c r="CSN717" s="1176"/>
      <c r="CSO717" s="1176"/>
      <c r="CSP717" s="1176"/>
      <c r="CSQ717" s="1176"/>
      <c r="CSR717" s="1176"/>
      <c r="CSS717" s="1176"/>
      <c r="CST717" s="1176"/>
      <c r="CSU717" s="1176"/>
      <c r="CSV717" s="1176"/>
      <c r="CSW717" s="1176"/>
      <c r="CSX717" s="1176"/>
      <c r="CSY717" s="1176"/>
      <c r="CSZ717" s="1176"/>
      <c r="CTA717" s="1176"/>
      <c r="CTB717" s="1176"/>
      <c r="CTC717" s="1176"/>
      <c r="CTD717" s="1176"/>
      <c r="CTE717" s="1176"/>
      <c r="CTF717" s="1176"/>
      <c r="CTG717" s="1176"/>
      <c r="CTH717" s="1176"/>
      <c r="CTI717" s="1176"/>
      <c r="CTJ717" s="1176"/>
      <c r="CTK717" s="1176"/>
      <c r="CTL717" s="1176"/>
      <c r="CTM717" s="1176"/>
      <c r="CTN717" s="1176"/>
      <c r="CTO717" s="1176"/>
      <c r="CTP717" s="1176"/>
      <c r="CTQ717" s="1176"/>
      <c r="CTR717" s="1176"/>
      <c r="CTS717" s="1176"/>
      <c r="CTT717" s="1176"/>
      <c r="CTU717" s="1176"/>
      <c r="CTV717" s="1176"/>
      <c r="CTW717" s="1176"/>
      <c r="CTX717" s="1176"/>
      <c r="CTY717" s="1176"/>
      <c r="CTZ717" s="1176"/>
      <c r="CUA717" s="1176"/>
      <c r="CUB717" s="1176"/>
      <c r="CUC717" s="1176"/>
      <c r="CUD717" s="1176"/>
      <c r="CUE717" s="1176"/>
      <c r="CUF717" s="1176"/>
      <c r="CUG717" s="1176"/>
      <c r="CUH717" s="1176"/>
      <c r="CUI717" s="1176"/>
      <c r="CUJ717" s="1176"/>
      <c r="CUK717" s="1176"/>
      <c r="CUL717" s="1176"/>
      <c r="CUM717" s="1176"/>
      <c r="CUN717" s="1176"/>
      <c r="CUO717" s="1176"/>
      <c r="CUP717" s="1176"/>
      <c r="CUQ717" s="1176"/>
      <c r="CUR717" s="1176"/>
      <c r="CUS717" s="1176"/>
      <c r="CUT717" s="1176"/>
      <c r="CUU717" s="1176"/>
      <c r="CUV717" s="1176"/>
      <c r="CUW717" s="1176"/>
      <c r="CUX717" s="1176"/>
      <c r="CUY717" s="1176"/>
      <c r="CUZ717" s="1176"/>
      <c r="CVA717" s="1176"/>
      <c r="CVB717" s="1176"/>
      <c r="CVC717" s="1176"/>
      <c r="CVD717" s="1176"/>
      <c r="CVE717" s="1176"/>
      <c r="CVF717" s="1176"/>
      <c r="CVG717" s="1176"/>
      <c r="CVH717" s="1176"/>
      <c r="CVI717" s="1176"/>
      <c r="CVJ717" s="1176"/>
      <c r="CVK717" s="1176"/>
      <c r="CVL717" s="1176"/>
      <c r="CVM717" s="1176"/>
      <c r="CVN717" s="1176"/>
      <c r="CVO717" s="1176"/>
      <c r="CVP717" s="1176"/>
      <c r="CVQ717" s="1176"/>
      <c r="CVR717" s="1176"/>
      <c r="CVS717" s="1176"/>
      <c r="CVT717" s="1176"/>
      <c r="CVU717" s="1176"/>
      <c r="CVV717" s="1176"/>
      <c r="CVW717" s="1176"/>
      <c r="CVX717" s="1176"/>
      <c r="CVY717" s="1176"/>
      <c r="CVZ717" s="1176"/>
      <c r="CWA717" s="1176"/>
      <c r="CWB717" s="1176"/>
      <c r="CWC717" s="1176"/>
      <c r="CWD717" s="1176"/>
      <c r="CWE717" s="1176"/>
      <c r="CWF717" s="1176"/>
      <c r="CWG717" s="1176"/>
      <c r="CWH717" s="1176"/>
      <c r="CWI717" s="1176"/>
      <c r="CWJ717" s="1176"/>
      <c r="CWK717" s="1176"/>
      <c r="CWL717" s="1176"/>
      <c r="CWM717" s="1176"/>
      <c r="CWN717" s="1176"/>
      <c r="CWO717" s="1176"/>
      <c r="CWP717" s="1176"/>
      <c r="CWQ717" s="1176"/>
      <c r="CWR717" s="1176"/>
      <c r="CWS717" s="1176"/>
      <c r="CWT717" s="1176"/>
      <c r="CWU717" s="1176"/>
      <c r="CWV717" s="1176"/>
      <c r="CWW717" s="1176"/>
      <c r="CWX717" s="1176"/>
      <c r="CWY717" s="1176"/>
      <c r="CWZ717" s="1176"/>
      <c r="CXA717" s="1176"/>
      <c r="CXB717" s="1176"/>
      <c r="CXC717" s="1176"/>
      <c r="CXD717" s="1176"/>
      <c r="CXE717" s="1176"/>
      <c r="CXF717" s="1176"/>
      <c r="CXG717" s="1176"/>
      <c r="CXH717" s="1176"/>
      <c r="CXI717" s="1176"/>
      <c r="CXJ717" s="1176"/>
      <c r="CXK717" s="1176"/>
      <c r="CXL717" s="1176"/>
      <c r="CXM717" s="1176"/>
      <c r="CXN717" s="1176"/>
      <c r="CXO717" s="1176"/>
      <c r="CXP717" s="1176"/>
      <c r="CXQ717" s="1176"/>
      <c r="CXR717" s="1176"/>
      <c r="CXS717" s="1176"/>
      <c r="CXT717" s="1176"/>
      <c r="CXU717" s="1176"/>
      <c r="CXV717" s="1176"/>
      <c r="CXW717" s="1176"/>
      <c r="CXX717" s="1176"/>
      <c r="CXY717" s="1176"/>
      <c r="CXZ717" s="1176"/>
      <c r="CYA717" s="1176"/>
      <c r="CYB717" s="1176"/>
      <c r="CYC717" s="1176"/>
      <c r="CYD717" s="1176"/>
      <c r="CYE717" s="1176"/>
      <c r="CYF717" s="1176"/>
      <c r="CYG717" s="1176"/>
      <c r="CYH717" s="1176"/>
      <c r="CYI717" s="1176"/>
      <c r="CYJ717" s="1176"/>
      <c r="CYK717" s="1176"/>
      <c r="CYL717" s="1176"/>
      <c r="CYM717" s="1176"/>
      <c r="CYN717" s="1176"/>
      <c r="CYO717" s="1176"/>
      <c r="CYP717" s="1176"/>
      <c r="CYQ717" s="1176"/>
      <c r="CYR717" s="1176"/>
      <c r="CYS717" s="1176"/>
      <c r="CYT717" s="1176"/>
      <c r="CYU717" s="1176"/>
      <c r="CYV717" s="1176"/>
      <c r="CYW717" s="1176"/>
      <c r="CYX717" s="1176"/>
      <c r="CYY717" s="1176"/>
      <c r="CYZ717" s="1176"/>
      <c r="CZA717" s="1176"/>
      <c r="CZB717" s="1176"/>
      <c r="CZC717" s="1176"/>
      <c r="CZD717" s="1176"/>
      <c r="CZE717" s="1176"/>
      <c r="CZF717" s="1176"/>
      <c r="CZG717" s="1176"/>
      <c r="CZH717" s="1176"/>
      <c r="CZI717" s="1176"/>
      <c r="CZJ717" s="1176"/>
      <c r="CZK717" s="1176"/>
      <c r="CZL717" s="1176"/>
      <c r="CZM717" s="1176"/>
      <c r="CZN717" s="1176"/>
      <c r="CZO717" s="1176"/>
      <c r="CZP717" s="1176"/>
      <c r="CZQ717" s="1176"/>
      <c r="CZR717" s="1176"/>
      <c r="CZS717" s="1176"/>
      <c r="CZT717" s="1176"/>
      <c r="CZU717" s="1176"/>
      <c r="CZV717" s="1176"/>
      <c r="CZW717" s="1176"/>
      <c r="CZX717" s="1176"/>
      <c r="CZY717" s="1176"/>
      <c r="CZZ717" s="1176"/>
      <c r="DAA717" s="1176"/>
      <c r="DAB717" s="1176"/>
      <c r="DAC717" s="1176"/>
      <c r="DAD717" s="1176"/>
      <c r="DAE717" s="1176"/>
      <c r="DAF717" s="1176"/>
      <c r="DAG717" s="1176"/>
      <c r="DAH717" s="1176"/>
      <c r="DAI717" s="1176"/>
      <c r="DAJ717" s="1176"/>
      <c r="DAK717" s="1176"/>
      <c r="DAL717" s="1176"/>
      <c r="DAM717" s="1176"/>
      <c r="DAN717" s="1176"/>
      <c r="DAO717" s="1176"/>
      <c r="DAP717" s="1176"/>
      <c r="DAQ717" s="1176"/>
      <c r="DAR717" s="1176"/>
      <c r="DAS717" s="1176"/>
      <c r="DAT717" s="1176"/>
      <c r="DAU717" s="1176"/>
      <c r="DAV717" s="1176"/>
      <c r="DAW717" s="1176"/>
      <c r="DAX717" s="1176"/>
      <c r="DAY717" s="1176"/>
      <c r="DAZ717" s="1176"/>
      <c r="DBA717" s="1176"/>
      <c r="DBB717" s="1176"/>
      <c r="DBC717" s="1176"/>
      <c r="DBD717" s="1176"/>
      <c r="DBE717" s="1176"/>
      <c r="DBF717" s="1176"/>
      <c r="DBG717" s="1176"/>
      <c r="DBH717" s="1176"/>
      <c r="DBI717" s="1176"/>
      <c r="DBJ717" s="1176"/>
      <c r="DBK717" s="1176"/>
      <c r="DBL717" s="1176"/>
      <c r="DBM717" s="1176"/>
      <c r="DBN717" s="1176"/>
      <c r="DBO717" s="1176"/>
      <c r="DBP717" s="1176"/>
      <c r="DBQ717" s="1176"/>
      <c r="DBR717" s="1176"/>
      <c r="DBS717" s="1176"/>
      <c r="DBT717" s="1176"/>
      <c r="DBU717" s="1176"/>
      <c r="DBV717" s="1176"/>
      <c r="DBW717" s="1176"/>
      <c r="DBX717" s="1176"/>
      <c r="DBY717" s="1176"/>
      <c r="DBZ717" s="1176"/>
      <c r="DCA717" s="1176"/>
      <c r="DCB717" s="1176"/>
      <c r="DCC717" s="1176"/>
      <c r="DCD717" s="1176"/>
      <c r="DCE717" s="1176"/>
      <c r="DCF717" s="1176"/>
      <c r="DCG717" s="1176"/>
      <c r="DCH717" s="1176"/>
      <c r="DCI717" s="1176"/>
      <c r="DCJ717" s="1176"/>
      <c r="DCK717" s="1176"/>
      <c r="DCL717" s="1176"/>
      <c r="DCM717" s="1176"/>
      <c r="DCN717" s="1176"/>
      <c r="DCO717" s="1176"/>
      <c r="DCP717" s="1176"/>
      <c r="DCQ717" s="1176"/>
      <c r="DCR717" s="1176"/>
      <c r="DCS717" s="1176"/>
      <c r="DCT717" s="1176"/>
      <c r="DCU717" s="1176"/>
      <c r="DCV717" s="1176"/>
      <c r="DCW717" s="1176"/>
      <c r="DCX717" s="1176"/>
      <c r="DCY717" s="1176"/>
      <c r="DCZ717" s="1176"/>
      <c r="DDA717" s="1176"/>
      <c r="DDB717" s="1176"/>
      <c r="DDC717" s="1176"/>
      <c r="DDD717" s="1176"/>
      <c r="DDE717" s="1176"/>
      <c r="DDF717" s="1176"/>
      <c r="DDG717" s="1176"/>
      <c r="DDH717" s="1176"/>
      <c r="DDI717" s="1176"/>
      <c r="DDJ717" s="1176"/>
      <c r="DDK717" s="1176"/>
      <c r="DDL717" s="1176"/>
      <c r="DDM717" s="1176"/>
      <c r="DDN717" s="1176"/>
      <c r="DDO717" s="1176"/>
      <c r="DDP717" s="1176"/>
      <c r="DDQ717" s="1176"/>
      <c r="DDR717" s="1176"/>
      <c r="DDS717" s="1176"/>
      <c r="DDT717" s="1176"/>
      <c r="DDU717" s="1176"/>
      <c r="DDV717" s="1176"/>
      <c r="DDW717" s="1176"/>
      <c r="DDX717" s="1176"/>
      <c r="DDY717" s="1176"/>
      <c r="DDZ717" s="1176"/>
      <c r="DEA717" s="1176"/>
      <c r="DEB717" s="1176"/>
      <c r="DEC717" s="1176"/>
      <c r="DED717" s="1176"/>
      <c r="DEE717" s="1176"/>
      <c r="DEF717" s="1176"/>
      <c r="DEG717" s="1176"/>
      <c r="DEH717" s="1176"/>
      <c r="DEI717" s="1176"/>
      <c r="DEJ717" s="1176"/>
      <c r="DEK717" s="1176"/>
      <c r="DEL717" s="1176"/>
      <c r="DEM717" s="1176"/>
      <c r="DEN717" s="1176"/>
      <c r="DEO717" s="1176"/>
      <c r="DEP717" s="1176"/>
      <c r="DEQ717" s="1176"/>
      <c r="DER717" s="1176"/>
      <c r="DES717" s="1176"/>
      <c r="DET717" s="1176"/>
      <c r="DEU717" s="1176"/>
      <c r="DEV717" s="1176"/>
      <c r="DEW717" s="1176"/>
      <c r="DEX717" s="1176"/>
      <c r="DEY717" s="1176"/>
      <c r="DEZ717" s="1176"/>
      <c r="DFA717" s="1176"/>
      <c r="DFB717" s="1176"/>
      <c r="DFC717" s="1176"/>
      <c r="DFD717" s="1176"/>
      <c r="DFE717" s="1176"/>
      <c r="DFF717" s="1176"/>
      <c r="DFG717" s="1176"/>
      <c r="DFH717" s="1176"/>
      <c r="DFI717" s="1176"/>
      <c r="DFJ717" s="1176"/>
      <c r="DFK717" s="1176"/>
      <c r="DFL717" s="1176"/>
      <c r="DFM717" s="1176"/>
      <c r="DFN717" s="1176"/>
      <c r="DFO717" s="1176"/>
      <c r="DFP717" s="1176"/>
      <c r="DFQ717" s="1176"/>
      <c r="DFR717" s="1176"/>
      <c r="DFS717" s="1176"/>
      <c r="DFT717" s="1176"/>
      <c r="DFU717" s="1176"/>
      <c r="DFV717" s="1176"/>
      <c r="DFW717" s="1176"/>
      <c r="DFX717" s="1176"/>
      <c r="DFY717" s="1176"/>
      <c r="DFZ717" s="1176"/>
      <c r="DGA717" s="1176"/>
      <c r="DGB717" s="1176"/>
      <c r="DGC717" s="1176"/>
      <c r="DGD717" s="1176"/>
      <c r="DGE717" s="1176"/>
      <c r="DGF717" s="1176"/>
      <c r="DGG717" s="1176"/>
      <c r="DGH717" s="1176"/>
      <c r="DGI717" s="1176"/>
      <c r="DGJ717" s="1176"/>
      <c r="DGK717" s="1176"/>
      <c r="DGL717" s="1176"/>
      <c r="DGM717" s="1176"/>
      <c r="DGN717" s="1176"/>
      <c r="DGO717" s="1176"/>
      <c r="DGP717" s="1176"/>
      <c r="DGQ717" s="1176"/>
      <c r="DGR717" s="1176"/>
      <c r="DGS717" s="1176"/>
      <c r="DGT717" s="1176"/>
      <c r="DGU717" s="1176"/>
      <c r="DGV717" s="1176"/>
      <c r="DGW717" s="1176"/>
      <c r="DGX717" s="1176"/>
      <c r="DGY717" s="1176"/>
      <c r="DGZ717" s="1176"/>
      <c r="DHA717" s="1176"/>
      <c r="DHB717" s="1176"/>
      <c r="DHC717" s="1176"/>
      <c r="DHD717" s="1176"/>
      <c r="DHE717" s="1176"/>
      <c r="DHF717" s="1176"/>
      <c r="DHG717" s="1176"/>
      <c r="DHH717" s="1176"/>
      <c r="DHI717" s="1176"/>
      <c r="DHJ717" s="1176"/>
      <c r="DHK717" s="1176"/>
      <c r="DHL717" s="1176"/>
      <c r="DHM717" s="1176"/>
      <c r="DHN717" s="1176"/>
      <c r="DHO717" s="1176"/>
      <c r="DHP717" s="1176"/>
      <c r="DHQ717" s="1176"/>
      <c r="DHR717" s="1176"/>
      <c r="DHS717" s="1176"/>
      <c r="DHT717" s="1176"/>
      <c r="DHU717" s="1176"/>
      <c r="DHV717" s="1176"/>
      <c r="DHW717" s="1176"/>
      <c r="DHX717" s="1176"/>
      <c r="DHY717" s="1176"/>
      <c r="DHZ717" s="1176"/>
      <c r="DIA717" s="1176"/>
      <c r="DIB717" s="1176"/>
      <c r="DIC717" s="1176"/>
      <c r="DID717" s="1176"/>
      <c r="DIE717" s="1176"/>
      <c r="DIF717" s="1176"/>
      <c r="DIG717" s="1176"/>
      <c r="DIH717" s="1176"/>
      <c r="DII717" s="1176"/>
      <c r="DIJ717" s="1176"/>
      <c r="DIK717" s="1176"/>
      <c r="DIL717" s="1176"/>
      <c r="DIM717" s="1176"/>
      <c r="DIN717" s="1176"/>
      <c r="DIO717" s="1176"/>
      <c r="DIP717" s="1176"/>
      <c r="DIQ717" s="1176"/>
      <c r="DIR717" s="1176"/>
      <c r="DIS717" s="1176"/>
      <c r="DIT717" s="1176"/>
      <c r="DIU717" s="1176"/>
      <c r="DIV717" s="1176"/>
      <c r="DIW717" s="1176"/>
      <c r="DIX717" s="1176"/>
      <c r="DIY717" s="1176"/>
      <c r="DIZ717" s="1176"/>
      <c r="DJA717" s="1176"/>
      <c r="DJB717" s="1176"/>
      <c r="DJC717" s="1176"/>
      <c r="DJD717" s="1176"/>
      <c r="DJE717" s="1176"/>
      <c r="DJF717" s="1176"/>
      <c r="DJG717" s="1176"/>
      <c r="DJH717" s="1176"/>
      <c r="DJI717" s="1176"/>
      <c r="DJJ717" s="1176"/>
      <c r="DJK717" s="1176"/>
      <c r="DJL717" s="1176"/>
      <c r="DJM717" s="1176"/>
      <c r="DJN717" s="1176"/>
      <c r="DJO717" s="1176"/>
      <c r="DJP717" s="1176"/>
      <c r="DJQ717" s="1176"/>
      <c r="DJR717" s="1176"/>
      <c r="DJS717" s="1176"/>
      <c r="DJT717" s="1176"/>
      <c r="DJU717" s="1176"/>
      <c r="DJV717" s="1176"/>
      <c r="DJW717" s="1176"/>
      <c r="DJX717" s="1176"/>
      <c r="DJY717" s="1176"/>
      <c r="DJZ717" s="1176"/>
      <c r="DKA717" s="1176"/>
      <c r="DKB717" s="1176"/>
      <c r="DKC717" s="1176"/>
      <c r="DKD717" s="1176"/>
      <c r="DKE717" s="1176"/>
      <c r="DKF717" s="1176"/>
      <c r="DKG717" s="1176"/>
      <c r="DKH717" s="1176"/>
      <c r="DKI717" s="1176"/>
      <c r="DKJ717" s="1176"/>
      <c r="DKK717" s="1176"/>
      <c r="DKL717" s="1176"/>
      <c r="DKM717" s="1176"/>
      <c r="DKN717" s="1176"/>
      <c r="DKO717" s="1176"/>
      <c r="DKP717" s="1176"/>
      <c r="DKQ717" s="1176"/>
      <c r="DKR717" s="1176"/>
      <c r="DKS717" s="1176"/>
      <c r="DKT717" s="1176"/>
      <c r="DKU717" s="1176"/>
      <c r="DKV717" s="1176"/>
      <c r="DKW717" s="1176"/>
      <c r="DKX717" s="1176"/>
      <c r="DKY717" s="1176"/>
      <c r="DKZ717" s="1176"/>
      <c r="DLA717" s="1176"/>
      <c r="DLB717" s="1176"/>
      <c r="DLC717" s="1176"/>
      <c r="DLD717" s="1176"/>
      <c r="DLE717" s="1176"/>
      <c r="DLF717" s="1176"/>
      <c r="DLG717" s="1176"/>
      <c r="DLH717" s="1176"/>
      <c r="DLI717" s="1176"/>
      <c r="DLJ717" s="1176"/>
      <c r="DLK717" s="1176"/>
      <c r="DLL717" s="1176"/>
      <c r="DLM717" s="1176"/>
      <c r="DLN717" s="1176"/>
      <c r="DLO717" s="1176"/>
      <c r="DLP717" s="1176"/>
      <c r="DLQ717" s="1176"/>
      <c r="DLR717" s="1176"/>
      <c r="DLS717" s="1176"/>
      <c r="DLT717" s="1176"/>
      <c r="DLU717" s="1176"/>
      <c r="DLV717" s="1176"/>
      <c r="DLW717" s="1176"/>
      <c r="DLX717" s="1176"/>
      <c r="DLY717" s="1176"/>
      <c r="DLZ717" s="1176"/>
      <c r="DMA717" s="1176"/>
      <c r="DMB717" s="1176"/>
      <c r="DMC717" s="1176"/>
      <c r="DMD717" s="1176"/>
      <c r="DME717" s="1176"/>
      <c r="DMF717" s="1176"/>
      <c r="DMG717" s="1176"/>
      <c r="DMH717" s="1176"/>
      <c r="DMI717" s="1176"/>
      <c r="DMJ717" s="1176"/>
      <c r="DMK717" s="1176"/>
      <c r="DML717" s="1176"/>
      <c r="DMM717" s="1176"/>
      <c r="DMN717" s="1176"/>
      <c r="DMO717" s="1176"/>
      <c r="DMP717" s="1176"/>
      <c r="DMQ717" s="1176"/>
      <c r="DMR717" s="1176"/>
      <c r="DMS717" s="1176"/>
      <c r="DMT717" s="1176"/>
      <c r="DMU717" s="1176"/>
      <c r="DMV717" s="1176"/>
      <c r="DMW717" s="1176"/>
      <c r="DMX717" s="1176"/>
      <c r="DMY717" s="1176"/>
      <c r="DMZ717" s="1176"/>
      <c r="DNA717" s="1176"/>
      <c r="DNB717" s="1176"/>
      <c r="DNC717" s="1176"/>
      <c r="DND717" s="1176"/>
      <c r="DNE717" s="1176"/>
      <c r="DNF717" s="1176"/>
      <c r="DNG717" s="1176"/>
      <c r="DNH717" s="1176"/>
      <c r="DNI717" s="1176"/>
      <c r="DNJ717" s="1176"/>
      <c r="DNK717" s="1176"/>
      <c r="DNL717" s="1176"/>
      <c r="DNM717" s="1176"/>
      <c r="DNN717" s="1176"/>
      <c r="DNO717" s="1176"/>
      <c r="DNP717" s="1176"/>
      <c r="DNQ717" s="1176"/>
      <c r="DNR717" s="1176"/>
      <c r="DNS717" s="1176"/>
      <c r="DNT717" s="1176"/>
      <c r="DNU717" s="1176"/>
      <c r="DNV717" s="1176"/>
      <c r="DNW717" s="1176"/>
      <c r="DNX717" s="1176"/>
      <c r="DNY717" s="1176"/>
      <c r="DNZ717" s="1176"/>
      <c r="DOA717" s="1176"/>
      <c r="DOB717" s="1176"/>
      <c r="DOC717" s="1176"/>
      <c r="DOD717" s="1176"/>
      <c r="DOE717" s="1176"/>
      <c r="DOF717" s="1176"/>
      <c r="DOG717" s="1176"/>
      <c r="DOH717" s="1176"/>
      <c r="DOI717" s="1176"/>
      <c r="DOJ717" s="1176"/>
      <c r="DOK717" s="1176"/>
      <c r="DOL717" s="1176"/>
      <c r="DOM717" s="1176"/>
      <c r="DON717" s="1176"/>
      <c r="DOO717" s="1176"/>
      <c r="DOP717" s="1176"/>
      <c r="DOQ717" s="1176"/>
      <c r="DOR717" s="1176"/>
      <c r="DOS717" s="1176"/>
      <c r="DOT717" s="1176"/>
      <c r="DOU717" s="1176"/>
      <c r="DOV717" s="1176"/>
      <c r="DOW717" s="1176"/>
      <c r="DOX717" s="1176"/>
      <c r="DOY717" s="1176"/>
      <c r="DOZ717" s="1176"/>
      <c r="DPA717" s="1176"/>
      <c r="DPB717" s="1176"/>
      <c r="DPC717" s="1176"/>
      <c r="DPD717" s="1176"/>
      <c r="DPE717" s="1176"/>
      <c r="DPF717" s="1176"/>
      <c r="DPG717" s="1176"/>
      <c r="DPH717" s="1176"/>
      <c r="DPI717" s="1176"/>
      <c r="DPJ717" s="1176"/>
      <c r="DPK717" s="1176"/>
      <c r="DPL717" s="1176"/>
      <c r="DPM717" s="1176"/>
      <c r="DPN717" s="1176"/>
      <c r="DPO717" s="1176"/>
      <c r="DPP717" s="1176"/>
      <c r="DPQ717" s="1176"/>
      <c r="DPR717" s="1176"/>
      <c r="DPS717" s="1176"/>
      <c r="DPT717" s="1176"/>
      <c r="DPU717" s="1176"/>
      <c r="DPV717" s="1176"/>
      <c r="DPW717" s="1176"/>
      <c r="DPX717" s="1176"/>
      <c r="DPY717" s="1176"/>
      <c r="DPZ717" s="1176"/>
      <c r="DQA717" s="1176"/>
      <c r="DQB717" s="1176"/>
      <c r="DQC717" s="1176"/>
      <c r="DQD717" s="1176"/>
      <c r="DQE717" s="1176"/>
      <c r="DQF717" s="1176"/>
      <c r="DQG717" s="1176"/>
      <c r="DQH717" s="1176"/>
      <c r="DQI717" s="1176"/>
      <c r="DQJ717" s="1176"/>
      <c r="DQK717" s="1176"/>
      <c r="DQL717" s="1176"/>
      <c r="DQM717" s="1176"/>
      <c r="DQN717" s="1176"/>
      <c r="DQO717" s="1176"/>
      <c r="DQP717" s="1176"/>
      <c r="DQQ717" s="1176"/>
      <c r="DQR717" s="1176"/>
      <c r="DQS717" s="1176"/>
      <c r="DQT717" s="1176"/>
      <c r="DQU717" s="1176"/>
      <c r="DQV717" s="1176"/>
      <c r="DQW717" s="1176"/>
      <c r="DQX717" s="1176"/>
      <c r="DQY717" s="1176"/>
      <c r="DQZ717" s="1176"/>
      <c r="DRA717" s="1176"/>
      <c r="DRB717" s="1176"/>
      <c r="DRC717" s="1176"/>
      <c r="DRD717" s="1176"/>
      <c r="DRE717" s="1176"/>
      <c r="DRF717" s="1176"/>
      <c r="DRG717" s="1176"/>
      <c r="DRH717" s="1176"/>
      <c r="DRI717" s="1176"/>
      <c r="DRJ717" s="1176"/>
      <c r="DRK717" s="1176"/>
      <c r="DRL717" s="1176"/>
      <c r="DRM717" s="1176"/>
      <c r="DRN717" s="1176"/>
      <c r="DRO717" s="1176"/>
      <c r="DRP717" s="1176"/>
      <c r="DRQ717" s="1176"/>
      <c r="DRR717" s="1176"/>
      <c r="DRS717" s="1176"/>
      <c r="DRT717" s="1176"/>
      <c r="DRU717" s="1176"/>
      <c r="DRV717" s="1176"/>
      <c r="DRW717" s="1176"/>
      <c r="DRX717" s="1176"/>
      <c r="DRY717" s="1176"/>
      <c r="DRZ717" s="1176"/>
      <c r="DSA717" s="1176"/>
      <c r="DSB717" s="1176"/>
      <c r="DSC717" s="1176"/>
      <c r="DSD717" s="1176"/>
      <c r="DSE717" s="1176"/>
      <c r="DSF717" s="1176"/>
      <c r="DSG717" s="1176"/>
      <c r="DSH717" s="1176"/>
      <c r="DSI717" s="1176"/>
      <c r="DSJ717" s="1176"/>
      <c r="DSK717" s="1176"/>
      <c r="DSL717" s="1176"/>
      <c r="DSM717" s="1176"/>
      <c r="DSN717" s="1176"/>
      <c r="DSO717" s="1176"/>
      <c r="DSP717" s="1176"/>
      <c r="DSQ717" s="1176"/>
      <c r="DSR717" s="1176"/>
      <c r="DSS717" s="1176"/>
      <c r="DST717" s="1176"/>
      <c r="DSU717" s="1176"/>
      <c r="DSV717" s="1176"/>
      <c r="DSW717" s="1176"/>
      <c r="DSX717" s="1176"/>
      <c r="DSY717" s="1176"/>
      <c r="DSZ717" s="1176"/>
      <c r="DTA717" s="1176"/>
      <c r="DTB717" s="1176"/>
      <c r="DTC717" s="1176"/>
      <c r="DTD717" s="1176"/>
      <c r="DTE717" s="1176"/>
      <c r="DTF717" s="1176"/>
      <c r="DTG717" s="1176"/>
      <c r="DTH717" s="1176"/>
      <c r="DTI717" s="1176"/>
      <c r="DTJ717" s="1176"/>
      <c r="DTK717" s="1176"/>
      <c r="DTL717" s="1176"/>
      <c r="DTM717" s="1176"/>
      <c r="DTN717" s="1176"/>
      <c r="DTO717" s="1176"/>
      <c r="DTP717" s="1176"/>
      <c r="DTQ717" s="1176"/>
      <c r="DTR717" s="1176"/>
      <c r="DTS717" s="1176"/>
      <c r="DTT717" s="1176"/>
      <c r="DTU717" s="1176"/>
      <c r="DTV717" s="1176"/>
      <c r="DTW717" s="1176"/>
      <c r="DTX717" s="1176"/>
      <c r="DTY717" s="1176"/>
      <c r="DTZ717" s="1176"/>
      <c r="DUA717" s="1176"/>
      <c r="DUB717" s="1176"/>
      <c r="DUC717" s="1176"/>
      <c r="DUD717" s="1176"/>
      <c r="DUE717" s="1176"/>
      <c r="DUF717" s="1176"/>
      <c r="DUG717" s="1176"/>
      <c r="DUH717" s="1176"/>
      <c r="DUI717" s="1176"/>
      <c r="DUJ717" s="1176"/>
      <c r="DUK717" s="1176"/>
      <c r="DUL717" s="1176"/>
      <c r="DUM717" s="1176"/>
      <c r="DUN717" s="1176"/>
      <c r="DUO717" s="1176"/>
      <c r="DUP717" s="1176"/>
      <c r="DUQ717" s="1176"/>
      <c r="DUR717" s="1176"/>
      <c r="DUS717" s="1176"/>
      <c r="DUT717" s="1176"/>
      <c r="DUU717" s="1176"/>
      <c r="DUV717" s="1176"/>
      <c r="DUW717" s="1176"/>
      <c r="DUX717" s="1176"/>
      <c r="DUY717" s="1176"/>
      <c r="DUZ717" s="1176"/>
      <c r="DVA717" s="1176"/>
      <c r="DVB717" s="1176"/>
      <c r="DVC717" s="1176"/>
      <c r="DVD717" s="1176"/>
      <c r="DVE717" s="1176"/>
      <c r="DVF717" s="1176"/>
      <c r="DVG717" s="1176"/>
      <c r="DVH717" s="1176"/>
      <c r="DVI717" s="1176"/>
      <c r="DVJ717" s="1176"/>
      <c r="DVK717" s="1176"/>
      <c r="DVL717" s="1176"/>
      <c r="DVM717" s="1176"/>
      <c r="DVN717" s="1176"/>
      <c r="DVO717" s="1176"/>
      <c r="DVP717" s="1176"/>
      <c r="DVQ717" s="1176"/>
      <c r="DVR717" s="1176"/>
      <c r="DVS717" s="1176"/>
      <c r="DVT717" s="1176"/>
      <c r="DVU717" s="1176"/>
      <c r="DVV717" s="1176"/>
      <c r="DVW717" s="1176"/>
      <c r="DVX717" s="1176"/>
      <c r="DVY717" s="1176"/>
      <c r="DVZ717" s="1176"/>
      <c r="DWA717" s="1176"/>
      <c r="DWB717" s="1176"/>
      <c r="DWC717" s="1176"/>
      <c r="DWD717" s="1176"/>
      <c r="DWE717" s="1176"/>
      <c r="DWF717" s="1176"/>
      <c r="DWG717" s="1176"/>
      <c r="DWH717" s="1176"/>
      <c r="DWI717" s="1176"/>
      <c r="DWJ717" s="1176"/>
      <c r="DWK717" s="1176"/>
      <c r="DWL717" s="1176"/>
      <c r="DWM717" s="1176"/>
      <c r="DWN717" s="1176"/>
      <c r="DWO717" s="1176"/>
      <c r="DWP717" s="1176"/>
      <c r="DWQ717" s="1176"/>
      <c r="DWR717" s="1176"/>
      <c r="DWS717" s="1176"/>
      <c r="DWT717" s="1176"/>
      <c r="DWU717" s="1176"/>
      <c r="DWV717" s="1176"/>
      <c r="DWW717" s="1176"/>
      <c r="DWX717" s="1176"/>
      <c r="DWY717" s="1176"/>
      <c r="DWZ717" s="1176"/>
      <c r="DXA717" s="1176"/>
      <c r="DXB717" s="1176"/>
      <c r="DXC717" s="1176"/>
      <c r="DXD717" s="1176"/>
      <c r="DXE717" s="1176"/>
      <c r="DXF717" s="1176"/>
      <c r="DXG717" s="1176"/>
      <c r="DXH717" s="1176"/>
      <c r="DXI717" s="1176"/>
      <c r="DXJ717" s="1176"/>
      <c r="DXK717" s="1176"/>
      <c r="DXL717" s="1176"/>
      <c r="DXM717" s="1176"/>
      <c r="DXN717" s="1176"/>
      <c r="DXO717" s="1176"/>
      <c r="DXP717" s="1176"/>
      <c r="DXQ717" s="1176"/>
      <c r="DXR717" s="1176"/>
      <c r="DXS717" s="1176"/>
      <c r="DXT717" s="1176"/>
      <c r="DXU717" s="1176"/>
      <c r="DXV717" s="1176"/>
      <c r="DXW717" s="1176"/>
      <c r="DXX717" s="1176"/>
      <c r="DXY717" s="1176"/>
      <c r="DXZ717" s="1176"/>
      <c r="DYA717" s="1176"/>
      <c r="DYB717" s="1176"/>
      <c r="DYC717" s="1176"/>
      <c r="DYD717" s="1176"/>
      <c r="DYE717" s="1176"/>
      <c r="DYF717" s="1176"/>
      <c r="DYG717" s="1176"/>
      <c r="DYH717" s="1176"/>
      <c r="DYI717" s="1176"/>
      <c r="DYJ717" s="1176"/>
      <c r="DYK717" s="1176"/>
      <c r="DYL717" s="1176"/>
      <c r="DYM717" s="1176"/>
      <c r="DYN717" s="1176"/>
      <c r="DYO717" s="1176"/>
      <c r="DYP717" s="1176"/>
      <c r="DYQ717" s="1176"/>
      <c r="DYR717" s="1176"/>
      <c r="DYS717" s="1176"/>
      <c r="DYT717" s="1176"/>
      <c r="DYU717" s="1176"/>
      <c r="DYV717" s="1176"/>
      <c r="DYW717" s="1176"/>
      <c r="DYX717" s="1176"/>
      <c r="DYY717" s="1176"/>
      <c r="DYZ717" s="1176"/>
      <c r="DZA717" s="1176"/>
      <c r="DZB717" s="1176"/>
      <c r="DZC717" s="1176"/>
      <c r="DZD717" s="1176"/>
      <c r="DZE717" s="1176"/>
      <c r="DZF717" s="1176"/>
      <c r="DZG717" s="1176"/>
      <c r="DZH717" s="1176"/>
      <c r="DZI717" s="1176"/>
      <c r="DZJ717" s="1176"/>
      <c r="DZK717" s="1176"/>
      <c r="DZL717" s="1176"/>
      <c r="DZM717" s="1176"/>
      <c r="DZN717" s="1176"/>
      <c r="DZO717" s="1176"/>
      <c r="DZP717" s="1176"/>
      <c r="DZQ717" s="1176"/>
      <c r="DZR717" s="1176"/>
      <c r="DZS717" s="1176"/>
      <c r="DZT717" s="1176"/>
      <c r="DZU717" s="1176"/>
      <c r="DZV717" s="1176"/>
      <c r="DZW717" s="1176"/>
      <c r="DZX717" s="1176"/>
      <c r="DZY717" s="1176"/>
      <c r="DZZ717" s="1176"/>
      <c r="EAA717" s="1176"/>
      <c r="EAB717" s="1176"/>
      <c r="EAC717" s="1176"/>
      <c r="EAD717" s="1176"/>
      <c r="EAE717" s="1176"/>
      <c r="EAF717" s="1176"/>
      <c r="EAG717" s="1176"/>
      <c r="EAH717" s="1176"/>
      <c r="EAI717" s="1176"/>
      <c r="EAJ717" s="1176"/>
      <c r="EAK717" s="1176"/>
      <c r="EAL717" s="1176"/>
      <c r="EAM717" s="1176"/>
      <c r="EAN717" s="1176"/>
      <c r="EAO717" s="1176"/>
      <c r="EAP717" s="1176"/>
      <c r="EAQ717" s="1176"/>
      <c r="EAR717" s="1176"/>
      <c r="EAS717" s="1176"/>
      <c r="EAT717" s="1176"/>
      <c r="EAU717" s="1176"/>
      <c r="EAV717" s="1176"/>
      <c r="EAW717" s="1176"/>
      <c r="EAX717" s="1176"/>
      <c r="EAY717" s="1176"/>
      <c r="EAZ717" s="1176"/>
      <c r="EBA717" s="1176"/>
      <c r="EBB717" s="1176"/>
      <c r="EBC717" s="1176"/>
      <c r="EBD717" s="1176"/>
      <c r="EBE717" s="1176"/>
      <c r="EBF717" s="1176"/>
      <c r="EBG717" s="1176"/>
      <c r="EBH717" s="1176"/>
      <c r="EBI717" s="1176"/>
      <c r="EBJ717" s="1176"/>
      <c r="EBK717" s="1176"/>
      <c r="EBL717" s="1176"/>
      <c r="EBM717" s="1176"/>
      <c r="EBN717" s="1176"/>
      <c r="EBO717" s="1176"/>
      <c r="EBP717" s="1176"/>
      <c r="EBQ717" s="1176"/>
      <c r="EBR717" s="1176"/>
      <c r="EBS717" s="1176"/>
      <c r="EBT717" s="1176"/>
      <c r="EBU717" s="1176"/>
      <c r="EBV717" s="1176"/>
      <c r="EBW717" s="1176"/>
      <c r="EBX717" s="1176"/>
      <c r="EBY717" s="1176"/>
      <c r="EBZ717" s="1176"/>
      <c r="ECA717" s="1176"/>
      <c r="ECB717" s="1176"/>
      <c r="ECC717" s="1176"/>
      <c r="ECD717" s="1176"/>
      <c r="ECE717" s="1176"/>
      <c r="ECF717" s="1176"/>
      <c r="ECG717" s="1176"/>
      <c r="ECH717" s="1176"/>
      <c r="ECI717" s="1176"/>
      <c r="ECJ717" s="1176"/>
      <c r="ECK717" s="1176"/>
      <c r="ECL717" s="1176"/>
      <c r="ECM717" s="1176"/>
      <c r="ECN717" s="1176"/>
      <c r="ECO717" s="1176"/>
      <c r="ECP717" s="1176"/>
      <c r="ECQ717" s="1176"/>
      <c r="ECR717" s="1176"/>
      <c r="ECS717" s="1176"/>
      <c r="ECT717" s="1176"/>
      <c r="ECU717" s="1176"/>
      <c r="ECV717" s="1176"/>
      <c r="ECW717" s="1176"/>
      <c r="ECX717" s="1176"/>
      <c r="ECY717" s="1176"/>
      <c r="ECZ717" s="1176"/>
      <c r="EDA717" s="1176"/>
      <c r="EDB717" s="1176"/>
      <c r="EDC717" s="1176"/>
      <c r="EDD717" s="1176"/>
      <c r="EDE717" s="1176"/>
      <c r="EDF717" s="1176"/>
      <c r="EDG717" s="1176"/>
      <c r="EDH717" s="1176"/>
      <c r="EDI717" s="1176"/>
      <c r="EDJ717" s="1176"/>
      <c r="EDK717" s="1176"/>
      <c r="EDL717" s="1176"/>
      <c r="EDM717" s="1176"/>
      <c r="EDN717" s="1176"/>
      <c r="EDO717" s="1176"/>
      <c r="EDP717" s="1176"/>
      <c r="EDQ717" s="1176"/>
      <c r="EDR717" s="1176"/>
      <c r="EDS717" s="1176"/>
      <c r="EDT717" s="1176"/>
      <c r="EDU717" s="1176"/>
      <c r="EDV717" s="1176"/>
      <c r="EDW717" s="1176"/>
      <c r="EDX717" s="1176"/>
      <c r="EDY717" s="1176"/>
      <c r="EDZ717" s="1176"/>
      <c r="EEA717" s="1176"/>
      <c r="EEB717" s="1176"/>
      <c r="EEC717" s="1176"/>
      <c r="EED717" s="1176"/>
      <c r="EEE717" s="1176"/>
      <c r="EEF717" s="1176"/>
      <c r="EEG717" s="1176"/>
      <c r="EEH717" s="1176"/>
      <c r="EEI717" s="1176"/>
      <c r="EEJ717" s="1176"/>
      <c r="EEK717" s="1176"/>
      <c r="EEL717" s="1176"/>
      <c r="EEM717" s="1176"/>
      <c r="EEN717" s="1176"/>
      <c r="EEO717" s="1176"/>
      <c r="EEP717" s="1176"/>
      <c r="EEQ717" s="1176"/>
      <c r="EER717" s="1176"/>
      <c r="EES717" s="1176"/>
      <c r="EET717" s="1176"/>
      <c r="EEU717" s="1176"/>
      <c r="EEV717" s="1176"/>
      <c r="EEW717" s="1176"/>
      <c r="EEX717" s="1176"/>
      <c r="EEY717" s="1176"/>
      <c r="EEZ717" s="1176"/>
      <c r="EFA717" s="1176"/>
      <c r="EFB717" s="1176"/>
      <c r="EFC717" s="1176"/>
      <c r="EFD717" s="1176"/>
      <c r="EFE717" s="1176"/>
      <c r="EFF717" s="1176"/>
      <c r="EFG717" s="1176"/>
      <c r="EFH717" s="1176"/>
      <c r="EFI717" s="1176"/>
      <c r="EFJ717" s="1176"/>
      <c r="EFK717" s="1176"/>
      <c r="EFL717" s="1176"/>
      <c r="EFM717" s="1176"/>
      <c r="EFN717" s="1176"/>
      <c r="EFO717" s="1176"/>
      <c r="EFP717" s="1176"/>
      <c r="EFQ717" s="1176"/>
      <c r="EFR717" s="1176"/>
      <c r="EFS717" s="1176"/>
      <c r="EFT717" s="1176"/>
      <c r="EFU717" s="1176"/>
      <c r="EFV717" s="1176"/>
      <c r="EFW717" s="1176"/>
      <c r="EFX717" s="1176"/>
      <c r="EFY717" s="1176"/>
      <c r="EFZ717" s="1176"/>
      <c r="EGA717" s="1176"/>
      <c r="EGB717" s="1176"/>
      <c r="EGC717" s="1176"/>
      <c r="EGD717" s="1176"/>
      <c r="EGE717" s="1176"/>
      <c r="EGF717" s="1176"/>
      <c r="EGG717" s="1176"/>
      <c r="EGH717" s="1176"/>
      <c r="EGI717" s="1176"/>
      <c r="EGJ717" s="1176"/>
      <c r="EGK717" s="1176"/>
      <c r="EGL717" s="1176"/>
      <c r="EGM717" s="1176"/>
      <c r="EGN717" s="1176"/>
      <c r="EGO717" s="1176"/>
      <c r="EGP717" s="1176"/>
      <c r="EGQ717" s="1176"/>
      <c r="EGR717" s="1176"/>
      <c r="EGS717" s="1176"/>
      <c r="EGT717" s="1176"/>
      <c r="EGU717" s="1176"/>
      <c r="EGV717" s="1176"/>
      <c r="EGW717" s="1176"/>
      <c r="EGX717" s="1176"/>
      <c r="EGY717" s="1176"/>
      <c r="EGZ717" s="1176"/>
      <c r="EHA717" s="1176"/>
      <c r="EHB717" s="1176"/>
      <c r="EHC717" s="1176"/>
      <c r="EHD717" s="1176"/>
      <c r="EHE717" s="1176"/>
      <c r="EHF717" s="1176"/>
      <c r="EHG717" s="1176"/>
      <c r="EHH717" s="1176"/>
      <c r="EHI717" s="1176"/>
      <c r="EHJ717" s="1176"/>
      <c r="EHK717" s="1176"/>
      <c r="EHL717" s="1176"/>
      <c r="EHM717" s="1176"/>
      <c r="EHN717" s="1176"/>
      <c r="EHO717" s="1176"/>
      <c r="EHP717" s="1176"/>
      <c r="EHQ717" s="1176"/>
      <c r="EHR717" s="1176"/>
      <c r="EHS717" s="1176"/>
      <c r="EHT717" s="1176"/>
      <c r="EHU717" s="1176"/>
      <c r="EHV717" s="1176"/>
      <c r="EHW717" s="1176"/>
      <c r="EHX717" s="1176"/>
      <c r="EHY717" s="1176"/>
      <c r="EHZ717" s="1176"/>
      <c r="EIA717" s="1176"/>
      <c r="EIB717" s="1176"/>
      <c r="EIC717" s="1176"/>
      <c r="EID717" s="1176"/>
      <c r="EIE717" s="1176"/>
      <c r="EIF717" s="1176"/>
      <c r="EIG717" s="1176"/>
      <c r="EIH717" s="1176"/>
      <c r="EII717" s="1176"/>
      <c r="EIJ717" s="1176"/>
      <c r="EIK717" s="1176"/>
      <c r="EIL717" s="1176"/>
      <c r="EIM717" s="1176"/>
      <c r="EIN717" s="1176"/>
      <c r="EIO717" s="1176"/>
      <c r="EIP717" s="1176"/>
      <c r="EIQ717" s="1176"/>
      <c r="EIR717" s="1176"/>
      <c r="EIS717" s="1176"/>
      <c r="EIT717" s="1176"/>
      <c r="EIU717" s="1176"/>
      <c r="EIV717" s="1176"/>
      <c r="EIW717" s="1176"/>
      <c r="EIX717" s="1176"/>
      <c r="EIY717" s="1176"/>
      <c r="EIZ717" s="1176"/>
      <c r="EJA717" s="1176"/>
      <c r="EJB717" s="1176"/>
      <c r="EJC717" s="1176"/>
      <c r="EJD717" s="1176"/>
      <c r="EJE717" s="1176"/>
      <c r="EJF717" s="1176"/>
      <c r="EJG717" s="1176"/>
      <c r="EJH717" s="1176"/>
      <c r="EJI717" s="1176"/>
      <c r="EJJ717" s="1176"/>
      <c r="EJK717" s="1176"/>
      <c r="EJL717" s="1176"/>
      <c r="EJM717" s="1176"/>
      <c r="EJN717" s="1176"/>
      <c r="EJO717" s="1176"/>
      <c r="EJP717" s="1176"/>
      <c r="EJQ717" s="1176"/>
      <c r="EJR717" s="1176"/>
      <c r="EJS717" s="1176"/>
      <c r="EJT717" s="1176"/>
      <c r="EJU717" s="1176"/>
      <c r="EJV717" s="1176"/>
      <c r="EJW717" s="1176"/>
      <c r="EJX717" s="1176"/>
      <c r="EJY717" s="1176"/>
      <c r="EJZ717" s="1176"/>
      <c r="EKA717" s="1176"/>
      <c r="EKB717" s="1176"/>
      <c r="EKC717" s="1176"/>
      <c r="EKD717" s="1176"/>
      <c r="EKE717" s="1176"/>
      <c r="EKF717" s="1176"/>
      <c r="EKG717" s="1176"/>
      <c r="EKH717" s="1176"/>
      <c r="EKI717" s="1176"/>
      <c r="EKJ717" s="1176"/>
      <c r="EKK717" s="1176"/>
      <c r="EKL717" s="1176"/>
      <c r="EKM717" s="1176"/>
      <c r="EKN717" s="1176"/>
      <c r="EKO717" s="1176"/>
      <c r="EKP717" s="1176"/>
      <c r="EKQ717" s="1176"/>
      <c r="EKR717" s="1176"/>
      <c r="EKS717" s="1176"/>
      <c r="EKT717" s="1176"/>
      <c r="EKU717" s="1176"/>
      <c r="EKV717" s="1176"/>
      <c r="EKW717" s="1176"/>
      <c r="EKX717" s="1176"/>
      <c r="EKY717" s="1176"/>
      <c r="EKZ717" s="1176"/>
      <c r="ELA717" s="1176"/>
      <c r="ELB717" s="1176"/>
      <c r="ELC717" s="1176"/>
      <c r="ELD717" s="1176"/>
      <c r="ELE717" s="1176"/>
      <c r="ELF717" s="1176"/>
      <c r="ELG717" s="1176"/>
      <c r="ELH717" s="1176"/>
      <c r="ELI717" s="1176"/>
      <c r="ELJ717" s="1176"/>
      <c r="ELK717" s="1176"/>
      <c r="ELL717" s="1176"/>
      <c r="ELM717" s="1176"/>
      <c r="ELN717" s="1176"/>
      <c r="ELO717" s="1176"/>
      <c r="ELP717" s="1176"/>
      <c r="ELQ717" s="1176"/>
      <c r="ELR717" s="1176"/>
      <c r="ELS717" s="1176"/>
      <c r="ELT717" s="1176"/>
      <c r="ELU717" s="1176"/>
      <c r="ELV717" s="1176"/>
      <c r="ELW717" s="1176"/>
      <c r="ELX717" s="1176"/>
      <c r="ELY717" s="1176"/>
      <c r="ELZ717" s="1176"/>
      <c r="EMA717" s="1176"/>
      <c r="EMB717" s="1176"/>
      <c r="EMC717" s="1176"/>
      <c r="EMD717" s="1176"/>
      <c r="EME717" s="1176"/>
      <c r="EMF717" s="1176"/>
      <c r="EMG717" s="1176"/>
      <c r="EMH717" s="1176"/>
      <c r="EMI717" s="1176"/>
      <c r="EMJ717" s="1176"/>
      <c r="EMK717" s="1176"/>
      <c r="EML717" s="1176"/>
      <c r="EMM717" s="1176"/>
      <c r="EMN717" s="1176"/>
      <c r="EMO717" s="1176"/>
      <c r="EMP717" s="1176"/>
      <c r="EMQ717" s="1176"/>
      <c r="EMR717" s="1176"/>
      <c r="EMS717" s="1176"/>
      <c r="EMT717" s="1176"/>
      <c r="EMU717" s="1176"/>
      <c r="EMV717" s="1176"/>
      <c r="EMW717" s="1176"/>
      <c r="EMX717" s="1176"/>
      <c r="EMY717" s="1176"/>
      <c r="EMZ717" s="1176"/>
      <c r="ENA717" s="1176"/>
      <c r="ENB717" s="1176"/>
      <c r="ENC717" s="1176"/>
      <c r="END717" s="1176"/>
      <c r="ENE717" s="1176"/>
      <c r="ENF717" s="1176"/>
      <c r="ENG717" s="1176"/>
      <c r="ENH717" s="1176"/>
      <c r="ENI717" s="1176"/>
      <c r="ENJ717" s="1176"/>
      <c r="ENK717" s="1176"/>
      <c r="ENL717" s="1176"/>
      <c r="ENM717" s="1176"/>
      <c r="ENN717" s="1176"/>
      <c r="ENO717" s="1176"/>
      <c r="ENP717" s="1176"/>
      <c r="ENQ717" s="1176"/>
      <c r="ENR717" s="1176"/>
      <c r="ENS717" s="1176"/>
      <c r="ENT717" s="1176"/>
      <c r="ENU717" s="1176"/>
      <c r="ENV717" s="1176"/>
      <c r="ENW717" s="1176"/>
      <c r="ENX717" s="1176"/>
      <c r="ENY717" s="1176"/>
      <c r="ENZ717" s="1176"/>
      <c r="EOA717" s="1176"/>
      <c r="EOB717" s="1176"/>
      <c r="EOC717" s="1176"/>
      <c r="EOD717" s="1176"/>
      <c r="EOE717" s="1176"/>
      <c r="EOF717" s="1176"/>
      <c r="EOG717" s="1176"/>
      <c r="EOH717" s="1176"/>
      <c r="EOI717" s="1176"/>
      <c r="EOJ717" s="1176"/>
      <c r="EOK717" s="1176"/>
      <c r="EOL717" s="1176"/>
      <c r="EOM717" s="1176"/>
      <c r="EON717" s="1176"/>
      <c r="EOO717" s="1176"/>
      <c r="EOP717" s="1176"/>
      <c r="EOQ717" s="1176"/>
      <c r="EOR717" s="1176"/>
      <c r="EOS717" s="1176"/>
      <c r="EOT717" s="1176"/>
      <c r="EOU717" s="1176"/>
      <c r="EOV717" s="1176"/>
      <c r="EOW717" s="1176"/>
      <c r="EOX717" s="1176"/>
      <c r="EOY717" s="1176"/>
      <c r="EOZ717" s="1176"/>
      <c r="EPA717" s="1176"/>
      <c r="EPB717" s="1176"/>
      <c r="EPC717" s="1176"/>
      <c r="EPD717" s="1176"/>
      <c r="EPE717" s="1176"/>
      <c r="EPF717" s="1176"/>
      <c r="EPG717" s="1176"/>
      <c r="EPH717" s="1176"/>
      <c r="EPI717" s="1176"/>
      <c r="EPJ717" s="1176"/>
      <c r="EPK717" s="1176"/>
      <c r="EPL717" s="1176"/>
      <c r="EPM717" s="1176"/>
      <c r="EPN717" s="1176"/>
      <c r="EPO717" s="1176"/>
      <c r="EPP717" s="1176"/>
      <c r="EPQ717" s="1176"/>
      <c r="EPR717" s="1176"/>
      <c r="EPS717" s="1176"/>
      <c r="EPT717" s="1176"/>
      <c r="EPU717" s="1176"/>
      <c r="EPV717" s="1176"/>
      <c r="EPW717" s="1176"/>
      <c r="EPX717" s="1176"/>
      <c r="EPY717" s="1176"/>
      <c r="EPZ717" s="1176"/>
      <c r="EQA717" s="1176"/>
      <c r="EQB717" s="1176"/>
      <c r="EQC717" s="1176"/>
      <c r="EQD717" s="1176"/>
      <c r="EQE717" s="1176"/>
      <c r="EQF717" s="1176"/>
      <c r="EQG717" s="1176"/>
      <c r="EQH717" s="1176"/>
      <c r="EQI717" s="1176"/>
      <c r="EQJ717" s="1176"/>
      <c r="EQK717" s="1176"/>
      <c r="EQL717" s="1176"/>
      <c r="EQM717" s="1176"/>
      <c r="EQN717" s="1176"/>
      <c r="EQO717" s="1176"/>
      <c r="EQP717" s="1176"/>
      <c r="EQQ717" s="1176"/>
      <c r="EQR717" s="1176"/>
      <c r="EQS717" s="1176"/>
      <c r="EQT717" s="1176"/>
      <c r="EQU717" s="1176"/>
      <c r="EQV717" s="1176"/>
      <c r="EQW717" s="1176"/>
      <c r="EQX717" s="1176"/>
      <c r="EQY717" s="1176"/>
      <c r="EQZ717" s="1176"/>
      <c r="ERA717" s="1176"/>
      <c r="ERB717" s="1176"/>
      <c r="ERC717" s="1176"/>
      <c r="ERD717" s="1176"/>
      <c r="ERE717" s="1176"/>
      <c r="ERF717" s="1176"/>
      <c r="ERG717" s="1176"/>
      <c r="ERH717" s="1176"/>
      <c r="ERI717" s="1176"/>
      <c r="ERJ717" s="1176"/>
      <c r="ERK717" s="1176"/>
      <c r="ERL717" s="1176"/>
      <c r="ERM717" s="1176"/>
      <c r="ERN717" s="1176"/>
      <c r="ERO717" s="1176"/>
      <c r="ERP717" s="1176"/>
      <c r="ERQ717" s="1176"/>
      <c r="ERR717" s="1176"/>
      <c r="ERS717" s="1176"/>
      <c r="ERT717" s="1176"/>
      <c r="ERU717" s="1176"/>
      <c r="ERV717" s="1176"/>
      <c r="ERW717" s="1176"/>
      <c r="ERX717" s="1176"/>
      <c r="ERY717" s="1176"/>
      <c r="ERZ717" s="1176"/>
      <c r="ESA717" s="1176"/>
      <c r="ESB717" s="1176"/>
      <c r="ESC717" s="1176"/>
      <c r="ESD717" s="1176"/>
      <c r="ESE717" s="1176"/>
      <c r="ESF717" s="1176"/>
      <c r="ESG717" s="1176"/>
      <c r="ESH717" s="1176"/>
      <c r="ESI717" s="1176"/>
      <c r="ESJ717" s="1176"/>
      <c r="ESK717" s="1176"/>
      <c r="ESL717" s="1176"/>
      <c r="ESM717" s="1176"/>
      <c r="ESN717" s="1176"/>
      <c r="ESO717" s="1176"/>
      <c r="ESP717" s="1176"/>
      <c r="ESQ717" s="1176"/>
      <c r="ESR717" s="1176"/>
      <c r="ESS717" s="1176"/>
      <c r="EST717" s="1176"/>
      <c r="ESU717" s="1176"/>
      <c r="ESV717" s="1176"/>
      <c r="ESW717" s="1176"/>
      <c r="ESX717" s="1176"/>
      <c r="ESY717" s="1176"/>
      <c r="ESZ717" s="1176"/>
      <c r="ETA717" s="1176"/>
      <c r="ETB717" s="1176"/>
      <c r="ETC717" s="1176"/>
      <c r="ETD717" s="1176"/>
      <c r="ETE717" s="1176"/>
      <c r="ETF717" s="1176"/>
      <c r="ETG717" s="1176"/>
      <c r="ETH717" s="1176"/>
      <c r="ETI717" s="1176"/>
      <c r="ETJ717" s="1176"/>
      <c r="ETK717" s="1176"/>
      <c r="ETL717" s="1176"/>
      <c r="ETM717" s="1176"/>
      <c r="ETN717" s="1176"/>
      <c r="ETO717" s="1176"/>
      <c r="ETP717" s="1176"/>
      <c r="ETQ717" s="1176"/>
      <c r="ETR717" s="1176"/>
      <c r="ETS717" s="1176"/>
      <c r="ETT717" s="1176"/>
      <c r="ETU717" s="1176"/>
      <c r="ETV717" s="1176"/>
      <c r="ETW717" s="1176"/>
      <c r="ETX717" s="1176"/>
      <c r="ETY717" s="1176"/>
      <c r="ETZ717" s="1176"/>
      <c r="EUA717" s="1176"/>
      <c r="EUB717" s="1176"/>
      <c r="EUC717" s="1176"/>
      <c r="EUD717" s="1176"/>
      <c r="EUE717" s="1176"/>
      <c r="EUF717" s="1176"/>
      <c r="EUG717" s="1176"/>
      <c r="EUH717" s="1176"/>
      <c r="EUI717" s="1176"/>
      <c r="EUJ717" s="1176"/>
      <c r="EUK717" s="1176"/>
      <c r="EUL717" s="1176"/>
      <c r="EUM717" s="1176"/>
      <c r="EUN717" s="1176"/>
      <c r="EUO717" s="1176"/>
      <c r="EUP717" s="1176"/>
      <c r="EUQ717" s="1176"/>
      <c r="EUR717" s="1176"/>
      <c r="EUS717" s="1176"/>
      <c r="EUT717" s="1176"/>
      <c r="EUU717" s="1176"/>
      <c r="EUV717" s="1176"/>
      <c r="EUW717" s="1176"/>
      <c r="EUX717" s="1176"/>
      <c r="EUY717" s="1176"/>
      <c r="EUZ717" s="1176"/>
      <c r="EVA717" s="1176"/>
      <c r="EVB717" s="1176"/>
      <c r="EVC717" s="1176"/>
      <c r="EVD717" s="1176"/>
      <c r="EVE717" s="1176"/>
      <c r="EVF717" s="1176"/>
      <c r="EVG717" s="1176"/>
      <c r="EVH717" s="1176"/>
      <c r="EVI717" s="1176"/>
      <c r="EVJ717" s="1176"/>
      <c r="EVK717" s="1176"/>
      <c r="EVL717" s="1176"/>
      <c r="EVM717" s="1176"/>
      <c r="EVN717" s="1176"/>
      <c r="EVO717" s="1176"/>
      <c r="EVP717" s="1176"/>
      <c r="EVQ717" s="1176"/>
      <c r="EVR717" s="1176"/>
      <c r="EVS717" s="1176"/>
      <c r="EVT717" s="1176"/>
      <c r="EVU717" s="1176"/>
      <c r="EVV717" s="1176"/>
      <c r="EVW717" s="1176"/>
      <c r="EVX717" s="1176"/>
      <c r="EVY717" s="1176"/>
      <c r="EVZ717" s="1176"/>
      <c r="EWA717" s="1176"/>
      <c r="EWB717" s="1176"/>
      <c r="EWC717" s="1176"/>
      <c r="EWD717" s="1176"/>
      <c r="EWE717" s="1176"/>
      <c r="EWF717" s="1176"/>
      <c r="EWG717" s="1176"/>
      <c r="EWH717" s="1176"/>
      <c r="EWI717" s="1176"/>
      <c r="EWJ717" s="1176"/>
      <c r="EWK717" s="1176"/>
      <c r="EWL717" s="1176"/>
      <c r="EWM717" s="1176"/>
      <c r="EWN717" s="1176"/>
      <c r="EWO717" s="1176"/>
      <c r="EWP717" s="1176"/>
      <c r="EWQ717" s="1176"/>
      <c r="EWR717" s="1176"/>
      <c r="EWS717" s="1176"/>
      <c r="EWT717" s="1176"/>
      <c r="EWU717" s="1176"/>
      <c r="EWV717" s="1176"/>
      <c r="EWW717" s="1176"/>
      <c r="EWX717" s="1176"/>
      <c r="EWY717" s="1176"/>
      <c r="EWZ717" s="1176"/>
      <c r="EXA717" s="1176"/>
      <c r="EXB717" s="1176"/>
      <c r="EXC717" s="1176"/>
      <c r="EXD717" s="1176"/>
      <c r="EXE717" s="1176"/>
      <c r="EXF717" s="1176"/>
      <c r="EXG717" s="1176"/>
      <c r="EXH717" s="1176"/>
      <c r="EXI717" s="1176"/>
      <c r="EXJ717" s="1176"/>
      <c r="EXK717" s="1176"/>
      <c r="EXL717" s="1176"/>
      <c r="EXM717" s="1176"/>
      <c r="EXN717" s="1176"/>
      <c r="EXO717" s="1176"/>
      <c r="EXP717" s="1176"/>
      <c r="EXQ717" s="1176"/>
      <c r="EXR717" s="1176"/>
      <c r="EXS717" s="1176"/>
      <c r="EXT717" s="1176"/>
      <c r="EXU717" s="1176"/>
      <c r="EXV717" s="1176"/>
      <c r="EXW717" s="1176"/>
      <c r="EXX717" s="1176"/>
      <c r="EXY717" s="1176"/>
      <c r="EXZ717" s="1176"/>
      <c r="EYA717" s="1176"/>
      <c r="EYB717" s="1176"/>
      <c r="EYC717" s="1176"/>
      <c r="EYD717" s="1176"/>
      <c r="EYE717" s="1176"/>
      <c r="EYF717" s="1176"/>
      <c r="EYG717" s="1176"/>
      <c r="EYH717" s="1176"/>
      <c r="EYI717" s="1176"/>
      <c r="EYJ717" s="1176"/>
      <c r="EYK717" s="1176"/>
      <c r="EYL717" s="1176"/>
      <c r="EYM717" s="1176"/>
      <c r="EYN717" s="1176"/>
      <c r="EYO717" s="1176"/>
      <c r="EYP717" s="1176"/>
      <c r="EYQ717" s="1176"/>
      <c r="EYR717" s="1176"/>
      <c r="EYS717" s="1176"/>
      <c r="EYT717" s="1176"/>
      <c r="EYU717" s="1176"/>
      <c r="EYV717" s="1176"/>
      <c r="EYW717" s="1176"/>
      <c r="EYX717" s="1176"/>
      <c r="EYY717" s="1176"/>
      <c r="EYZ717" s="1176"/>
      <c r="EZA717" s="1176"/>
      <c r="EZB717" s="1176"/>
      <c r="EZC717" s="1176"/>
      <c r="EZD717" s="1176"/>
      <c r="EZE717" s="1176"/>
      <c r="EZF717" s="1176"/>
      <c r="EZG717" s="1176"/>
      <c r="EZH717" s="1176"/>
      <c r="EZI717" s="1176"/>
      <c r="EZJ717" s="1176"/>
      <c r="EZK717" s="1176"/>
      <c r="EZL717" s="1176"/>
      <c r="EZM717" s="1176"/>
      <c r="EZN717" s="1176"/>
      <c r="EZO717" s="1176"/>
      <c r="EZP717" s="1176"/>
      <c r="EZQ717" s="1176"/>
      <c r="EZR717" s="1176"/>
      <c r="EZS717" s="1176"/>
      <c r="EZT717" s="1176"/>
      <c r="EZU717" s="1176"/>
      <c r="EZV717" s="1176"/>
      <c r="EZW717" s="1176"/>
      <c r="EZX717" s="1176"/>
      <c r="EZY717" s="1176"/>
      <c r="EZZ717" s="1176"/>
      <c r="FAA717" s="1176"/>
      <c r="FAB717" s="1176"/>
      <c r="FAC717" s="1176"/>
      <c r="FAD717" s="1176"/>
      <c r="FAE717" s="1176"/>
      <c r="FAF717" s="1176"/>
      <c r="FAG717" s="1176"/>
      <c r="FAH717" s="1176"/>
      <c r="FAI717" s="1176"/>
      <c r="FAJ717" s="1176"/>
      <c r="FAK717" s="1176"/>
      <c r="FAL717" s="1176"/>
      <c r="FAM717" s="1176"/>
      <c r="FAN717" s="1176"/>
      <c r="FAO717" s="1176"/>
      <c r="FAP717" s="1176"/>
      <c r="FAQ717" s="1176"/>
      <c r="FAR717" s="1176"/>
      <c r="FAS717" s="1176"/>
      <c r="FAT717" s="1176"/>
      <c r="FAU717" s="1176"/>
      <c r="FAV717" s="1176"/>
      <c r="FAW717" s="1176"/>
      <c r="FAX717" s="1176"/>
      <c r="FAY717" s="1176"/>
      <c r="FAZ717" s="1176"/>
      <c r="FBA717" s="1176"/>
      <c r="FBB717" s="1176"/>
      <c r="FBC717" s="1176"/>
      <c r="FBD717" s="1176"/>
      <c r="FBE717" s="1176"/>
      <c r="FBF717" s="1176"/>
      <c r="FBG717" s="1176"/>
      <c r="FBH717" s="1176"/>
      <c r="FBI717" s="1176"/>
      <c r="FBJ717" s="1176"/>
      <c r="FBK717" s="1176"/>
      <c r="FBL717" s="1176"/>
      <c r="FBM717" s="1176"/>
      <c r="FBN717" s="1176"/>
      <c r="FBO717" s="1176"/>
      <c r="FBP717" s="1176"/>
      <c r="FBQ717" s="1176"/>
      <c r="FBR717" s="1176"/>
      <c r="FBS717" s="1176"/>
      <c r="FBT717" s="1176"/>
      <c r="FBU717" s="1176"/>
      <c r="FBV717" s="1176"/>
      <c r="FBW717" s="1176"/>
      <c r="FBX717" s="1176"/>
      <c r="FBY717" s="1176"/>
      <c r="FBZ717" s="1176"/>
      <c r="FCA717" s="1176"/>
      <c r="FCB717" s="1176"/>
      <c r="FCC717" s="1176"/>
      <c r="FCD717" s="1176"/>
      <c r="FCE717" s="1176"/>
      <c r="FCF717" s="1176"/>
      <c r="FCG717" s="1176"/>
      <c r="FCH717" s="1176"/>
      <c r="FCI717" s="1176"/>
      <c r="FCJ717" s="1176"/>
      <c r="FCK717" s="1176"/>
      <c r="FCL717" s="1176"/>
      <c r="FCM717" s="1176"/>
      <c r="FCN717" s="1176"/>
      <c r="FCO717" s="1176"/>
      <c r="FCP717" s="1176"/>
      <c r="FCQ717" s="1176"/>
      <c r="FCR717" s="1176"/>
      <c r="FCS717" s="1176"/>
      <c r="FCT717" s="1176"/>
      <c r="FCU717" s="1176"/>
      <c r="FCV717" s="1176"/>
      <c r="FCW717" s="1176"/>
      <c r="FCX717" s="1176"/>
      <c r="FCY717" s="1176"/>
      <c r="FCZ717" s="1176"/>
      <c r="FDA717" s="1176"/>
      <c r="FDB717" s="1176"/>
      <c r="FDC717" s="1176"/>
      <c r="FDD717" s="1176"/>
      <c r="FDE717" s="1176"/>
      <c r="FDF717" s="1176"/>
      <c r="FDG717" s="1176"/>
      <c r="FDH717" s="1176"/>
      <c r="FDI717" s="1176"/>
      <c r="FDJ717" s="1176"/>
      <c r="FDK717" s="1176"/>
      <c r="FDL717" s="1176"/>
      <c r="FDM717" s="1176"/>
      <c r="FDN717" s="1176"/>
      <c r="FDO717" s="1176"/>
      <c r="FDP717" s="1176"/>
      <c r="FDQ717" s="1176"/>
      <c r="FDR717" s="1176"/>
      <c r="FDS717" s="1176"/>
      <c r="FDT717" s="1176"/>
      <c r="FDU717" s="1176"/>
      <c r="FDV717" s="1176"/>
      <c r="FDW717" s="1176"/>
      <c r="FDX717" s="1176"/>
      <c r="FDY717" s="1176"/>
      <c r="FDZ717" s="1176"/>
      <c r="FEA717" s="1176"/>
      <c r="FEB717" s="1176"/>
      <c r="FEC717" s="1176"/>
      <c r="FED717" s="1176"/>
      <c r="FEE717" s="1176"/>
      <c r="FEF717" s="1176"/>
      <c r="FEG717" s="1176"/>
      <c r="FEH717" s="1176"/>
      <c r="FEI717" s="1176"/>
      <c r="FEJ717" s="1176"/>
      <c r="FEK717" s="1176"/>
      <c r="FEL717" s="1176"/>
      <c r="FEM717" s="1176"/>
      <c r="FEN717" s="1176"/>
      <c r="FEO717" s="1176"/>
      <c r="FEP717" s="1176"/>
      <c r="FEQ717" s="1176"/>
      <c r="FER717" s="1176"/>
      <c r="FES717" s="1176"/>
      <c r="FET717" s="1176"/>
      <c r="FEU717" s="1176"/>
      <c r="FEV717" s="1176"/>
      <c r="FEW717" s="1176"/>
      <c r="FEX717" s="1176"/>
      <c r="FEY717" s="1176"/>
      <c r="FEZ717" s="1176"/>
      <c r="FFA717" s="1176"/>
      <c r="FFB717" s="1176"/>
      <c r="FFC717" s="1176"/>
      <c r="FFD717" s="1176"/>
      <c r="FFE717" s="1176"/>
      <c r="FFF717" s="1176"/>
      <c r="FFG717" s="1176"/>
      <c r="FFH717" s="1176"/>
      <c r="FFI717" s="1176"/>
      <c r="FFJ717" s="1176"/>
      <c r="FFK717" s="1176"/>
      <c r="FFL717" s="1176"/>
      <c r="FFM717" s="1176"/>
      <c r="FFN717" s="1176"/>
      <c r="FFO717" s="1176"/>
      <c r="FFP717" s="1176"/>
      <c r="FFQ717" s="1176"/>
      <c r="FFR717" s="1176"/>
      <c r="FFS717" s="1176"/>
      <c r="FFT717" s="1176"/>
      <c r="FFU717" s="1176"/>
      <c r="FFV717" s="1176"/>
      <c r="FFW717" s="1176"/>
      <c r="FFX717" s="1176"/>
      <c r="FFY717" s="1176"/>
      <c r="FFZ717" s="1176"/>
      <c r="FGA717" s="1176"/>
      <c r="FGB717" s="1176"/>
      <c r="FGC717" s="1176"/>
      <c r="FGD717" s="1176"/>
      <c r="FGE717" s="1176"/>
      <c r="FGF717" s="1176"/>
      <c r="FGG717" s="1176"/>
      <c r="FGH717" s="1176"/>
      <c r="FGI717" s="1176"/>
      <c r="FGJ717" s="1176"/>
      <c r="FGK717" s="1176"/>
      <c r="FGL717" s="1176"/>
      <c r="FGM717" s="1176"/>
      <c r="FGN717" s="1176"/>
      <c r="FGO717" s="1176"/>
      <c r="FGP717" s="1176"/>
      <c r="FGQ717" s="1176"/>
      <c r="FGR717" s="1176"/>
      <c r="FGS717" s="1176"/>
      <c r="FGT717" s="1176"/>
      <c r="FGU717" s="1176"/>
      <c r="FGV717" s="1176"/>
      <c r="FGW717" s="1176"/>
      <c r="FGX717" s="1176"/>
      <c r="FGY717" s="1176"/>
      <c r="FGZ717" s="1176"/>
      <c r="FHA717" s="1176"/>
      <c r="FHB717" s="1176"/>
      <c r="FHC717" s="1176"/>
      <c r="FHD717" s="1176"/>
      <c r="FHE717" s="1176"/>
      <c r="FHF717" s="1176"/>
      <c r="FHG717" s="1176"/>
      <c r="FHH717" s="1176"/>
      <c r="FHI717" s="1176"/>
      <c r="FHJ717" s="1176"/>
      <c r="FHK717" s="1176"/>
      <c r="FHL717" s="1176"/>
      <c r="FHM717" s="1176"/>
      <c r="FHN717" s="1176"/>
      <c r="FHO717" s="1176"/>
      <c r="FHP717" s="1176"/>
      <c r="FHQ717" s="1176"/>
      <c r="FHR717" s="1176"/>
      <c r="FHS717" s="1176"/>
      <c r="FHT717" s="1176"/>
      <c r="FHU717" s="1176"/>
      <c r="FHV717" s="1176"/>
      <c r="FHW717" s="1176"/>
      <c r="FHX717" s="1176"/>
      <c r="FHY717" s="1176"/>
      <c r="FHZ717" s="1176"/>
      <c r="FIA717" s="1176"/>
      <c r="FIB717" s="1176"/>
      <c r="FIC717" s="1176"/>
      <c r="FID717" s="1176"/>
      <c r="FIE717" s="1176"/>
      <c r="FIF717" s="1176"/>
      <c r="FIG717" s="1176"/>
      <c r="FIH717" s="1176"/>
      <c r="FII717" s="1176"/>
      <c r="FIJ717" s="1176"/>
      <c r="FIK717" s="1176"/>
      <c r="FIL717" s="1176"/>
      <c r="FIM717" s="1176"/>
      <c r="FIN717" s="1176"/>
      <c r="FIO717" s="1176"/>
      <c r="FIP717" s="1176"/>
      <c r="FIQ717" s="1176"/>
      <c r="FIR717" s="1176"/>
      <c r="FIS717" s="1176"/>
      <c r="FIT717" s="1176"/>
      <c r="FIU717" s="1176"/>
      <c r="FIV717" s="1176"/>
      <c r="FIW717" s="1176"/>
      <c r="FIX717" s="1176"/>
      <c r="FIY717" s="1176"/>
      <c r="FIZ717" s="1176"/>
      <c r="FJA717" s="1176"/>
      <c r="FJB717" s="1176"/>
      <c r="FJC717" s="1176"/>
      <c r="FJD717" s="1176"/>
      <c r="FJE717" s="1176"/>
      <c r="FJF717" s="1176"/>
      <c r="FJG717" s="1176"/>
      <c r="FJH717" s="1176"/>
      <c r="FJI717" s="1176"/>
      <c r="FJJ717" s="1176"/>
      <c r="FJK717" s="1176"/>
      <c r="FJL717" s="1176"/>
      <c r="FJM717" s="1176"/>
      <c r="FJN717" s="1176"/>
      <c r="FJO717" s="1176"/>
      <c r="FJP717" s="1176"/>
      <c r="FJQ717" s="1176"/>
      <c r="FJR717" s="1176"/>
      <c r="FJS717" s="1176"/>
      <c r="FJT717" s="1176"/>
      <c r="FJU717" s="1176"/>
      <c r="FJV717" s="1176"/>
      <c r="FJW717" s="1176"/>
      <c r="FJX717" s="1176"/>
      <c r="FJY717" s="1176"/>
      <c r="FJZ717" s="1176"/>
      <c r="FKA717" s="1176"/>
      <c r="FKB717" s="1176"/>
      <c r="FKC717" s="1176"/>
      <c r="FKD717" s="1176"/>
      <c r="FKE717" s="1176"/>
      <c r="FKF717" s="1176"/>
      <c r="FKG717" s="1176"/>
      <c r="FKH717" s="1176"/>
      <c r="FKI717" s="1176"/>
      <c r="FKJ717" s="1176"/>
      <c r="FKK717" s="1176"/>
      <c r="FKL717" s="1176"/>
      <c r="FKM717" s="1176"/>
      <c r="FKN717" s="1176"/>
      <c r="FKO717" s="1176"/>
      <c r="FKP717" s="1176"/>
      <c r="FKQ717" s="1176"/>
      <c r="FKR717" s="1176"/>
      <c r="FKS717" s="1176"/>
      <c r="FKT717" s="1176"/>
      <c r="FKU717" s="1176"/>
      <c r="FKV717" s="1176"/>
      <c r="FKW717" s="1176"/>
      <c r="FKX717" s="1176"/>
      <c r="FKY717" s="1176"/>
      <c r="FKZ717" s="1176"/>
      <c r="FLA717" s="1176"/>
      <c r="FLB717" s="1176"/>
      <c r="FLC717" s="1176"/>
      <c r="FLD717" s="1176"/>
      <c r="FLE717" s="1176"/>
      <c r="FLF717" s="1176"/>
      <c r="FLG717" s="1176"/>
      <c r="FLH717" s="1176"/>
      <c r="FLI717" s="1176"/>
      <c r="FLJ717" s="1176"/>
      <c r="FLK717" s="1176"/>
      <c r="FLL717" s="1176"/>
      <c r="FLM717" s="1176"/>
      <c r="FLN717" s="1176"/>
      <c r="FLO717" s="1176"/>
      <c r="FLP717" s="1176"/>
      <c r="FLQ717" s="1176"/>
      <c r="FLR717" s="1176"/>
      <c r="FLS717" s="1176"/>
      <c r="FLT717" s="1176"/>
      <c r="FLU717" s="1176"/>
      <c r="FLV717" s="1176"/>
      <c r="FLW717" s="1176"/>
      <c r="FLX717" s="1176"/>
      <c r="FLY717" s="1176"/>
      <c r="FLZ717" s="1176"/>
      <c r="FMA717" s="1176"/>
      <c r="FMB717" s="1176"/>
      <c r="FMC717" s="1176"/>
      <c r="FMD717" s="1176"/>
      <c r="FME717" s="1176"/>
      <c r="FMF717" s="1176"/>
      <c r="FMG717" s="1176"/>
      <c r="FMH717" s="1176"/>
      <c r="FMI717" s="1176"/>
      <c r="FMJ717" s="1176"/>
      <c r="FMK717" s="1176"/>
      <c r="FML717" s="1176"/>
      <c r="FMM717" s="1176"/>
      <c r="FMN717" s="1176"/>
      <c r="FMO717" s="1176"/>
      <c r="FMP717" s="1176"/>
      <c r="FMQ717" s="1176"/>
      <c r="FMR717" s="1176"/>
      <c r="FMS717" s="1176"/>
      <c r="FMT717" s="1176"/>
      <c r="FMU717" s="1176"/>
      <c r="FMV717" s="1176"/>
      <c r="FMW717" s="1176"/>
      <c r="FMX717" s="1176"/>
      <c r="FMY717" s="1176"/>
      <c r="FMZ717" s="1176"/>
      <c r="FNA717" s="1176"/>
      <c r="FNB717" s="1176"/>
      <c r="FNC717" s="1176"/>
      <c r="FND717" s="1176"/>
      <c r="FNE717" s="1176"/>
      <c r="FNF717" s="1176"/>
      <c r="FNG717" s="1176"/>
      <c r="FNH717" s="1176"/>
      <c r="FNI717" s="1176"/>
      <c r="FNJ717" s="1176"/>
      <c r="FNK717" s="1176"/>
      <c r="FNL717" s="1176"/>
      <c r="FNM717" s="1176"/>
      <c r="FNN717" s="1176"/>
      <c r="FNO717" s="1176"/>
      <c r="FNP717" s="1176"/>
      <c r="FNQ717" s="1176"/>
      <c r="FNR717" s="1176"/>
      <c r="FNS717" s="1176"/>
      <c r="FNT717" s="1176"/>
      <c r="FNU717" s="1176"/>
      <c r="FNV717" s="1176"/>
      <c r="FNW717" s="1176"/>
      <c r="FNX717" s="1176"/>
      <c r="FNY717" s="1176"/>
      <c r="FNZ717" s="1176"/>
      <c r="FOA717" s="1176"/>
      <c r="FOB717" s="1176"/>
      <c r="FOC717" s="1176"/>
      <c r="FOD717" s="1176"/>
      <c r="FOE717" s="1176"/>
      <c r="FOF717" s="1176"/>
      <c r="FOG717" s="1176"/>
      <c r="FOH717" s="1176"/>
      <c r="FOI717" s="1176"/>
      <c r="FOJ717" s="1176"/>
      <c r="FOK717" s="1176"/>
      <c r="FOL717" s="1176"/>
      <c r="FOM717" s="1176"/>
      <c r="FON717" s="1176"/>
      <c r="FOO717" s="1176"/>
      <c r="FOP717" s="1176"/>
      <c r="FOQ717" s="1176"/>
      <c r="FOR717" s="1176"/>
      <c r="FOS717" s="1176"/>
      <c r="FOT717" s="1176"/>
      <c r="FOU717" s="1176"/>
      <c r="FOV717" s="1176"/>
      <c r="FOW717" s="1176"/>
      <c r="FOX717" s="1176"/>
      <c r="FOY717" s="1176"/>
      <c r="FOZ717" s="1176"/>
      <c r="FPA717" s="1176"/>
      <c r="FPB717" s="1176"/>
      <c r="FPC717" s="1176"/>
      <c r="FPD717" s="1176"/>
      <c r="FPE717" s="1176"/>
      <c r="FPF717" s="1176"/>
      <c r="FPG717" s="1176"/>
      <c r="FPH717" s="1176"/>
      <c r="FPI717" s="1176"/>
      <c r="FPJ717" s="1176"/>
      <c r="FPK717" s="1176"/>
      <c r="FPL717" s="1176"/>
      <c r="FPM717" s="1176"/>
      <c r="FPN717" s="1176"/>
      <c r="FPO717" s="1176"/>
      <c r="FPP717" s="1176"/>
      <c r="FPQ717" s="1176"/>
      <c r="FPR717" s="1176"/>
      <c r="FPS717" s="1176"/>
      <c r="FPT717" s="1176"/>
      <c r="FPU717" s="1176"/>
      <c r="FPV717" s="1176"/>
      <c r="FPW717" s="1176"/>
      <c r="FPX717" s="1176"/>
      <c r="FPY717" s="1176"/>
      <c r="FPZ717" s="1176"/>
      <c r="FQA717" s="1176"/>
      <c r="FQB717" s="1176"/>
      <c r="FQC717" s="1176"/>
      <c r="FQD717" s="1176"/>
      <c r="FQE717" s="1176"/>
      <c r="FQF717" s="1176"/>
      <c r="FQG717" s="1176"/>
      <c r="FQH717" s="1176"/>
      <c r="FQI717" s="1176"/>
      <c r="FQJ717" s="1176"/>
      <c r="FQK717" s="1176"/>
      <c r="FQL717" s="1176"/>
      <c r="FQM717" s="1176"/>
      <c r="FQN717" s="1176"/>
      <c r="FQO717" s="1176"/>
      <c r="FQP717" s="1176"/>
      <c r="FQQ717" s="1176"/>
      <c r="FQR717" s="1176"/>
      <c r="FQS717" s="1176"/>
      <c r="FQT717" s="1176"/>
      <c r="FQU717" s="1176"/>
      <c r="FQV717" s="1176"/>
      <c r="FQW717" s="1176"/>
      <c r="FQX717" s="1176"/>
      <c r="FQY717" s="1176"/>
      <c r="FQZ717" s="1176"/>
      <c r="FRA717" s="1176"/>
      <c r="FRB717" s="1176"/>
      <c r="FRC717" s="1176"/>
      <c r="FRD717" s="1176"/>
      <c r="FRE717" s="1176"/>
      <c r="FRF717" s="1176"/>
      <c r="FRG717" s="1176"/>
      <c r="FRH717" s="1176"/>
      <c r="FRI717" s="1176"/>
      <c r="FRJ717" s="1176"/>
      <c r="FRK717" s="1176"/>
      <c r="FRL717" s="1176"/>
      <c r="FRM717" s="1176"/>
      <c r="FRN717" s="1176"/>
      <c r="FRO717" s="1176"/>
      <c r="FRP717" s="1176"/>
      <c r="FRQ717" s="1176"/>
      <c r="FRR717" s="1176"/>
      <c r="FRS717" s="1176"/>
      <c r="FRT717" s="1176"/>
      <c r="FRU717" s="1176"/>
      <c r="FRV717" s="1176"/>
      <c r="FRW717" s="1176"/>
      <c r="FRX717" s="1176"/>
      <c r="FRY717" s="1176"/>
      <c r="FRZ717" s="1176"/>
      <c r="FSA717" s="1176"/>
      <c r="FSB717" s="1176"/>
      <c r="FSC717" s="1176"/>
      <c r="FSD717" s="1176"/>
      <c r="FSE717" s="1176"/>
      <c r="FSF717" s="1176"/>
      <c r="FSG717" s="1176"/>
      <c r="FSH717" s="1176"/>
      <c r="FSI717" s="1176"/>
      <c r="FSJ717" s="1176"/>
      <c r="FSK717" s="1176"/>
      <c r="FSL717" s="1176"/>
      <c r="FSM717" s="1176"/>
      <c r="FSN717" s="1176"/>
      <c r="FSO717" s="1176"/>
      <c r="FSP717" s="1176"/>
      <c r="FSQ717" s="1176"/>
      <c r="FSR717" s="1176"/>
      <c r="FSS717" s="1176"/>
      <c r="FST717" s="1176"/>
      <c r="FSU717" s="1176"/>
      <c r="FSV717" s="1176"/>
      <c r="FSW717" s="1176"/>
      <c r="FSX717" s="1176"/>
      <c r="FSY717" s="1176"/>
      <c r="FSZ717" s="1176"/>
      <c r="FTA717" s="1176"/>
      <c r="FTB717" s="1176"/>
      <c r="FTC717" s="1176"/>
      <c r="FTD717" s="1176"/>
      <c r="FTE717" s="1176"/>
      <c r="FTF717" s="1176"/>
      <c r="FTG717" s="1176"/>
      <c r="FTH717" s="1176"/>
      <c r="FTI717" s="1176"/>
      <c r="FTJ717" s="1176"/>
      <c r="FTK717" s="1176"/>
      <c r="FTL717" s="1176"/>
      <c r="FTM717" s="1176"/>
      <c r="FTN717" s="1176"/>
      <c r="FTO717" s="1176"/>
      <c r="FTP717" s="1176"/>
      <c r="FTQ717" s="1176"/>
      <c r="FTR717" s="1176"/>
      <c r="FTS717" s="1176"/>
      <c r="FTT717" s="1176"/>
      <c r="FTU717" s="1176"/>
      <c r="FTV717" s="1176"/>
      <c r="FTW717" s="1176"/>
      <c r="FTX717" s="1176"/>
      <c r="FTY717" s="1176"/>
      <c r="FTZ717" s="1176"/>
      <c r="FUA717" s="1176"/>
      <c r="FUB717" s="1176"/>
      <c r="FUC717" s="1176"/>
      <c r="FUD717" s="1176"/>
      <c r="FUE717" s="1176"/>
      <c r="FUF717" s="1176"/>
      <c r="FUG717" s="1176"/>
      <c r="FUH717" s="1176"/>
      <c r="FUI717" s="1176"/>
      <c r="FUJ717" s="1176"/>
      <c r="FUK717" s="1176"/>
      <c r="FUL717" s="1176"/>
      <c r="FUM717" s="1176"/>
      <c r="FUN717" s="1176"/>
      <c r="FUO717" s="1176"/>
      <c r="FUP717" s="1176"/>
      <c r="FUQ717" s="1176"/>
      <c r="FUR717" s="1176"/>
      <c r="FUS717" s="1176"/>
      <c r="FUT717" s="1176"/>
      <c r="FUU717" s="1176"/>
      <c r="FUV717" s="1176"/>
      <c r="FUW717" s="1176"/>
      <c r="FUX717" s="1176"/>
      <c r="FUY717" s="1176"/>
      <c r="FUZ717" s="1176"/>
      <c r="FVA717" s="1176"/>
      <c r="FVB717" s="1176"/>
      <c r="FVC717" s="1176"/>
      <c r="FVD717" s="1176"/>
      <c r="FVE717" s="1176"/>
      <c r="FVF717" s="1176"/>
      <c r="FVG717" s="1176"/>
      <c r="FVH717" s="1176"/>
      <c r="FVI717" s="1176"/>
      <c r="FVJ717" s="1176"/>
      <c r="FVK717" s="1176"/>
      <c r="FVL717" s="1176"/>
      <c r="FVM717" s="1176"/>
      <c r="FVN717" s="1176"/>
      <c r="FVO717" s="1176"/>
      <c r="FVP717" s="1176"/>
      <c r="FVQ717" s="1176"/>
      <c r="FVR717" s="1176"/>
      <c r="FVS717" s="1176"/>
      <c r="FVT717" s="1176"/>
      <c r="FVU717" s="1176"/>
      <c r="FVV717" s="1176"/>
      <c r="FVW717" s="1176"/>
      <c r="FVX717" s="1176"/>
      <c r="FVY717" s="1176"/>
      <c r="FVZ717" s="1176"/>
      <c r="FWA717" s="1176"/>
      <c r="FWB717" s="1176"/>
      <c r="FWC717" s="1176"/>
      <c r="FWD717" s="1176"/>
      <c r="FWE717" s="1176"/>
      <c r="FWF717" s="1176"/>
      <c r="FWG717" s="1176"/>
      <c r="FWH717" s="1176"/>
      <c r="FWI717" s="1176"/>
      <c r="FWJ717" s="1176"/>
      <c r="FWK717" s="1176"/>
      <c r="FWL717" s="1176"/>
      <c r="FWM717" s="1176"/>
      <c r="FWN717" s="1176"/>
      <c r="FWO717" s="1176"/>
      <c r="FWP717" s="1176"/>
      <c r="FWQ717" s="1176"/>
      <c r="FWR717" s="1176"/>
      <c r="FWS717" s="1176"/>
      <c r="FWT717" s="1176"/>
      <c r="FWU717" s="1176"/>
      <c r="FWV717" s="1176"/>
      <c r="FWW717" s="1176"/>
      <c r="FWX717" s="1176"/>
      <c r="FWY717" s="1176"/>
      <c r="FWZ717" s="1176"/>
      <c r="FXA717" s="1176"/>
      <c r="FXB717" s="1176"/>
      <c r="FXC717" s="1176"/>
      <c r="FXD717" s="1176"/>
      <c r="FXE717" s="1176"/>
      <c r="FXF717" s="1176"/>
      <c r="FXG717" s="1176"/>
      <c r="FXH717" s="1176"/>
      <c r="FXI717" s="1176"/>
      <c r="FXJ717" s="1176"/>
      <c r="FXK717" s="1176"/>
      <c r="FXL717" s="1176"/>
      <c r="FXM717" s="1176"/>
      <c r="FXN717" s="1176"/>
      <c r="FXO717" s="1176"/>
      <c r="FXP717" s="1176"/>
      <c r="FXQ717" s="1176"/>
      <c r="FXR717" s="1176"/>
      <c r="FXS717" s="1176"/>
      <c r="FXT717" s="1176"/>
      <c r="FXU717" s="1176"/>
      <c r="FXV717" s="1176"/>
      <c r="FXW717" s="1176"/>
      <c r="FXX717" s="1176"/>
      <c r="FXY717" s="1176"/>
      <c r="FXZ717" s="1176"/>
      <c r="FYA717" s="1176"/>
      <c r="FYB717" s="1176"/>
      <c r="FYC717" s="1176"/>
      <c r="FYD717" s="1176"/>
      <c r="FYE717" s="1176"/>
      <c r="FYF717" s="1176"/>
      <c r="FYG717" s="1176"/>
      <c r="FYH717" s="1176"/>
      <c r="FYI717" s="1176"/>
      <c r="FYJ717" s="1176"/>
      <c r="FYK717" s="1176"/>
      <c r="FYL717" s="1176"/>
      <c r="FYM717" s="1176"/>
      <c r="FYN717" s="1176"/>
      <c r="FYO717" s="1176"/>
      <c r="FYP717" s="1176"/>
      <c r="FYQ717" s="1176"/>
      <c r="FYR717" s="1176"/>
      <c r="FYS717" s="1176"/>
      <c r="FYT717" s="1176"/>
      <c r="FYU717" s="1176"/>
      <c r="FYV717" s="1176"/>
      <c r="FYW717" s="1176"/>
      <c r="FYX717" s="1176"/>
      <c r="FYY717" s="1176"/>
      <c r="FYZ717" s="1176"/>
      <c r="FZA717" s="1176"/>
      <c r="FZB717" s="1176"/>
      <c r="FZC717" s="1176"/>
      <c r="FZD717" s="1176"/>
      <c r="FZE717" s="1176"/>
      <c r="FZF717" s="1176"/>
      <c r="FZG717" s="1176"/>
      <c r="FZH717" s="1176"/>
      <c r="FZI717" s="1176"/>
      <c r="FZJ717" s="1176"/>
      <c r="FZK717" s="1176"/>
      <c r="FZL717" s="1176"/>
      <c r="FZM717" s="1176"/>
      <c r="FZN717" s="1176"/>
      <c r="FZO717" s="1176"/>
      <c r="FZP717" s="1176"/>
      <c r="FZQ717" s="1176"/>
      <c r="FZR717" s="1176"/>
      <c r="FZS717" s="1176"/>
      <c r="FZT717" s="1176"/>
      <c r="FZU717" s="1176"/>
      <c r="FZV717" s="1176"/>
      <c r="FZW717" s="1176"/>
      <c r="FZX717" s="1176"/>
      <c r="FZY717" s="1176"/>
      <c r="FZZ717" s="1176"/>
      <c r="GAA717" s="1176"/>
      <c r="GAB717" s="1176"/>
      <c r="GAC717" s="1176"/>
      <c r="GAD717" s="1176"/>
      <c r="GAE717" s="1176"/>
      <c r="GAF717" s="1176"/>
      <c r="GAG717" s="1176"/>
      <c r="GAH717" s="1176"/>
      <c r="GAI717" s="1176"/>
      <c r="GAJ717" s="1176"/>
      <c r="GAK717" s="1176"/>
      <c r="GAL717" s="1176"/>
      <c r="GAM717" s="1176"/>
      <c r="GAN717" s="1176"/>
      <c r="GAO717" s="1176"/>
      <c r="GAP717" s="1176"/>
      <c r="GAQ717" s="1176"/>
      <c r="GAR717" s="1176"/>
      <c r="GAS717" s="1176"/>
      <c r="GAT717" s="1176"/>
      <c r="GAU717" s="1176"/>
      <c r="GAV717" s="1176"/>
      <c r="GAW717" s="1176"/>
      <c r="GAX717" s="1176"/>
      <c r="GAY717" s="1176"/>
      <c r="GAZ717" s="1176"/>
      <c r="GBA717" s="1176"/>
      <c r="GBB717" s="1176"/>
      <c r="GBC717" s="1176"/>
      <c r="GBD717" s="1176"/>
      <c r="GBE717" s="1176"/>
      <c r="GBF717" s="1176"/>
      <c r="GBG717" s="1176"/>
      <c r="GBH717" s="1176"/>
      <c r="GBI717" s="1176"/>
      <c r="GBJ717" s="1176"/>
      <c r="GBK717" s="1176"/>
      <c r="GBL717" s="1176"/>
      <c r="GBM717" s="1176"/>
      <c r="GBN717" s="1176"/>
      <c r="GBO717" s="1176"/>
      <c r="GBP717" s="1176"/>
      <c r="GBQ717" s="1176"/>
      <c r="GBR717" s="1176"/>
      <c r="GBS717" s="1176"/>
      <c r="GBT717" s="1176"/>
      <c r="GBU717" s="1176"/>
      <c r="GBV717" s="1176"/>
      <c r="GBW717" s="1176"/>
      <c r="GBX717" s="1176"/>
      <c r="GBY717" s="1176"/>
      <c r="GBZ717" s="1176"/>
      <c r="GCA717" s="1176"/>
      <c r="GCB717" s="1176"/>
      <c r="GCC717" s="1176"/>
      <c r="GCD717" s="1176"/>
      <c r="GCE717" s="1176"/>
      <c r="GCF717" s="1176"/>
      <c r="GCG717" s="1176"/>
      <c r="GCH717" s="1176"/>
      <c r="GCI717" s="1176"/>
      <c r="GCJ717" s="1176"/>
      <c r="GCK717" s="1176"/>
      <c r="GCL717" s="1176"/>
      <c r="GCM717" s="1176"/>
      <c r="GCN717" s="1176"/>
      <c r="GCO717" s="1176"/>
      <c r="GCP717" s="1176"/>
      <c r="GCQ717" s="1176"/>
      <c r="GCR717" s="1176"/>
      <c r="GCS717" s="1176"/>
      <c r="GCT717" s="1176"/>
      <c r="GCU717" s="1176"/>
      <c r="GCV717" s="1176"/>
      <c r="GCW717" s="1176"/>
      <c r="GCX717" s="1176"/>
      <c r="GCY717" s="1176"/>
      <c r="GCZ717" s="1176"/>
      <c r="GDA717" s="1176"/>
      <c r="GDB717" s="1176"/>
      <c r="GDC717" s="1176"/>
      <c r="GDD717" s="1176"/>
      <c r="GDE717" s="1176"/>
      <c r="GDF717" s="1176"/>
      <c r="GDG717" s="1176"/>
      <c r="GDH717" s="1176"/>
      <c r="GDI717" s="1176"/>
      <c r="GDJ717" s="1176"/>
      <c r="GDK717" s="1176"/>
      <c r="GDL717" s="1176"/>
      <c r="GDM717" s="1176"/>
      <c r="GDN717" s="1176"/>
      <c r="GDO717" s="1176"/>
      <c r="GDP717" s="1176"/>
      <c r="GDQ717" s="1176"/>
      <c r="GDR717" s="1176"/>
      <c r="GDS717" s="1176"/>
      <c r="GDT717" s="1176"/>
      <c r="GDU717" s="1176"/>
      <c r="GDV717" s="1176"/>
      <c r="GDW717" s="1176"/>
      <c r="GDX717" s="1176"/>
      <c r="GDY717" s="1176"/>
      <c r="GDZ717" s="1176"/>
      <c r="GEA717" s="1176"/>
      <c r="GEB717" s="1176"/>
      <c r="GEC717" s="1176"/>
      <c r="GED717" s="1176"/>
      <c r="GEE717" s="1176"/>
      <c r="GEF717" s="1176"/>
      <c r="GEG717" s="1176"/>
      <c r="GEH717" s="1176"/>
      <c r="GEI717" s="1176"/>
      <c r="GEJ717" s="1176"/>
      <c r="GEK717" s="1176"/>
      <c r="GEL717" s="1176"/>
      <c r="GEM717" s="1176"/>
      <c r="GEN717" s="1176"/>
      <c r="GEO717" s="1176"/>
      <c r="GEP717" s="1176"/>
      <c r="GEQ717" s="1176"/>
      <c r="GER717" s="1176"/>
      <c r="GES717" s="1176"/>
      <c r="GET717" s="1176"/>
      <c r="GEU717" s="1176"/>
      <c r="GEV717" s="1176"/>
      <c r="GEW717" s="1176"/>
      <c r="GEX717" s="1176"/>
      <c r="GEY717" s="1176"/>
      <c r="GEZ717" s="1176"/>
      <c r="GFA717" s="1176"/>
      <c r="GFB717" s="1176"/>
      <c r="GFC717" s="1176"/>
      <c r="GFD717" s="1176"/>
      <c r="GFE717" s="1176"/>
      <c r="GFF717" s="1176"/>
      <c r="GFG717" s="1176"/>
      <c r="GFH717" s="1176"/>
      <c r="GFI717" s="1176"/>
      <c r="GFJ717" s="1176"/>
      <c r="GFK717" s="1176"/>
      <c r="GFL717" s="1176"/>
      <c r="GFM717" s="1176"/>
      <c r="GFN717" s="1176"/>
      <c r="GFO717" s="1176"/>
      <c r="GFP717" s="1176"/>
      <c r="GFQ717" s="1176"/>
      <c r="GFR717" s="1176"/>
      <c r="GFS717" s="1176"/>
      <c r="GFT717" s="1176"/>
      <c r="GFU717" s="1176"/>
      <c r="GFV717" s="1176"/>
      <c r="GFW717" s="1176"/>
      <c r="GFX717" s="1176"/>
      <c r="GFY717" s="1176"/>
      <c r="GFZ717" s="1176"/>
      <c r="GGA717" s="1176"/>
      <c r="GGB717" s="1176"/>
      <c r="GGC717" s="1176"/>
      <c r="GGD717" s="1176"/>
      <c r="GGE717" s="1176"/>
      <c r="GGF717" s="1176"/>
      <c r="GGG717" s="1176"/>
      <c r="GGH717" s="1176"/>
      <c r="GGI717" s="1176"/>
      <c r="GGJ717" s="1176"/>
      <c r="GGK717" s="1176"/>
      <c r="GGL717" s="1176"/>
      <c r="GGM717" s="1176"/>
      <c r="GGN717" s="1176"/>
      <c r="GGO717" s="1176"/>
      <c r="GGP717" s="1176"/>
      <c r="GGQ717" s="1176"/>
      <c r="GGR717" s="1176"/>
      <c r="GGS717" s="1176"/>
      <c r="GGT717" s="1176"/>
      <c r="GGU717" s="1176"/>
      <c r="GGV717" s="1176"/>
      <c r="GGW717" s="1176"/>
      <c r="GGX717" s="1176"/>
      <c r="GGY717" s="1176"/>
      <c r="GGZ717" s="1176"/>
      <c r="GHA717" s="1176"/>
      <c r="GHB717" s="1176"/>
      <c r="GHC717" s="1176"/>
      <c r="GHD717" s="1176"/>
      <c r="GHE717" s="1176"/>
      <c r="GHF717" s="1176"/>
      <c r="GHG717" s="1176"/>
      <c r="GHH717" s="1176"/>
      <c r="GHI717" s="1176"/>
      <c r="GHJ717" s="1176"/>
      <c r="GHK717" s="1176"/>
      <c r="GHL717" s="1176"/>
      <c r="GHM717" s="1176"/>
      <c r="GHN717" s="1176"/>
      <c r="GHO717" s="1176"/>
      <c r="GHP717" s="1176"/>
      <c r="GHQ717" s="1176"/>
      <c r="GHR717" s="1176"/>
      <c r="GHS717" s="1176"/>
      <c r="GHT717" s="1176"/>
      <c r="GHU717" s="1176"/>
      <c r="GHV717" s="1176"/>
      <c r="GHW717" s="1176"/>
      <c r="GHX717" s="1176"/>
      <c r="GHY717" s="1176"/>
      <c r="GHZ717" s="1176"/>
      <c r="GIA717" s="1176"/>
      <c r="GIB717" s="1176"/>
      <c r="GIC717" s="1176"/>
      <c r="GID717" s="1176"/>
      <c r="GIE717" s="1176"/>
      <c r="GIF717" s="1176"/>
      <c r="GIG717" s="1176"/>
      <c r="GIH717" s="1176"/>
      <c r="GII717" s="1176"/>
      <c r="GIJ717" s="1176"/>
      <c r="GIK717" s="1176"/>
      <c r="GIL717" s="1176"/>
      <c r="GIM717" s="1176"/>
      <c r="GIN717" s="1176"/>
      <c r="GIO717" s="1176"/>
      <c r="GIP717" s="1176"/>
      <c r="GIQ717" s="1176"/>
      <c r="GIR717" s="1176"/>
      <c r="GIS717" s="1176"/>
      <c r="GIT717" s="1176"/>
      <c r="GIU717" s="1176"/>
      <c r="GIV717" s="1176"/>
      <c r="GIW717" s="1176"/>
      <c r="GIX717" s="1176"/>
      <c r="GIY717" s="1176"/>
      <c r="GIZ717" s="1176"/>
      <c r="GJA717" s="1176"/>
      <c r="GJB717" s="1176"/>
      <c r="GJC717" s="1176"/>
      <c r="GJD717" s="1176"/>
      <c r="GJE717" s="1176"/>
      <c r="GJF717" s="1176"/>
      <c r="GJG717" s="1176"/>
      <c r="GJH717" s="1176"/>
      <c r="GJI717" s="1176"/>
      <c r="GJJ717" s="1176"/>
      <c r="GJK717" s="1176"/>
      <c r="GJL717" s="1176"/>
      <c r="GJM717" s="1176"/>
      <c r="GJN717" s="1176"/>
      <c r="GJO717" s="1176"/>
      <c r="GJP717" s="1176"/>
      <c r="GJQ717" s="1176"/>
      <c r="GJR717" s="1176"/>
      <c r="GJS717" s="1176"/>
      <c r="GJT717" s="1176"/>
      <c r="GJU717" s="1176"/>
      <c r="GJV717" s="1176"/>
      <c r="GJW717" s="1176"/>
      <c r="GJX717" s="1176"/>
      <c r="GJY717" s="1176"/>
      <c r="GJZ717" s="1176"/>
      <c r="GKA717" s="1176"/>
      <c r="GKB717" s="1176"/>
      <c r="GKC717" s="1176"/>
      <c r="GKD717" s="1176"/>
      <c r="GKE717" s="1176"/>
      <c r="GKF717" s="1176"/>
      <c r="GKG717" s="1176"/>
      <c r="GKH717" s="1176"/>
      <c r="GKI717" s="1176"/>
      <c r="GKJ717" s="1176"/>
      <c r="GKK717" s="1176"/>
      <c r="GKL717" s="1176"/>
      <c r="GKM717" s="1176"/>
      <c r="GKN717" s="1176"/>
      <c r="GKO717" s="1176"/>
      <c r="GKP717" s="1176"/>
      <c r="GKQ717" s="1176"/>
      <c r="GKR717" s="1176"/>
      <c r="GKS717" s="1176"/>
      <c r="GKT717" s="1176"/>
      <c r="GKU717" s="1176"/>
      <c r="GKV717" s="1176"/>
      <c r="GKW717" s="1176"/>
      <c r="GKX717" s="1176"/>
      <c r="GKY717" s="1176"/>
      <c r="GKZ717" s="1176"/>
      <c r="GLA717" s="1176"/>
      <c r="GLB717" s="1176"/>
      <c r="GLC717" s="1176"/>
      <c r="GLD717" s="1176"/>
      <c r="GLE717" s="1176"/>
      <c r="GLF717" s="1176"/>
      <c r="GLG717" s="1176"/>
      <c r="GLH717" s="1176"/>
      <c r="GLI717" s="1176"/>
      <c r="GLJ717" s="1176"/>
      <c r="GLK717" s="1176"/>
      <c r="GLL717" s="1176"/>
      <c r="GLM717" s="1176"/>
      <c r="GLN717" s="1176"/>
      <c r="GLO717" s="1176"/>
      <c r="GLP717" s="1176"/>
      <c r="GLQ717" s="1176"/>
      <c r="GLR717" s="1176"/>
      <c r="GLS717" s="1176"/>
      <c r="GLT717" s="1176"/>
      <c r="GLU717" s="1176"/>
      <c r="GLV717" s="1176"/>
      <c r="GLW717" s="1176"/>
      <c r="GLX717" s="1176"/>
      <c r="GLY717" s="1176"/>
      <c r="GLZ717" s="1176"/>
      <c r="GMA717" s="1176"/>
      <c r="GMB717" s="1176"/>
      <c r="GMC717" s="1176"/>
      <c r="GMD717" s="1176"/>
      <c r="GME717" s="1176"/>
      <c r="GMF717" s="1176"/>
      <c r="GMG717" s="1176"/>
      <c r="GMH717" s="1176"/>
      <c r="GMI717" s="1176"/>
      <c r="GMJ717" s="1176"/>
      <c r="GMK717" s="1176"/>
      <c r="GML717" s="1176"/>
      <c r="GMM717" s="1176"/>
      <c r="GMN717" s="1176"/>
      <c r="GMO717" s="1176"/>
      <c r="GMP717" s="1176"/>
      <c r="GMQ717" s="1176"/>
      <c r="GMR717" s="1176"/>
      <c r="GMS717" s="1176"/>
      <c r="GMT717" s="1176"/>
      <c r="GMU717" s="1176"/>
      <c r="GMV717" s="1176"/>
      <c r="GMW717" s="1176"/>
      <c r="GMX717" s="1176"/>
      <c r="GMY717" s="1176"/>
      <c r="GMZ717" s="1176"/>
      <c r="GNA717" s="1176"/>
      <c r="GNB717" s="1176"/>
      <c r="GNC717" s="1176"/>
      <c r="GND717" s="1176"/>
      <c r="GNE717" s="1176"/>
      <c r="GNF717" s="1176"/>
      <c r="GNG717" s="1176"/>
      <c r="GNH717" s="1176"/>
      <c r="GNI717" s="1176"/>
      <c r="GNJ717" s="1176"/>
      <c r="GNK717" s="1176"/>
      <c r="GNL717" s="1176"/>
      <c r="GNM717" s="1176"/>
      <c r="GNN717" s="1176"/>
      <c r="GNO717" s="1176"/>
      <c r="GNP717" s="1176"/>
      <c r="GNQ717" s="1176"/>
      <c r="GNR717" s="1176"/>
      <c r="GNS717" s="1176"/>
      <c r="GNT717" s="1176"/>
      <c r="GNU717" s="1176"/>
      <c r="GNV717" s="1176"/>
      <c r="GNW717" s="1176"/>
      <c r="GNX717" s="1176"/>
      <c r="GNY717" s="1176"/>
      <c r="GNZ717" s="1176"/>
      <c r="GOA717" s="1176"/>
      <c r="GOB717" s="1176"/>
      <c r="GOC717" s="1176"/>
      <c r="GOD717" s="1176"/>
      <c r="GOE717" s="1176"/>
      <c r="GOF717" s="1176"/>
      <c r="GOG717" s="1176"/>
      <c r="GOH717" s="1176"/>
      <c r="GOI717" s="1176"/>
      <c r="GOJ717" s="1176"/>
      <c r="GOK717" s="1176"/>
      <c r="GOL717" s="1176"/>
      <c r="GOM717" s="1176"/>
      <c r="GON717" s="1176"/>
      <c r="GOO717" s="1176"/>
      <c r="GOP717" s="1176"/>
      <c r="GOQ717" s="1176"/>
      <c r="GOR717" s="1176"/>
      <c r="GOS717" s="1176"/>
      <c r="GOT717" s="1176"/>
      <c r="GOU717" s="1176"/>
      <c r="GOV717" s="1176"/>
      <c r="GOW717" s="1176"/>
      <c r="GOX717" s="1176"/>
      <c r="GOY717" s="1176"/>
      <c r="GOZ717" s="1176"/>
      <c r="GPA717" s="1176"/>
      <c r="GPB717" s="1176"/>
      <c r="GPC717" s="1176"/>
      <c r="GPD717" s="1176"/>
      <c r="GPE717" s="1176"/>
      <c r="GPF717" s="1176"/>
      <c r="GPG717" s="1176"/>
      <c r="GPH717" s="1176"/>
      <c r="GPI717" s="1176"/>
      <c r="GPJ717" s="1176"/>
      <c r="GPK717" s="1176"/>
      <c r="GPL717" s="1176"/>
      <c r="GPM717" s="1176"/>
      <c r="GPN717" s="1176"/>
      <c r="GPO717" s="1176"/>
      <c r="GPP717" s="1176"/>
      <c r="GPQ717" s="1176"/>
      <c r="GPR717" s="1176"/>
      <c r="GPS717" s="1176"/>
      <c r="GPT717" s="1176"/>
      <c r="GPU717" s="1176"/>
      <c r="GPV717" s="1176"/>
      <c r="GPW717" s="1176"/>
      <c r="GPX717" s="1176"/>
      <c r="GPY717" s="1176"/>
      <c r="GPZ717" s="1176"/>
      <c r="GQA717" s="1176"/>
      <c r="GQB717" s="1176"/>
      <c r="GQC717" s="1176"/>
      <c r="GQD717" s="1176"/>
      <c r="GQE717" s="1176"/>
      <c r="GQF717" s="1176"/>
      <c r="GQG717" s="1176"/>
      <c r="GQH717" s="1176"/>
      <c r="GQI717" s="1176"/>
      <c r="GQJ717" s="1176"/>
      <c r="GQK717" s="1176"/>
      <c r="GQL717" s="1176"/>
      <c r="GQM717" s="1176"/>
      <c r="GQN717" s="1176"/>
      <c r="GQO717" s="1176"/>
      <c r="GQP717" s="1176"/>
      <c r="GQQ717" s="1176"/>
      <c r="GQR717" s="1176"/>
      <c r="GQS717" s="1176"/>
      <c r="GQT717" s="1176"/>
      <c r="GQU717" s="1176"/>
      <c r="GQV717" s="1176"/>
      <c r="GQW717" s="1176"/>
      <c r="GQX717" s="1176"/>
      <c r="GQY717" s="1176"/>
      <c r="GQZ717" s="1176"/>
      <c r="GRA717" s="1176"/>
      <c r="GRB717" s="1176"/>
      <c r="GRC717" s="1176"/>
      <c r="GRD717" s="1176"/>
      <c r="GRE717" s="1176"/>
      <c r="GRF717" s="1176"/>
      <c r="GRG717" s="1176"/>
      <c r="GRH717" s="1176"/>
      <c r="GRI717" s="1176"/>
      <c r="GRJ717" s="1176"/>
      <c r="GRK717" s="1176"/>
      <c r="GRL717" s="1176"/>
      <c r="GRM717" s="1176"/>
      <c r="GRN717" s="1176"/>
      <c r="GRO717" s="1176"/>
      <c r="GRP717" s="1176"/>
      <c r="GRQ717" s="1176"/>
      <c r="GRR717" s="1176"/>
      <c r="GRS717" s="1176"/>
      <c r="GRT717" s="1176"/>
      <c r="GRU717" s="1176"/>
      <c r="GRV717" s="1176"/>
      <c r="GRW717" s="1176"/>
      <c r="GRX717" s="1176"/>
      <c r="GRY717" s="1176"/>
      <c r="GRZ717" s="1176"/>
      <c r="GSA717" s="1176"/>
      <c r="GSB717" s="1176"/>
      <c r="GSC717" s="1176"/>
      <c r="GSD717" s="1176"/>
      <c r="GSE717" s="1176"/>
      <c r="GSF717" s="1176"/>
      <c r="GSG717" s="1176"/>
      <c r="GSH717" s="1176"/>
      <c r="GSI717" s="1176"/>
      <c r="GSJ717" s="1176"/>
      <c r="GSK717" s="1176"/>
      <c r="GSL717" s="1176"/>
      <c r="GSM717" s="1176"/>
      <c r="GSN717" s="1176"/>
      <c r="GSO717" s="1176"/>
      <c r="GSP717" s="1176"/>
      <c r="GSQ717" s="1176"/>
      <c r="GSR717" s="1176"/>
      <c r="GSS717" s="1176"/>
      <c r="GST717" s="1176"/>
      <c r="GSU717" s="1176"/>
      <c r="GSV717" s="1176"/>
      <c r="GSW717" s="1176"/>
      <c r="GSX717" s="1176"/>
      <c r="GSY717" s="1176"/>
      <c r="GSZ717" s="1176"/>
      <c r="GTA717" s="1176"/>
      <c r="GTB717" s="1176"/>
      <c r="GTC717" s="1176"/>
      <c r="GTD717" s="1176"/>
      <c r="GTE717" s="1176"/>
      <c r="GTF717" s="1176"/>
      <c r="GTG717" s="1176"/>
      <c r="GTH717" s="1176"/>
      <c r="GTI717" s="1176"/>
      <c r="GTJ717" s="1176"/>
      <c r="GTK717" s="1176"/>
      <c r="GTL717" s="1176"/>
      <c r="GTM717" s="1176"/>
      <c r="GTN717" s="1176"/>
      <c r="GTO717" s="1176"/>
      <c r="GTP717" s="1176"/>
      <c r="GTQ717" s="1176"/>
      <c r="GTR717" s="1176"/>
      <c r="GTS717" s="1176"/>
      <c r="GTT717" s="1176"/>
      <c r="GTU717" s="1176"/>
      <c r="GTV717" s="1176"/>
      <c r="GTW717" s="1176"/>
      <c r="GTX717" s="1176"/>
      <c r="GTY717" s="1176"/>
      <c r="GTZ717" s="1176"/>
      <c r="GUA717" s="1176"/>
      <c r="GUB717" s="1176"/>
      <c r="GUC717" s="1176"/>
      <c r="GUD717" s="1176"/>
      <c r="GUE717" s="1176"/>
      <c r="GUF717" s="1176"/>
      <c r="GUG717" s="1176"/>
      <c r="GUH717" s="1176"/>
      <c r="GUI717" s="1176"/>
      <c r="GUJ717" s="1176"/>
      <c r="GUK717" s="1176"/>
      <c r="GUL717" s="1176"/>
      <c r="GUM717" s="1176"/>
      <c r="GUN717" s="1176"/>
      <c r="GUO717" s="1176"/>
      <c r="GUP717" s="1176"/>
      <c r="GUQ717" s="1176"/>
      <c r="GUR717" s="1176"/>
      <c r="GUS717" s="1176"/>
      <c r="GUT717" s="1176"/>
      <c r="GUU717" s="1176"/>
      <c r="GUV717" s="1176"/>
      <c r="GUW717" s="1176"/>
      <c r="GUX717" s="1176"/>
      <c r="GUY717" s="1176"/>
      <c r="GUZ717" s="1176"/>
      <c r="GVA717" s="1176"/>
      <c r="GVB717" s="1176"/>
      <c r="GVC717" s="1176"/>
      <c r="GVD717" s="1176"/>
      <c r="GVE717" s="1176"/>
      <c r="GVF717" s="1176"/>
      <c r="GVG717" s="1176"/>
      <c r="GVH717" s="1176"/>
      <c r="GVI717" s="1176"/>
      <c r="GVJ717" s="1176"/>
      <c r="GVK717" s="1176"/>
      <c r="GVL717" s="1176"/>
      <c r="GVM717" s="1176"/>
      <c r="GVN717" s="1176"/>
      <c r="GVO717" s="1176"/>
      <c r="GVP717" s="1176"/>
      <c r="GVQ717" s="1176"/>
      <c r="GVR717" s="1176"/>
      <c r="GVS717" s="1176"/>
      <c r="GVT717" s="1176"/>
      <c r="GVU717" s="1176"/>
      <c r="GVV717" s="1176"/>
      <c r="GVW717" s="1176"/>
      <c r="GVX717" s="1176"/>
      <c r="GVY717" s="1176"/>
      <c r="GVZ717" s="1176"/>
      <c r="GWA717" s="1176"/>
      <c r="GWB717" s="1176"/>
      <c r="GWC717" s="1176"/>
      <c r="GWD717" s="1176"/>
      <c r="GWE717" s="1176"/>
      <c r="GWF717" s="1176"/>
      <c r="GWG717" s="1176"/>
      <c r="GWH717" s="1176"/>
      <c r="GWI717" s="1176"/>
      <c r="GWJ717" s="1176"/>
      <c r="GWK717" s="1176"/>
      <c r="GWL717" s="1176"/>
      <c r="GWM717" s="1176"/>
      <c r="GWN717" s="1176"/>
      <c r="GWO717" s="1176"/>
      <c r="GWP717" s="1176"/>
      <c r="GWQ717" s="1176"/>
      <c r="GWR717" s="1176"/>
      <c r="GWS717" s="1176"/>
      <c r="GWT717" s="1176"/>
      <c r="GWU717" s="1176"/>
      <c r="GWV717" s="1176"/>
      <c r="GWW717" s="1176"/>
      <c r="GWX717" s="1176"/>
      <c r="GWY717" s="1176"/>
      <c r="GWZ717" s="1176"/>
      <c r="GXA717" s="1176"/>
      <c r="GXB717" s="1176"/>
      <c r="GXC717" s="1176"/>
      <c r="GXD717" s="1176"/>
      <c r="GXE717" s="1176"/>
      <c r="GXF717" s="1176"/>
      <c r="GXG717" s="1176"/>
      <c r="GXH717" s="1176"/>
      <c r="GXI717" s="1176"/>
      <c r="GXJ717" s="1176"/>
      <c r="GXK717" s="1176"/>
      <c r="GXL717" s="1176"/>
      <c r="GXM717" s="1176"/>
      <c r="GXN717" s="1176"/>
      <c r="GXO717" s="1176"/>
      <c r="GXP717" s="1176"/>
      <c r="GXQ717" s="1176"/>
      <c r="GXR717" s="1176"/>
      <c r="GXS717" s="1176"/>
      <c r="GXT717" s="1176"/>
      <c r="GXU717" s="1176"/>
      <c r="GXV717" s="1176"/>
      <c r="GXW717" s="1176"/>
      <c r="GXX717" s="1176"/>
      <c r="GXY717" s="1176"/>
      <c r="GXZ717" s="1176"/>
      <c r="GYA717" s="1176"/>
      <c r="GYB717" s="1176"/>
      <c r="GYC717" s="1176"/>
      <c r="GYD717" s="1176"/>
      <c r="GYE717" s="1176"/>
      <c r="GYF717" s="1176"/>
      <c r="GYG717" s="1176"/>
      <c r="GYH717" s="1176"/>
      <c r="GYI717" s="1176"/>
      <c r="GYJ717" s="1176"/>
      <c r="GYK717" s="1176"/>
      <c r="GYL717" s="1176"/>
      <c r="GYM717" s="1176"/>
      <c r="GYN717" s="1176"/>
      <c r="GYO717" s="1176"/>
      <c r="GYP717" s="1176"/>
      <c r="GYQ717" s="1176"/>
      <c r="GYR717" s="1176"/>
      <c r="GYS717" s="1176"/>
      <c r="GYT717" s="1176"/>
      <c r="GYU717" s="1176"/>
      <c r="GYV717" s="1176"/>
      <c r="GYW717" s="1176"/>
      <c r="GYX717" s="1176"/>
      <c r="GYY717" s="1176"/>
      <c r="GYZ717" s="1176"/>
      <c r="GZA717" s="1176"/>
      <c r="GZB717" s="1176"/>
      <c r="GZC717" s="1176"/>
      <c r="GZD717" s="1176"/>
      <c r="GZE717" s="1176"/>
      <c r="GZF717" s="1176"/>
      <c r="GZG717" s="1176"/>
      <c r="GZH717" s="1176"/>
      <c r="GZI717" s="1176"/>
      <c r="GZJ717" s="1176"/>
      <c r="GZK717" s="1176"/>
      <c r="GZL717" s="1176"/>
      <c r="GZM717" s="1176"/>
      <c r="GZN717" s="1176"/>
      <c r="GZO717" s="1176"/>
      <c r="GZP717" s="1176"/>
      <c r="GZQ717" s="1176"/>
      <c r="GZR717" s="1176"/>
      <c r="GZS717" s="1176"/>
      <c r="GZT717" s="1176"/>
      <c r="GZU717" s="1176"/>
      <c r="GZV717" s="1176"/>
      <c r="GZW717" s="1176"/>
      <c r="GZX717" s="1176"/>
      <c r="GZY717" s="1176"/>
      <c r="GZZ717" s="1176"/>
      <c r="HAA717" s="1176"/>
      <c r="HAB717" s="1176"/>
      <c r="HAC717" s="1176"/>
      <c r="HAD717" s="1176"/>
      <c r="HAE717" s="1176"/>
      <c r="HAF717" s="1176"/>
      <c r="HAG717" s="1176"/>
      <c r="HAH717" s="1176"/>
      <c r="HAI717" s="1176"/>
      <c r="HAJ717" s="1176"/>
      <c r="HAK717" s="1176"/>
      <c r="HAL717" s="1176"/>
      <c r="HAM717" s="1176"/>
      <c r="HAN717" s="1176"/>
      <c r="HAO717" s="1176"/>
      <c r="HAP717" s="1176"/>
      <c r="HAQ717" s="1176"/>
      <c r="HAR717" s="1176"/>
      <c r="HAS717" s="1176"/>
      <c r="HAT717" s="1176"/>
      <c r="HAU717" s="1176"/>
      <c r="HAV717" s="1176"/>
      <c r="HAW717" s="1176"/>
      <c r="HAX717" s="1176"/>
      <c r="HAY717" s="1176"/>
      <c r="HAZ717" s="1176"/>
      <c r="HBA717" s="1176"/>
      <c r="HBB717" s="1176"/>
      <c r="HBC717" s="1176"/>
      <c r="HBD717" s="1176"/>
      <c r="HBE717" s="1176"/>
      <c r="HBF717" s="1176"/>
      <c r="HBG717" s="1176"/>
      <c r="HBH717" s="1176"/>
      <c r="HBI717" s="1176"/>
      <c r="HBJ717" s="1176"/>
      <c r="HBK717" s="1176"/>
      <c r="HBL717" s="1176"/>
      <c r="HBM717" s="1176"/>
      <c r="HBN717" s="1176"/>
      <c r="HBO717" s="1176"/>
      <c r="HBP717" s="1176"/>
      <c r="HBQ717" s="1176"/>
      <c r="HBR717" s="1176"/>
      <c r="HBS717" s="1176"/>
      <c r="HBT717" s="1176"/>
      <c r="HBU717" s="1176"/>
      <c r="HBV717" s="1176"/>
      <c r="HBW717" s="1176"/>
      <c r="HBX717" s="1176"/>
      <c r="HBY717" s="1176"/>
      <c r="HBZ717" s="1176"/>
      <c r="HCA717" s="1176"/>
      <c r="HCB717" s="1176"/>
      <c r="HCC717" s="1176"/>
      <c r="HCD717" s="1176"/>
      <c r="HCE717" s="1176"/>
      <c r="HCF717" s="1176"/>
      <c r="HCG717" s="1176"/>
      <c r="HCH717" s="1176"/>
      <c r="HCI717" s="1176"/>
      <c r="HCJ717" s="1176"/>
      <c r="HCK717" s="1176"/>
      <c r="HCL717" s="1176"/>
      <c r="HCM717" s="1176"/>
      <c r="HCN717" s="1176"/>
      <c r="HCO717" s="1176"/>
      <c r="HCP717" s="1176"/>
      <c r="HCQ717" s="1176"/>
      <c r="HCR717" s="1176"/>
      <c r="HCS717" s="1176"/>
      <c r="HCT717" s="1176"/>
      <c r="HCU717" s="1176"/>
      <c r="HCV717" s="1176"/>
      <c r="HCW717" s="1176"/>
      <c r="HCX717" s="1176"/>
      <c r="HCY717" s="1176"/>
      <c r="HCZ717" s="1176"/>
      <c r="HDA717" s="1176"/>
      <c r="HDB717" s="1176"/>
      <c r="HDC717" s="1176"/>
      <c r="HDD717" s="1176"/>
      <c r="HDE717" s="1176"/>
      <c r="HDF717" s="1176"/>
      <c r="HDG717" s="1176"/>
      <c r="HDH717" s="1176"/>
      <c r="HDI717" s="1176"/>
      <c r="HDJ717" s="1176"/>
      <c r="HDK717" s="1176"/>
      <c r="HDL717" s="1176"/>
      <c r="HDM717" s="1176"/>
      <c r="HDN717" s="1176"/>
      <c r="HDO717" s="1176"/>
      <c r="HDP717" s="1176"/>
      <c r="HDQ717" s="1176"/>
      <c r="HDR717" s="1176"/>
      <c r="HDS717" s="1176"/>
      <c r="HDT717" s="1176"/>
      <c r="HDU717" s="1176"/>
      <c r="HDV717" s="1176"/>
      <c r="HDW717" s="1176"/>
      <c r="HDX717" s="1176"/>
      <c r="HDY717" s="1176"/>
      <c r="HDZ717" s="1176"/>
      <c r="HEA717" s="1176"/>
      <c r="HEB717" s="1176"/>
      <c r="HEC717" s="1176"/>
      <c r="HED717" s="1176"/>
      <c r="HEE717" s="1176"/>
      <c r="HEF717" s="1176"/>
      <c r="HEG717" s="1176"/>
      <c r="HEH717" s="1176"/>
      <c r="HEI717" s="1176"/>
      <c r="HEJ717" s="1176"/>
      <c r="HEK717" s="1176"/>
      <c r="HEL717" s="1176"/>
      <c r="HEM717" s="1176"/>
      <c r="HEN717" s="1176"/>
      <c r="HEO717" s="1176"/>
      <c r="HEP717" s="1176"/>
      <c r="HEQ717" s="1176"/>
      <c r="HER717" s="1176"/>
      <c r="HES717" s="1176"/>
      <c r="HET717" s="1176"/>
      <c r="HEU717" s="1176"/>
      <c r="HEV717" s="1176"/>
      <c r="HEW717" s="1176"/>
      <c r="HEX717" s="1176"/>
      <c r="HEY717" s="1176"/>
      <c r="HEZ717" s="1176"/>
      <c r="HFA717" s="1176"/>
      <c r="HFB717" s="1176"/>
      <c r="HFC717" s="1176"/>
      <c r="HFD717" s="1176"/>
      <c r="HFE717" s="1176"/>
      <c r="HFF717" s="1176"/>
      <c r="HFG717" s="1176"/>
      <c r="HFH717" s="1176"/>
      <c r="HFI717" s="1176"/>
      <c r="HFJ717" s="1176"/>
      <c r="HFK717" s="1176"/>
      <c r="HFL717" s="1176"/>
      <c r="HFM717" s="1176"/>
      <c r="HFN717" s="1176"/>
      <c r="HFO717" s="1176"/>
      <c r="HFP717" s="1176"/>
      <c r="HFQ717" s="1176"/>
      <c r="HFR717" s="1176"/>
      <c r="HFS717" s="1176"/>
      <c r="HFT717" s="1176"/>
      <c r="HFU717" s="1176"/>
      <c r="HFV717" s="1176"/>
      <c r="HFW717" s="1176"/>
      <c r="HFX717" s="1176"/>
      <c r="HFY717" s="1176"/>
      <c r="HFZ717" s="1176"/>
      <c r="HGA717" s="1176"/>
      <c r="HGB717" s="1176"/>
      <c r="HGC717" s="1176"/>
      <c r="HGD717" s="1176"/>
      <c r="HGE717" s="1176"/>
      <c r="HGF717" s="1176"/>
      <c r="HGG717" s="1176"/>
      <c r="HGH717" s="1176"/>
      <c r="HGI717" s="1176"/>
      <c r="HGJ717" s="1176"/>
      <c r="HGK717" s="1176"/>
      <c r="HGL717" s="1176"/>
      <c r="HGM717" s="1176"/>
      <c r="HGN717" s="1176"/>
      <c r="HGO717" s="1176"/>
      <c r="HGP717" s="1176"/>
      <c r="HGQ717" s="1176"/>
      <c r="HGR717" s="1176"/>
      <c r="HGS717" s="1176"/>
      <c r="HGT717" s="1176"/>
      <c r="HGU717" s="1176"/>
      <c r="HGV717" s="1176"/>
      <c r="HGW717" s="1176"/>
      <c r="HGX717" s="1176"/>
      <c r="HGY717" s="1176"/>
      <c r="HGZ717" s="1176"/>
      <c r="HHA717" s="1176"/>
      <c r="HHB717" s="1176"/>
      <c r="HHC717" s="1176"/>
      <c r="HHD717" s="1176"/>
      <c r="HHE717" s="1176"/>
      <c r="HHF717" s="1176"/>
      <c r="HHG717" s="1176"/>
      <c r="HHH717" s="1176"/>
      <c r="HHI717" s="1176"/>
      <c r="HHJ717" s="1176"/>
      <c r="HHK717" s="1176"/>
      <c r="HHL717" s="1176"/>
      <c r="HHM717" s="1176"/>
      <c r="HHN717" s="1176"/>
      <c r="HHO717" s="1176"/>
      <c r="HHP717" s="1176"/>
      <c r="HHQ717" s="1176"/>
      <c r="HHR717" s="1176"/>
      <c r="HHS717" s="1176"/>
      <c r="HHT717" s="1176"/>
      <c r="HHU717" s="1176"/>
      <c r="HHV717" s="1176"/>
      <c r="HHW717" s="1176"/>
      <c r="HHX717" s="1176"/>
      <c r="HHY717" s="1176"/>
      <c r="HHZ717" s="1176"/>
      <c r="HIA717" s="1176"/>
      <c r="HIB717" s="1176"/>
      <c r="HIC717" s="1176"/>
      <c r="HID717" s="1176"/>
      <c r="HIE717" s="1176"/>
      <c r="HIF717" s="1176"/>
      <c r="HIG717" s="1176"/>
      <c r="HIH717" s="1176"/>
      <c r="HII717" s="1176"/>
      <c r="HIJ717" s="1176"/>
      <c r="HIK717" s="1176"/>
      <c r="HIL717" s="1176"/>
      <c r="HIM717" s="1176"/>
      <c r="HIN717" s="1176"/>
      <c r="HIO717" s="1176"/>
      <c r="HIP717" s="1176"/>
      <c r="HIQ717" s="1176"/>
      <c r="HIR717" s="1176"/>
      <c r="HIS717" s="1176"/>
      <c r="HIT717" s="1176"/>
      <c r="HIU717" s="1176"/>
      <c r="HIV717" s="1176"/>
      <c r="HIW717" s="1176"/>
      <c r="HIX717" s="1176"/>
      <c r="HIY717" s="1176"/>
      <c r="HIZ717" s="1176"/>
      <c r="HJA717" s="1176"/>
      <c r="HJB717" s="1176"/>
      <c r="HJC717" s="1176"/>
      <c r="HJD717" s="1176"/>
      <c r="HJE717" s="1176"/>
      <c r="HJF717" s="1176"/>
      <c r="HJG717" s="1176"/>
      <c r="HJH717" s="1176"/>
      <c r="HJI717" s="1176"/>
      <c r="HJJ717" s="1176"/>
      <c r="HJK717" s="1176"/>
      <c r="HJL717" s="1176"/>
      <c r="HJM717" s="1176"/>
      <c r="HJN717" s="1176"/>
      <c r="HJO717" s="1176"/>
      <c r="HJP717" s="1176"/>
      <c r="HJQ717" s="1176"/>
      <c r="HJR717" s="1176"/>
      <c r="HJS717" s="1176"/>
      <c r="HJT717" s="1176"/>
      <c r="HJU717" s="1176"/>
      <c r="HJV717" s="1176"/>
      <c r="HJW717" s="1176"/>
      <c r="HJX717" s="1176"/>
      <c r="HJY717" s="1176"/>
      <c r="HJZ717" s="1176"/>
      <c r="HKA717" s="1176"/>
      <c r="HKB717" s="1176"/>
      <c r="HKC717" s="1176"/>
      <c r="HKD717" s="1176"/>
      <c r="HKE717" s="1176"/>
      <c r="HKF717" s="1176"/>
      <c r="HKG717" s="1176"/>
      <c r="HKH717" s="1176"/>
      <c r="HKI717" s="1176"/>
      <c r="HKJ717" s="1176"/>
      <c r="HKK717" s="1176"/>
      <c r="HKL717" s="1176"/>
      <c r="HKM717" s="1176"/>
      <c r="HKN717" s="1176"/>
      <c r="HKO717" s="1176"/>
      <c r="HKP717" s="1176"/>
      <c r="HKQ717" s="1176"/>
      <c r="HKR717" s="1176"/>
      <c r="HKS717" s="1176"/>
      <c r="HKT717" s="1176"/>
      <c r="HKU717" s="1176"/>
      <c r="HKV717" s="1176"/>
      <c r="HKW717" s="1176"/>
      <c r="HKX717" s="1176"/>
      <c r="HKY717" s="1176"/>
      <c r="HKZ717" s="1176"/>
      <c r="HLA717" s="1176"/>
      <c r="HLB717" s="1176"/>
      <c r="HLC717" s="1176"/>
      <c r="HLD717" s="1176"/>
      <c r="HLE717" s="1176"/>
      <c r="HLF717" s="1176"/>
      <c r="HLG717" s="1176"/>
      <c r="HLH717" s="1176"/>
      <c r="HLI717" s="1176"/>
      <c r="HLJ717" s="1176"/>
      <c r="HLK717" s="1176"/>
      <c r="HLL717" s="1176"/>
      <c r="HLM717" s="1176"/>
      <c r="HLN717" s="1176"/>
      <c r="HLO717" s="1176"/>
      <c r="HLP717" s="1176"/>
      <c r="HLQ717" s="1176"/>
      <c r="HLR717" s="1176"/>
      <c r="HLS717" s="1176"/>
      <c r="HLT717" s="1176"/>
      <c r="HLU717" s="1176"/>
      <c r="HLV717" s="1176"/>
      <c r="HLW717" s="1176"/>
      <c r="HLX717" s="1176"/>
      <c r="HLY717" s="1176"/>
      <c r="HLZ717" s="1176"/>
      <c r="HMA717" s="1176"/>
      <c r="HMB717" s="1176"/>
      <c r="HMC717" s="1176"/>
      <c r="HMD717" s="1176"/>
      <c r="HME717" s="1176"/>
      <c r="HMF717" s="1176"/>
      <c r="HMG717" s="1176"/>
      <c r="HMH717" s="1176"/>
      <c r="HMI717" s="1176"/>
      <c r="HMJ717" s="1176"/>
      <c r="HMK717" s="1176"/>
      <c r="HML717" s="1176"/>
      <c r="HMM717" s="1176"/>
      <c r="HMN717" s="1176"/>
      <c r="HMO717" s="1176"/>
      <c r="HMP717" s="1176"/>
      <c r="HMQ717" s="1176"/>
      <c r="HMR717" s="1176"/>
      <c r="HMS717" s="1176"/>
      <c r="HMT717" s="1176"/>
      <c r="HMU717" s="1176"/>
      <c r="HMV717" s="1176"/>
      <c r="HMW717" s="1176"/>
      <c r="HMX717" s="1176"/>
      <c r="HMY717" s="1176"/>
      <c r="HMZ717" s="1176"/>
      <c r="HNA717" s="1176"/>
      <c r="HNB717" s="1176"/>
      <c r="HNC717" s="1176"/>
      <c r="HND717" s="1176"/>
      <c r="HNE717" s="1176"/>
      <c r="HNF717" s="1176"/>
      <c r="HNG717" s="1176"/>
      <c r="HNH717" s="1176"/>
      <c r="HNI717" s="1176"/>
      <c r="HNJ717" s="1176"/>
      <c r="HNK717" s="1176"/>
      <c r="HNL717" s="1176"/>
      <c r="HNM717" s="1176"/>
      <c r="HNN717" s="1176"/>
      <c r="HNO717" s="1176"/>
      <c r="HNP717" s="1176"/>
      <c r="HNQ717" s="1176"/>
      <c r="HNR717" s="1176"/>
      <c r="HNS717" s="1176"/>
      <c r="HNT717" s="1176"/>
      <c r="HNU717" s="1176"/>
      <c r="HNV717" s="1176"/>
      <c r="HNW717" s="1176"/>
      <c r="HNX717" s="1176"/>
      <c r="HNY717" s="1176"/>
      <c r="HNZ717" s="1176"/>
      <c r="HOA717" s="1176"/>
      <c r="HOB717" s="1176"/>
      <c r="HOC717" s="1176"/>
      <c r="HOD717" s="1176"/>
      <c r="HOE717" s="1176"/>
      <c r="HOF717" s="1176"/>
      <c r="HOG717" s="1176"/>
      <c r="HOH717" s="1176"/>
      <c r="HOI717" s="1176"/>
      <c r="HOJ717" s="1176"/>
      <c r="HOK717" s="1176"/>
      <c r="HOL717" s="1176"/>
      <c r="HOM717" s="1176"/>
      <c r="HON717" s="1176"/>
      <c r="HOO717" s="1176"/>
      <c r="HOP717" s="1176"/>
      <c r="HOQ717" s="1176"/>
      <c r="HOR717" s="1176"/>
      <c r="HOS717" s="1176"/>
      <c r="HOT717" s="1176"/>
      <c r="HOU717" s="1176"/>
      <c r="HOV717" s="1176"/>
      <c r="HOW717" s="1176"/>
      <c r="HOX717" s="1176"/>
      <c r="HOY717" s="1176"/>
      <c r="HOZ717" s="1176"/>
      <c r="HPA717" s="1176"/>
      <c r="HPB717" s="1176"/>
      <c r="HPC717" s="1176"/>
      <c r="HPD717" s="1176"/>
      <c r="HPE717" s="1176"/>
      <c r="HPF717" s="1176"/>
      <c r="HPG717" s="1176"/>
      <c r="HPH717" s="1176"/>
      <c r="HPI717" s="1176"/>
      <c r="HPJ717" s="1176"/>
      <c r="HPK717" s="1176"/>
      <c r="HPL717" s="1176"/>
      <c r="HPM717" s="1176"/>
      <c r="HPN717" s="1176"/>
      <c r="HPO717" s="1176"/>
      <c r="HPP717" s="1176"/>
      <c r="HPQ717" s="1176"/>
      <c r="HPR717" s="1176"/>
      <c r="HPS717" s="1176"/>
      <c r="HPT717" s="1176"/>
      <c r="HPU717" s="1176"/>
      <c r="HPV717" s="1176"/>
      <c r="HPW717" s="1176"/>
      <c r="HPX717" s="1176"/>
      <c r="HPY717" s="1176"/>
      <c r="HPZ717" s="1176"/>
      <c r="HQA717" s="1176"/>
      <c r="HQB717" s="1176"/>
      <c r="HQC717" s="1176"/>
      <c r="HQD717" s="1176"/>
      <c r="HQE717" s="1176"/>
      <c r="HQF717" s="1176"/>
      <c r="HQG717" s="1176"/>
      <c r="HQH717" s="1176"/>
      <c r="HQI717" s="1176"/>
      <c r="HQJ717" s="1176"/>
      <c r="HQK717" s="1176"/>
      <c r="HQL717" s="1176"/>
      <c r="HQM717" s="1176"/>
      <c r="HQN717" s="1176"/>
      <c r="HQO717" s="1176"/>
      <c r="HQP717" s="1176"/>
      <c r="HQQ717" s="1176"/>
      <c r="HQR717" s="1176"/>
      <c r="HQS717" s="1176"/>
      <c r="HQT717" s="1176"/>
      <c r="HQU717" s="1176"/>
      <c r="HQV717" s="1176"/>
      <c r="HQW717" s="1176"/>
      <c r="HQX717" s="1176"/>
      <c r="HQY717" s="1176"/>
      <c r="HQZ717" s="1176"/>
      <c r="HRA717" s="1176"/>
      <c r="HRB717" s="1176"/>
      <c r="HRC717" s="1176"/>
      <c r="HRD717" s="1176"/>
      <c r="HRE717" s="1176"/>
      <c r="HRF717" s="1176"/>
      <c r="HRG717" s="1176"/>
      <c r="HRH717" s="1176"/>
      <c r="HRI717" s="1176"/>
      <c r="HRJ717" s="1176"/>
      <c r="HRK717" s="1176"/>
      <c r="HRL717" s="1176"/>
      <c r="HRM717" s="1176"/>
      <c r="HRN717" s="1176"/>
      <c r="HRO717" s="1176"/>
      <c r="HRP717" s="1176"/>
      <c r="HRQ717" s="1176"/>
      <c r="HRR717" s="1176"/>
      <c r="HRS717" s="1176"/>
      <c r="HRT717" s="1176"/>
      <c r="HRU717" s="1176"/>
      <c r="HRV717" s="1176"/>
      <c r="HRW717" s="1176"/>
      <c r="HRX717" s="1176"/>
      <c r="HRY717" s="1176"/>
      <c r="HRZ717" s="1176"/>
      <c r="HSA717" s="1176"/>
      <c r="HSB717" s="1176"/>
      <c r="HSC717" s="1176"/>
      <c r="HSD717" s="1176"/>
      <c r="HSE717" s="1176"/>
      <c r="HSF717" s="1176"/>
      <c r="HSG717" s="1176"/>
      <c r="HSH717" s="1176"/>
      <c r="HSI717" s="1176"/>
      <c r="HSJ717" s="1176"/>
      <c r="HSK717" s="1176"/>
      <c r="HSL717" s="1176"/>
      <c r="HSM717" s="1176"/>
      <c r="HSN717" s="1176"/>
      <c r="HSO717" s="1176"/>
      <c r="HSP717" s="1176"/>
      <c r="HSQ717" s="1176"/>
      <c r="HSR717" s="1176"/>
      <c r="HSS717" s="1176"/>
      <c r="HST717" s="1176"/>
      <c r="HSU717" s="1176"/>
      <c r="HSV717" s="1176"/>
      <c r="HSW717" s="1176"/>
      <c r="HSX717" s="1176"/>
      <c r="HSY717" s="1176"/>
      <c r="HSZ717" s="1176"/>
      <c r="HTA717" s="1176"/>
      <c r="HTB717" s="1176"/>
      <c r="HTC717" s="1176"/>
      <c r="HTD717" s="1176"/>
      <c r="HTE717" s="1176"/>
      <c r="HTF717" s="1176"/>
      <c r="HTG717" s="1176"/>
      <c r="HTH717" s="1176"/>
      <c r="HTI717" s="1176"/>
      <c r="HTJ717" s="1176"/>
      <c r="HTK717" s="1176"/>
      <c r="HTL717" s="1176"/>
      <c r="HTM717" s="1176"/>
      <c r="HTN717" s="1176"/>
      <c r="HTO717" s="1176"/>
      <c r="HTP717" s="1176"/>
      <c r="HTQ717" s="1176"/>
      <c r="HTR717" s="1176"/>
      <c r="HTS717" s="1176"/>
      <c r="HTT717" s="1176"/>
      <c r="HTU717" s="1176"/>
      <c r="HTV717" s="1176"/>
      <c r="HTW717" s="1176"/>
      <c r="HTX717" s="1176"/>
      <c r="HTY717" s="1176"/>
      <c r="HTZ717" s="1176"/>
      <c r="HUA717" s="1176"/>
      <c r="HUB717" s="1176"/>
      <c r="HUC717" s="1176"/>
      <c r="HUD717" s="1176"/>
      <c r="HUE717" s="1176"/>
      <c r="HUF717" s="1176"/>
      <c r="HUG717" s="1176"/>
      <c r="HUH717" s="1176"/>
      <c r="HUI717" s="1176"/>
      <c r="HUJ717" s="1176"/>
      <c r="HUK717" s="1176"/>
      <c r="HUL717" s="1176"/>
      <c r="HUM717" s="1176"/>
      <c r="HUN717" s="1176"/>
      <c r="HUO717" s="1176"/>
      <c r="HUP717" s="1176"/>
      <c r="HUQ717" s="1176"/>
      <c r="HUR717" s="1176"/>
      <c r="HUS717" s="1176"/>
      <c r="HUT717" s="1176"/>
      <c r="HUU717" s="1176"/>
      <c r="HUV717" s="1176"/>
      <c r="HUW717" s="1176"/>
      <c r="HUX717" s="1176"/>
      <c r="HUY717" s="1176"/>
      <c r="HUZ717" s="1176"/>
      <c r="HVA717" s="1176"/>
      <c r="HVB717" s="1176"/>
      <c r="HVC717" s="1176"/>
      <c r="HVD717" s="1176"/>
      <c r="HVE717" s="1176"/>
      <c r="HVF717" s="1176"/>
      <c r="HVG717" s="1176"/>
      <c r="HVH717" s="1176"/>
      <c r="HVI717" s="1176"/>
      <c r="HVJ717" s="1176"/>
      <c r="HVK717" s="1176"/>
      <c r="HVL717" s="1176"/>
      <c r="HVM717" s="1176"/>
      <c r="HVN717" s="1176"/>
      <c r="HVO717" s="1176"/>
      <c r="HVP717" s="1176"/>
      <c r="HVQ717" s="1176"/>
      <c r="HVR717" s="1176"/>
      <c r="HVS717" s="1176"/>
      <c r="HVT717" s="1176"/>
      <c r="HVU717" s="1176"/>
      <c r="HVV717" s="1176"/>
      <c r="HVW717" s="1176"/>
      <c r="HVX717" s="1176"/>
      <c r="HVY717" s="1176"/>
      <c r="HVZ717" s="1176"/>
      <c r="HWA717" s="1176"/>
      <c r="HWB717" s="1176"/>
      <c r="HWC717" s="1176"/>
      <c r="HWD717" s="1176"/>
      <c r="HWE717" s="1176"/>
      <c r="HWF717" s="1176"/>
      <c r="HWG717" s="1176"/>
      <c r="HWH717" s="1176"/>
      <c r="HWI717" s="1176"/>
      <c r="HWJ717" s="1176"/>
      <c r="HWK717" s="1176"/>
      <c r="HWL717" s="1176"/>
      <c r="HWM717" s="1176"/>
      <c r="HWN717" s="1176"/>
      <c r="HWO717" s="1176"/>
      <c r="HWP717" s="1176"/>
      <c r="HWQ717" s="1176"/>
      <c r="HWR717" s="1176"/>
      <c r="HWS717" s="1176"/>
      <c r="HWT717" s="1176"/>
      <c r="HWU717" s="1176"/>
      <c r="HWV717" s="1176"/>
      <c r="HWW717" s="1176"/>
      <c r="HWX717" s="1176"/>
      <c r="HWY717" s="1176"/>
      <c r="HWZ717" s="1176"/>
      <c r="HXA717" s="1176"/>
      <c r="HXB717" s="1176"/>
      <c r="HXC717" s="1176"/>
      <c r="HXD717" s="1176"/>
      <c r="HXE717" s="1176"/>
      <c r="HXF717" s="1176"/>
      <c r="HXG717" s="1176"/>
      <c r="HXH717" s="1176"/>
      <c r="HXI717" s="1176"/>
      <c r="HXJ717" s="1176"/>
      <c r="HXK717" s="1176"/>
      <c r="HXL717" s="1176"/>
      <c r="HXM717" s="1176"/>
      <c r="HXN717" s="1176"/>
      <c r="HXO717" s="1176"/>
      <c r="HXP717" s="1176"/>
      <c r="HXQ717" s="1176"/>
      <c r="HXR717" s="1176"/>
      <c r="HXS717" s="1176"/>
      <c r="HXT717" s="1176"/>
      <c r="HXU717" s="1176"/>
      <c r="HXV717" s="1176"/>
      <c r="HXW717" s="1176"/>
      <c r="HXX717" s="1176"/>
      <c r="HXY717" s="1176"/>
      <c r="HXZ717" s="1176"/>
      <c r="HYA717" s="1176"/>
      <c r="HYB717" s="1176"/>
      <c r="HYC717" s="1176"/>
      <c r="HYD717" s="1176"/>
      <c r="HYE717" s="1176"/>
      <c r="HYF717" s="1176"/>
      <c r="HYG717" s="1176"/>
      <c r="HYH717" s="1176"/>
      <c r="HYI717" s="1176"/>
      <c r="HYJ717" s="1176"/>
      <c r="HYK717" s="1176"/>
      <c r="HYL717" s="1176"/>
      <c r="HYM717" s="1176"/>
      <c r="HYN717" s="1176"/>
      <c r="HYO717" s="1176"/>
      <c r="HYP717" s="1176"/>
      <c r="HYQ717" s="1176"/>
      <c r="HYR717" s="1176"/>
      <c r="HYS717" s="1176"/>
      <c r="HYT717" s="1176"/>
      <c r="HYU717" s="1176"/>
      <c r="HYV717" s="1176"/>
      <c r="HYW717" s="1176"/>
      <c r="HYX717" s="1176"/>
      <c r="HYY717" s="1176"/>
      <c r="HYZ717" s="1176"/>
      <c r="HZA717" s="1176"/>
      <c r="HZB717" s="1176"/>
      <c r="HZC717" s="1176"/>
      <c r="HZD717" s="1176"/>
      <c r="HZE717" s="1176"/>
      <c r="HZF717" s="1176"/>
      <c r="HZG717" s="1176"/>
      <c r="HZH717" s="1176"/>
      <c r="HZI717" s="1176"/>
      <c r="HZJ717" s="1176"/>
      <c r="HZK717" s="1176"/>
      <c r="HZL717" s="1176"/>
      <c r="HZM717" s="1176"/>
      <c r="HZN717" s="1176"/>
      <c r="HZO717" s="1176"/>
      <c r="HZP717" s="1176"/>
      <c r="HZQ717" s="1176"/>
      <c r="HZR717" s="1176"/>
      <c r="HZS717" s="1176"/>
      <c r="HZT717" s="1176"/>
      <c r="HZU717" s="1176"/>
      <c r="HZV717" s="1176"/>
      <c r="HZW717" s="1176"/>
      <c r="HZX717" s="1176"/>
      <c r="HZY717" s="1176"/>
      <c r="HZZ717" s="1176"/>
      <c r="IAA717" s="1176"/>
      <c r="IAB717" s="1176"/>
      <c r="IAC717" s="1176"/>
      <c r="IAD717" s="1176"/>
      <c r="IAE717" s="1176"/>
      <c r="IAF717" s="1176"/>
      <c r="IAG717" s="1176"/>
      <c r="IAH717" s="1176"/>
      <c r="IAI717" s="1176"/>
      <c r="IAJ717" s="1176"/>
      <c r="IAK717" s="1176"/>
      <c r="IAL717" s="1176"/>
      <c r="IAM717" s="1176"/>
      <c r="IAN717" s="1176"/>
      <c r="IAO717" s="1176"/>
      <c r="IAP717" s="1176"/>
      <c r="IAQ717" s="1176"/>
      <c r="IAR717" s="1176"/>
      <c r="IAS717" s="1176"/>
      <c r="IAT717" s="1176"/>
      <c r="IAU717" s="1176"/>
      <c r="IAV717" s="1176"/>
      <c r="IAW717" s="1176"/>
      <c r="IAX717" s="1176"/>
      <c r="IAY717" s="1176"/>
      <c r="IAZ717" s="1176"/>
      <c r="IBA717" s="1176"/>
      <c r="IBB717" s="1176"/>
      <c r="IBC717" s="1176"/>
      <c r="IBD717" s="1176"/>
      <c r="IBE717" s="1176"/>
      <c r="IBF717" s="1176"/>
      <c r="IBG717" s="1176"/>
      <c r="IBH717" s="1176"/>
      <c r="IBI717" s="1176"/>
      <c r="IBJ717" s="1176"/>
      <c r="IBK717" s="1176"/>
      <c r="IBL717" s="1176"/>
      <c r="IBM717" s="1176"/>
      <c r="IBN717" s="1176"/>
      <c r="IBO717" s="1176"/>
      <c r="IBP717" s="1176"/>
      <c r="IBQ717" s="1176"/>
      <c r="IBR717" s="1176"/>
      <c r="IBS717" s="1176"/>
      <c r="IBT717" s="1176"/>
      <c r="IBU717" s="1176"/>
      <c r="IBV717" s="1176"/>
      <c r="IBW717" s="1176"/>
      <c r="IBX717" s="1176"/>
      <c r="IBY717" s="1176"/>
      <c r="IBZ717" s="1176"/>
      <c r="ICA717" s="1176"/>
      <c r="ICB717" s="1176"/>
      <c r="ICC717" s="1176"/>
      <c r="ICD717" s="1176"/>
      <c r="ICE717" s="1176"/>
      <c r="ICF717" s="1176"/>
      <c r="ICG717" s="1176"/>
      <c r="ICH717" s="1176"/>
      <c r="ICI717" s="1176"/>
      <c r="ICJ717" s="1176"/>
      <c r="ICK717" s="1176"/>
      <c r="ICL717" s="1176"/>
      <c r="ICM717" s="1176"/>
      <c r="ICN717" s="1176"/>
      <c r="ICO717" s="1176"/>
      <c r="ICP717" s="1176"/>
      <c r="ICQ717" s="1176"/>
      <c r="ICR717" s="1176"/>
      <c r="ICS717" s="1176"/>
      <c r="ICT717" s="1176"/>
      <c r="ICU717" s="1176"/>
      <c r="ICV717" s="1176"/>
      <c r="ICW717" s="1176"/>
      <c r="ICX717" s="1176"/>
      <c r="ICY717" s="1176"/>
      <c r="ICZ717" s="1176"/>
      <c r="IDA717" s="1176"/>
      <c r="IDB717" s="1176"/>
      <c r="IDC717" s="1176"/>
      <c r="IDD717" s="1176"/>
      <c r="IDE717" s="1176"/>
      <c r="IDF717" s="1176"/>
      <c r="IDG717" s="1176"/>
      <c r="IDH717" s="1176"/>
      <c r="IDI717" s="1176"/>
      <c r="IDJ717" s="1176"/>
      <c r="IDK717" s="1176"/>
      <c r="IDL717" s="1176"/>
      <c r="IDM717" s="1176"/>
      <c r="IDN717" s="1176"/>
      <c r="IDO717" s="1176"/>
      <c r="IDP717" s="1176"/>
      <c r="IDQ717" s="1176"/>
      <c r="IDR717" s="1176"/>
      <c r="IDS717" s="1176"/>
      <c r="IDT717" s="1176"/>
      <c r="IDU717" s="1176"/>
      <c r="IDV717" s="1176"/>
      <c r="IDW717" s="1176"/>
      <c r="IDX717" s="1176"/>
      <c r="IDY717" s="1176"/>
      <c r="IDZ717" s="1176"/>
      <c r="IEA717" s="1176"/>
      <c r="IEB717" s="1176"/>
      <c r="IEC717" s="1176"/>
      <c r="IED717" s="1176"/>
      <c r="IEE717" s="1176"/>
      <c r="IEF717" s="1176"/>
      <c r="IEG717" s="1176"/>
      <c r="IEH717" s="1176"/>
      <c r="IEI717" s="1176"/>
      <c r="IEJ717" s="1176"/>
      <c r="IEK717" s="1176"/>
      <c r="IEL717" s="1176"/>
      <c r="IEM717" s="1176"/>
      <c r="IEN717" s="1176"/>
      <c r="IEO717" s="1176"/>
      <c r="IEP717" s="1176"/>
      <c r="IEQ717" s="1176"/>
      <c r="IER717" s="1176"/>
      <c r="IES717" s="1176"/>
      <c r="IET717" s="1176"/>
      <c r="IEU717" s="1176"/>
      <c r="IEV717" s="1176"/>
      <c r="IEW717" s="1176"/>
      <c r="IEX717" s="1176"/>
      <c r="IEY717" s="1176"/>
      <c r="IEZ717" s="1176"/>
      <c r="IFA717" s="1176"/>
      <c r="IFB717" s="1176"/>
      <c r="IFC717" s="1176"/>
      <c r="IFD717" s="1176"/>
      <c r="IFE717" s="1176"/>
      <c r="IFF717" s="1176"/>
      <c r="IFG717" s="1176"/>
      <c r="IFH717" s="1176"/>
      <c r="IFI717" s="1176"/>
      <c r="IFJ717" s="1176"/>
      <c r="IFK717" s="1176"/>
      <c r="IFL717" s="1176"/>
      <c r="IFM717" s="1176"/>
      <c r="IFN717" s="1176"/>
      <c r="IFO717" s="1176"/>
      <c r="IFP717" s="1176"/>
      <c r="IFQ717" s="1176"/>
      <c r="IFR717" s="1176"/>
      <c r="IFS717" s="1176"/>
      <c r="IFT717" s="1176"/>
      <c r="IFU717" s="1176"/>
      <c r="IFV717" s="1176"/>
      <c r="IFW717" s="1176"/>
      <c r="IFX717" s="1176"/>
      <c r="IFY717" s="1176"/>
      <c r="IFZ717" s="1176"/>
      <c r="IGA717" s="1176"/>
      <c r="IGB717" s="1176"/>
      <c r="IGC717" s="1176"/>
      <c r="IGD717" s="1176"/>
      <c r="IGE717" s="1176"/>
      <c r="IGF717" s="1176"/>
      <c r="IGG717" s="1176"/>
      <c r="IGH717" s="1176"/>
      <c r="IGI717" s="1176"/>
      <c r="IGJ717" s="1176"/>
      <c r="IGK717" s="1176"/>
      <c r="IGL717" s="1176"/>
      <c r="IGM717" s="1176"/>
      <c r="IGN717" s="1176"/>
      <c r="IGO717" s="1176"/>
      <c r="IGP717" s="1176"/>
      <c r="IGQ717" s="1176"/>
      <c r="IGR717" s="1176"/>
      <c r="IGS717" s="1176"/>
      <c r="IGT717" s="1176"/>
      <c r="IGU717" s="1176"/>
      <c r="IGV717" s="1176"/>
      <c r="IGW717" s="1176"/>
      <c r="IGX717" s="1176"/>
      <c r="IGY717" s="1176"/>
      <c r="IGZ717" s="1176"/>
      <c r="IHA717" s="1176"/>
      <c r="IHB717" s="1176"/>
      <c r="IHC717" s="1176"/>
      <c r="IHD717" s="1176"/>
      <c r="IHE717" s="1176"/>
      <c r="IHF717" s="1176"/>
      <c r="IHG717" s="1176"/>
      <c r="IHH717" s="1176"/>
      <c r="IHI717" s="1176"/>
      <c r="IHJ717" s="1176"/>
      <c r="IHK717" s="1176"/>
      <c r="IHL717" s="1176"/>
      <c r="IHM717" s="1176"/>
      <c r="IHN717" s="1176"/>
      <c r="IHO717" s="1176"/>
      <c r="IHP717" s="1176"/>
      <c r="IHQ717" s="1176"/>
      <c r="IHR717" s="1176"/>
      <c r="IHS717" s="1176"/>
      <c r="IHT717" s="1176"/>
      <c r="IHU717" s="1176"/>
      <c r="IHV717" s="1176"/>
      <c r="IHW717" s="1176"/>
      <c r="IHX717" s="1176"/>
      <c r="IHY717" s="1176"/>
      <c r="IHZ717" s="1176"/>
      <c r="IIA717" s="1176"/>
      <c r="IIB717" s="1176"/>
      <c r="IIC717" s="1176"/>
      <c r="IID717" s="1176"/>
      <c r="IIE717" s="1176"/>
      <c r="IIF717" s="1176"/>
      <c r="IIG717" s="1176"/>
      <c r="IIH717" s="1176"/>
      <c r="III717" s="1176"/>
      <c r="IIJ717" s="1176"/>
      <c r="IIK717" s="1176"/>
      <c r="IIL717" s="1176"/>
      <c r="IIM717" s="1176"/>
      <c r="IIN717" s="1176"/>
      <c r="IIO717" s="1176"/>
      <c r="IIP717" s="1176"/>
      <c r="IIQ717" s="1176"/>
      <c r="IIR717" s="1176"/>
      <c r="IIS717" s="1176"/>
      <c r="IIT717" s="1176"/>
      <c r="IIU717" s="1176"/>
      <c r="IIV717" s="1176"/>
      <c r="IIW717" s="1176"/>
      <c r="IIX717" s="1176"/>
      <c r="IIY717" s="1176"/>
      <c r="IIZ717" s="1176"/>
      <c r="IJA717" s="1176"/>
      <c r="IJB717" s="1176"/>
      <c r="IJC717" s="1176"/>
      <c r="IJD717" s="1176"/>
      <c r="IJE717" s="1176"/>
      <c r="IJF717" s="1176"/>
      <c r="IJG717" s="1176"/>
      <c r="IJH717" s="1176"/>
      <c r="IJI717" s="1176"/>
      <c r="IJJ717" s="1176"/>
      <c r="IJK717" s="1176"/>
      <c r="IJL717" s="1176"/>
      <c r="IJM717" s="1176"/>
      <c r="IJN717" s="1176"/>
      <c r="IJO717" s="1176"/>
      <c r="IJP717" s="1176"/>
      <c r="IJQ717" s="1176"/>
      <c r="IJR717" s="1176"/>
      <c r="IJS717" s="1176"/>
      <c r="IJT717" s="1176"/>
      <c r="IJU717" s="1176"/>
      <c r="IJV717" s="1176"/>
      <c r="IJW717" s="1176"/>
      <c r="IJX717" s="1176"/>
      <c r="IJY717" s="1176"/>
      <c r="IJZ717" s="1176"/>
      <c r="IKA717" s="1176"/>
      <c r="IKB717" s="1176"/>
      <c r="IKC717" s="1176"/>
      <c r="IKD717" s="1176"/>
      <c r="IKE717" s="1176"/>
      <c r="IKF717" s="1176"/>
      <c r="IKG717" s="1176"/>
      <c r="IKH717" s="1176"/>
      <c r="IKI717" s="1176"/>
      <c r="IKJ717" s="1176"/>
      <c r="IKK717" s="1176"/>
      <c r="IKL717" s="1176"/>
      <c r="IKM717" s="1176"/>
      <c r="IKN717" s="1176"/>
      <c r="IKO717" s="1176"/>
      <c r="IKP717" s="1176"/>
      <c r="IKQ717" s="1176"/>
      <c r="IKR717" s="1176"/>
      <c r="IKS717" s="1176"/>
      <c r="IKT717" s="1176"/>
      <c r="IKU717" s="1176"/>
      <c r="IKV717" s="1176"/>
      <c r="IKW717" s="1176"/>
      <c r="IKX717" s="1176"/>
      <c r="IKY717" s="1176"/>
      <c r="IKZ717" s="1176"/>
      <c r="ILA717" s="1176"/>
      <c r="ILB717" s="1176"/>
      <c r="ILC717" s="1176"/>
      <c r="ILD717" s="1176"/>
      <c r="ILE717" s="1176"/>
      <c r="ILF717" s="1176"/>
      <c r="ILG717" s="1176"/>
      <c r="ILH717" s="1176"/>
      <c r="ILI717" s="1176"/>
      <c r="ILJ717" s="1176"/>
      <c r="ILK717" s="1176"/>
      <c r="ILL717" s="1176"/>
      <c r="ILM717" s="1176"/>
      <c r="ILN717" s="1176"/>
      <c r="ILO717" s="1176"/>
      <c r="ILP717" s="1176"/>
      <c r="ILQ717" s="1176"/>
      <c r="ILR717" s="1176"/>
      <c r="ILS717" s="1176"/>
      <c r="ILT717" s="1176"/>
      <c r="ILU717" s="1176"/>
      <c r="ILV717" s="1176"/>
      <c r="ILW717" s="1176"/>
      <c r="ILX717" s="1176"/>
      <c r="ILY717" s="1176"/>
      <c r="ILZ717" s="1176"/>
      <c r="IMA717" s="1176"/>
      <c r="IMB717" s="1176"/>
      <c r="IMC717" s="1176"/>
      <c r="IMD717" s="1176"/>
      <c r="IME717" s="1176"/>
      <c r="IMF717" s="1176"/>
      <c r="IMG717" s="1176"/>
      <c r="IMH717" s="1176"/>
      <c r="IMI717" s="1176"/>
      <c r="IMJ717" s="1176"/>
      <c r="IMK717" s="1176"/>
      <c r="IML717" s="1176"/>
      <c r="IMM717" s="1176"/>
      <c r="IMN717" s="1176"/>
      <c r="IMO717" s="1176"/>
      <c r="IMP717" s="1176"/>
      <c r="IMQ717" s="1176"/>
      <c r="IMR717" s="1176"/>
      <c r="IMS717" s="1176"/>
      <c r="IMT717" s="1176"/>
      <c r="IMU717" s="1176"/>
      <c r="IMV717" s="1176"/>
      <c r="IMW717" s="1176"/>
      <c r="IMX717" s="1176"/>
      <c r="IMY717" s="1176"/>
      <c r="IMZ717" s="1176"/>
      <c r="INA717" s="1176"/>
      <c r="INB717" s="1176"/>
      <c r="INC717" s="1176"/>
      <c r="IND717" s="1176"/>
      <c r="INE717" s="1176"/>
      <c r="INF717" s="1176"/>
      <c r="ING717" s="1176"/>
      <c r="INH717" s="1176"/>
      <c r="INI717" s="1176"/>
      <c r="INJ717" s="1176"/>
      <c r="INK717" s="1176"/>
      <c r="INL717" s="1176"/>
      <c r="INM717" s="1176"/>
      <c r="INN717" s="1176"/>
      <c r="INO717" s="1176"/>
      <c r="INP717" s="1176"/>
      <c r="INQ717" s="1176"/>
      <c r="INR717" s="1176"/>
      <c r="INS717" s="1176"/>
      <c r="INT717" s="1176"/>
      <c r="INU717" s="1176"/>
      <c r="INV717" s="1176"/>
      <c r="INW717" s="1176"/>
      <c r="INX717" s="1176"/>
      <c r="INY717" s="1176"/>
      <c r="INZ717" s="1176"/>
      <c r="IOA717" s="1176"/>
      <c r="IOB717" s="1176"/>
      <c r="IOC717" s="1176"/>
      <c r="IOD717" s="1176"/>
      <c r="IOE717" s="1176"/>
      <c r="IOF717" s="1176"/>
      <c r="IOG717" s="1176"/>
      <c r="IOH717" s="1176"/>
      <c r="IOI717" s="1176"/>
      <c r="IOJ717" s="1176"/>
      <c r="IOK717" s="1176"/>
      <c r="IOL717" s="1176"/>
      <c r="IOM717" s="1176"/>
      <c r="ION717" s="1176"/>
      <c r="IOO717" s="1176"/>
      <c r="IOP717" s="1176"/>
      <c r="IOQ717" s="1176"/>
      <c r="IOR717" s="1176"/>
      <c r="IOS717" s="1176"/>
      <c r="IOT717" s="1176"/>
      <c r="IOU717" s="1176"/>
      <c r="IOV717" s="1176"/>
      <c r="IOW717" s="1176"/>
      <c r="IOX717" s="1176"/>
      <c r="IOY717" s="1176"/>
      <c r="IOZ717" s="1176"/>
      <c r="IPA717" s="1176"/>
      <c r="IPB717" s="1176"/>
      <c r="IPC717" s="1176"/>
      <c r="IPD717" s="1176"/>
      <c r="IPE717" s="1176"/>
      <c r="IPF717" s="1176"/>
      <c r="IPG717" s="1176"/>
      <c r="IPH717" s="1176"/>
      <c r="IPI717" s="1176"/>
      <c r="IPJ717" s="1176"/>
      <c r="IPK717" s="1176"/>
      <c r="IPL717" s="1176"/>
      <c r="IPM717" s="1176"/>
      <c r="IPN717" s="1176"/>
      <c r="IPO717" s="1176"/>
      <c r="IPP717" s="1176"/>
      <c r="IPQ717" s="1176"/>
      <c r="IPR717" s="1176"/>
      <c r="IPS717" s="1176"/>
      <c r="IPT717" s="1176"/>
      <c r="IPU717" s="1176"/>
      <c r="IPV717" s="1176"/>
      <c r="IPW717" s="1176"/>
      <c r="IPX717" s="1176"/>
      <c r="IPY717" s="1176"/>
      <c r="IPZ717" s="1176"/>
      <c r="IQA717" s="1176"/>
      <c r="IQB717" s="1176"/>
      <c r="IQC717" s="1176"/>
      <c r="IQD717" s="1176"/>
      <c r="IQE717" s="1176"/>
      <c r="IQF717" s="1176"/>
      <c r="IQG717" s="1176"/>
      <c r="IQH717" s="1176"/>
      <c r="IQI717" s="1176"/>
      <c r="IQJ717" s="1176"/>
      <c r="IQK717" s="1176"/>
      <c r="IQL717" s="1176"/>
      <c r="IQM717" s="1176"/>
      <c r="IQN717" s="1176"/>
      <c r="IQO717" s="1176"/>
      <c r="IQP717" s="1176"/>
      <c r="IQQ717" s="1176"/>
      <c r="IQR717" s="1176"/>
      <c r="IQS717" s="1176"/>
      <c r="IQT717" s="1176"/>
      <c r="IQU717" s="1176"/>
      <c r="IQV717" s="1176"/>
      <c r="IQW717" s="1176"/>
      <c r="IQX717" s="1176"/>
      <c r="IQY717" s="1176"/>
      <c r="IQZ717" s="1176"/>
      <c r="IRA717" s="1176"/>
      <c r="IRB717" s="1176"/>
      <c r="IRC717" s="1176"/>
      <c r="IRD717" s="1176"/>
      <c r="IRE717" s="1176"/>
      <c r="IRF717" s="1176"/>
      <c r="IRG717" s="1176"/>
      <c r="IRH717" s="1176"/>
      <c r="IRI717" s="1176"/>
      <c r="IRJ717" s="1176"/>
      <c r="IRK717" s="1176"/>
      <c r="IRL717" s="1176"/>
      <c r="IRM717" s="1176"/>
      <c r="IRN717" s="1176"/>
      <c r="IRO717" s="1176"/>
      <c r="IRP717" s="1176"/>
      <c r="IRQ717" s="1176"/>
      <c r="IRR717" s="1176"/>
      <c r="IRS717" s="1176"/>
      <c r="IRT717" s="1176"/>
      <c r="IRU717" s="1176"/>
      <c r="IRV717" s="1176"/>
      <c r="IRW717" s="1176"/>
      <c r="IRX717" s="1176"/>
      <c r="IRY717" s="1176"/>
      <c r="IRZ717" s="1176"/>
      <c r="ISA717" s="1176"/>
      <c r="ISB717" s="1176"/>
      <c r="ISC717" s="1176"/>
      <c r="ISD717" s="1176"/>
      <c r="ISE717" s="1176"/>
      <c r="ISF717" s="1176"/>
      <c r="ISG717" s="1176"/>
      <c r="ISH717" s="1176"/>
      <c r="ISI717" s="1176"/>
      <c r="ISJ717" s="1176"/>
      <c r="ISK717" s="1176"/>
      <c r="ISL717" s="1176"/>
      <c r="ISM717" s="1176"/>
      <c r="ISN717" s="1176"/>
      <c r="ISO717" s="1176"/>
      <c r="ISP717" s="1176"/>
      <c r="ISQ717" s="1176"/>
      <c r="ISR717" s="1176"/>
      <c r="ISS717" s="1176"/>
      <c r="IST717" s="1176"/>
      <c r="ISU717" s="1176"/>
      <c r="ISV717" s="1176"/>
      <c r="ISW717" s="1176"/>
      <c r="ISX717" s="1176"/>
      <c r="ISY717" s="1176"/>
      <c r="ISZ717" s="1176"/>
      <c r="ITA717" s="1176"/>
      <c r="ITB717" s="1176"/>
      <c r="ITC717" s="1176"/>
      <c r="ITD717" s="1176"/>
      <c r="ITE717" s="1176"/>
      <c r="ITF717" s="1176"/>
      <c r="ITG717" s="1176"/>
      <c r="ITH717" s="1176"/>
      <c r="ITI717" s="1176"/>
      <c r="ITJ717" s="1176"/>
      <c r="ITK717" s="1176"/>
      <c r="ITL717" s="1176"/>
      <c r="ITM717" s="1176"/>
      <c r="ITN717" s="1176"/>
      <c r="ITO717" s="1176"/>
      <c r="ITP717" s="1176"/>
      <c r="ITQ717" s="1176"/>
      <c r="ITR717" s="1176"/>
      <c r="ITS717" s="1176"/>
      <c r="ITT717" s="1176"/>
      <c r="ITU717" s="1176"/>
      <c r="ITV717" s="1176"/>
      <c r="ITW717" s="1176"/>
      <c r="ITX717" s="1176"/>
      <c r="ITY717" s="1176"/>
      <c r="ITZ717" s="1176"/>
      <c r="IUA717" s="1176"/>
      <c r="IUB717" s="1176"/>
      <c r="IUC717" s="1176"/>
      <c r="IUD717" s="1176"/>
      <c r="IUE717" s="1176"/>
      <c r="IUF717" s="1176"/>
      <c r="IUG717" s="1176"/>
      <c r="IUH717" s="1176"/>
      <c r="IUI717" s="1176"/>
      <c r="IUJ717" s="1176"/>
      <c r="IUK717" s="1176"/>
      <c r="IUL717" s="1176"/>
      <c r="IUM717" s="1176"/>
      <c r="IUN717" s="1176"/>
      <c r="IUO717" s="1176"/>
      <c r="IUP717" s="1176"/>
      <c r="IUQ717" s="1176"/>
      <c r="IUR717" s="1176"/>
      <c r="IUS717" s="1176"/>
      <c r="IUT717" s="1176"/>
      <c r="IUU717" s="1176"/>
      <c r="IUV717" s="1176"/>
      <c r="IUW717" s="1176"/>
      <c r="IUX717" s="1176"/>
      <c r="IUY717" s="1176"/>
      <c r="IUZ717" s="1176"/>
      <c r="IVA717" s="1176"/>
      <c r="IVB717" s="1176"/>
      <c r="IVC717" s="1176"/>
      <c r="IVD717" s="1176"/>
      <c r="IVE717" s="1176"/>
      <c r="IVF717" s="1176"/>
      <c r="IVG717" s="1176"/>
      <c r="IVH717" s="1176"/>
      <c r="IVI717" s="1176"/>
      <c r="IVJ717" s="1176"/>
      <c r="IVK717" s="1176"/>
      <c r="IVL717" s="1176"/>
      <c r="IVM717" s="1176"/>
      <c r="IVN717" s="1176"/>
      <c r="IVO717" s="1176"/>
      <c r="IVP717" s="1176"/>
      <c r="IVQ717" s="1176"/>
      <c r="IVR717" s="1176"/>
      <c r="IVS717" s="1176"/>
      <c r="IVT717" s="1176"/>
      <c r="IVU717" s="1176"/>
      <c r="IVV717" s="1176"/>
      <c r="IVW717" s="1176"/>
      <c r="IVX717" s="1176"/>
      <c r="IVY717" s="1176"/>
      <c r="IVZ717" s="1176"/>
      <c r="IWA717" s="1176"/>
      <c r="IWB717" s="1176"/>
      <c r="IWC717" s="1176"/>
      <c r="IWD717" s="1176"/>
      <c r="IWE717" s="1176"/>
      <c r="IWF717" s="1176"/>
      <c r="IWG717" s="1176"/>
      <c r="IWH717" s="1176"/>
      <c r="IWI717" s="1176"/>
      <c r="IWJ717" s="1176"/>
      <c r="IWK717" s="1176"/>
      <c r="IWL717" s="1176"/>
      <c r="IWM717" s="1176"/>
      <c r="IWN717" s="1176"/>
      <c r="IWO717" s="1176"/>
      <c r="IWP717" s="1176"/>
      <c r="IWQ717" s="1176"/>
      <c r="IWR717" s="1176"/>
      <c r="IWS717" s="1176"/>
      <c r="IWT717" s="1176"/>
      <c r="IWU717" s="1176"/>
      <c r="IWV717" s="1176"/>
      <c r="IWW717" s="1176"/>
      <c r="IWX717" s="1176"/>
      <c r="IWY717" s="1176"/>
      <c r="IWZ717" s="1176"/>
      <c r="IXA717" s="1176"/>
      <c r="IXB717" s="1176"/>
      <c r="IXC717" s="1176"/>
      <c r="IXD717" s="1176"/>
      <c r="IXE717" s="1176"/>
      <c r="IXF717" s="1176"/>
      <c r="IXG717" s="1176"/>
      <c r="IXH717" s="1176"/>
      <c r="IXI717" s="1176"/>
      <c r="IXJ717" s="1176"/>
      <c r="IXK717" s="1176"/>
      <c r="IXL717" s="1176"/>
      <c r="IXM717" s="1176"/>
      <c r="IXN717" s="1176"/>
      <c r="IXO717" s="1176"/>
      <c r="IXP717" s="1176"/>
      <c r="IXQ717" s="1176"/>
      <c r="IXR717" s="1176"/>
      <c r="IXS717" s="1176"/>
      <c r="IXT717" s="1176"/>
      <c r="IXU717" s="1176"/>
      <c r="IXV717" s="1176"/>
      <c r="IXW717" s="1176"/>
      <c r="IXX717" s="1176"/>
      <c r="IXY717" s="1176"/>
      <c r="IXZ717" s="1176"/>
      <c r="IYA717" s="1176"/>
      <c r="IYB717" s="1176"/>
      <c r="IYC717" s="1176"/>
      <c r="IYD717" s="1176"/>
      <c r="IYE717" s="1176"/>
      <c r="IYF717" s="1176"/>
      <c r="IYG717" s="1176"/>
      <c r="IYH717" s="1176"/>
      <c r="IYI717" s="1176"/>
      <c r="IYJ717" s="1176"/>
      <c r="IYK717" s="1176"/>
      <c r="IYL717" s="1176"/>
      <c r="IYM717" s="1176"/>
      <c r="IYN717" s="1176"/>
      <c r="IYO717" s="1176"/>
      <c r="IYP717" s="1176"/>
      <c r="IYQ717" s="1176"/>
      <c r="IYR717" s="1176"/>
      <c r="IYS717" s="1176"/>
      <c r="IYT717" s="1176"/>
      <c r="IYU717" s="1176"/>
      <c r="IYV717" s="1176"/>
      <c r="IYW717" s="1176"/>
      <c r="IYX717" s="1176"/>
      <c r="IYY717" s="1176"/>
      <c r="IYZ717" s="1176"/>
      <c r="IZA717" s="1176"/>
      <c r="IZB717" s="1176"/>
      <c r="IZC717" s="1176"/>
      <c r="IZD717" s="1176"/>
      <c r="IZE717" s="1176"/>
      <c r="IZF717" s="1176"/>
      <c r="IZG717" s="1176"/>
      <c r="IZH717" s="1176"/>
      <c r="IZI717" s="1176"/>
      <c r="IZJ717" s="1176"/>
      <c r="IZK717" s="1176"/>
      <c r="IZL717" s="1176"/>
      <c r="IZM717" s="1176"/>
      <c r="IZN717" s="1176"/>
      <c r="IZO717" s="1176"/>
      <c r="IZP717" s="1176"/>
      <c r="IZQ717" s="1176"/>
      <c r="IZR717" s="1176"/>
      <c r="IZS717" s="1176"/>
      <c r="IZT717" s="1176"/>
      <c r="IZU717" s="1176"/>
      <c r="IZV717" s="1176"/>
      <c r="IZW717" s="1176"/>
      <c r="IZX717" s="1176"/>
      <c r="IZY717" s="1176"/>
      <c r="IZZ717" s="1176"/>
      <c r="JAA717" s="1176"/>
      <c r="JAB717" s="1176"/>
      <c r="JAC717" s="1176"/>
      <c r="JAD717" s="1176"/>
      <c r="JAE717" s="1176"/>
      <c r="JAF717" s="1176"/>
      <c r="JAG717" s="1176"/>
      <c r="JAH717" s="1176"/>
      <c r="JAI717" s="1176"/>
      <c r="JAJ717" s="1176"/>
      <c r="JAK717" s="1176"/>
      <c r="JAL717" s="1176"/>
      <c r="JAM717" s="1176"/>
      <c r="JAN717" s="1176"/>
      <c r="JAO717" s="1176"/>
      <c r="JAP717" s="1176"/>
      <c r="JAQ717" s="1176"/>
      <c r="JAR717" s="1176"/>
      <c r="JAS717" s="1176"/>
      <c r="JAT717" s="1176"/>
      <c r="JAU717" s="1176"/>
      <c r="JAV717" s="1176"/>
      <c r="JAW717" s="1176"/>
      <c r="JAX717" s="1176"/>
      <c r="JAY717" s="1176"/>
      <c r="JAZ717" s="1176"/>
      <c r="JBA717" s="1176"/>
      <c r="JBB717" s="1176"/>
      <c r="JBC717" s="1176"/>
      <c r="JBD717" s="1176"/>
      <c r="JBE717" s="1176"/>
      <c r="JBF717" s="1176"/>
      <c r="JBG717" s="1176"/>
      <c r="JBH717" s="1176"/>
      <c r="JBI717" s="1176"/>
      <c r="JBJ717" s="1176"/>
      <c r="JBK717" s="1176"/>
      <c r="JBL717" s="1176"/>
      <c r="JBM717" s="1176"/>
      <c r="JBN717" s="1176"/>
      <c r="JBO717" s="1176"/>
      <c r="JBP717" s="1176"/>
      <c r="JBQ717" s="1176"/>
      <c r="JBR717" s="1176"/>
      <c r="JBS717" s="1176"/>
      <c r="JBT717" s="1176"/>
      <c r="JBU717" s="1176"/>
      <c r="JBV717" s="1176"/>
      <c r="JBW717" s="1176"/>
      <c r="JBX717" s="1176"/>
      <c r="JBY717" s="1176"/>
      <c r="JBZ717" s="1176"/>
      <c r="JCA717" s="1176"/>
      <c r="JCB717" s="1176"/>
      <c r="JCC717" s="1176"/>
      <c r="JCD717" s="1176"/>
      <c r="JCE717" s="1176"/>
      <c r="JCF717" s="1176"/>
      <c r="JCG717" s="1176"/>
      <c r="JCH717" s="1176"/>
      <c r="JCI717" s="1176"/>
      <c r="JCJ717" s="1176"/>
      <c r="JCK717" s="1176"/>
      <c r="JCL717" s="1176"/>
      <c r="JCM717" s="1176"/>
      <c r="JCN717" s="1176"/>
      <c r="JCO717" s="1176"/>
      <c r="JCP717" s="1176"/>
      <c r="JCQ717" s="1176"/>
      <c r="JCR717" s="1176"/>
      <c r="JCS717" s="1176"/>
      <c r="JCT717" s="1176"/>
      <c r="JCU717" s="1176"/>
      <c r="JCV717" s="1176"/>
      <c r="JCW717" s="1176"/>
      <c r="JCX717" s="1176"/>
      <c r="JCY717" s="1176"/>
      <c r="JCZ717" s="1176"/>
      <c r="JDA717" s="1176"/>
      <c r="JDB717" s="1176"/>
      <c r="JDC717" s="1176"/>
      <c r="JDD717" s="1176"/>
      <c r="JDE717" s="1176"/>
      <c r="JDF717" s="1176"/>
      <c r="JDG717" s="1176"/>
      <c r="JDH717" s="1176"/>
      <c r="JDI717" s="1176"/>
      <c r="JDJ717" s="1176"/>
      <c r="JDK717" s="1176"/>
      <c r="JDL717" s="1176"/>
      <c r="JDM717" s="1176"/>
      <c r="JDN717" s="1176"/>
      <c r="JDO717" s="1176"/>
      <c r="JDP717" s="1176"/>
      <c r="JDQ717" s="1176"/>
      <c r="JDR717" s="1176"/>
      <c r="JDS717" s="1176"/>
      <c r="JDT717" s="1176"/>
      <c r="JDU717" s="1176"/>
      <c r="JDV717" s="1176"/>
      <c r="JDW717" s="1176"/>
      <c r="JDX717" s="1176"/>
      <c r="JDY717" s="1176"/>
      <c r="JDZ717" s="1176"/>
      <c r="JEA717" s="1176"/>
      <c r="JEB717" s="1176"/>
      <c r="JEC717" s="1176"/>
      <c r="JED717" s="1176"/>
      <c r="JEE717" s="1176"/>
      <c r="JEF717" s="1176"/>
      <c r="JEG717" s="1176"/>
      <c r="JEH717" s="1176"/>
      <c r="JEI717" s="1176"/>
      <c r="JEJ717" s="1176"/>
      <c r="JEK717" s="1176"/>
      <c r="JEL717" s="1176"/>
      <c r="JEM717" s="1176"/>
      <c r="JEN717" s="1176"/>
      <c r="JEO717" s="1176"/>
      <c r="JEP717" s="1176"/>
      <c r="JEQ717" s="1176"/>
      <c r="JER717" s="1176"/>
      <c r="JES717" s="1176"/>
      <c r="JET717" s="1176"/>
      <c r="JEU717" s="1176"/>
      <c r="JEV717" s="1176"/>
      <c r="JEW717" s="1176"/>
      <c r="JEX717" s="1176"/>
      <c r="JEY717" s="1176"/>
      <c r="JEZ717" s="1176"/>
      <c r="JFA717" s="1176"/>
      <c r="JFB717" s="1176"/>
      <c r="JFC717" s="1176"/>
      <c r="JFD717" s="1176"/>
      <c r="JFE717" s="1176"/>
      <c r="JFF717" s="1176"/>
      <c r="JFG717" s="1176"/>
      <c r="JFH717" s="1176"/>
      <c r="JFI717" s="1176"/>
      <c r="JFJ717" s="1176"/>
      <c r="JFK717" s="1176"/>
      <c r="JFL717" s="1176"/>
      <c r="JFM717" s="1176"/>
      <c r="JFN717" s="1176"/>
      <c r="JFO717" s="1176"/>
      <c r="JFP717" s="1176"/>
      <c r="JFQ717" s="1176"/>
      <c r="JFR717" s="1176"/>
      <c r="JFS717" s="1176"/>
      <c r="JFT717" s="1176"/>
      <c r="JFU717" s="1176"/>
      <c r="JFV717" s="1176"/>
      <c r="JFW717" s="1176"/>
      <c r="JFX717" s="1176"/>
      <c r="JFY717" s="1176"/>
      <c r="JFZ717" s="1176"/>
      <c r="JGA717" s="1176"/>
      <c r="JGB717" s="1176"/>
      <c r="JGC717" s="1176"/>
      <c r="JGD717" s="1176"/>
      <c r="JGE717" s="1176"/>
      <c r="JGF717" s="1176"/>
      <c r="JGG717" s="1176"/>
      <c r="JGH717" s="1176"/>
      <c r="JGI717" s="1176"/>
      <c r="JGJ717" s="1176"/>
      <c r="JGK717" s="1176"/>
      <c r="JGL717" s="1176"/>
      <c r="JGM717" s="1176"/>
      <c r="JGN717" s="1176"/>
      <c r="JGO717" s="1176"/>
      <c r="JGP717" s="1176"/>
      <c r="JGQ717" s="1176"/>
      <c r="JGR717" s="1176"/>
      <c r="JGS717" s="1176"/>
      <c r="JGT717" s="1176"/>
      <c r="JGU717" s="1176"/>
      <c r="JGV717" s="1176"/>
      <c r="JGW717" s="1176"/>
      <c r="JGX717" s="1176"/>
      <c r="JGY717" s="1176"/>
      <c r="JGZ717" s="1176"/>
      <c r="JHA717" s="1176"/>
      <c r="JHB717" s="1176"/>
      <c r="JHC717" s="1176"/>
      <c r="JHD717" s="1176"/>
      <c r="JHE717" s="1176"/>
      <c r="JHF717" s="1176"/>
      <c r="JHG717" s="1176"/>
      <c r="JHH717" s="1176"/>
      <c r="JHI717" s="1176"/>
      <c r="JHJ717" s="1176"/>
      <c r="JHK717" s="1176"/>
      <c r="JHL717" s="1176"/>
      <c r="JHM717" s="1176"/>
      <c r="JHN717" s="1176"/>
      <c r="JHO717" s="1176"/>
      <c r="JHP717" s="1176"/>
      <c r="JHQ717" s="1176"/>
      <c r="JHR717" s="1176"/>
      <c r="JHS717" s="1176"/>
      <c r="JHT717" s="1176"/>
      <c r="JHU717" s="1176"/>
      <c r="JHV717" s="1176"/>
      <c r="JHW717" s="1176"/>
      <c r="JHX717" s="1176"/>
      <c r="JHY717" s="1176"/>
      <c r="JHZ717" s="1176"/>
      <c r="JIA717" s="1176"/>
      <c r="JIB717" s="1176"/>
      <c r="JIC717" s="1176"/>
      <c r="JID717" s="1176"/>
      <c r="JIE717" s="1176"/>
      <c r="JIF717" s="1176"/>
      <c r="JIG717" s="1176"/>
      <c r="JIH717" s="1176"/>
      <c r="JII717" s="1176"/>
      <c r="JIJ717" s="1176"/>
      <c r="JIK717" s="1176"/>
      <c r="JIL717" s="1176"/>
      <c r="JIM717" s="1176"/>
      <c r="JIN717" s="1176"/>
      <c r="JIO717" s="1176"/>
      <c r="JIP717" s="1176"/>
      <c r="JIQ717" s="1176"/>
      <c r="JIR717" s="1176"/>
      <c r="JIS717" s="1176"/>
      <c r="JIT717" s="1176"/>
      <c r="JIU717" s="1176"/>
      <c r="JIV717" s="1176"/>
      <c r="JIW717" s="1176"/>
      <c r="JIX717" s="1176"/>
      <c r="JIY717" s="1176"/>
      <c r="JIZ717" s="1176"/>
      <c r="JJA717" s="1176"/>
      <c r="JJB717" s="1176"/>
      <c r="JJC717" s="1176"/>
      <c r="JJD717" s="1176"/>
      <c r="JJE717" s="1176"/>
      <c r="JJF717" s="1176"/>
      <c r="JJG717" s="1176"/>
      <c r="JJH717" s="1176"/>
      <c r="JJI717" s="1176"/>
      <c r="JJJ717" s="1176"/>
      <c r="JJK717" s="1176"/>
      <c r="JJL717" s="1176"/>
      <c r="JJM717" s="1176"/>
      <c r="JJN717" s="1176"/>
      <c r="JJO717" s="1176"/>
      <c r="JJP717" s="1176"/>
      <c r="JJQ717" s="1176"/>
      <c r="JJR717" s="1176"/>
      <c r="JJS717" s="1176"/>
      <c r="JJT717" s="1176"/>
      <c r="JJU717" s="1176"/>
      <c r="JJV717" s="1176"/>
      <c r="JJW717" s="1176"/>
      <c r="JJX717" s="1176"/>
      <c r="JJY717" s="1176"/>
      <c r="JJZ717" s="1176"/>
      <c r="JKA717" s="1176"/>
      <c r="JKB717" s="1176"/>
      <c r="JKC717" s="1176"/>
      <c r="JKD717" s="1176"/>
      <c r="JKE717" s="1176"/>
      <c r="JKF717" s="1176"/>
      <c r="JKG717" s="1176"/>
      <c r="JKH717" s="1176"/>
      <c r="JKI717" s="1176"/>
      <c r="JKJ717" s="1176"/>
      <c r="JKK717" s="1176"/>
      <c r="JKL717" s="1176"/>
      <c r="JKM717" s="1176"/>
      <c r="JKN717" s="1176"/>
      <c r="JKO717" s="1176"/>
      <c r="JKP717" s="1176"/>
      <c r="JKQ717" s="1176"/>
      <c r="JKR717" s="1176"/>
      <c r="JKS717" s="1176"/>
      <c r="JKT717" s="1176"/>
      <c r="JKU717" s="1176"/>
      <c r="JKV717" s="1176"/>
      <c r="JKW717" s="1176"/>
      <c r="JKX717" s="1176"/>
      <c r="JKY717" s="1176"/>
      <c r="JKZ717" s="1176"/>
      <c r="JLA717" s="1176"/>
      <c r="JLB717" s="1176"/>
      <c r="JLC717" s="1176"/>
      <c r="JLD717" s="1176"/>
      <c r="JLE717" s="1176"/>
      <c r="JLF717" s="1176"/>
      <c r="JLG717" s="1176"/>
      <c r="JLH717" s="1176"/>
      <c r="JLI717" s="1176"/>
      <c r="JLJ717" s="1176"/>
      <c r="JLK717" s="1176"/>
      <c r="JLL717" s="1176"/>
      <c r="JLM717" s="1176"/>
      <c r="JLN717" s="1176"/>
      <c r="JLO717" s="1176"/>
      <c r="JLP717" s="1176"/>
      <c r="JLQ717" s="1176"/>
      <c r="JLR717" s="1176"/>
      <c r="JLS717" s="1176"/>
      <c r="JLT717" s="1176"/>
      <c r="JLU717" s="1176"/>
      <c r="JLV717" s="1176"/>
      <c r="JLW717" s="1176"/>
      <c r="JLX717" s="1176"/>
      <c r="JLY717" s="1176"/>
      <c r="JLZ717" s="1176"/>
      <c r="JMA717" s="1176"/>
      <c r="JMB717" s="1176"/>
      <c r="JMC717" s="1176"/>
      <c r="JMD717" s="1176"/>
      <c r="JME717" s="1176"/>
      <c r="JMF717" s="1176"/>
      <c r="JMG717" s="1176"/>
      <c r="JMH717" s="1176"/>
      <c r="JMI717" s="1176"/>
      <c r="JMJ717" s="1176"/>
      <c r="JMK717" s="1176"/>
      <c r="JML717" s="1176"/>
      <c r="JMM717" s="1176"/>
      <c r="JMN717" s="1176"/>
      <c r="JMO717" s="1176"/>
      <c r="JMP717" s="1176"/>
      <c r="JMQ717" s="1176"/>
      <c r="JMR717" s="1176"/>
      <c r="JMS717" s="1176"/>
      <c r="JMT717" s="1176"/>
      <c r="JMU717" s="1176"/>
      <c r="JMV717" s="1176"/>
      <c r="JMW717" s="1176"/>
      <c r="JMX717" s="1176"/>
      <c r="JMY717" s="1176"/>
      <c r="JMZ717" s="1176"/>
      <c r="JNA717" s="1176"/>
      <c r="JNB717" s="1176"/>
      <c r="JNC717" s="1176"/>
      <c r="JND717" s="1176"/>
      <c r="JNE717" s="1176"/>
      <c r="JNF717" s="1176"/>
      <c r="JNG717" s="1176"/>
      <c r="JNH717" s="1176"/>
      <c r="JNI717" s="1176"/>
      <c r="JNJ717" s="1176"/>
      <c r="JNK717" s="1176"/>
      <c r="JNL717" s="1176"/>
      <c r="JNM717" s="1176"/>
      <c r="JNN717" s="1176"/>
      <c r="JNO717" s="1176"/>
      <c r="JNP717" s="1176"/>
      <c r="JNQ717" s="1176"/>
      <c r="JNR717" s="1176"/>
      <c r="JNS717" s="1176"/>
      <c r="JNT717" s="1176"/>
      <c r="JNU717" s="1176"/>
      <c r="JNV717" s="1176"/>
      <c r="JNW717" s="1176"/>
      <c r="JNX717" s="1176"/>
      <c r="JNY717" s="1176"/>
      <c r="JNZ717" s="1176"/>
      <c r="JOA717" s="1176"/>
      <c r="JOB717" s="1176"/>
      <c r="JOC717" s="1176"/>
      <c r="JOD717" s="1176"/>
      <c r="JOE717" s="1176"/>
      <c r="JOF717" s="1176"/>
      <c r="JOG717" s="1176"/>
      <c r="JOH717" s="1176"/>
      <c r="JOI717" s="1176"/>
      <c r="JOJ717" s="1176"/>
      <c r="JOK717" s="1176"/>
      <c r="JOL717" s="1176"/>
      <c r="JOM717" s="1176"/>
      <c r="JON717" s="1176"/>
      <c r="JOO717" s="1176"/>
      <c r="JOP717" s="1176"/>
      <c r="JOQ717" s="1176"/>
      <c r="JOR717" s="1176"/>
      <c r="JOS717" s="1176"/>
      <c r="JOT717" s="1176"/>
      <c r="JOU717" s="1176"/>
      <c r="JOV717" s="1176"/>
      <c r="JOW717" s="1176"/>
      <c r="JOX717" s="1176"/>
      <c r="JOY717" s="1176"/>
      <c r="JOZ717" s="1176"/>
      <c r="JPA717" s="1176"/>
      <c r="JPB717" s="1176"/>
      <c r="JPC717" s="1176"/>
      <c r="JPD717" s="1176"/>
      <c r="JPE717" s="1176"/>
      <c r="JPF717" s="1176"/>
      <c r="JPG717" s="1176"/>
      <c r="JPH717" s="1176"/>
      <c r="JPI717" s="1176"/>
      <c r="JPJ717" s="1176"/>
      <c r="JPK717" s="1176"/>
      <c r="JPL717" s="1176"/>
      <c r="JPM717" s="1176"/>
      <c r="JPN717" s="1176"/>
      <c r="JPO717" s="1176"/>
      <c r="JPP717" s="1176"/>
      <c r="JPQ717" s="1176"/>
      <c r="JPR717" s="1176"/>
      <c r="JPS717" s="1176"/>
      <c r="JPT717" s="1176"/>
      <c r="JPU717" s="1176"/>
      <c r="JPV717" s="1176"/>
      <c r="JPW717" s="1176"/>
      <c r="JPX717" s="1176"/>
      <c r="JPY717" s="1176"/>
      <c r="JPZ717" s="1176"/>
      <c r="JQA717" s="1176"/>
      <c r="JQB717" s="1176"/>
      <c r="JQC717" s="1176"/>
      <c r="JQD717" s="1176"/>
      <c r="JQE717" s="1176"/>
      <c r="JQF717" s="1176"/>
      <c r="JQG717" s="1176"/>
      <c r="JQH717" s="1176"/>
      <c r="JQI717" s="1176"/>
      <c r="JQJ717" s="1176"/>
      <c r="JQK717" s="1176"/>
      <c r="JQL717" s="1176"/>
      <c r="JQM717" s="1176"/>
      <c r="JQN717" s="1176"/>
      <c r="JQO717" s="1176"/>
      <c r="JQP717" s="1176"/>
      <c r="JQQ717" s="1176"/>
      <c r="JQR717" s="1176"/>
      <c r="JQS717" s="1176"/>
      <c r="JQT717" s="1176"/>
      <c r="JQU717" s="1176"/>
      <c r="JQV717" s="1176"/>
      <c r="JQW717" s="1176"/>
      <c r="JQX717" s="1176"/>
      <c r="JQY717" s="1176"/>
      <c r="JQZ717" s="1176"/>
      <c r="JRA717" s="1176"/>
      <c r="JRB717" s="1176"/>
      <c r="JRC717" s="1176"/>
      <c r="JRD717" s="1176"/>
      <c r="JRE717" s="1176"/>
      <c r="JRF717" s="1176"/>
      <c r="JRG717" s="1176"/>
      <c r="JRH717" s="1176"/>
      <c r="JRI717" s="1176"/>
      <c r="JRJ717" s="1176"/>
      <c r="JRK717" s="1176"/>
      <c r="JRL717" s="1176"/>
      <c r="JRM717" s="1176"/>
      <c r="JRN717" s="1176"/>
      <c r="JRO717" s="1176"/>
      <c r="JRP717" s="1176"/>
      <c r="JRQ717" s="1176"/>
      <c r="JRR717" s="1176"/>
      <c r="JRS717" s="1176"/>
      <c r="JRT717" s="1176"/>
      <c r="JRU717" s="1176"/>
      <c r="JRV717" s="1176"/>
      <c r="JRW717" s="1176"/>
      <c r="JRX717" s="1176"/>
      <c r="JRY717" s="1176"/>
      <c r="JRZ717" s="1176"/>
      <c r="JSA717" s="1176"/>
      <c r="JSB717" s="1176"/>
      <c r="JSC717" s="1176"/>
      <c r="JSD717" s="1176"/>
      <c r="JSE717" s="1176"/>
      <c r="JSF717" s="1176"/>
      <c r="JSG717" s="1176"/>
      <c r="JSH717" s="1176"/>
      <c r="JSI717" s="1176"/>
      <c r="JSJ717" s="1176"/>
      <c r="JSK717" s="1176"/>
      <c r="JSL717" s="1176"/>
      <c r="JSM717" s="1176"/>
      <c r="JSN717" s="1176"/>
      <c r="JSO717" s="1176"/>
      <c r="JSP717" s="1176"/>
      <c r="JSQ717" s="1176"/>
      <c r="JSR717" s="1176"/>
      <c r="JSS717" s="1176"/>
      <c r="JST717" s="1176"/>
      <c r="JSU717" s="1176"/>
      <c r="JSV717" s="1176"/>
      <c r="JSW717" s="1176"/>
      <c r="JSX717" s="1176"/>
      <c r="JSY717" s="1176"/>
      <c r="JSZ717" s="1176"/>
      <c r="JTA717" s="1176"/>
      <c r="JTB717" s="1176"/>
      <c r="JTC717" s="1176"/>
      <c r="JTD717" s="1176"/>
      <c r="JTE717" s="1176"/>
      <c r="JTF717" s="1176"/>
      <c r="JTG717" s="1176"/>
      <c r="JTH717" s="1176"/>
      <c r="JTI717" s="1176"/>
      <c r="JTJ717" s="1176"/>
      <c r="JTK717" s="1176"/>
      <c r="JTL717" s="1176"/>
      <c r="JTM717" s="1176"/>
      <c r="JTN717" s="1176"/>
      <c r="JTO717" s="1176"/>
      <c r="JTP717" s="1176"/>
      <c r="JTQ717" s="1176"/>
      <c r="JTR717" s="1176"/>
      <c r="JTS717" s="1176"/>
      <c r="JTT717" s="1176"/>
      <c r="JTU717" s="1176"/>
      <c r="JTV717" s="1176"/>
      <c r="JTW717" s="1176"/>
      <c r="JTX717" s="1176"/>
      <c r="JTY717" s="1176"/>
      <c r="JTZ717" s="1176"/>
      <c r="JUA717" s="1176"/>
      <c r="JUB717" s="1176"/>
      <c r="JUC717" s="1176"/>
      <c r="JUD717" s="1176"/>
      <c r="JUE717" s="1176"/>
      <c r="JUF717" s="1176"/>
      <c r="JUG717" s="1176"/>
      <c r="JUH717" s="1176"/>
      <c r="JUI717" s="1176"/>
      <c r="JUJ717" s="1176"/>
      <c r="JUK717" s="1176"/>
      <c r="JUL717" s="1176"/>
      <c r="JUM717" s="1176"/>
      <c r="JUN717" s="1176"/>
      <c r="JUO717" s="1176"/>
      <c r="JUP717" s="1176"/>
      <c r="JUQ717" s="1176"/>
      <c r="JUR717" s="1176"/>
      <c r="JUS717" s="1176"/>
      <c r="JUT717" s="1176"/>
      <c r="JUU717" s="1176"/>
      <c r="JUV717" s="1176"/>
      <c r="JUW717" s="1176"/>
      <c r="JUX717" s="1176"/>
      <c r="JUY717" s="1176"/>
      <c r="JUZ717" s="1176"/>
      <c r="JVA717" s="1176"/>
      <c r="JVB717" s="1176"/>
      <c r="JVC717" s="1176"/>
      <c r="JVD717" s="1176"/>
      <c r="JVE717" s="1176"/>
      <c r="JVF717" s="1176"/>
      <c r="JVG717" s="1176"/>
      <c r="JVH717" s="1176"/>
      <c r="JVI717" s="1176"/>
      <c r="JVJ717" s="1176"/>
      <c r="JVK717" s="1176"/>
      <c r="JVL717" s="1176"/>
      <c r="JVM717" s="1176"/>
      <c r="JVN717" s="1176"/>
      <c r="JVO717" s="1176"/>
      <c r="JVP717" s="1176"/>
      <c r="JVQ717" s="1176"/>
      <c r="JVR717" s="1176"/>
      <c r="JVS717" s="1176"/>
      <c r="JVT717" s="1176"/>
      <c r="JVU717" s="1176"/>
      <c r="JVV717" s="1176"/>
      <c r="JVW717" s="1176"/>
      <c r="JVX717" s="1176"/>
      <c r="JVY717" s="1176"/>
      <c r="JVZ717" s="1176"/>
      <c r="JWA717" s="1176"/>
      <c r="JWB717" s="1176"/>
      <c r="JWC717" s="1176"/>
      <c r="JWD717" s="1176"/>
      <c r="JWE717" s="1176"/>
      <c r="JWF717" s="1176"/>
      <c r="JWG717" s="1176"/>
      <c r="JWH717" s="1176"/>
      <c r="JWI717" s="1176"/>
      <c r="JWJ717" s="1176"/>
      <c r="JWK717" s="1176"/>
      <c r="JWL717" s="1176"/>
      <c r="JWM717" s="1176"/>
      <c r="JWN717" s="1176"/>
      <c r="JWO717" s="1176"/>
      <c r="JWP717" s="1176"/>
      <c r="JWQ717" s="1176"/>
      <c r="JWR717" s="1176"/>
      <c r="JWS717" s="1176"/>
      <c r="JWT717" s="1176"/>
      <c r="JWU717" s="1176"/>
      <c r="JWV717" s="1176"/>
      <c r="JWW717" s="1176"/>
      <c r="JWX717" s="1176"/>
      <c r="JWY717" s="1176"/>
      <c r="JWZ717" s="1176"/>
      <c r="JXA717" s="1176"/>
      <c r="JXB717" s="1176"/>
      <c r="JXC717" s="1176"/>
      <c r="JXD717" s="1176"/>
      <c r="JXE717" s="1176"/>
      <c r="JXF717" s="1176"/>
      <c r="JXG717" s="1176"/>
      <c r="JXH717" s="1176"/>
      <c r="JXI717" s="1176"/>
      <c r="JXJ717" s="1176"/>
      <c r="JXK717" s="1176"/>
      <c r="JXL717" s="1176"/>
      <c r="JXM717" s="1176"/>
      <c r="JXN717" s="1176"/>
      <c r="JXO717" s="1176"/>
      <c r="JXP717" s="1176"/>
      <c r="JXQ717" s="1176"/>
      <c r="JXR717" s="1176"/>
      <c r="JXS717" s="1176"/>
      <c r="JXT717" s="1176"/>
      <c r="JXU717" s="1176"/>
      <c r="JXV717" s="1176"/>
      <c r="JXW717" s="1176"/>
      <c r="JXX717" s="1176"/>
      <c r="JXY717" s="1176"/>
      <c r="JXZ717" s="1176"/>
      <c r="JYA717" s="1176"/>
      <c r="JYB717" s="1176"/>
      <c r="JYC717" s="1176"/>
      <c r="JYD717" s="1176"/>
      <c r="JYE717" s="1176"/>
      <c r="JYF717" s="1176"/>
      <c r="JYG717" s="1176"/>
      <c r="JYH717" s="1176"/>
      <c r="JYI717" s="1176"/>
      <c r="JYJ717" s="1176"/>
      <c r="JYK717" s="1176"/>
      <c r="JYL717" s="1176"/>
      <c r="JYM717" s="1176"/>
      <c r="JYN717" s="1176"/>
      <c r="JYO717" s="1176"/>
      <c r="JYP717" s="1176"/>
      <c r="JYQ717" s="1176"/>
      <c r="JYR717" s="1176"/>
      <c r="JYS717" s="1176"/>
      <c r="JYT717" s="1176"/>
      <c r="JYU717" s="1176"/>
      <c r="JYV717" s="1176"/>
      <c r="JYW717" s="1176"/>
      <c r="JYX717" s="1176"/>
      <c r="JYY717" s="1176"/>
      <c r="JYZ717" s="1176"/>
      <c r="JZA717" s="1176"/>
      <c r="JZB717" s="1176"/>
      <c r="JZC717" s="1176"/>
      <c r="JZD717" s="1176"/>
      <c r="JZE717" s="1176"/>
      <c r="JZF717" s="1176"/>
      <c r="JZG717" s="1176"/>
      <c r="JZH717" s="1176"/>
      <c r="JZI717" s="1176"/>
      <c r="JZJ717" s="1176"/>
      <c r="JZK717" s="1176"/>
      <c r="JZL717" s="1176"/>
      <c r="JZM717" s="1176"/>
      <c r="JZN717" s="1176"/>
      <c r="JZO717" s="1176"/>
      <c r="JZP717" s="1176"/>
      <c r="JZQ717" s="1176"/>
      <c r="JZR717" s="1176"/>
      <c r="JZS717" s="1176"/>
      <c r="JZT717" s="1176"/>
      <c r="JZU717" s="1176"/>
      <c r="JZV717" s="1176"/>
      <c r="JZW717" s="1176"/>
      <c r="JZX717" s="1176"/>
      <c r="JZY717" s="1176"/>
      <c r="JZZ717" s="1176"/>
      <c r="KAA717" s="1176"/>
      <c r="KAB717" s="1176"/>
      <c r="KAC717" s="1176"/>
      <c r="KAD717" s="1176"/>
      <c r="KAE717" s="1176"/>
      <c r="KAF717" s="1176"/>
      <c r="KAG717" s="1176"/>
      <c r="KAH717" s="1176"/>
      <c r="KAI717" s="1176"/>
      <c r="KAJ717" s="1176"/>
      <c r="KAK717" s="1176"/>
      <c r="KAL717" s="1176"/>
      <c r="KAM717" s="1176"/>
      <c r="KAN717" s="1176"/>
      <c r="KAO717" s="1176"/>
      <c r="KAP717" s="1176"/>
      <c r="KAQ717" s="1176"/>
      <c r="KAR717" s="1176"/>
      <c r="KAS717" s="1176"/>
      <c r="KAT717" s="1176"/>
      <c r="KAU717" s="1176"/>
      <c r="KAV717" s="1176"/>
      <c r="KAW717" s="1176"/>
      <c r="KAX717" s="1176"/>
      <c r="KAY717" s="1176"/>
      <c r="KAZ717" s="1176"/>
      <c r="KBA717" s="1176"/>
      <c r="KBB717" s="1176"/>
      <c r="KBC717" s="1176"/>
      <c r="KBD717" s="1176"/>
      <c r="KBE717" s="1176"/>
      <c r="KBF717" s="1176"/>
      <c r="KBG717" s="1176"/>
      <c r="KBH717" s="1176"/>
      <c r="KBI717" s="1176"/>
      <c r="KBJ717" s="1176"/>
      <c r="KBK717" s="1176"/>
      <c r="KBL717" s="1176"/>
      <c r="KBM717" s="1176"/>
      <c r="KBN717" s="1176"/>
      <c r="KBO717" s="1176"/>
      <c r="KBP717" s="1176"/>
      <c r="KBQ717" s="1176"/>
      <c r="KBR717" s="1176"/>
      <c r="KBS717" s="1176"/>
      <c r="KBT717" s="1176"/>
      <c r="KBU717" s="1176"/>
      <c r="KBV717" s="1176"/>
      <c r="KBW717" s="1176"/>
      <c r="KBX717" s="1176"/>
      <c r="KBY717" s="1176"/>
      <c r="KBZ717" s="1176"/>
      <c r="KCA717" s="1176"/>
      <c r="KCB717" s="1176"/>
      <c r="KCC717" s="1176"/>
      <c r="KCD717" s="1176"/>
      <c r="KCE717" s="1176"/>
      <c r="KCF717" s="1176"/>
      <c r="KCG717" s="1176"/>
      <c r="KCH717" s="1176"/>
      <c r="KCI717" s="1176"/>
      <c r="KCJ717" s="1176"/>
      <c r="KCK717" s="1176"/>
      <c r="KCL717" s="1176"/>
      <c r="KCM717" s="1176"/>
      <c r="KCN717" s="1176"/>
      <c r="KCO717" s="1176"/>
      <c r="KCP717" s="1176"/>
      <c r="KCQ717" s="1176"/>
      <c r="KCR717" s="1176"/>
      <c r="KCS717" s="1176"/>
      <c r="KCT717" s="1176"/>
      <c r="KCU717" s="1176"/>
      <c r="KCV717" s="1176"/>
      <c r="KCW717" s="1176"/>
      <c r="KCX717" s="1176"/>
      <c r="KCY717" s="1176"/>
      <c r="KCZ717" s="1176"/>
      <c r="KDA717" s="1176"/>
      <c r="KDB717" s="1176"/>
      <c r="KDC717" s="1176"/>
      <c r="KDD717" s="1176"/>
      <c r="KDE717" s="1176"/>
      <c r="KDF717" s="1176"/>
      <c r="KDG717" s="1176"/>
      <c r="KDH717" s="1176"/>
      <c r="KDI717" s="1176"/>
      <c r="KDJ717" s="1176"/>
      <c r="KDK717" s="1176"/>
      <c r="KDL717" s="1176"/>
      <c r="KDM717" s="1176"/>
      <c r="KDN717" s="1176"/>
      <c r="KDO717" s="1176"/>
      <c r="KDP717" s="1176"/>
      <c r="KDQ717" s="1176"/>
      <c r="KDR717" s="1176"/>
      <c r="KDS717" s="1176"/>
      <c r="KDT717" s="1176"/>
      <c r="KDU717" s="1176"/>
      <c r="KDV717" s="1176"/>
      <c r="KDW717" s="1176"/>
      <c r="KDX717" s="1176"/>
      <c r="KDY717" s="1176"/>
      <c r="KDZ717" s="1176"/>
      <c r="KEA717" s="1176"/>
      <c r="KEB717" s="1176"/>
      <c r="KEC717" s="1176"/>
      <c r="KED717" s="1176"/>
      <c r="KEE717" s="1176"/>
      <c r="KEF717" s="1176"/>
      <c r="KEG717" s="1176"/>
      <c r="KEH717" s="1176"/>
      <c r="KEI717" s="1176"/>
      <c r="KEJ717" s="1176"/>
      <c r="KEK717" s="1176"/>
      <c r="KEL717" s="1176"/>
      <c r="KEM717" s="1176"/>
      <c r="KEN717" s="1176"/>
      <c r="KEO717" s="1176"/>
      <c r="KEP717" s="1176"/>
      <c r="KEQ717" s="1176"/>
      <c r="KER717" s="1176"/>
      <c r="KES717" s="1176"/>
      <c r="KET717" s="1176"/>
      <c r="KEU717" s="1176"/>
      <c r="KEV717" s="1176"/>
      <c r="KEW717" s="1176"/>
      <c r="KEX717" s="1176"/>
      <c r="KEY717" s="1176"/>
      <c r="KEZ717" s="1176"/>
      <c r="KFA717" s="1176"/>
      <c r="KFB717" s="1176"/>
      <c r="KFC717" s="1176"/>
      <c r="KFD717" s="1176"/>
      <c r="KFE717" s="1176"/>
      <c r="KFF717" s="1176"/>
      <c r="KFG717" s="1176"/>
      <c r="KFH717" s="1176"/>
      <c r="KFI717" s="1176"/>
      <c r="KFJ717" s="1176"/>
      <c r="KFK717" s="1176"/>
      <c r="KFL717" s="1176"/>
      <c r="KFM717" s="1176"/>
      <c r="KFN717" s="1176"/>
      <c r="KFO717" s="1176"/>
      <c r="KFP717" s="1176"/>
      <c r="KFQ717" s="1176"/>
      <c r="KFR717" s="1176"/>
      <c r="KFS717" s="1176"/>
      <c r="KFT717" s="1176"/>
      <c r="KFU717" s="1176"/>
      <c r="KFV717" s="1176"/>
      <c r="KFW717" s="1176"/>
      <c r="KFX717" s="1176"/>
      <c r="KFY717" s="1176"/>
      <c r="KFZ717" s="1176"/>
      <c r="KGA717" s="1176"/>
      <c r="KGB717" s="1176"/>
      <c r="KGC717" s="1176"/>
      <c r="KGD717" s="1176"/>
      <c r="KGE717" s="1176"/>
      <c r="KGF717" s="1176"/>
      <c r="KGG717" s="1176"/>
      <c r="KGH717" s="1176"/>
      <c r="KGI717" s="1176"/>
      <c r="KGJ717" s="1176"/>
      <c r="KGK717" s="1176"/>
      <c r="KGL717" s="1176"/>
      <c r="KGM717" s="1176"/>
      <c r="KGN717" s="1176"/>
      <c r="KGO717" s="1176"/>
      <c r="KGP717" s="1176"/>
      <c r="KGQ717" s="1176"/>
      <c r="KGR717" s="1176"/>
      <c r="KGS717" s="1176"/>
      <c r="KGT717" s="1176"/>
      <c r="KGU717" s="1176"/>
      <c r="KGV717" s="1176"/>
      <c r="KGW717" s="1176"/>
      <c r="KGX717" s="1176"/>
      <c r="KGY717" s="1176"/>
      <c r="KGZ717" s="1176"/>
      <c r="KHA717" s="1176"/>
      <c r="KHB717" s="1176"/>
      <c r="KHC717" s="1176"/>
      <c r="KHD717" s="1176"/>
      <c r="KHE717" s="1176"/>
      <c r="KHF717" s="1176"/>
      <c r="KHG717" s="1176"/>
      <c r="KHH717" s="1176"/>
      <c r="KHI717" s="1176"/>
      <c r="KHJ717" s="1176"/>
      <c r="KHK717" s="1176"/>
      <c r="KHL717" s="1176"/>
      <c r="KHM717" s="1176"/>
      <c r="KHN717" s="1176"/>
      <c r="KHO717" s="1176"/>
      <c r="KHP717" s="1176"/>
      <c r="KHQ717" s="1176"/>
      <c r="KHR717" s="1176"/>
      <c r="KHS717" s="1176"/>
      <c r="KHT717" s="1176"/>
      <c r="KHU717" s="1176"/>
      <c r="KHV717" s="1176"/>
      <c r="KHW717" s="1176"/>
      <c r="KHX717" s="1176"/>
      <c r="KHY717" s="1176"/>
      <c r="KHZ717" s="1176"/>
      <c r="KIA717" s="1176"/>
      <c r="KIB717" s="1176"/>
      <c r="KIC717" s="1176"/>
      <c r="KID717" s="1176"/>
      <c r="KIE717" s="1176"/>
      <c r="KIF717" s="1176"/>
      <c r="KIG717" s="1176"/>
      <c r="KIH717" s="1176"/>
      <c r="KII717" s="1176"/>
      <c r="KIJ717" s="1176"/>
      <c r="KIK717" s="1176"/>
      <c r="KIL717" s="1176"/>
      <c r="KIM717" s="1176"/>
      <c r="KIN717" s="1176"/>
      <c r="KIO717" s="1176"/>
      <c r="KIP717" s="1176"/>
      <c r="KIQ717" s="1176"/>
      <c r="KIR717" s="1176"/>
      <c r="KIS717" s="1176"/>
      <c r="KIT717" s="1176"/>
      <c r="KIU717" s="1176"/>
      <c r="KIV717" s="1176"/>
      <c r="KIW717" s="1176"/>
      <c r="KIX717" s="1176"/>
      <c r="KIY717" s="1176"/>
      <c r="KIZ717" s="1176"/>
      <c r="KJA717" s="1176"/>
      <c r="KJB717" s="1176"/>
      <c r="KJC717" s="1176"/>
      <c r="KJD717" s="1176"/>
      <c r="KJE717" s="1176"/>
      <c r="KJF717" s="1176"/>
      <c r="KJG717" s="1176"/>
      <c r="KJH717" s="1176"/>
      <c r="KJI717" s="1176"/>
      <c r="KJJ717" s="1176"/>
      <c r="KJK717" s="1176"/>
      <c r="KJL717" s="1176"/>
      <c r="KJM717" s="1176"/>
      <c r="KJN717" s="1176"/>
      <c r="KJO717" s="1176"/>
      <c r="KJP717" s="1176"/>
      <c r="KJQ717" s="1176"/>
      <c r="KJR717" s="1176"/>
      <c r="KJS717" s="1176"/>
      <c r="KJT717" s="1176"/>
      <c r="KJU717" s="1176"/>
      <c r="KJV717" s="1176"/>
      <c r="KJW717" s="1176"/>
      <c r="KJX717" s="1176"/>
      <c r="KJY717" s="1176"/>
      <c r="KJZ717" s="1176"/>
      <c r="KKA717" s="1176"/>
      <c r="KKB717" s="1176"/>
      <c r="KKC717" s="1176"/>
      <c r="KKD717" s="1176"/>
      <c r="KKE717" s="1176"/>
      <c r="KKF717" s="1176"/>
      <c r="KKG717" s="1176"/>
      <c r="KKH717" s="1176"/>
      <c r="KKI717" s="1176"/>
      <c r="KKJ717" s="1176"/>
      <c r="KKK717" s="1176"/>
      <c r="KKL717" s="1176"/>
      <c r="KKM717" s="1176"/>
      <c r="KKN717" s="1176"/>
      <c r="KKO717" s="1176"/>
      <c r="KKP717" s="1176"/>
      <c r="KKQ717" s="1176"/>
      <c r="KKR717" s="1176"/>
      <c r="KKS717" s="1176"/>
      <c r="KKT717" s="1176"/>
      <c r="KKU717" s="1176"/>
      <c r="KKV717" s="1176"/>
      <c r="KKW717" s="1176"/>
      <c r="KKX717" s="1176"/>
      <c r="KKY717" s="1176"/>
      <c r="KKZ717" s="1176"/>
      <c r="KLA717" s="1176"/>
      <c r="KLB717" s="1176"/>
      <c r="KLC717" s="1176"/>
      <c r="KLD717" s="1176"/>
      <c r="KLE717" s="1176"/>
      <c r="KLF717" s="1176"/>
      <c r="KLG717" s="1176"/>
      <c r="KLH717" s="1176"/>
      <c r="KLI717" s="1176"/>
      <c r="KLJ717" s="1176"/>
      <c r="KLK717" s="1176"/>
      <c r="KLL717" s="1176"/>
      <c r="KLM717" s="1176"/>
      <c r="KLN717" s="1176"/>
      <c r="KLO717" s="1176"/>
      <c r="KLP717" s="1176"/>
      <c r="KLQ717" s="1176"/>
      <c r="KLR717" s="1176"/>
      <c r="KLS717" s="1176"/>
      <c r="KLT717" s="1176"/>
      <c r="KLU717" s="1176"/>
      <c r="KLV717" s="1176"/>
      <c r="KLW717" s="1176"/>
      <c r="KLX717" s="1176"/>
      <c r="KLY717" s="1176"/>
      <c r="KLZ717" s="1176"/>
      <c r="KMA717" s="1176"/>
      <c r="KMB717" s="1176"/>
      <c r="KMC717" s="1176"/>
      <c r="KMD717" s="1176"/>
      <c r="KME717" s="1176"/>
      <c r="KMF717" s="1176"/>
      <c r="KMG717" s="1176"/>
      <c r="KMH717" s="1176"/>
      <c r="KMI717" s="1176"/>
      <c r="KMJ717" s="1176"/>
      <c r="KMK717" s="1176"/>
      <c r="KML717" s="1176"/>
      <c r="KMM717" s="1176"/>
      <c r="KMN717" s="1176"/>
      <c r="KMO717" s="1176"/>
      <c r="KMP717" s="1176"/>
      <c r="KMQ717" s="1176"/>
      <c r="KMR717" s="1176"/>
      <c r="KMS717" s="1176"/>
      <c r="KMT717" s="1176"/>
      <c r="KMU717" s="1176"/>
      <c r="KMV717" s="1176"/>
      <c r="KMW717" s="1176"/>
      <c r="KMX717" s="1176"/>
      <c r="KMY717" s="1176"/>
      <c r="KMZ717" s="1176"/>
      <c r="KNA717" s="1176"/>
      <c r="KNB717" s="1176"/>
      <c r="KNC717" s="1176"/>
      <c r="KND717" s="1176"/>
      <c r="KNE717" s="1176"/>
      <c r="KNF717" s="1176"/>
      <c r="KNG717" s="1176"/>
      <c r="KNH717" s="1176"/>
      <c r="KNI717" s="1176"/>
      <c r="KNJ717" s="1176"/>
      <c r="KNK717" s="1176"/>
      <c r="KNL717" s="1176"/>
      <c r="KNM717" s="1176"/>
      <c r="KNN717" s="1176"/>
      <c r="KNO717" s="1176"/>
      <c r="KNP717" s="1176"/>
      <c r="KNQ717" s="1176"/>
      <c r="KNR717" s="1176"/>
      <c r="KNS717" s="1176"/>
      <c r="KNT717" s="1176"/>
      <c r="KNU717" s="1176"/>
      <c r="KNV717" s="1176"/>
      <c r="KNW717" s="1176"/>
      <c r="KNX717" s="1176"/>
      <c r="KNY717" s="1176"/>
      <c r="KNZ717" s="1176"/>
      <c r="KOA717" s="1176"/>
      <c r="KOB717" s="1176"/>
      <c r="KOC717" s="1176"/>
      <c r="KOD717" s="1176"/>
      <c r="KOE717" s="1176"/>
      <c r="KOF717" s="1176"/>
      <c r="KOG717" s="1176"/>
      <c r="KOH717" s="1176"/>
      <c r="KOI717" s="1176"/>
      <c r="KOJ717" s="1176"/>
      <c r="KOK717" s="1176"/>
      <c r="KOL717" s="1176"/>
      <c r="KOM717" s="1176"/>
      <c r="KON717" s="1176"/>
      <c r="KOO717" s="1176"/>
      <c r="KOP717" s="1176"/>
      <c r="KOQ717" s="1176"/>
      <c r="KOR717" s="1176"/>
      <c r="KOS717" s="1176"/>
      <c r="KOT717" s="1176"/>
      <c r="KOU717" s="1176"/>
      <c r="KOV717" s="1176"/>
      <c r="KOW717" s="1176"/>
      <c r="KOX717" s="1176"/>
      <c r="KOY717" s="1176"/>
      <c r="KOZ717" s="1176"/>
      <c r="KPA717" s="1176"/>
      <c r="KPB717" s="1176"/>
      <c r="KPC717" s="1176"/>
      <c r="KPD717" s="1176"/>
      <c r="KPE717" s="1176"/>
      <c r="KPF717" s="1176"/>
      <c r="KPG717" s="1176"/>
      <c r="KPH717" s="1176"/>
      <c r="KPI717" s="1176"/>
      <c r="KPJ717" s="1176"/>
      <c r="KPK717" s="1176"/>
      <c r="KPL717" s="1176"/>
      <c r="KPM717" s="1176"/>
      <c r="KPN717" s="1176"/>
      <c r="KPO717" s="1176"/>
      <c r="KPP717" s="1176"/>
      <c r="KPQ717" s="1176"/>
      <c r="KPR717" s="1176"/>
      <c r="KPS717" s="1176"/>
      <c r="KPT717" s="1176"/>
      <c r="KPU717" s="1176"/>
      <c r="KPV717" s="1176"/>
      <c r="KPW717" s="1176"/>
      <c r="KPX717" s="1176"/>
      <c r="KPY717" s="1176"/>
      <c r="KPZ717" s="1176"/>
      <c r="KQA717" s="1176"/>
      <c r="KQB717" s="1176"/>
      <c r="KQC717" s="1176"/>
      <c r="KQD717" s="1176"/>
      <c r="KQE717" s="1176"/>
      <c r="KQF717" s="1176"/>
      <c r="KQG717" s="1176"/>
      <c r="KQH717" s="1176"/>
      <c r="KQI717" s="1176"/>
      <c r="KQJ717" s="1176"/>
      <c r="KQK717" s="1176"/>
      <c r="KQL717" s="1176"/>
      <c r="KQM717" s="1176"/>
      <c r="KQN717" s="1176"/>
      <c r="KQO717" s="1176"/>
      <c r="KQP717" s="1176"/>
      <c r="KQQ717" s="1176"/>
      <c r="KQR717" s="1176"/>
      <c r="KQS717" s="1176"/>
      <c r="KQT717" s="1176"/>
      <c r="KQU717" s="1176"/>
      <c r="KQV717" s="1176"/>
      <c r="KQW717" s="1176"/>
      <c r="KQX717" s="1176"/>
      <c r="KQY717" s="1176"/>
      <c r="KQZ717" s="1176"/>
      <c r="KRA717" s="1176"/>
      <c r="KRB717" s="1176"/>
      <c r="KRC717" s="1176"/>
      <c r="KRD717" s="1176"/>
      <c r="KRE717" s="1176"/>
      <c r="KRF717" s="1176"/>
      <c r="KRG717" s="1176"/>
      <c r="KRH717" s="1176"/>
      <c r="KRI717" s="1176"/>
      <c r="KRJ717" s="1176"/>
      <c r="KRK717" s="1176"/>
      <c r="KRL717" s="1176"/>
      <c r="KRM717" s="1176"/>
      <c r="KRN717" s="1176"/>
      <c r="KRO717" s="1176"/>
      <c r="KRP717" s="1176"/>
      <c r="KRQ717" s="1176"/>
      <c r="KRR717" s="1176"/>
      <c r="KRS717" s="1176"/>
      <c r="KRT717" s="1176"/>
      <c r="KRU717" s="1176"/>
      <c r="KRV717" s="1176"/>
      <c r="KRW717" s="1176"/>
      <c r="KRX717" s="1176"/>
      <c r="KRY717" s="1176"/>
      <c r="KRZ717" s="1176"/>
      <c r="KSA717" s="1176"/>
      <c r="KSB717" s="1176"/>
      <c r="KSC717" s="1176"/>
      <c r="KSD717" s="1176"/>
      <c r="KSE717" s="1176"/>
      <c r="KSF717" s="1176"/>
      <c r="KSG717" s="1176"/>
      <c r="KSH717" s="1176"/>
      <c r="KSI717" s="1176"/>
      <c r="KSJ717" s="1176"/>
      <c r="KSK717" s="1176"/>
      <c r="KSL717" s="1176"/>
      <c r="KSM717" s="1176"/>
      <c r="KSN717" s="1176"/>
      <c r="KSO717" s="1176"/>
      <c r="KSP717" s="1176"/>
      <c r="KSQ717" s="1176"/>
      <c r="KSR717" s="1176"/>
      <c r="KSS717" s="1176"/>
      <c r="KST717" s="1176"/>
      <c r="KSU717" s="1176"/>
      <c r="KSV717" s="1176"/>
      <c r="KSW717" s="1176"/>
      <c r="KSX717" s="1176"/>
      <c r="KSY717" s="1176"/>
      <c r="KSZ717" s="1176"/>
      <c r="KTA717" s="1176"/>
      <c r="KTB717" s="1176"/>
      <c r="KTC717" s="1176"/>
      <c r="KTD717" s="1176"/>
      <c r="KTE717" s="1176"/>
      <c r="KTF717" s="1176"/>
      <c r="KTG717" s="1176"/>
      <c r="KTH717" s="1176"/>
      <c r="KTI717" s="1176"/>
      <c r="KTJ717" s="1176"/>
      <c r="KTK717" s="1176"/>
      <c r="KTL717" s="1176"/>
      <c r="KTM717" s="1176"/>
      <c r="KTN717" s="1176"/>
      <c r="KTO717" s="1176"/>
      <c r="KTP717" s="1176"/>
      <c r="KTQ717" s="1176"/>
      <c r="KTR717" s="1176"/>
      <c r="KTS717" s="1176"/>
      <c r="KTT717" s="1176"/>
      <c r="KTU717" s="1176"/>
      <c r="KTV717" s="1176"/>
      <c r="KTW717" s="1176"/>
      <c r="KTX717" s="1176"/>
      <c r="KTY717" s="1176"/>
      <c r="KTZ717" s="1176"/>
      <c r="KUA717" s="1176"/>
      <c r="KUB717" s="1176"/>
      <c r="KUC717" s="1176"/>
      <c r="KUD717" s="1176"/>
      <c r="KUE717" s="1176"/>
      <c r="KUF717" s="1176"/>
      <c r="KUG717" s="1176"/>
      <c r="KUH717" s="1176"/>
      <c r="KUI717" s="1176"/>
      <c r="KUJ717" s="1176"/>
      <c r="KUK717" s="1176"/>
      <c r="KUL717" s="1176"/>
      <c r="KUM717" s="1176"/>
      <c r="KUN717" s="1176"/>
      <c r="KUO717" s="1176"/>
      <c r="KUP717" s="1176"/>
      <c r="KUQ717" s="1176"/>
      <c r="KUR717" s="1176"/>
      <c r="KUS717" s="1176"/>
      <c r="KUT717" s="1176"/>
      <c r="KUU717" s="1176"/>
      <c r="KUV717" s="1176"/>
      <c r="KUW717" s="1176"/>
      <c r="KUX717" s="1176"/>
      <c r="KUY717" s="1176"/>
      <c r="KUZ717" s="1176"/>
      <c r="KVA717" s="1176"/>
      <c r="KVB717" s="1176"/>
      <c r="KVC717" s="1176"/>
      <c r="KVD717" s="1176"/>
      <c r="KVE717" s="1176"/>
      <c r="KVF717" s="1176"/>
      <c r="KVG717" s="1176"/>
      <c r="KVH717" s="1176"/>
      <c r="KVI717" s="1176"/>
      <c r="KVJ717" s="1176"/>
      <c r="KVK717" s="1176"/>
      <c r="KVL717" s="1176"/>
      <c r="KVM717" s="1176"/>
      <c r="KVN717" s="1176"/>
      <c r="KVO717" s="1176"/>
      <c r="KVP717" s="1176"/>
      <c r="KVQ717" s="1176"/>
      <c r="KVR717" s="1176"/>
      <c r="KVS717" s="1176"/>
      <c r="KVT717" s="1176"/>
      <c r="KVU717" s="1176"/>
      <c r="KVV717" s="1176"/>
      <c r="KVW717" s="1176"/>
      <c r="KVX717" s="1176"/>
      <c r="KVY717" s="1176"/>
      <c r="KVZ717" s="1176"/>
      <c r="KWA717" s="1176"/>
      <c r="KWB717" s="1176"/>
      <c r="KWC717" s="1176"/>
      <c r="KWD717" s="1176"/>
      <c r="KWE717" s="1176"/>
      <c r="KWF717" s="1176"/>
      <c r="KWG717" s="1176"/>
      <c r="KWH717" s="1176"/>
      <c r="KWI717" s="1176"/>
      <c r="KWJ717" s="1176"/>
      <c r="KWK717" s="1176"/>
      <c r="KWL717" s="1176"/>
      <c r="KWM717" s="1176"/>
      <c r="KWN717" s="1176"/>
      <c r="KWO717" s="1176"/>
      <c r="KWP717" s="1176"/>
      <c r="KWQ717" s="1176"/>
      <c r="KWR717" s="1176"/>
      <c r="KWS717" s="1176"/>
      <c r="KWT717" s="1176"/>
      <c r="KWU717" s="1176"/>
      <c r="KWV717" s="1176"/>
      <c r="KWW717" s="1176"/>
      <c r="KWX717" s="1176"/>
      <c r="KWY717" s="1176"/>
      <c r="KWZ717" s="1176"/>
      <c r="KXA717" s="1176"/>
      <c r="KXB717" s="1176"/>
      <c r="KXC717" s="1176"/>
      <c r="KXD717" s="1176"/>
      <c r="KXE717" s="1176"/>
      <c r="KXF717" s="1176"/>
      <c r="KXG717" s="1176"/>
      <c r="KXH717" s="1176"/>
      <c r="KXI717" s="1176"/>
      <c r="KXJ717" s="1176"/>
      <c r="KXK717" s="1176"/>
      <c r="KXL717" s="1176"/>
      <c r="KXM717" s="1176"/>
      <c r="KXN717" s="1176"/>
      <c r="KXO717" s="1176"/>
      <c r="KXP717" s="1176"/>
      <c r="KXQ717" s="1176"/>
      <c r="KXR717" s="1176"/>
      <c r="KXS717" s="1176"/>
      <c r="KXT717" s="1176"/>
      <c r="KXU717" s="1176"/>
      <c r="KXV717" s="1176"/>
      <c r="KXW717" s="1176"/>
      <c r="KXX717" s="1176"/>
      <c r="KXY717" s="1176"/>
      <c r="KXZ717" s="1176"/>
      <c r="KYA717" s="1176"/>
      <c r="KYB717" s="1176"/>
      <c r="KYC717" s="1176"/>
      <c r="KYD717" s="1176"/>
      <c r="KYE717" s="1176"/>
      <c r="KYF717" s="1176"/>
      <c r="KYG717" s="1176"/>
      <c r="KYH717" s="1176"/>
      <c r="KYI717" s="1176"/>
      <c r="KYJ717" s="1176"/>
      <c r="KYK717" s="1176"/>
      <c r="KYL717" s="1176"/>
      <c r="KYM717" s="1176"/>
      <c r="KYN717" s="1176"/>
      <c r="KYO717" s="1176"/>
      <c r="KYP717" s="1176"/>
      <c r="KYQ717" s="1176"/>
      <c r="KYR717" s="1176"/>
      <c r="KYS717" s="1176"/>
      <c r="KYT717" s="1176"/>
      <c r="KYU717" s="1176"/>
      <c r="KYV717" s="1176"/>
      <c r="KYW717" s="1176"/>
      <c r="KYX717" s="1176"/>
      <c r="KYY717" s="1176"/>
      <c r="KYZ717" s="1176"/>
      <c r="KZA717" s="1176"/>
      <c r="KZB717" s="1176"/>
      <c r="KZC717" s="1176"/>
      <c r="KZD717" s="1176"/>
      <c r="KZE717" s="1176"/>
      <c r="KZF717" s="1176"/>
      <c r="KZG717" s="1176"/>
      <c r="KZH717" s="1176"/>
      <c r="KZI717" s="1176"/>
      <c r="KZJ717" s="1176"/>
      <c r="KZK717" s="1176"/>
      <c r="KZL717" s="1176"/>
      <c r="KZM717" s="1176"/>
      <c r="KZN717" s="1176"/>
      <c r="KZO717" s="1176"/>
      <c r="KZP717" s="1176"/>
      <c r="KZQ717" s="1176"/>
      <c r="KZR717" s="1176"/>
      <c r="KZS717" s="1176"/>
      <c r="KZT717" s="1176"/>
      <c r="KZU717" s="1176"/>
      <c r="KZV717" s="1176"/>
      <c r="KZW717" s="1176"/>
      <c r="KZX717" s="1176"/>
      <c r="KZY717" s="1176"/>
      <c r="KZZ717" s="1176"/>
      <c r="LAA717" s="1176"/>
      <c r="LAB717" s="1176"/>
      <c r="LAC717" s="1176"/>
      <c r="LAD717" s="1176"/>
      <c r="LAE717" s="1176"/>
      <c r="LAF717" s="1176"/>
      <c r="LAG717" s="1176"/>
      <c r="LAH717" s="1176"/>
      <c r="LAI717" s="1176"/>
      <c r="LAJ717" s="1176"/>
      <c r="LAK717" s="1176"/>
      <c r="LAL717" s="1176"/>
      <c r="LAM717" s="1176"/>
      <c r="LAN717" s="1176"/>
      <c r="LAO717" s="1176"/>
      <c r="LAP717" s="1176"/>
      <c r="LAQ717" s="1176"/>
      <c r="LAR717" s="1176"/>
      <c r="LAS717" s="1176"/>
      <c r="LAT717" s="1176"/>
      <c r="LAU717" s="1176"/>
      <c r="LAV717" s="1176"/>
      <c r="LAW717" s="1176"/>
      <c r="LAX717" s="1176"/>
      <c r="LAY717" s="1176"/>
      <c r="LAZ717" s="1176"/>
      <c r="LBA717" s="1176"/>
      <c r="LBB717" s="1176"/>
      <c r="LBC717" s="1176"/>
      <c r="LBD717" s="1176"/>
      <c r="LBE717" s="1176"/>
      <c r="LBF717" s="1176"/>
      <c r="LBG717" s="1176"/>
      <c r="LBH717" s="1176"/>
      <c r="LBI717" s="1176"/>
      <c r="LBJ717" s="1176"/>
      <c r="LBK717" s="1176"/>
      <c r="LBL717" s="1176"/>
      <c r="LBM717" s="1176"/>
      <c r="LBN717" s="1176"/>
      <c r="LBO717" s="1176"/>
      <c r="LBP717" s="1176"/>
      <c r="LBQ717" s="1176"/>
      <c r="LBR717" s="1176"/>
      <c r="LBS717" s="1176"/>
      <c r="LBT717" s="1176"/>
      <c r="LBU717" s="1176"/>
      <c r="LBV717" s="1176"/>
      <c r="LBW717" s="1176"/>
      <c r="LBX717" s="1176"/>
      <c r="LBY717" s="1176"/>
      <c r="LBZ717" s="1176"/>
      <c r="LCA717" s="1176"/>
      <c r="LCB717" s="1176"/>
      <c r="LCC717" s="1176"/>
      <c r="LCD717" s="1176"/>
      <c r="LCE717" s="1176"/>
      <c r="LCF717" s="1176"/>
      <c r="LCG717" s="1176"/>
      <c r="LCH717" s="1176"/>
      <c r="LCI717" s="1176"/>
      <c r="LCJ717" s="1176"/>
      <c r="LCK717" s="1176"/>
      <c r="LCL717" s="1176"/>
      <c r="LCM717" s="1176"/>
      <c r="LCN717" s="1176"/>
      <c r="LCO717" s="1176"/>
      <c r="LCP717" s="1176"/>
      <c r="LCQ717" s="1176"/>
      <c r="LCR717" s="1176"/>
      <c r="LCS717" s="1176"/>
      <c r="LCT717" s="1176"/>
      <c r="LCU717" s="1176"/>
      <c r="LCV717" s="1176"/>
      <c r="LCW717" s="1176"/>
      <c r="LCX717" s="1176"/>
      <c r="LCY717" s="1176"/>
      <c r="LCZ717" s="1176"/>
      <c r="LDA717" s="1176"/>
      <c r="LDB717" s="1176"/>
      <c r="LDC717" s="1176"/>
      <c r="LDD717" s="1176"/>
      <c r="LDE717" s="1176"/>
      <c r="LDF717" s="1176"/>
      <c r="LDG717" s="1176"/>
      <c r="LDH717" s="1176"/>
      <c r="LDI717" s="1176"/>
      <c r="LDJ717" s="1176"/>
      <c r="LDK717" s="1176"/>
      <c r="LDL717" s="1176"/>
      <c r="LDM717" s="1176"/>
      <c r="LDN717" s="1176"/>
      <c r="LDO717" s="1176"/>
      <c r="LDP717" s="1176"/>
      <c r="LDQ717" s="1176"/>
      <c r="LDR717" s="1176"/>
      <c r="LDS717" s="1176"/>
      <c r="LDT717" s="1176"/>
      <c r="LDU717" s="1176"/>
      <c r="LDV717" s="1176"/>
      <c r="LDW717" s="1176"/>
      <c r="LDX717" s="1176"/>
      <c r="LDY717" s="1176"/>
      <c r="LDZ717" s="1176"/>
      <c r="LEA717" s="1176"/>
      <c r="LEB717" s="1176"/>
      <c r="LEC717" s="1176"/>
      <c r="LED717" s="1176"/>
      <c r="LEE717" s="1176"/>
      <c r="LEF717" s="1176"/>
      <c r="LEG717" s="1176"/>
      <c r="LEH717" s="1176"/>
      <c r="LEI717" s="1176"/>
      <c r="LEJ717" s="1176"/>
      <c r="LEK717" s="1176"/>
      <c r="LEL717" s="1176"/>
      <c r="LEM717" s="1176"/>
      <c r="LEN717" s="1176"/>
      <c r="LEO717" s="1176"/>
      <c r="LEP717" s="1176"/>
      <c r="LEQ717" s="1176"/>
      <c r="LER717" s="1176"/>
      <c r="LES717" s="1176"/>
      <c r="LET717" s="1176"/>
      <c r="LEU717" s="1176"/>
      <c r="LEV717" s="1176"/>
      <c r="LEW717" s="1176"/>
      <c r="LEX717" s="1176"/>
      <c r="LEY717" s="1176"/>
      <c r="LEZ717" s="1176"/>
      <c r="LFA717" s="1176"/>
      <c r="LFB717" s="1176"/>
      <c r="LFC717" s="1176"/>
      <c r="LFD717" s="1176"/>
      <c r="LFE717" s="1176"/>
      <c r="LFF717" s="1176"/>
      <c r="LFG717" s="1176"/>
      <c r="LFH717" s="1176"/>
      <c r="LFI717" s="1176"/>
      <c r="LFJ717" s="1176"/>
      <c r="LFK717" s="1176"/>
      <c r="LFL717" s="1176"/>
      <c r="LFM717" s="1176"/>
      <c r="LFN717" s="1176"/>
      <c r="LFO717" s="1176"/>
      <c r="LFP717" s="1176"/>
      <c r="LFQ717" s="1176"/>
      <c r="LFR717" s="1176"/>
      <c r="LFS717" s="1176"/>
      <c r="LFT717" s="1176"/>
      <c r="LFU717" s="1176"/>
      <c r="LFV717" s="1176"/>
      <c r="LFW717" s="1176"/>
      <c r="LFX717" s="1176"/>
      <c r="LFY717" s="1176"/>
      <c r="LFZ717" s="1176"/>
      <c r="LGA717" s="1176"/>
      <c r="LGB717" s="1176"/>
      <c r="LGC717" s="1176"/>
      <c r="LGD717" s="1176"/>
      <c r="LGE717" s="1176"/>
      <c r="LGF717" s="1176"/>
      <c r="LGG717" s="1176"/>
      <c r="LGH717" s="1176"/>
      <c r="LGI717" s="1176"/>
      <c r="LGJ717" s="1176"/>
      <c r="LGK717" s="1176"/>
      <c r="LGL717" s="1176"/>
      <c r="LGM717" s="1176"/>
      <c r="LGN717" s="1176"/>
      <c r="LGO717" s="1176"/>
      <c r="LGP717" s="1176"/>
      <c r="LGQ717" s="1176"/>
      <c r="LGR717" s="1176"/>
      <c r="LGS717" s="1176"/>
      <c r="LGT717" s="1176"/>
      <c r="LGU717" s="1176"/>
      <c r="LGV717" s="1176"/>
      <c r="LGW717" s="1176"/>
      <c r="LGX717" s="1176"/>
      <c r="LGY717" s="1176"/>
      <c r="LGZ717" s="1176"/>
      <c r="LHA717" s="1176"/>
      <c r="LHB717" s="1176"/>
      <c r="LHC717" s="1176"/>
      <c r="LHD717" s="1176"/>
      <c r="LHE717" s="1176"/>
      <c r="LHF717" s="1176"/>
      <c r="LHG717" s="1176"/>
      <c r="LHH717" s="1176"/>
      <c r="LHI717" s="1176"/>
      <c r="LHJ717" s="1176"/>
      <c r="LHK717" s="1176"/>
      <c r="LHL717" s="1176"/>
      <c r="LHM717" s="1176"/>
      <c r="LHN717" s="1176"/>
      <c r="LHO717" s="1176"/>
      <c r="LHP717" s="1176"/>
      <c r="LHQ717" s="1176"/>
      <c r="LHR717" s="1176"/>
      <c r="LHS717" s="1176"/>
      <c r="LHT717" s="1176"/>
      <c r="LHU717" s="1176"/>
      <c r="LHV717" s="1176"/>
      <c r="LHW717" s="1176"/>
      <c r="LHX717" s="1176"/>
      <c r="LHY717" s="1176"/>
      <c r="LHZ717" s="1176"/>
      <c r="LIA717" s="1176"/>
      <c r="LIB717" s="1176"/>
      <c r="LIC717" s="1176"/>
      <c r="LID717" s="1176"/>
      <c r="LIE717" s="1176"/>
      <c r="LIF717" s="1176"/>
      <c r="LIG717" s="1176"/>
      <c r="LIH717" s="1176"/>
      <c r="LII717" s="1176"/>
      <c r="LIJ717" s="1176"/>
      <c r="LIK717" s="1176"/>
      <c r="LIL717" s="1176"/>
      <c r="LIM717" s="1176"/>
      <c r="LIN717" s="1176"/>
      <c r="LIO717" s="1176"/>
      <c r="LIP717" s="1176"/>
      <c r="LIQ717" s="1176"/>
      <c r="LIR717" s="1176"/>
      <c r="LIS717" s="1176"/>
      <c r="LIT717" s="1176"/>
      <c r="LIU717" s="1176"/>
      <c r="LIV717" s="1176"/>
      <c r="LIW717" s="1176"/>
      <c r="LIX717" s="1176"/>
      <c r="LIY717" s="1176"/>
      <c r="LIZ717" s="1176"/>
      <c r="LJA717" s="1176"/>
      <c r="LJB717" s="1176"/>
      <c r="LJC717" s="1176"/>
      <c r="LJD717" s="1176"/>
      <c r="LJE717" s="1176"/>
      <c r="LJF717" s="1176"/>
      <c r="LJG717" s="1176"/>
      <c r="LJH717" s="1176"/>
      <c r="LJI717" s="1176"/>
      <c r="LJJ717" s="1176"/>
      <c r="LJK717" s="1176"/>
      <c r="LJL717" s="1176"/>
      <c r="LJM717" s="1176"/>
      <c r="LJN717" s="1176"/>
      <c r="LJO717" s="1176"/>
      <c r="LJP717" s="1176"/>
      <c r="LJQ717" s="1176"/>
      <c r="LJR717" s="1176"/>
      <c r="LJS717" s="1176"/>
      <c r="LJT717" s="1176"/>
      <c r="LJU717" s="1176"/>
      <c r="LJV717" s="1176"/>
      <c r="LJW717" s="1176"/>
      <c r="LJX717" s="1176"/>
      <c r="LJY717" s="1176"/>
      <c r="LJZ717" s="1176"/>
      <c r="LKA717" s="1176"/>
      <c r="LKB717" s="1176"/>
      <c r="LKC717" s="1176"/>
      <c r="LKD717" s="1176"/>
      <c r="LKE717" s="1176"/>
      <c r="LKF717" s="1176"/>
      <c r="LKG717" s="1176"/>
      <c r="LKH717" s="1176"/>
      <c r="LKI717" s="1176"/>
      <c r="LKJ717" s="1176"/>
      <c r="LKK717" s="1176"/>
      <c r="LKL717" s="1176"/>
      <c r="LKM717" s="1176"/>
      <c r="LKN717" s="1176"/>
      <c r="LKO717" s="1176"/>
      <c r="LKP717" s="1176"/>
      <c r="LKQ717" s="1176"/>
      <c r="LKR717" s="1176"/>
      <c r="LKS717" s="1176"/>
      <c r="LKT717" s="1176"/>
      <c r="LKU717" s="1176"/>
      <c r="LKV717" s="1176"/>
      <c r="LKW717" s="1176"/>
      <c r="LKX717" s="1176"/>
      <c r="LKY717" s="1176"/>
      <c r="LKZ717" s="1176"/>
      <c r="LLA717" s="1176"/>
      <c r="LLB717" s="1176"/>
      <c r="LLC717" s="1176"/>
      <c r="LLD717" s="1176"/>
      <c r="LLE717" s="1176"/>
      <c r="LLF717" s="1176"/>
      <c r="LLG717" s="1176"/>
      <c r="LLH717" s="1176"/>
      <c r="LLI717" s="1176"/>
      <c r="LLJ717" s="1176"/>
      <c r="LLK717" s="1176"/>
      <c r="LLL717" s="1176"/>
      <c r="LLM717" s="1176"/>
      <c r="LLN717" s="1176"/>
      <c r="LLO717" s="1176"/>
      <c r="LLP717" s="1176"/>
      <c r="LLQ717" s="1176"/>
      <c r="LLR717" s="1176"/>
      <c r="LLS717" s="1176"/>
      <c r="LLT717" s="1176"/>
      <c r="LLU717" s="1176"/>
      <c r="LLV717" s="1176"/>
      <c r="LLW717" s="1176"/>
      <c r="LLX717" s="1176"/>
      <c r="LLY717" s="1176"/>
      <c r="LLZ717" s="1176"/>
      <c r="LMA717" s="1176"/>
      <c r="LMB717" s="1176"/>
      <c r="LMC717" s="1176"/>
      <c r="LMD717" s="1176"/>
      <c r="LME717" s="1176"/>
      <c r="LMF717" s="1176"/>
      <c r="LMG717" s="1176"/>
      <c r="LMH717" s="1176"/>
      <c r="LMI717" s="1176"/>
      <c r="LMJ717" s="1176"/>
      <c r="LMK717" s="1176"/>
      <c r="LML717" s="1176"/>
      <c r="LMM717" s="1176"/>
      <c r="LMN717" s="1176"/>
      <c r="LMO717" s="1176"/>
      <c r="LMP717" s="1176"/>
      <c r="LMQ717" s="1176"/>
      <c r="LMR717" s="1176"/>
      <c r="LMS717" s="1176"/>
      <c r="LMT717" s="1176"/>
      <c r="LMU717" s="1176"/>
      <c r="LMV717" s="1176"/>
      <c r="LMW717" s="1176"/>
      <c r="LMX717" s="1176"/>
      <c r="LMY717" s="1176"/>
      <c r="LMZ717" s="1176"/>
      <c r="LNA717" s="1176"/>
      <c r="LNB717" s="1176"/>
      <c r="LNC717" s="1176"/>
      <c r="LND717" s="1176"/>
      <c r="LNE717" s="1176"/>
      <c r="LNF717" s="1176"/>
      <c r="LNG717" s="1176"/>
      <c r="LNH717" s="1176"/>
      <c r="LNI717" s="1176"/>
      <c r="LNJ717" s="1176"/>
      <c r="LNK717" s="1176"/>
      <c r="LNL717" s="1176"/>
      <c r="LNM717" s="1176"/>
      <c r="LNN717" s="1176"/>
      <c r="LNO717" s="1176"/>
      <c r="LNP717" s="1176"/>
      <c r="LNQ717" s="1176"/>
      <c r="LNR717" s="1176"/>
      <c r="LNS717" s="1176"/>
      <c r="LNT717" s="1176"/>
      <c r="LNU717" s="1176"/>
      <c r="LNV717" s="1176"/>
      <c r="LNW717" s="1176"/>
      <c r="LNX717" s="1176"/>
      <c r="LNY717" s="1176"/>
      <c r="LNZ717" s="1176"/>
      <c r="LOA717" s="1176"/>
      <c r="LOB717" s="1176"/>
      <c r="LOC717" s="1176"/>
      <c r="LOD717" s="1176"/>
      <c r="LOE717" s="1176"/>
      <c r="LOF717" s="1176"/>
      <c r="LOG717" s="1176"/>
      <c r="LOH717" s="1176"/>
      <c r="LOI717" s="1176"/>
      <c r="LOJ717" s="1176"/>
      <c r="LOK717" s="1176"/>
      <c r="LOL717" s="1176"/>
      <c r="LOM717" s="1176"/>
      <c r="LON717" s="1176"/>
      <c r="LOO717" s="1176"/>
      <c r="LOP717" s="1176"/>
      <c r="LOQ717" s="1176"/>
      <c r="LOR717" s="1176"/>
      <c r="LOS717" s="1176"/>
      <c r="LOT717" s="1176"/>
      <c r="LOU717" s="1176"/>
      <c r="LOV717" s="1176"/>
      <c r="LOW717" s="1176"/>
      <c r="LOX717" s="1176"/>
      <c r="LOY717" s="1176"/>
      <c r="LOZ717" s="1176"/>
      <c r="LPA717" s="1176"/>
      <c r="LPB717" s="1176"/>
      <c r="LPC717" s="1176"/>
      <c r="LPD717" s="1176"/>
      <c r="LPE717" s="1176"/>
      <c r="LPF717" s="1176"/>
      <c r="LPG717" s="1176"/>
      <c r="LPH717" s="1176"/>
      <c r="LPI717" s="1176"/>
      <c r="LPJ717" s="1176"/>
      <c r="LPK717" s="1176"/>
      <c r="LPL717" s="1176"/>
      <c r="LPM717" s="1176"/>
      <c r="LPN717" s="1176"/>
      <c r="LPO717" s="1176"/>
      <c r="LPP717" s="1176"/>
      <c r="LPQ717" s="1176"/>
      <c r="LPR717" s="1176"/>
      <c r="LPS717" s="1176"/>
      <c r="LPT717" s="1176"/>
      <c r="LPU717" s="1176"/>
      <c r="LPV717" s="1176"/>
      <c r="LPW717" s="1176"/>
      <c r="LPX717" s="1176"/>
      <c r="LPY717" s="1176"/>
      <c r="LPZ717" s="1176"/>
      <c r="LQA717" s="1176"/>
      <c r="LQB717" s="1176"/>
      <c r="LQC717" s="1176"/>
      <c r="LQD717" s="1176"/>
      <c r="LQE717" s="1176"/>
      <c r="LQF717" s="1176"/>
      <c r="LQG717" s="1176"/>
      <c r="LQH717" s="1176"/>
      <c r="LQI717" s="1176"/>
      <c r="LQJ717" s="1176"/>
      <c r="LQK717" s="1176"/>
      <c r="LQL717" s="1176"/>
      <c r="LQM717" s="1176"/>
      <c r="LQN717" s="1176"/>
      <c r="LQO717" s="1176"/>
      <c r="LQP717" s="1176"/>
      <c r="LQQ717" s="1176"/>
      <c r="LQR717" s="1176"/>
      <c r="LQS717" s="1176"/>
      <c r="LQT717" s="1176"/>
      <c r="LQU717" s="1176"/>
      <c r="LQV717" s="1176"/>
      <c r="LQW717" s="1176"/>
      <c r="LQX717" s="1176"/>
      <c r="LQY717" s="1176"/>
      <c r="LQZ717" s="1176"/>
      <c r="LRA717" s="1176"/>
      <c r="LRB717" s="1176"/>
      <c r="LRC717" s="1176"/>
      <c r="LRD717" s="1176"/>
      <c r="LRE717" s="1176"/>
      <c r="LRF717" s="1176"/>
      <c r="LRG717" s="1176"/>
      <c r="LRH717" s="1176"/>
      <c r="LRI717" s="1176"/>
      <c r="LRJ717" s="1176"/>
      <c r="LRK717" s="1176"/>
      <c r="LRL717" s="1176"/>
      <c r="LRM717" s="1176"/>
      <c r="LRN717" s="1176"/>
      <c r="LRO717" s="1176"/>
      <c r="LRP717" s="1176"/>
      <c r="LRQ717" s="1176"/>
      <c r="LRR717" s="1176"/>
      <c r="LRS717" s="1176"/>
      <c r="LRT717" s="1176"/>
      <c r="LRU717" s="1176"/>
      <c r="LRV717" s="1176"/>
      <c r="LRW717" s="1176"/>
      <c r="LRX717" s="1176"/>
      <c r="LRY717" s="1176"/>
      <c r="LRZ717" s="1176"/>
      <c r="LSA717" s="1176"/>
      <c r="LSB717" s="1176"/>
      <c r="LSC717" s="1176"/>
      <c r="LSD717" s="1176"/>
      <c r="LSE717" s="1176"/>
      <c r="LSF717" s="1176"/>
      <c r="LSG717" s="1176"/>
      <c r="LSH717" s="1176"/>
      <c r="LSI717" s="1176"/>
      <c r="LSJ717" s="1176"/>
      <c r="LSK717" s="1176"/>
      <c r="LSL717" s="1176"/>
      <c r="LSM717" s="1176"/>
      <c r="LSN717" s="1176"/>
      <c r="LSO717" s="1176"/>
      <c r="LSP717" s="1176"/>
      <c r="LSQ717" s="1176"/>
      <c r="LSR717" s="1176"/>
      <c r="LSS717" s="1176"/>
      <c r="LST717" s="1176"/>
      <c r="LSU717" s="1176"/>
      <c r="LSV717" s="1176"/>
      <c r="LSW717" s="1176"/>
      <c r="LSX717" s="1176"/>
      <c r="LSY717" s="1176"/>
      <c r="LSZ717" s="1176"/>
      <c r="LTA717" s="1176"/>
      <c r="LTB717" s="1176"/>
      <c r="LTC717" s="1176"/>
      <c r="LTD717" s="1176"/>
      <c r="LTE717" s="1176"/>
      <c r="LTF717" s="1176"/>
      <c r="LTG717" s="1176"/>
      <c r="LTH717" s="1176"/>
      <c r="LTI717" s="1176"/>
      <c r="LTJ717" s="1176"/>
      <c r="LTK717" s="1176"/>
      <c r="LTL717" s="1176"/>
      <c r="LTM717" s="1176"/>
      <c r="LTN717" s="1176"/>
      <c r="LTO717" s="1176"/>
      <c r="LTP717" s="1176"/>
      <c r="LTQ717" s="1176"/>
      <c r="LTR717" s="1176"/>
      <c r="LTS717" s="1176"/>
      <c r="LTT717" s="1176"/>
      <c r="LTU717" s="1176"/>
      <c r="LTV717" s="1176"/>
      <c r="LTW717" s="1176"/>
      <c r="LTX717" s="1176"/>
      <c r="LTY717" s="1176"/>
      <c r="LTZ717" s="1176"/>
      <c r="LUA717" s="1176"/>
      <c r="LUB717" s="1176"/>
      <c r="LUC717" s="1176"/>
      <c r="LUD717" s="1176"/>
      <c r="LUE717" s="1176"/>
      <c r="LUF717" s="1176"/>
      <c r="LUG717" s="1176"/>
      <c r="LUH717" s="1176"/>
      <c r="LUI717" s="1176"/>
      <c r="LUJ717" s="1176"/>
      <c r="LUK717" s="1176"/>
      <c r="LUL717" s="1176"/>
      <c r="LUM717" s="1176"/>
      <c r="LUN717" s="1176"/>
      <c r="LUO717" s="1176"/>
      <c r="LUP717" s="1176"/>
      <c r="LUQ717" s="1176"/>
      <c r="LUR717" s="1176"/>
      <c r="LUS717" s="1176"/>
      <c r="LUT717" s="1176"/>
      <c r="LUU717" s="1176"/>
      <c r="LUV717" s="1176"/>
      <c r="LUW717" s="1176"/>
      <c r="LUX717" s="1176"/>
      <c r="LUY717" s="1176"/>
      <c r="LUZ717" s="1176"/>
      <c r="LVA717" s="1176"/>
      <c r="LVB717" s="1176"/>
      <c r="LVC717" s="1176"/>
      <c r="LVD717" s="1176"/>
      <c r="LVE717" s="1176"/>
      <c r="LVF717" s="1176"/>
      <c r="LVG717" s="1176"/>
      <c r="LVH717" s="1176"/>
      <c r="LVI717" s="1176"/>
      <c r="LVJ717" s="1176"/>
      <c r="LVK717" s="1176"/>
      <c r="LVL717" s="1176"/>
      <c r="LVM717" s="1176"/>
      <c r="LVN717" s="1176"/>
      <c r="LVO717" s="1176"/>
      <c r="LVP717" s="1176"/>
      <c r="LVQ717" s="1176"/>
      <c r="LVR717" s="1176"/>
      <c r="LVS717" s="1176"/>
      <c r="LVT717" s="1176"/>
      <c r="LVU717" s="1176"/>
      <c r="LVV717" s="1176"/>
      <c r="LVW717" s="1176"/>
      <c r="LVX717" s="1176"/>
      <c r="LVY717" s="1176"/>
      <c r="LVZ717" s="1176"/>
      <c r="LWA717" s="1176"/>
      <c r="LWB717" s="1176"/>
      <c r="LWC717" s="1176"/>
      <c r="LWD717" s="1176"/>
      <c r="LWE717" s="1176"/>
      <c r="LWF717" s="1176"/>
      <c r="LWG717" s="1176"/>
      <c r="LWH717" s="1176"/>
      <c r="LWI717" s="1176"/>
      <c r="LWJ717" s="1176"/>
      <c r="LWK717" s="1176"/>
      <c r="LWL717" s="1176"/>
      <c r="LWM717" s="1176"/>
      <c r="LWN717" s="1176"/>
      <c r="LWO717" s="1176"/>
      <c r="LWP717" s="1176"/>
      <c r="LWQ717" s="1176"/>
      <c r="LWR717" s="1176"/>
      <c r="LWS717" s="1176"/>
      <c r="LWT717" s="1176"/>
      <c r="LWU717" s="1176"/>
      <c r="LWV717" s="1176"/>
      <c r="LWW717" s="1176"/>
      <c r="LWX717" s="1176"/>
      <c r="LWY717" s="1176"/>
      <c r="LWZ717" s="1176"/>
      <c r="LXA717" s="1176"/>
      <c r="LXB717" s="1176"/>
      <c r="LXC717" s="1176"/>
      <c r="LXD717" s="1176"/>
      <c r="LXE717" s="1176"/>
      <c r="LXF717" s="1176"/>
      <c r="LXG717" s="1176"/>
      <c r="LXH717" s="1176"/>
      <c r="LXI717" s="1176"/>
      <c r="LXJ717" s="1176"/>
      <c r="LXK717" s="1176"/>
      <c r="LXL717" s="1176"/>
      <c r="LXM717" s="1176"/>
      <c r="LXN717" s="1176"/>
      <c r="LXO717" s="1176"/>
      <c r="LXP717" s="1176"/>
      <c r="LXQ717" s="1176"/>
      <c r="LXR717" s="1176"/>
      <c r="LXS717" s="1176"/>
      <c r="LXT717" s="1176"/>
      <c r="LXU717" s="1176"/>
      <c r="LXV717" s="1176"/>
      <c r="LXW717" s="1176"/>
      <c r="LXX717" s="1176"/>
      <c r="LXY717" s="1176"/>
      <c r="LXZ717" s="1176"/>
      <c r="LYA717" s="1176"/>
      <c r="LYB717" s="1176"/>
      <c r="LYC717" s="1176"/>
      <c r="LYD717" s="1176"/>
      <c r="LYE717" s="1176"/>
      <c r="LYF717" s="1176"/>
      <c r="LYG717" s="1176"/>
      <c r="LYH717" s="1176"/>
      <c r="LYI717" s="1176"/>
      <c r="LYJ717" s="1176"/>
      <c r="LYK717" s="1176"/>
      <c r="LYL717" s="1176"/>
      <c r="LYM717" s="1176"/>
      <c r="LYN717" s="1176"/>
      <c r="LYO717" s="1176"/>
      <c r="LYP717" s="1176"/>
      <c r="LYQ717" s="1176"/>
      <c r="LYR717" s="1176"/>
      <c r="LYS717" s="1176"/>
      <c r="LYT717" s="1176"/>
      <c r="LYU717" s="1176"/>
      <c r="LYV717" s="1176"/>
      <c r="LYW717" s="1176"/>
      <c r="LYX717" s="1176"/>
      <c r="LYY717" s="1176"/>
      <c r="LYZ717" s="1176"/>
      <c r="LZA717" s="1176"/>
      <c r="LZB717" s="1176"/>
      <c r="LZC717" s="1176"/>
      <c r="LZD717" s="1176"/>
      <c r="LZE717" s="1176"/>
      <c r="LZF717" s="1176"/>
      <c r="LZG717" s="1176"/>
      <c r="LZH717" s="1176"/>
      <c r="LZI717" s="1176"/>
      <c r="LZJ717" s="1176"/>
      <c r="LZK717" s="1176"/>
      <c r="LZL717" s="1176"/>
      <c r="LZM717" s="1176"/>
      <c r="LZN717" s="1176"/>
      <c r="LZO717" s="1176"/>
      <c r="LZP717" s="1176"/>
      <c r="LZQ717" s="1176"/>
      <c r="LZR717" s="1176"/>
      <c r="LZS717" s="1176"/>
      <c r="LZT717" s="1176"/>
      <c r="LZU717" s="1176"/>
      <c r="LZV717" s="1176"/>
      <c r="LZW717" s="1176"/>
      <c r="LZX717" s="1176"/>
      <c r="LZY717" s="1176"/>
      <c r="LZZ717" s="1176"/>
      <c r="MAA717" s="1176"/>
      <c r="MAB717" s="1176"/>
      <c r="MAC717" s="1176"/>
      <c r="MAD717" s="1176"/>
      <c r="MAE717" s="1176"/>
      <c r="MAF717" s="1176"/>
      <c r="MAG717" s="1176"/>
      <c r="MAH717" s="1176"/>
      <c r="MAI717" s="1176"/>
      <c r="MAJ717" s="1176"/>
      <c r="MAK717" s="1176"/>
      <c r="MAL717" s="1176"/>
      <c r="MAM717" s="1176"/>
      <c r="MAN717" s="1176"/>
      <c r="MAO717" s="1176"/>
      <c r="MAP717" s="1176"/>
      <c r="MAQ717" s="1176"/>
      <c r="MAR717" s="1176"/>
      <c r="MAS717" s="1176"/>
      <c r="MAT717" s="1176"/>
      <c r="MAU717" s="1176"/>
      <c r="MAV717" s="1176"/>
      <c r="MAW717" s="1176"/>
      <c r="MAX717" s="1176"/>
      <c r="MAY717" s="1176"/>
      <c r="MAZ717" s="1176"/>
      <c r="MBA717" s="1176"/>
      <c r="MBB717" s="1176"/>
      <c r="MBC717" s="1176"/>
      <c r="MBD717" s="1176"/>
      <c r="MBE717" s="1176"/>
      <c r="MBF717" s="1176"/>
      <c r="MBG717" s="1176"/>
      <c r="MBH717" s="1176"/>
      <c r="MBI717" s="1176"/>
      <c r="MBJ717" s="1176"/>
      <c r="MBK717" s="1176"/>
      <c r="MBL717" s="1176"/>
      <c r="MBM717" s="1176"/>
      <c r="MBN717" s="1176"/>
      <c r="MBO717" s="1176"/>
      <c r="MBP717" s="1176"/>
      <c r="MBQ717" s="1176"/>
      <c r="MBR717" s="1176"/>
      <c r="MBS717" s="1176"/>
      <c r="MBT717" s="1176"/>
      <c r="MBU717" s="1176"/>
      <c r="MBV717" s="1176"/>
      <c r="MBW717" s="1176"/>
      <c r="MBX717" s="1176"/>
      <c r="MBY717" s="1176"/>
      <c r="MBZ717" s="1176"/>
      <c r="MCA717" s="1176"/>
      <c r="MCB717" s="1176"/>
      <c r="MCC717" s="1176"/>
      <c r="MCD717" s="1176"/>
      <c r="MCE717" s="1176"/>
      <c r="MCF717" s="1176"/>
      <c r="MCG717" s="1176"/>
      <c r="MCH717" s="1176"/>
      <c r="MCI717" s="1176"/>
      <c r="MCJ717" s="1176"/>
      <c r="MCK717" s="1176"/>
      <c r="MCL717" s="1176"/>
      <c r="MCM717" s="1176"/>
      <c r="MCN717" s="1176"/>
      <c r="MCO717" s="1176"/>
      <c r="MCP717" s="1176"/>
      <c r="MCQ717" s="1176"/>
      <c r="MCR717" s="1176"/>
      <c r="MCS717" s="1176"/>
      <c r="MCT717" s="1176"/>
      <c r="MCU717" s="1176"/>
      <c r="MCV717" s="1176"/>
      <c r="MCW717" s="1176"/>
      <c r="MCX717" s="1176"/>
      <c r="MCY717" s="1176"/>
      <c r="MCZ717" s="1176"/>
      <c r="MDA717" s="1176"/>
      <c r="MDB717" s="1176"/>
      <c r="MDC717" s="1176"/>
      <c r="MDD717" s="1176"/>
      <c r="MDE717" s="1176"/>
      <c r="MDF717" s="1176"/>
      <c r="MDG717" s="1176"/>
      <c r="MDH717" s="1176"/>
      <c r="MDI717" s="1176"/>
      <c r="MDJ717" s="1176"/>
      <c r="MDK717" s="1176"/>
      <c r="MDL717" s="1176"/>
      <c r="MDM717" s="1176"/>
      <c r="MDN717" s="1176"/>
      <c r="MDO717" s="1176"/>
      <c r="MDP717" s="1176"/>
      <c r="MDQ717" s="1176"/>
      <c r="MDR717" s="1176"/>
      <c r="MDS717" s="1176"/>
      <c r="MDT717" s="1176"/>
      <c r="MDU717" s="1176"/>
      <c r="MDV717" s="1176"/>
      <c r="MDW717" s="1176"/>
      <c r="MDX717" s="1176"/>
      <c r="MDY717" s="1176"/>
      <c r="MDZ717" s="1176"/>
      <c r="MEA717" s="1176"/>
      <c r="MEB717" s="1176"/>
      <c r="MEC717" s="1176"/>
      <c r="MED717" s="1176"/>
      <c r="MEE717" s="1176"/>
      <c r="MEF717" s="1176"/>
      <c r="MEG717" s="1176"/>
      <c r="MEH717" s="1176"/>
      <c r="MEI717" s="1176"/>
      <c r="MEJ717" s="1176"/>
      <c r="MEK717" s="1176"/>
      <c r="MEL717" s="1176"/>
      <c r="MEM717" s="1176"/>
      <c r="MEN717" s="1176"/>
      <c r="MEO717" s="1176"/>
      <c r="MEP717" s="1176"/>
      <c r="MEQ717" s="1176"/>
      <c r="MER717" s="1176"/>
      <c r="MES717" s="1176"/>
      <c r="MET717" s="1176"/>
      <c r="MEU717" s="1176"/>
      <c r="MEV717" s="1176"/>
      <c r="MEW717" s="1176"/>
      <c r="MEX717" s="1176"/>
      <c r="MEY717" s="1176"/>
      <c r="MEZ717" s="1176"/>
      <c r="MFA717" s="1176"/>
      <c r="MFB717" s="1176"/>
      <c r="MFC717" s="1176"/>
      <c r="MFD717" s="1176"/>
      <c r="MFE717" s="1176"/>
      <c r="MFF717" s="1176"/>
      <c r="MFG717" s="1176"/>
      <c r="MFH717" s="1176"/>
      <c r="MFI717" s="1176"/>
      <c r="MFJ717" s="1176"/>
      <c r="MFK717" s="1176"/>
      <c r="MFL717" s="1176"/>
      <c r="MFM717" s="1176"/>
      <c r="MFN717" s="1176"/>
      <c r="MFO717" s="1176"/>
      <c r="MFP717" s="1176"/>
      <c r="MFQ717" s="1176"/>
      <c r="MFR717" s="1176"/>
      <c r="MFS717" s="1176"/>
      <c r="MFT717" s="1176"/>
      <c r="MFU717" s="1176"/>
      <c r="MFV717" s="1176"/>
      <c r="MFW717" s="1176"/>
      <c r="MFX717" s="1176"/>
      <c r="MFY717" s="1176"/>
      <c r="MFZ717" s="1176"/>
      <c r="MGA717" s="1176"/>
      <c r="MGB717" s="1176"/>
      <c r="MGC717" s="1176"/>
      <c r="MGD717" s="1176"/>
      <c r="MGE717" s="1176"/>
      <c r="MGF717" s="1176"/>
      <c r="MGG717" s="1176"/>
      <c r="MGH717" s="1176"/>
      <c r="MGI717" s="1176"/>
      <c r="MGJ717" s="1176"/>
      <c r="MGK717" s="1176"/>
      <c r="MGL717" s="1176"/>
      <c r="MGM717" s="1176"/>
      <c r="MGN717" s="1176"/>
      <c r="MGO717" s="1176"/>
      <c r="MGP717" s="1176"/>
      <c r="MGQ717" s="1176"/>
      <c r="MGR717" s="1176"/>
      <c r="MGS717" s="1176"/>
      <c r="MGT717" s="1176"/>
      <c r="MGU717" s="1176"/>
      <c r="MGV717" s="1176"/>
      <c r="MGW717" s="1176"/>
      <c r="MGX717" s="1176"/>
      <c r="MGY717" s="1176"/>
      <c r="MGZ717" s="1176"/>
      <c r="MHA717" s="1176"/>
      <c r="MHB717" s="1176"/>
      <c r="MHC717" s="1176"/>
      <c r="MHD717" s="1176"/>
      <c r="MHE717" s="1176"/>
      <c r="MHF717" s="1176"/>
      <c r="MHG717" s="1176"/>
      <c r="MHH717" s="1176"/>
      <c r="MHI717" s="1176"/>
      <c r="MHJ717" s="1176"/>
      <c r="MHK717" s="1176"/>
      <c r="MHL717" s="1176"/>
      <c r="MHM717" s="1176"/>
      <c r="MHN717" s="1176"/>
      <c r="MHO717" s="1176"/>
      <c r="MHP717" s="1176"/>
      <c r="MHQ717" s="1176"/>
      <c r="MHR717" s="1176"/>
      <c r="MHS717" s="1176"/>
      <c r="MHT717" s="1176"/>
      <c r="MHU717" s="1176"/>
      <c r="MHV717" s="1176"/>
      <c r="MHW717" s="1176"/>
      <c r="MHX717" s="1176"/>
      <c r="MHY717" s="1176"/>
      <c r="MHZ717" s="1176"/>
      <c r="MIA717" s="1176"/>
      <c r="MIB717" s="1176"/>
      <c r="MIC717" s="1176"/>
      <c r="MID717" s="1176"/>
      <c r="MIE717" s="1176"/>
      <c r="MIF717" s="1176"/>
      <c r="MIG717" s="1176"/>
      <c r="MIH717" s="1176"/>
      <c r="MII717" s="1176"/>
      <c r="MIJ717" s="1176"/>
      <c r="MIK717" s="1176"/>
      <c r="MIL717" s="1176"/>
      <c r="MIM717" s="1176"/>
      <c r="MIN717" s="1176"/>
      <c r="MIO717" s="1176"/>
      <c r="MIP717" s="1176"/>
      <c r="MIQ717" s="1176"/>
      <c r="MIR717" s="1176"/>
      <c r="MIS717" s="1176"/>
      <c r="MIT717" s="1176"/>
      <c r="MIU717" s="1176"/>
      <c r="MIV717" s="1176"/>
      <c r="MIW717" s="1176"/>
      <c r="MIX717" s="1176"/>
      <c r="MIY717" s="1176"/>
      <c r="MIZ717" s="1176"/>
      <c r="MJA717" s="1176"/>
      <c r="MJB717" s="1176"/>
      <c r="MJC717" s="1176"/>
      <c r="MJD717" s="1176"/>
      <c r="MJE717" s="1176"/>
      <c r="MJF717" s="1176"/>
      <c r="MJG717" s="1176"/>
      <c r="MJH717" s="1176"/>
      <c r="MJI717" s="1176"/>
      <c r="MJJ717" s="1176"/>
      <c r="MJK717" s="1176"/>
      <c r="MJL717" s="1176"/>
      <c r="MJM717" s="1176"/>
      <c r="MJN717" s="1176"/>
      <c r="MJO717" s="1176"/>
      <c r="MJP717" s="1176"/>
      <c r="MJQ717" s="1176"/>
      <c r="MJR717" s="1176"/>
      <c r="MJS717" s="1176"/>
      <c r="MJT717" s="1176"/>
      <c r="MJU717" s="1176"/>
      <c r="MJV717" s="1176"/>
      <c r="MJW717" s="1176"/>
      <c r="MJX717" s="1176"/>
      <c r="MJY717" s="1176"/>
      <c r="MJZ717" s="1176"/>
      <c r="MKA717" s="1176"/>
      <c r="MKB717" s="1176"/>
      <c r="MKC717" s="1176"/>
      <c r="MKD717" s="1176"/>
      <c r="MKE717" s="1176"/>
      <c r="MKF717" s="1176"/>
      <c r="MKG717" s="1176"/>
      <c r="MKH717" s="1176"/>
      <c r="MKI717" s="1176"/>
      <c r="MKJ717" s="1176"/>
      <c r="MKK717" s="1176"/>
      <c r="MKL717" s="1176"/>
      <c r="MKM717" s="1176"/>
      <c r="MKN717" s="1176"/>
      <c r="MKO717" s="1176"/>
      <c r="MKP717" s="1176"/>
      <c r="MKQ717" s="1176"/>
      <c r="MKR717" s="1176"/>
      <c r="MKS717" s="1176"/>
      <c r="MKT717" s="1176"/>
      <c r="MKU717" s="1176"/>
      <c r="MKV717" s="1176"/>
      <c r="MKW717" s="1176"/>
      <c r="MKX717" s="1176"/>
      <c r="MKY717" s="1176"/>
      <c r="MKZ717" s="1176"/>
      <c r="MLA717" s="1176"/>
      <c r="MLB717" s="1176"/>
      <c r="MLC717" s="1176"/>
      <c r="MLD717" s="1176"/>
      <c r="MLE717" s="1176"/>
      <c r="MLF717" s="1176"/>
      <c r="MLG717" s="1176"/>
      <c r="MLH717" s="1176"/>
      <c r="MLI717" s="1176"/>
      <c r="MLJ717" s="1176"/>
      <c r="MLK717" s="1176"/>
      <c r="MLL717" s="1176"/>
      <c r="MLM717" s="1176"/>
      <c r="MLN717" s="1176"/>
      <c r="MLO717" s="1176"/>
      <c r="MLP717" s="1176"/>
      <c r="MLQ717" s="1176"/>
      <c r="MLR717" s="1176"/>
      <c r="MLS717" s="1176"/>
      <c r="MLT717" s="1176"/>
      <c r="MLU717" s="1176"/>
      <c r="MLV717" s="1176"/>
      <c r="MLW717" s="1176"/>
      <c r="MLX717" s="1176"/>
      <c r="MLY717" s="1176"/>
      <c r="MLZ717" s="1176"/>
      <c r="MMA717" s="1176"/>
      <c r="MMB717" s="1176"/>
      <c r="MMC717" s="1176"/>
      <c r="MMD717" s="1176"/>
      <c r="MME717" s="1176"/>
      <c r="MMF717" s="1176"/>
      <c r="MMG717" s="1176"/>
      <c r="MMH717" s="1176"/>
      <c r="MMI717" s="1176"/>
      <c r="MMJ717" s="1176"/>
      <c r="MMK717" s="1176"/>
      <c r="MML717" s="1176"/>
      <c r="MMM717" s="1176"/>
      <c r="MMN717" s="1176"/>
      <c r="MMO717" s="1176"/>
      <c r="MMP717" s="1176"/>
      <c r="MMQ717" s="1176"/>
      <c r="MMR717" s="1176"/>
      <c r="MMS717" s="1176"/>
      <c r="MMT717" s="1176"/>
      <c r="MMU717" s="1176"/>
      <c r="MMV717" s="1176"/>
      <c r="MMW717" s="1176"/>
      <c r="MMX717" s="1176"/>
      <c r="MMY717" s="1176"/>
      <c r="MMZ717" s="1176"/>
      <c r="MNA717" s="1176"/>
      <c r="MNB717" s="1176"/>
      <c r="MNC717" s="1176"/>
      <c r="MND717" s="1176"/>
      <c r="MNE717" s="1176"/>
      <c r="MNF717" s="1176"/>
      <c r="MNG717" s="1176"/>
      <c r="MNH717" s="1176"/>
      <c r="MNI717" s="1176"/>
      <c r="MNJ717" s="1176"/>
      <c r="MNK717" s="1176"/>
      <c r="MNL717" s="1176"/>
      <c r="MNM717" s="1176"/>
      <c r="MNN717" s="1176"/>
      <c r="MNO717" s="1176"/>
      <c r="MNP717" s="1176"/>
      <c r="MNQ717" s="1176"/>
      <c r="MNR717" s="1176"/>
      <c r="MNS717" s="1176"/>
      <c r="MNT717" s="1176"/>
      <c r="MNU717" s="1176"/>
      <c r="MNV717" s="1176"/>
      <c r="MNW717" s="1176"/>
      <c r="MNX717" s="1176"/>
      <c r="MNY717" s="1176"/>
      <c r="MNZ717" s="1176"/>
      <c r="MOA717" s="1176"/>
      <c r="MOB717" s="1176"/>
      <c r="MOC717" s="1176"/>
      <c r="MOD717" s="1176"/>
      <c r="MOE717" s="1176"/>
      <c r="MOF717" s="1176"/>
      <c r="MOG717" s="1176"/>
      <c r="MOH717" s="1176"/>
      <c r="MOI717" s="1176"/>
      <c r="MOJ717" s="1176"/>
      <c r="MOK717" s="1176"/>
      <c r="MOL717" s="1176"/>
      <c r="MOM717" s="1176"/>
      <c r="MON717" s="1176"/>
      <c r="MOO717" s="1176"/>
      <c r="MOP717" s="1176"/>
      <c r="MOQ717" s="1176"/>
      <c r="MOR717" s="1176"/>
      <c r="MOS717" s="1176"/>
      <c r="MOT717" s="1176"/>
      <c r="MOU717" s="1176"/>
      <c r="MOV717" s="1176"/>
      <c r="MOW717" s="1176"/>
      <c r="MOX717" s="1176"/>
      <c r="MOY717" s="1176"/>
      <c r="MOZ717" s="1176"/>
      <c r="MPA717" s="1176"/>
      <c r="MPB717" s="1176"/>
      <c r="MPC717" s="1176"/>
      <c r="MPD717" s="1176"/>
      <c r="MPE717" s="1176"/>
      <c r="MPF717" s="1176"/>
      <c r="MPG717" s="1176"/>
      <c r="MPH717" s="1176"/>
      <c r="MPI717" s="1176"/>
      <c r="MPJ717" s="1176"/>
      <c r="MPK717" s="1176"/>
      <c r="MPL717" s="1176"/>
      <c r="MPM717" s="1176"/>
      <c r="MPN717" s="1176"/>
      <c r="MPO717" s="1176"/>
      <c r="MPP717" s="1176"/>
      <c r="MPQ717" s="1176"/>
      <c r="MPR717" s="1176"/>
      <c r="MPS717" s="1176"/>
      <c r="MPT717" s="1176"/>
      <c r="MPU717" s="1176"/>
      <c r="MPV717" s="1176"/>
      <c r="MPW717" s="1176"/>
      <c r="MPX717" s="1176"/>
      <c r="MPY717" s="1176"/>
      <c r="MPZ717" s="1176"/>
      <c r="MQA717" s="1176"/>
      <c r="MQB717" s="1176"/>
      <c r="MQC717" s="1176"/>
      <c r="MQD717" s="1176"/>
      <c r="MQE717" s="1176"/>
      <c r="MQF717" s="1176"/>
      <c r="MQG717" s="1176"/>
      <c r="MQH717" s="1176"/>
      <c r="MQI717" s="1176"/>
      <c r="MQJ717" s="1176"/>
      <c r="MQK717" s="1176"/>
      <c r="MQL717" s="1176"/>
      <c r="MQM717" s="1176"/>
      <c r="MQN717" s="1176"/>
      <c r="MQO717" s="1176"/>
      <c r="MQP717" s="1176"/>
      <c r="MQQ717" s="1176"/>
      <c r="MQR717" s="1176"/>
      <c r="MQS717" s="1176"/>
      <c r="MQT717" s="1176"/>
      <c r="MQU717" s="1176"/>
      <c r="MQV717" s="1176"/>
      <c r="MQW717" s="1176"/>
      <c r="MQX717" s="1176"/>
      <c r="MQY717" s="1176"/>
      <c r="MQZ717" s="1176"/>
      <c r="MRA717" s="1176"/>
      <c r="MRB717" s="1176"/>
      <c r="MRC717" s="1176"/>
      <c r="MRD717" s="1176"/>
      <c r="MRE717" s="1176"/>
      <c r="MRF717" s="1176"/>
      <c r="MRG717" s="1176"/>
      <c r="MRH717" s="1176"/>
      <c r="MRI717" s="1176"/>
      <c r="MRJ717" s="1176"/>
      <c r="MRK717" s="1176"/>
      <c r="MRL717" s="1176"/>
      <c r="MRM717" s="1176"/>
      <c r="MRN717" s="1176"/>
      <c r="MRO717" s="1176"/>
      <c r="MRP717" s="1176"/>
      <c r="MRQ717" s="1176"/>
      <c r="MRR717" s="1176"/>
      <c r="MRS717" s="1176"/>
      <c r="MRT717" s="1176"/>
      <c r="MRU717" s="1176"/>
      <c r="MRV717" s="1176"/>
      <c r="MRW717" s="1176"/>
      <c r="MRX717" s="1176"/>
      <c r="MRY717" s="1176"/>
      <c r="MRZ717" s="1176"/>
      <c r="MSA717" s="1176"/>
      <c r="MSB717" s="1176"/>
      <c r="MSC717" s="1176"/>
      <c r="MSD717" s="1176"/>
      <c r="MSE717" s="1176"/>
      <c r="MSF717" s="1176"/>
      <c r="MSG717" s="1176"/>
      <c r="MSH717" s="1176"/>
      <c r="MSI717" s="1176"/>
      <c r="MSJ717" s="1176"/>
      <c r="MSK717" s="1176"/>
      <c r="MSL717" s="1176"/>
      <c r="MSM717" s="1176"/>
      <c r="MSN717" s="1176"/>
      <c r="MSO717" s="1176"/>
      <c r="MSP717" s="1176"/>
      <c r="MSQ717" s="1176"/>
      <c r="MSR717" s="1176"/>
      <c r="MSS717" s="1176"/>
      <c r="MST717" s="1176"/>
      <c r="MSU717" s="1176"/>
      <c r="MSV717" s="1176"/>
      <c r="MSW717" s="1176"/>
      <c r="MSX717" s="1176"/>
      <c r="MSY717" s="1176"/>
      <c r="MSZ717" s="1176"/>
      <c r="MTA717" s="1176"/>
      <c r="MTB717" s="1176"/>
      <c r="MTC717" s="1176"/>
      <c r="MTD717" s="1176"/>
      <c r="MTE717" s="1176"/>
      <c r="MTF717" s="1176"/>
      <c r="MTG717" s="1176"/>
      <c r="MTH717" s="1176"/>
      <c r="MTI717" s="1176"/>
      <c r="MTJ717" s="1176"/>
      <c r="MTK717" s="1176"/>
      <c r="MTL717" s="1176"/>
      <c r="MTM717" s="1176"/>
      <c r="MTN717" s="1176"/>
      <c r="MTO717" s="1176"/>
      <c r="MTP717" s="1176"/>
      <c r="MTQ717" s="1176"/>
      <c r="MTR717" s="1176"/>
      <c r="MTS717" s="1176"/>
      <c r="MTT717" s="1176"/>
      <c r="MTU717" s="1176"/>
      <c r="MTV717" s="1176"/>
      <c r="MTW717" s="1176"/>
      <c r="MTX717" s="1176"/>
      <c r="MTY717" s="1176"/>
      <c r="MTZ717" s="1176"/>
      <c r="MUA717" s="1176"/>
      <c r="MUB717" s="1176"/>
      <c r="MUC717" s="1176"/>
      <c r="MUD717" s="1176"/>
      <c r="MUE717" s="1176"/>
      <c r="MUF717" s="1176"/>
      <c r="MUG717" s="1176"/>
      <c r="MUH717" s="1176"/>
      <c r="MUI717" s="1176"/>
      <c r="MUJ717" s="1176"/>
      <c r="MUK717" s="1176"/>
      <c r="MUL717" s="1176"/>
      <c r="MUM717" s="1176"/>
      <c r="MUN717" s="1176"/>
      <c r="MUO717" s="1176"/>
      <c r="MUP717" s="1176"/>
      <c r="MUQ717" s="1176"/>
      <c r="MUR717" s="1176"/>
      <c r="MUS717" s="1176"/>
      <c r="MUT717" s="1176"/>
      <c r="MUU717" s="1176"/>
      <c r="MUV717" s="1176"/>
      <c r="MUW717" s="1176"/>
      <c r="MUX717" s="1176"/>
      <c r="MUY717" s="1176"/>
      <c r="MUZ717" s="1176"/>
      <c r="MVA717" s="1176"/>
      <c r="MVB717" s="1176"/>
      <c r="MVC717" s="1176"/>
      <c r="MVD717" s="1176"/>
      <c r="MVE717" s="1176"/>
      <c r="MVF717" s="1176"/>
      <c r="MVG717" s="1176"/>
      <c r="MVH717" s="1176"/>
      <c r="MVI717" s="1176"/>
      <c r="MVJ717" s="1176"/>
      <c r="MVK717" s="1176"/>
      <c r="MVL717" s="1176"/>
      <c r="MVM717" s="1176"/>
      <c r="MVN717" s="1176"/>
      <c r="MVO717" s="1176"/>
      <c r="MVP717" s="1176"/>
      <c r="MVQ717" s="1176"/>
      <c r="MVR717" s="1176"/>
      <c r="MVS717" s="1176"/>
      <c r="MVT717" s="1176"/>
      <c r="MVU717" s="1176"/>
      <c r="MVV717" s="1176"/>
      <c r="MVW717" s="1176"/>
      <c r="MVX717" s="1176"/>
      <c r="MVY717" s="1176"/>
      <c r="MVZ717" s="1176"/>
      <c r="MWA717" s="1176"/>
      <c r="MWB717" s="1176"/>
      <c r="MWC717" s="1176"/>
      <c r="MWD717" s="1176"/>
      <c r="MWE717" s="1176"/>
      <c r="MWF717" s="1176"/>
      <c r="MWG717" s="1176"/>
      <c r="MWH717" s="1176"/>
      <c r="MWI717" s="1176"/>
      <c r="MWJ717" s="1176"/>
      <c r="MWK717" s="1176"/>
      <c r="MWL717" s="1176"/>
      <c r="MWM717" s="1176"/>
      <c r="MWN717" s="1176"/>
      <c r="MWO717" s="1176"/>
      <c r="MWP717" s="1176"/>
      <c r="MWQ717" s="1176"/>
      <c r="MWR717" s="1176"/>
      <c r="MWS717" s="1176"/>
      <c r="MWT717" s="1176"/>
      <c r="MWU717" s="1176"/>
      <c r="MWV717" s="1176"/>
      <c r="MWW717" s="1176"/>
      <c r="MWX717" s="1176"/>
      <c r="MWY717" s="1176"/>
      <c r="MWZ717" s="1176"/>
      <c r="MXA717" s="1176"/>
      <c r="MXB717" s="1176"/>
      <c r="MXC717" s="1176"/>
      <c r="MXD717" s="1176"/>
      <c r="MXE717" s="1176"/>
      <c r="MXF717" s="1176"/>
      <c r="MXG717" s="1176"/>
      <c r="MXH717" s="1176"/>
      <c r="MXI717" s="1176"/>
      <c r="MXJ717" s="1176"/>
      <c r="MXK717" s="1176"/>
      <c r="MXL717" s="1176"/>
      <c r="MXM717" s="1176"/>
      <c r="MXN717" s="1176"/>
      <c r="MXO717" s="1176"/>
      <c r="MXP717" s="1176"/>
      <c r="MXQ717" s="1176"/>
      <c r="MXR717" s="1176"/>
      <c r="MXS717" s="1176"/>
      <c r="MXT717" s="1176"/>
      <c r="MXU717" s="1176"/>
      <c r="MXV717" s="1176"/>
      <c r="MXW717" s="1176"/>
      <c r="MXX717" s="1176"/>
      <c r="MXY717" s="1176"/>
      <c r="MXZ717" s="1176"/>
      <c r="MYA717" s="1176"/>
      <c r="MYB717" s="1176"/>
      <c r="MYC717" s="1176"/>
      <c r="MYD717" s="1176"/>
      <c r="MYE717" s="1176"/>
      <c r="MYF717" s="1176"/>
      <c r="MYG717" s="1176"/>
      <c r="MYH717" s="1176"/>
      <c r="MYI717" s="1176"/>
      <c r="MYJ717" s="1176"/>
      <c r="MYK717" s="1176"/>
      <c r="MYL717" s="1176"/>
      <c r="MYM717" s="1176"/>
      <c r="MYN717" s="1176"/>
      <c r="MYO717" s="1176"/>
      <c r="MYP717" s="1176"/>
      <c r="MYQ717" s="1176"/>
      <c r="MYR717" s="1176"/>
      <c r="MYS717" s="1176"/>
      <c r="MYT717" s="1176"/>
      <c r="MYU717" s="1176"/>
      <c r="MYV717" s="1176"/>
      <c r="MYW717" s="1176"/>
      <c r="MYX717" s="1176"/>
      <c r="MYY717" s="1176"/>
      <c r="MYZ717" s="1176"/>
      <c r="MZA717" s="1176"/>
      <c r="MZB717" s="1176"/>
      <c r="MZC717" s="1176"/>
      <c r="MZD717" s="1176"/>
      <c r="MZE717" s="1176"/>
      <c r="MZF717" s="1176"/>
      <c r="MZG717" s="1176"/>
      <c r="MZH717" s="1176"/>
      <c r="MZI717" s="1176"/>
      <c r="MZJ717" s="1176"/>
      <c r="MZK717" s="1176"/>
      <c r="MZL717" s="1176"/>
      <c r="MZM717" s="1176"/>
      <c r="MZN717" s="1176"/>
      <c r="MZO717" s="1176"/>
      <c r="MZP717" s="1176"/>
      <c r="MZQ717" s="1176"/>
      <c r="MZR717" s="1176"/>
      <c r="MZS717" s="1176"/>
      <c r="MZT717" s="1176"/>
      <c r="MZU717" s="1176"/>
      <c r="MZV717" s="1176"/>
      <c r="MZW717" s="1176"/>
      <c r="MZX717" s="1176"/>
      <c r="MZY717" s="1176"/>
      <c r="MZZ717" s="1176"/>
      <c r="NAA717" s="1176"/>
      <c r="NAB717" s="1176"/>
      <c r="NAC717" s="1176"/>
      <c r="NAD717" s="1176"/>
      <c r="NAE717" s="1176"/>
      <c r="NAF717" s="1176"/>
      <c r="NAG717" s="1176"/>
      <c r="NAH717" s="1176"/>
      <c r="NAI717" s="1176"/>
      <c r="NAJ717" s="1176"/>
      <c r="NAK717" s="1176"/>
      <c r="NAL717" s="1176"/>
      <c r="NAM717" s="1176"/>
      <c r="NAN717" s="1176"/>
      <c r="NAO717" s="1176"/>
      <c r="NAP717" s="1176"/>
      <c r="NAQ717" s="1176"/>
      <c r="NAR717" s="1176"/>
      <c r="NAS717" s="1176"/>
      <c r="NAT717" s="1176"/>
      <c r="NAU717" s="1176"/>
      <c r="NAV717" s="1176"/>
      <c r="NAW717" s="1176"/>
      <c r="NAX717" s="1176"/>
      <c r="NAY717" s="1176"/>
      <c r="NAZ717" s="1176"/>
      <c r="NBA717" s="1176"/>
      <c r="NBB717" s="1176"/>
      <c r="NBC717" s="1176"/>
      <c r="NBD717" s="1176"/>
      <c r="NBE717" s="1176"/>
      <c r="NBF717" s="1176"/>
      <c r="NBG717" s="1176"/>
      <c r="NBH717" s="1176"/>
      <c r="NBI717" s="1176"/>
      <c r="NBJ717" s="1176"/>
      <c r="NBK717" s="1176"/>
      <c r="NBL717" s="1176"/>
      <c r="NBM717" s="1176"/>
      <c r="NBN717" s="1176"/>
      <c r="NBO717" s="1176"/>
      <c r="NBP717" s="1176"/>
      <c r="NBQ717" s="1176"/>
      <c r="NBR717" s="1176"/>
      <c r="NBS717" s="1176"/>
      <c r="NBT717" s="1176"/>
      <c r="NBU717" s="1176"/>
      <c r="NBV717" s="1176"/>
      <c r="NBW717" s="1176"/>
      <c r="NBX717" s="1176"/>
      <c r="NBY717" s="1176"/>
      <c r="NBZ717" s="1176"/>
      <c r="NCA717" s="1176"/>
      <c r="NCB717" s="1176"/>
      <c r="NCC717" s="1176"/>
      <c r="NCD717" s="1176"/>
      <c r="NCE717" s="1176"/>
      <c r="NCF717" s="1176"/>
      <c r="NCG717" s="1176"/>
      <c r="NCH717" s="1176"/>
      <c r="NCI717" s="1176"/>
      <c r="NCJ717" s="1176"/>
      <c r="NCK717" s="1176"/>
      <c r="NCL717" s="1176"/>
      <c r="NCM717" s="1176"/>
      <c r="NCN717" s="1176"/>
      <c r="NCO717" s="1176"/>
      <c r="NCP717" s="1176"/>
      <c r="NCQ717" s="1176"/>
      <c r="NCR717" s="1176"/>
      <c r="NCS717" s="1176"/>
      <c r="NCT717" s="1176"/>
      <c r="NCU717" s="1176"/>
      <c r="NCV717" s="1176"/>
      <c r="NCW717" s="1176"/>
      <c r="NCX717" s="1176"/>
      <c r="NCY717" s="1176"/>
      <c r="NCZ717" s="1176"/>
      <c r="NDA717" s="1176"/>
      <c r="NDB717" s="1176"/>
      <c r="NDC717" s="1176"/>
      <c r="NDD717" s="1176"/>
      <c r="NDE717" s="1176"/>
      <c r="NDF717" s="1176"/>
      <c r="NDG717" s="1176"/>
      <c r="NDH717" s="1176"/>
      <c r="NDI717" s="1176"/>
      <c r="NDJ717" s="1176"/>
      <c r="NDK717" s="1176"/>
      <c r="NDL717" s="1176"/>
      <c r="NDM717" s="1176"/>
      <c r="NDN717" s="1176"/>
      <c r="NDO717" s="1176"/>
      <c r="NDP717" s="1176"/>
      <c r="NDQ717" s="1176"/>
      <c r="NDR717" s="1176"/>
      <c r="NDS717" s="1176"/>
      <c r="NDT717" s="1176"/>
      <c r="NDU717" s="1176"/>
      <c r="NDV717" s="1176"/>
      <c r="NDW717" s="1176"/>
      <c r="NDX717" s="1176"/>
      <c r="NDY717" s="1176"/>
      <c r="NDZ717" s="1176"/>
      <c r="NEA717" s="1176"/>
      <c r="NEB717" s="1176"/>
      <c r="NEC717" s="1176"/>
      <c r="NED717" s="1176"/>
      <c r="NEE717" s="1176"/>
      <c r="NEF717" s="1176"/>
      <c r="NEG717" s="1176"/>
      <c r="NEH717" s="1176"/>
      <c r="NEI717" s="1176"/>
      <c r="NEJ717" s="1176"/>
      <c r="NEK717" s="1176"/>
      <c r="NEL717" s="1176"/>
      <c r="NEM717" s="1176"/>
      <c r="NEN717" s="1176"/>
      <c r="NEO717" s="1176"/>
      <c r="NEP717" s="1176"/>
      <c r="NEQ717" s="1176"/>
      <c r="NER717" s="1176"/>
      <c r="NES717" s="1176"/>
      <c r="NET717" s="1176"/>
      <c r="NEU717" s="1176"/>
      <c r="NEV717" s="1176"/>
      <c r="NEW717" s="1176"/>
      <c r="NEX717" s="1176"/>
      <c r="NEY717" s="1176"/>
      <c r="NEZ717" s="1176"/>
      <c r="NFA717" s="1176"/>
      <c r="NFB717" s="1176"/>
      <c r="NFC717" s="1176"/>
      <c r="NFD717" s="1176"/>
      <c r="NFE717" s="1176"/>
      <c r="NFF717" s="1176"/>
      <c r="NFG717" s="1176"/>
      <c r="NFH717" s="1176"/>
      <c r="NFI717" s="1176"/>
      <c r="NFJ717" s="1176"/>
      <c r="NFK717" s="1176"/>
      <c r="NFL717" s="1176"/>
      <c r="NFM717" s="1176"/>
      <c r="NFN717" s="1176"/>
      <c r="NFO717" s="1176"/>
      <c r="NFP717" s="1176"/>
      <c r="NFQ717" s="1176"/>
      <c r="NFR717" s="1176"/>
      <c r="NFS717" s="1176"/>
      <c r="NFT717" s="1176"/>
      <c r="NFU717" s="1176"/>
      <c r="NFV717" s="1176"/>
      <c r="NFW717" s="1176"/>
      <c r="NFX717" s="1176"/>
      <c r="NFY717" s="1176"/>
      <c r="NFZ717" s="1176"/>
      <c r="NGA717" s="1176"/>
      <c r="NGB717" s="1176"/>
      <c r="NGC717" s="1176"/>
      <c r="NGD717" s="1176"/>
      <c r="NGE717" s="1176"/>
      <c r="NGF717" s="1176"/>
      <c r="NGG717" s="1176"/>
      <c r="NGH717" s="1176"/>
      <c r="NGI717" s="1176"/>
      <c r="NGJ717" s="1176"/>
      <c r="NGK717" s="1176"/>
      <c r="NGL717" s="1176"/>
      <c r="NGM717" s="1176"/>
      <c r="NGN717" s="1176"/>
      <c r="NGO717" s="1176"/>
      <c r="NGP717" s="1176"/>
      <c r="NGQ717" s="1176"/>
      <c r="NGR717" s="1176"/>
      <c r="NGS717" s="1176"/>
      <c r="NGT717" s="1176"/>
      <c r="NGU717" s="1176"/>
      <c r="NGV717" s="1176"/>
      <c r="NGW717" s="1176"/>
      <c r="NGX717" s="1176"/>
      <c r="NGY717" s="1176"/>
      <c r="NGZ717" s="1176"/>
      <c r="NHA717" s="1176"/>
      <c r="NHB717" s="1176"/>
      <c r="NHC717" s="1176"/>
      <c r="NHD717" s="1176"/>
      <c r="NHE717" s="1176"/>
      <c r="NHF717" s="1176"/>
      <c r="NHG717" s="1176"/>
      <c r="NHH717" s="1176"/>
      <c r="NHI717" s="1176"/>
      <c r="NHJ717" s="1176"/>
      <c r="NHK717" s="1176"/>
      <c r="NHL717" s="1176"/>
      <c r="NHM717" s="1176"/>
      <c r="NHN717" s="1176"/>
      <c r="NHO717" s="1176"/>
      <c r="NHP717" s="1176"/>
      <c r="NHQ717" s="1176"/>
      <c r="NHR717" s="1176"/>
      <c r="NHS717" s="1176"/>
      <c r="NHT717" s="1176"/>
      <c r="NHU717" s="1176"/>
      <c r="NHV717" s="1176"/>
      <c r="NHW717" s="1176"/>
      <c r="NHX717" s="1176"/>
      <c r="NHY717" s="1176"/>
      <c r="NHZ717" s="1176"/>
      <c r="NIA717" s="1176"/>
      <c r="NIB717" s="1176"/>
      <c r="NIC717" s="1176"/>
      <c r="NID717" s="1176"/>
      <c r="NIE717" s="1176"/>
      <c r="NIF717" s="1176"/>
      <c r="NIG717" s="1176"/>
      <c r="NIH717" s="1176"/>
      <c r="NII717" s="1176"/>
      <c r="NIJ717" s="1176"/>
      <c r="NIK717" s="1176"/>
      <c r="NIL717" s="1176"/>
      <c r="NIM717" s="1176"/>
      <c r="NIN717" s="1176"/>
      <c r="NIO717" s="1176"/>
      <c r="NIP717" s="1176"/>
      <c r="NIQ717" s="1176"/>
      <c r="NIR717" s="1176"/>
      <c r="NIS717" s="1176"/>
      <c r="NIT717" s="1176"/>
      <c r="NIU717" s="1176"/>
      <c r="NIV717" s="1176"/>
      <c r="NIW717" s="1176"/>
      <c r="NIX717" s="1176"/>
      <c r="NIY717" s="1176"/>
      <c r="NIZ717" s="1176"/>
      <c r="NJA717" s="1176"/>
      <c r="NJB717" s="1176"/>
      <c r="NJC717" s="1176"/>
      <c r="NJD717" s="1176"/>
      <c r="NJE717" s="1176"/>
      <c r="NJF717" s="1176"/>
      <c r="NJG717" s="1176"/>
      <c r="NJH717" s="1176"/>
      <c r="NJI717" s="1176"/>
      <c r="NJJ717" s="1176"/>
      <c r="NJK717" s="1176"/>
      <c r="NJL717" s="1176"/>
      <c r="NJM717" s="1176"/>
      <c r="NJN717" s="1176"/>
      <c r="NJO717" s="1176"/>
      <c r="NJP717" s="1176"/>
      <c r="NJQ717" s="1176"/>
      <c r="NJR717" s="1176"/>
      <c r="NJS717" s="1176"/>
      <c r="NJT717" s="1176"/>
      <c r="NJU717" s="1176"/>
      <c r="NJV717" s="1176"/>
      <c r="NJW717" s="1176"/>
      <c r="NJX717" s="1176"/>
      <c r="NJY717" s="1176"/>
      <c r="NJZ717" s="1176"/>
      <c r="NKA717" s="1176"/>
      <c r="NKB717" s="1176"/>
      <c r="NKC717" s="1176"/>
      <c r="NKD717" s="1176"/>
      <c r="NKE717" s="1176"/>
      <c r="NKF717" s="1176"/>
      <c r="NKG717" s="1176"/>
      <c r="NKH717" s="1176"/>
      <c r="NKI717" s="1176"/>
      <c r="NKJ717" s="1176"/>
      <c r="NKK717" s="1176"/>
      <c r="NKL717" s="1176"/>
      <c r="NKM717" s="1176"/>
      <c r="NKN717" s="1176"/>
      <c r="NKO717" s="1176"/>
      <c r="NKP717" s="1176"/>
      <c r="NKQ717" s="1176"/>
      <c r="NKR717" s="1176"/>
      <c r="NKS717" s="1176"/>
      <c r="NKT717" s="1176"/>
      <c r="NKU717" s="1176"/>
      <c r="NKV717" s="1176"/>
      <c r="NKW717" s="1176"/>
      <c r="NKX717" s="1176"/>
      <c r="NKY717" s="1176"/>
      <c r="NKZ717" s="1176"/>
      <c r="NLA717" s="1176"/>
      <c r="NLB717" s="1176"/>
      <c r="NLC717" s="1176"/>
      <c r="NLD717" s="1176"/>
      <c r="NLE717" s="1176"/>
      <c r="NLF717" s="1176"/>
      <c r="NLG717" s="1176"/>
      <c r="NLH717" s="1176"/>
      <c r="NLI717" s="1176"/>
      <c r="NLJ717" s="1176"/>
      <c r="NLK717" s="1176"/>
      <c r="NLL717" s="1176"/>
      <c r="NLM717" s="1176"/>
      <c r="NLN717" s="1176"/>
      <c r="NLO717" s="1176"/>
      <c r="NLP717" s="1176"/>
      <c r="NLQ717" s="1176"/>
      <c r="NLR717" s="1176"/>
      <c r="NLS717" s="1176"/>
      <c r="NLT717" s="1176"/>
      <c r="NLU717" s="1176"/>
      <c r="NLV717" s="1176"/>
      <c r="NLW717" s="1176"/>
      <c r="NLX717" s="1176"/>
      <c r="NLY717" s="1176"/>
      <c r="NLZ717" s="1176"/>
      <c r="NMA717" s="1176"/>
      <c r="NMB717" s="1176"/>
      <c r="NMC717" s="1176"/>
      <c r="NMD717" s="1176"/>
      <c r="NME717" s="1176"/>
      <c r="NMF717" s="1176"/>
      <c r="NMG717" s="1176"/>
      <c r="NMH717" s="1176"/>
      <c r="NMI717" s="1176"/>
      <c r="NMJ717" s="1176"/>
      <c r="NMK717" s="1176"/>
      <c r="NML717" s="1176"/>
      <c r="NMM717" s="1176"/>
      <c r="NMN717" s="1176"/>
      <c r="NMO717" s="1176"/>
      <c r="NMP717" s="1176"/>
      <c r="NMQ717" s="1176"/>
      <c r="NMR717" s="1176"/>
      <c r="NMS717" s="1176"/>
      <c r="NMT717" s="1176"/>
      <c r="NMU717" s="1176"/>
      <c r="NMV717" s="1176"/>
      <c r="NMW717" s="1176"/>
      <c r="NMX717" s="1176"/>
      <c r="NMY717" s="1176"/>
      <c r="NMZ717" s="1176"/>
      <c r="NNA717" s="1176"/>
      <c r="NNB717" s="1176"/>
      <c r="NNC717" s="1176"/>
      <c r="NND717" s="1176"/>
      <c r="NNE717" s="1176"/>
      <c r="NNF717" s="1176"/>
      <c r="NNG717" s="1176"/>
      <c r="NNH717" s="1176"/>
      <c r="NNI717" s="1176"/>
      <c r="NNJ717" s="1176"/>
      <c r="NNK717" s="1176"/>
      <c r="NNL717" s="1176"/>
      <c r="NNM717" s="1176"/>
      <c r="NNN717" s="1176"/>
      <c r="NNO717" s="1176"/>
      <c r="NNP717" s="1176"/>
      <c r="NNQ717" s="1176"/>
      <c r="NNR717" s="1176"/>
      <c r="NNS717" s="1176"/>
      <c r="NNT717" s="1176"/>
      <c r="NNU717" s="1176"/>
      <c r="NNV717" s="1176"/>
      <c r="NNW717" s="1176"/>
      <c r="NNX717" s="1176"/>
      <c r="NNY717" s="1176"/>
      <c r="NNZ717" s="1176"/>
      <c r="NOA717" s="1176"/>
      <c r="NOB717" s="1176"/>
      <c r="NOC717" s="1176"/>
      <c r="NOD717" s="1176"/>
      <c r="NOE717" s="1176"/>
      <c r="NOF717" s="1176"/>
      <c r="NOG717" s="1176"/>
      <c r="NOH717" s="1176"/>
      <c r="NOI717" s="1176"/>
      <c r="NOJ717" s="1176"/>
      <c r="NOK717" s="1176"/>
      <c r="NOL717" s="1176"/>
      <c r="NOM717" s="1176"/>
      <c r="NON717" s="1176"/>
      <c r="NOO717" s="1176"/>
      <c r="NOP717" s="1176"/>
      <c r="NOQ717" s="1176"/>
      <c r="NOR717" s="1176"/>
      <c r="NOS717" s="1176"/>
      <c r="NOT717" s="1176"/>
      <c r="NOU717" s="1176"/>
      <c r="NOV717" s="1176"/>
      <c r="NOW717" s="1176"/>
      <c r="NOX717" s="1176"/>
      <c r="NOY717" s="1176"/>
      <c r="NOZ717" s="1176"/>
      <c r="NPA717" s="1176"/>
      <c r="NPB717" s="1176"/>
      <c r="NPC717" s="1176"/>
      <c r="NPD717" s="1176"/>
      <c r="NPE717" s="1176"/>
      <c r="NPF717" s="1176"/>
      <c r="NPG717" s="1176"/>
      <c r="NPH717" s="1176"/>
      <c r="NPI717" s="1176"/>
      <c r="NPJ717" s="1176"/>
      <c r="NPK717" s="1176"/>
      <c r="NPL717" s="1176"/>
      <c r="NPM717" s="1176"/>
      <c r="NPN717" s="1176"/>
      <c r="NPO717" s="1176"/>
      <c r="NPP717" s="1176"/>
      <c r="NPQ717" s="1176"/>
      <c r="NPR717" s="1176"/>
      <c r="NPS717" s="1176"/>
      <c r="NPT717" s="1176"/>
      <c r="NPU717" s="1176"/>
      <c r="NPV717" s="1176"/>
      <c r="NPW717" s="1176"/>
      <c r="NPX717" s="1176"/>
      <c r="NPY717" s="1176"/>
      <c r="NPZ717" s="1176"/>
      <c r="NQA717" s="1176"/>
      <c r="NQB717" s="1176"/>
      <c r="NQC717" s="1176"/>
      <c r="NQD717" s="1176"/>
      <c r="NQE717" s="1176"/>
      <c r="NQF717" s="1176"/>
      <c r="NQG717" s="1176"/>
      <c r="NQH717" s="1176"/>
      <c r="NQI717" s="1176"/>
      <c r="NQJ717" s="1176"/>
      <c r="NQK717" s="1176"/>
      <c r="NQL717" s="1176"/>
      <c r="NQM717" s="1176"/>
      <c r="NQN717" s="1176"/>
      <c r="NQO717" s="1176"/>
      <c r="NQP717" s="1176"/>
      <c r="NQQ717" s="1176"/>
      <c r="NQR717" s="1176"/>
      <c r="NQS717" s="1176"/>
      <c r="NQT717" s="1176"/>
      <c r="NQU717" s="1176"/>
      <c r="NQV717" s="1176"/>
      <c r="NQW717" s="1176"/>
      <c r="NQX717" s="1176"/>
      <c r="NQY717" s="1176"/>
      <c r="NQZ717" s="1176"/>
      <c r="NRA717" s="1176"/>
      <c r="NRB717" s="1176"/>
      <c r="NRC717" s="1176"/>
      <c r="NRD717" s="1176"/>
      <c r="NRE717" s="1176"/>
      <c r="NRF717" s="1176"/>
      <c r="NRG717" s="1176"/>
      <c r="NRH717" s="1176"/>
      <c r="NRI717" s="1176"/>
      <c r="NRJ717" s="1176"/>
      <c r="NRK717" s="1176"/>
      <c r="NRL717" s="1176"/>
      <c r="NRM717" s="1176"/>
      <c r="NRN717" s="1176"/>
      <c r="NRO717" s="1176"/>
      <c r="NRP717" s="1176"/>
      <c r="NRQ717" s="1176"/>
      <c r="NRR717" s="1176"/>
      <c r="NRS717" s="1176"/>
      <c r="NRT717" s="1176"/>
      <c r="NRU717" s="1176"/>
      <c r="NRV717" s="1176"/>
      <c r="NRW717" s="1176"/>
      <c r="NRX717" s="1176"/>
      <c r="NRY717" s="1176"/>
      <c r="NRZ717" s="1176"/>
      <c r="NSA717" s="1176"/>
      <c r="NSB717" s="1176"/>
      <c r="NSC717" s="1176"/>
      <c r="NSD717" s="1176"/>
      <c r="NSE717" s="1176"/>
      <c r="NSF717" s="1176"/>
      <c r="NSG717" s="1176"/>
      <c r="NSH717" s="1176"/>
      <c r="NSI717" s="1176"/>
      <c r="NSJ717" s="1176"/>
      <c r="NSK717" s="1176"/>
      <c r="NSL717" s="1176"/>
      <c r="NSM717" s="1176"/>
      <c r="NSN717" s="1176"/>
      <c r="NSO717" s="1176"/>
      <c r="NSP717" s="1176"/>
      <c r="NSQ717" s="1176"/>
      <c r="NSR717" s="1176"/>
      <c r="NSS717" s="1176"/>
      <c r="NST717" s="1176"/>
      <c r="NSU717" s="1176"/>
      <c r="NSV717" s="1176"/>
      <c r="NSW717" s="1176"/>
      <c r="NSX717" s="1176"/>
      <c r="NSY717" s="1176"/>
      <c r="NSZ717" s="1176"/>
      <c r="NTA717" s="1176"/>
      <c r="NTB717" s="1176"/>
      <c r="NTC717" s="1176"/>
      <c r="NTD717" s="1176"/>
      <c r="NTE717" s="1176"/>
      <c r="NTF717" s="1176"/>
      <c r="NTG717" s="1176"/>
      <c r="NTH717" s="1176"/>
      <c r="NTI717" s="1176"/>
      <c r="NTJ717" s="1176"/>
      <c r="NTK717" s="1176"/>
      <c r="NTL717" s="1176"/>
      <c r="NTM717" s="1176"/>
      <c r="NTN717" s="1176"/>
      <c r="NTO717" s="1176"/>
      <c r="NTP717" s="1176"/>
      <c r="NTQ717" s="1176"/>
      <c r="NTR717" s="1176"/>
      <c r="NTS717" s="1176"/>
      <c r="NTT717" s="1176"/>
      <c r="NTU717" s="1176"/>
      <c r="NTV717" s="1176"/>
      <c r="NTW717" s="1176"/>
      <c r="NTX717" s="1176"/>
      <c r="NTY717" s="1176"/>
      <c r="NTZ717" s="1176"/>
      <c r="NUA717" s="1176"/>
      <c r="NUB717" s="1176"/>
      <c r="NUC717" s="1176"/>
      <c r="NUD717" s="1176"/>
      <c r="NUE717" s="1176"/>
      <c r="NUF717" s="1176"/>
      <c r="NUG717" s="1176"/>
      <c r="NUH717" s="1176"/>
      <c r="NUI717" s="1176"/>
      <c r="NUJ717" s="1176"/>
      <c r="NUK717" s="1176"/>
      <c r="NUL717" s="1176"/>
      <c r="NUM717" s="1176"/>
      <c r="NUN717" s="1176"/>
      <c r="NUO717" s="1176"/>
      <c r="NUP717" s="1176"/>
      <c r="NUQ717" s="1176"/>
      <c r="NUR717" s="1176"/>
      <c r="NUS717" s="1176"/>
      <c r="NUT717" s="1176"/>
      <c r="NUU717" s="1176"/>
      <c r="NUV717" s="1176"/>
      <c r="NUW717" s="1176"/>
      <c r="NUX717" s="1176"/>
      <c r="NUY717" s="1176"/>
      <c r="NUZ717" s="1176"/>
      <c r="NVA717" s="1176"/>
      <c r="NVB717" s="1176"/>
      <c r="NVC717" s="1176"/>
      <c r="NVD717" s="1176"/>
      <c r="NVE717" s="1176"/>
      <c r="NVF717" s="1176"/>
      <c r="NVG717" s="1176"/>
      <c r="NVH717" s="1176"/>
      <c r="NVI717" s="1176"/>
      <c r="NVJ717" s="1176"/>
      <c r="NVK717" s="1176"/>
      <c r="NVL717" s="1176"/>
      <c r="NVM717" s="1176"/>
      <c r="NVN717" s="1176"/>
      <c r="NVO717" s="1176"/>
      <c r="NVP717" s="1176"/>
      <c r="NVQ717" s="1176"/>
      <c r="NVR717" s="1176"/>
      <c r="NVS717" s="1176"/>
      <c r="NVT717" s="1176"/>
      <c r="NVU717" s="1176"/>
      <c r="NVV717" s="1176"/>
      <c r="NVW717" s="1176"/>
      <c r="NVX717" s="1176"/>
      <c r="NVY717" s="1176"/>
      <c r="NVZ717" s="1176"/>
      <c r="NWA717" s="1176"/>
      <c r="NWB717" s="1176"/>
      <c r="NWC717" s="1176"/>
      <c r="NWD717" s="1176"/>
      <c r="NWE717" s="1176"/>
      <c r="NWF717" s="1176"/>
      <c r="NWG717" s="1176"/>
      <c r="NWH717" s="1176"/>
      <c r="NWI717" s="1176"/>
      <c r="NWJ717" s="1176"/>
      <c r="NWK717" s="1176"/>
      <c r="NWL717" s="1176"/>
      <c r="NWM717" s="1176"/>
      <c r="NWN717" s="1176"/>
      <c r="NWO717" s="1176"/>
      <c r="NWP717" s="1176"/>
      <c r="NWQ717" s="1176"/>
      <c r="NWR717" s="1176"/>
      <c r="NWS717" s="1176"/>
      <c r="NWT717" s="1176"/>
      <c r="NWU717" s="1176"/>
      <c r="NWV717" s="1176"/>
      <c r="NWW717" s="1176"/>
      <c r="NWX717" s="1176"/>
      <c r="NWY717" s="1176"/>
      <c r="NWZ717" s="1176"/>
      <c r="NXA717" s="1176"/>
      <c r="NXB717" s="1176"/>
      <c r="NXC717" s="1176"/>
      <c r="NXD717" s="1176"/>
      <c r="NXE717" s="1176"/>
      <c r="NXF717" s="1176"/>
      <c r="NXG717" s="1176"/>
      <c r="NXH717" s="1176"/>
      <c r="NXI717" s="1176"/>
      <c r="NXJ717" s="1176"/>
      <c r="NXK717" s="1176"/>
      <c r="NXL717" s="1176"/>
      <c r="NXM717" s="1176"/>
      <c r="NXN717" s="1176"/>
      <c r="NXO717" s="1176"/>
      <c r="NXP717" s="1176"/>
      <c r="NXQ717" s="1176"/>
      <c r="NXR717" s="1176"/>
      <c r="NXS717" s="1176"/>
      <c r="NXT717" s="1176"/>
      <c r="NXU717" s="1176"/>
      <c r="NXV717" s="1176"/>
      <c r="NXW717" s="1176"/>
      <c r="NXX717" s="1176"/>
      <c r="NXY717" s="1176"/>
      <c r="NXZ717" s="1176"/>
      <c r="NYA717" s="1176"/>
      <c r="NYB717" s="1176"/>
      <c r="NYC717" s="1176"/>
      <c r="NYD717" s="1176"/>
      <c r="NYE717" s="1176"/>
      <c r="NYF717" s="1176"/>
      <c r="NYG717" s="1176"/>
      <c r="NYH717" s="1176"/>
      <c r="NYI717" s="1176"/>
      <c r="NYJ717" s="1176"/>
      <c r="NYK717" s="1176"/>
      <c r="NYL717" s="1176"/>
      <c r="NYM717" s="1176"/>
      <c r="NYN717" s="1176"/>
      <c r="NYO717" s="1176"/>
      <c r="NYP717" s="1176"/>
      <c r="NYQ717" s="1176"/>
      <c r="NYR717" s="1176"/>
      <c r="NYS717" s="1176"/>
      <c r="NYT717" s="1176"/>
      <c r="NYU717" s="1176"/>
      <c r="NYV717" s="1176"/>
      <c r="NYW717" s="1176"/>
      <c r="NYX717" s="1176"/>
      <c r="NYY717" s="1176"/>
      <c r="NYZ717" s="1176"/>
      <c r="NZA717" s="1176"/>
      <c r="NZB717" s="1176"/>
      <c r="NZC717" s="1176"/>
      <c r="NZD717" s="1176"/>
      <c r="NZE717" s="1176"/>
      <c r="NZF717" s="1176"/>
      <c r="NZG717" s="1176"/>
      <c r="NZH717" s="1176"/>
      <c r="NZI717" s="1176"/>
      <c r="NZJ717" s="1176"/>
      <c r="NZK717" s="1176"/>
      <c r="NZL717" s="1176"/>
      <c r="NZM717" s="1176"/>
      <c r="NZN717" s="1176"/>
      <c r="NZO717" s="1176"/>
      <c r="NZP717" s="1176"/>
      <c r="NZQ717" s="1176"/>
      <c r="NZR717" s="1176"/>
      <c r="NZS717" s="1176"/>
      <c r="NZT717" s="1176"/>
      <c r="NZU717" s="1176"/>
      <c r="NZV717" s="1176"/>
      <c r="NZW717" s="1176"/>
      <c r="NZX717" s="1176"/>
      <c r="NZY717" s="1176"/>
      <c r="NZZ717" s="1176"/>
      <c r="OAA717" s="1176"/>
      <c r="OAB717" s="1176"/>
      <c r="OAC717" s="1176"/>
      <c r="OAD717" s="1176"/>
      <c r="OAE717" s="1176"/>
      <c r="OAF717" s="1176"/>
      <c r="OAG717" s="1176"/>
      <c r="OAH717" s="1176"/>
      <c r="OAI717" s="1176"/>
      <c r="OAJ717" s="1176"/>
      <c r="OAK717" s="1176"/>
      <c r="OAL717" s="1176"/>
      <c r="OAM717" s="1176"/>
      <c r="OAN717" s="1176"/>
      <c r="OAO717" s="1176"/>
      <c r="OAP717" s="1176"/>
      <c r="OAQ717" s="1176"/>
      <c r="OAR717" s="1176"/>
      <c r="OAS717" s="1176"/>
      <c r="OAT717" s="1176"/>
      <c r="OAU717" s="1176"/>
      <c r="OAV717" s="1176"/>
      <c r="OAW717" s="1176"/>
      <c r="OAX717" s="1176"/>
      <c r="OAY717" s="1176"/>
      <c r="OAZ717" s="1176"/>
      <c r="OBA717" s="1176"/>
      <c r="OBB717" s="1176"/>
      <c r="OBC717" s="1176"/>
      <c r="OBD717" s="1176"/>
      <c r="OBE717" s="1176"/>
      <c r="OBF717" s="1176"/>
      <c r="OBG717" s="1176"/>
      <c r="OBH717" s="1176"/>
      <c r="OBI717" s="1176"/>
      <c r="OBJ717" s="1176"/>
      <c r="OBK717" s="1176"/>
      <c r="OBL717" s="1176"/>
      <c r="OBM717" s="1176"/>
      <c r="OBN717" s="1176"/>
      <c r="OBO717" s="1176"/>
      <c r="OBP717" s="1176"/>
      <c r="OBQ717" s="1176"/>
      <c r="OBR717" s="1176"/>
      <c r="OBS717" s="1176"/>
      <c r="OBT717" s="1176"/>
      <c r="OBU717" s="1176"/>
      <c r="OBV717" s="1176"/>
      <c r="OBW717" s="1176"/>
      <c r="OBX717" s="1176"/>
      <c r="OBY717" s="1176"/>
      <c r="OBZ717" s="1176"/>
      <c r="OCA717" s="1176"/>
      <c r="OCB717" s="1176"/>
      <c r="OCC717" s="1176"/>
      <c r="OCD717" s="1176"/>
      <c r="OCE717" s="1176"/>
      <c r="OCF717" s="1176"/>
      <c r="OCG717" s="1176"/>
      <c r="OCH717" s="1176"/>
      <c r="OCI717" s="1176"/>
      <c r="OCJ717" s="1176"/>
      <c r="OCK717" s="1176"/>
      <c r="OCL717" s="1176"/>
      <c r="OCM717" s="1176"/>
      <c r="OCN717" s="1176"/>
      <c r="OCO717" s="1176"/>
      <c r="OCP717" s="1176"/>
      <c r="OCQ717" s="1176"/>
      <c r="OCR717" s="1176"/>
      <c r="OCS717" s="1176"/>
      <c r="OCT717" s="1176"/>
      <c r="OCU717" s="1176"/>
      <c r="OCV717" s="1176"/>
      <c r="OCW717" s="1176"/>
      <c r="OCX717" s="1176"/>
      <c r="OCY717" s="1176"/>
      <c r="OCZ717" s="1176"/>
      <c r="ODA717" s="1176"/>
      <c r="ODB717" s="1176"/>
      <c r="ODC717" s="1176"/>
      <c r="ODD717" s="1176"/>
      <c r="ODE717" s="1176"/>
      <c r="ODF717" s="1176"/>
      <c r="ODG717" s="1176"/>
      <c r="ODH717" s="1176"/>
      <c r="ODI717" s="1176"/>
      <c r="ODJ717" s="1176"/>
      <c r="ODK717" s="1176"/>
      <c r="ODL717" s="1176"/>
      <c r="ODM717" s="1176"/>
      <c r="ODN717" s="1176"/>
      <c r="ODO717" s="1176"/>
      <c r="ODP717" s="1176"/>
      <c r="ODQ717" s="1176"/>
      <c r="ODR717" s="1176"/>
      <c r="ODS717" s="1176"/>
      <c r="ODT717" s="1176"/>
      <c r="ODU717" s="1176"/>
      <c r="ODV717" s="1176"/>
      <c r="ODW717" s="1176"/>
      <c r="ODX717" s="1176"/>
      <c r="ODY717" s="1176"/>
      <c r="ODZ717" s="1176"/>
      <c r="OEA717" s="1176"/>
      <c r="OEB717" s="1176"/>
      <c r="OEC717" s="1176"/>
      <c r="OED717" s="1176"/>
      <c r="OEE717" s="1176"/>
      <c r="OEF717" s="1176"/>
      <c r="OEG717" s="1176"/>
      <c r="OEH717" s="1176"/>
      <c r="OEI717" s="1176"/>
      <c r="OEJ717" s="1176"/>
      <c r="OEK717" s="1176"/>
      <c r="OEL717" s="1176"/>
      <c r="OEM717" s="1176"/>
      <c r="OEN717" s="1176"/>
      <c r="OEO717" s="1176"/>
      <c r="OEP717" s="1176"/>
      <c r="OEQ717" s="1176"/>
      <c r="OER717" s="1176"/>
      <c r="OES717" s="1176"/>
      <c r="OET717" s="1176"/>
      <c r="OEU717" s="1176"/>
      <c r="OEV717" s="1176"/>
      <c r="OEW717" s="1176"/>
      <c r="OEX717" s="1176"/>
      <c r="OEY717" s="1176"/>
      <c r="OEZ717" s="1176"/>
      <c r="OFA717" s="1176"/>
      <c r="OFB717" s="1176"/>
      <c r="OFC717" s="1176"/>
      <c r="OFD717" s="1176"/>
      <c r="OFE717" s="1176"/>
      <c r="OFF717" s="1176"/>
      <c r="OFG717" s="1176"/>
      <c r="OFH717" s="1176"/>
      <c r="OFI717" s="1176"/>
      <c r="OFJ717" s="1176"/>
      <c r="OFK717" s="1176"/>
      <c r="OFL717" s="1176"/>
      <c r="OFM717" s="1176"/>
      <c r="OFN717" s="1176"/>
      <c r="OFO717" s="1176"/>
      <c r="OFP717" s="1176"/>
      <c r="OFQ717" s="1176"/>
      <c r="OFR717" s="1176"/>
      <c r="OFS717" s="1176"/>
      <c r="OFT717" s="1176"/>
      <c r="OFU717" s="1176"/>
      <c r="OFV717" s="1176"/>
      <c r="OFW717" s="1176"/>
      <c r="OFX717" s="1176"/>
      <c r="OFY717" s="1176"/>
      <c r="OFZ717" s="1176"/>
      <c r="OGA717" s="1176"/>
      <c r="OGB717" s="1176"/>
      <c r="OGC717" s="1176"/>
      <c r="OGD717" s="1176"/>
      <c r="OGE717" s="1176"/>
      <c r="OGF717" s="1176"/>
      <c r="OGG717" s="1176"/>
      <c r="OGH717" s="1176"/>
      <c r="OGI717" s="1176"/>
      <c r="OGJ717" s="1176"/>
      <c r="OGK717" s="1176"/>
      <c r="OGL717" s="1176"/>
      <c r="OGM717" s="1176"/>
      <c r="OGN717" s="1176"/>
      <c r="OGO717" s="1176"/>
      <c r="OGP717" s="1176"/>
      <c r="OGQ717" s="1176"/>
      <c r="OGR717" s="1176"/>
      <c r="OGS717" s="1176"/>
      <c r="OGT717" s="1176"/>
      <c r="OGU717" s="1176"/>
      <c r="OGV717" s="1176"/>
      <c r="OGW717" s="1176"/>
      <c r="OGX717" s="1176"/>
      <c r="OGY717" s="1176"/>
      <c r="OGZ717" s="1176"/>
      <c r="OHA717" s="1176"/>
      <c r="OHB717" s="1176"/>
      <c r="OHC717" s="1176"/>
      <c r="OHD717" s="1176"/>
      <c r="OHE717" s="1176"/>
      <c r="OHF717" s="1176"/>
      <c r="OHG717" s="1176"/>
      <c r="OHH717" s="1176"/>
      <c r="OHI717" s="1176"/>
      <c r="OHJ717" s="1176"/>
      <c r="OHK717" s="1176"/>
      <c r="OHL717" s="1176"/>
      <c r="OHM717" s="1176"/>
      <c r="OHN717" s="1176"/>
      <c r="OHO717" s="1176"/>
      <c r="OHP717" s="1176"/>
      <c r="OHQ717" s="1176"/>
      <c r="OHR717" s="1176"/>
      <c r="OHS717" s="1176"/>
      <c r="OHT717" s="1176"/>
      <c r="OHU717" s="1176"/>
      <c r="OHV717" s="1176"/>
      <c r="OHW717" s="1176"/>
      <c r="OHX717" s="1176"/>
      <c r="OHY717" s="1176"/>
      <c r="OHZ717" s="1176"/>
      <c r="OIA717" s="1176"/>
      <c r="OIB717" s="1176"/>
      <c r="OIC717" s="1176"/>
      <c r="OID717" s="1176"/>
      <c r="OIE717" s="1176"/>
      <c r="OIF717" s="1176"/>
      <c r="OIG717" s="1176"/>
      <c r="OIH717" s="1176"/>
      <c r="OII717" s="1176"/>
      <c r="OIJ717" s="1176"/>
      <c r="OIK717" s="1176"/>
      <c r="OIL717" s="1176"/>
      <c r="OIM717" s="1176"/>
      <c r="OIN717" s="1176"/>
      <c r="OIO717" s="1176"/>
      <c r="OIP717" s="1176"/>
      <c r="OIQ717" s="1176"/>
      <c r="OIR717" s="1176"/>
      <c r="OIS717" s="1176"/>
      <c r="OIT717" s="1176"/>
      <c r="OIU717" s="1176"/>
      <c r="OIV717" s="1176"/>
      <c r="OIW717" s="1176"/>
      <c r="OIX717" s="1176"/>
      <c r="OIY717" s="1176"/>
      <c r="OIZ717" s="1176"/>
      <c r="OJA717" s="1176"/>
      <c r="OJB717" s="1176"/>
      <c r="OJC717" s="1176"/>
      <c r="OJD717" s="1176"/>
      <c r="OJE717" s="1176"/>
      <c r="OJF717" s="1176"/>
      <c r="OJG717" s="1176"/>
      <c r="OJH717" s="1176"/>
      <c r="OJI717" s="1176"/>
      <c r="OJJ717" s="1176"/>
      <c r="OJK717" s="1176"/>
      <c r="OJL717" s="1176"/>
      <c r="OJM717" s="1176"/>
      <c r="OJN717" s="1176"/>
      <c r="OJO717" s="1176"/>
      <c r="OJP717" s="1176"/>
      <c r="OJQ717" s="1176"/>
      <c r="OJR717" s="1176"/>
      <c r="OJS717" s="1176"/>
      <c r="OJT717" s="1176"/>
      <c r="OJU717" s="1176"/>
      <c r="OJV717" s="1176"/>
      <c r="OJW717" s="1176"/>
      <c r="OJX717" s="1176"/>
      <c r="OJY717" s="1176"/>
      <c r="OJZ717" s="1176"/>
      <c r="OKA717" s="1176"/>
      <c r="OKB717" s="1176"/>
      <c r="OKC717" s="1176"/>
      <c r="OKD717" s="1176"/>
      <c r="OKE717" s="1176"/>
      <c r="OKF717" s="1176"/>
      <c r="OKG717" s="1176"/>
      <c r="OKH717" s="1176"/>
      <c r="OKI717" s="1176"/>
      <c r="OKJ717" s="1176"/>
      <c r="OKK717" s="1176"/>
      <c r="OKL717" s="1176"/>
      <c r="OKM717" s="1176"/>
      <c r="OKN717" s="1176"/>
      <c r="OKO717" s="1176"/>
      <c r="OKP717" s="1176"/>
      <c r="OKQ717" s="1176"/>
      <c r="OKR717" s="1176"/>
      <c r="OKS717" s="1176"/>
      <c r="OKT717" s="1176"/>
      <c r="OKU717" s="1176"/>
      <c r="OKV717" s="1176"/>
      <c r="OKW717" s="1176"/>
      <c r="OKX717" s="1176"/>
      <c r="OKY717" s="1176"/>
      <c r="OKZ717" s="1176"/>
      <c r="OLA717" s="1176"/>
      <c r="OLB717" s="1176"/>
      <c r="OLC717" s="1176"/>
      <c r="OLD717" s="1176"/>
      <c r="OLE717" s="1176"/>
      <c r="OLF717" s="1176"/>
      <c r="OLG717" s="1176"/>
      <c r="OLH717" s="1176"/>
      <c r="OLI717" s="1176"/>
      <c r="OLJ717" s="1176"/>
      <c r="OLK717" s="1176"/>
      <c r="OLL717" s="1176"/>
      <c r="OLM717" s="1176"/>
      <c r="OLN717" s="1176"/>
      <c r="OLO717" s="1176"/>
      <c r="OLP717" s="1176"/>
      <c r="OLQ717" s="1176"/>
      <c r="OLR717" s="1176"/>
      <c r="OLS717" s="1176"/>
      <c r="OLT717" s="1176"/>
      <c r="OLU717" s="1176"/>
      <c r="OLV717" s="1176"/>
      <c r="OLW717" s="1176"/>
      <c r="OLX717" s="1176"/>
      <c r="OLY717" s="1176"/>
      <c r="OLZ717" s="1176"/>
      <c r="OMA717" s="1176"/>
      <c r="OMB717" s="1176"/>
      <c r="OMC717" s="1176"/>
      <c r="OMD717" s="1176"/>
      <c r="OME717" s="1176"/>
      <c r="OMF717" s="1176"/>
      <c r="OMG717" s="1176"/>
      <c r="OMH717" s="1176"/>
      <c r="OMI717" s="1176"/>
      <c r="OMJ717" s="1176"/>
      <c r="OMK717" s="1176"/>
      <c r="OML717" s="1176"/>
      <c r="OMM717" s="1176"/>
      <c r="OMN717" s="1176"/>
      <c r="OMO717" s="1176"/>
      <c r="OMP717" s="1176"/>
      <c r="OMQ717" s="1176"/>
      <c r="OMR717" s="1176"/>
      <c r="OMS717" s="1176"/>
      <c r="OMT717" s="1176"/>
      <c r="OMU717" s="1176"/>
      <c r="OMV717" s="1176"/>
      <c r="OMW717" s="1176"/>
      <c r="OMX717" s="1176"/>
      <c r="OMY717" s="1176"/>
      <c r="OMZ717" s="1176"/>
      <c r="ONA717" s="1176"/>
      <c r="ONB717" s="1176"/>
      <c r="ONC717" s="1176"/>
      <c r="OND717" s="1176"/>
      <c r="ONE717" s="1176"/>
      <c r="ONF717" s="1176"/>
      <c r="ONG717" s="1176"/>
      <c r="ONH717" s="1176"/>
      <c r="ONI717" s="1176"/>
      <c r="ONJ717" s="1176"/>
      <c r="ONK717" s="1176"/>
      <c r="ONL717" s="1176"/>
      <c r="ONM717" s="1176"/>
      <c r="ONN717" s="1176"/>
      <c r="ONO717" s="1176"/>
      <c r="ONP717" s="1176"/>
      <c r="ONQ717" s="1176"/>
      <c r="ONR717" s="1176"/>
      <c r="ONS717" s="1176"/>
      <c r="ONT717" s="1176"/>
      <c r="ONU717" s="1176"/>
      <c r="ONV717" s="1176"/>
      <c r="ONW717" s="1176"/>
      <c r="ONX717" s="1176"/>
      <c r="ONY717" s="1176"/>
      <c r="ONZ717" s="1176"/>
      <c r="OOA717" s="1176"/>
      <c r="OOB717" s="1176"/>
      <c r="OOC717" s="1176"/>
      <c r="OOD717" s="1176"/>
      <c r="OOE717" s="1176"/>
      <c r="OOF717" s="1176"/>
      <c r="OOG717" s="1176"/>
      <c r="OOH717" s="1176"/>
      <c r="OOI717" s="1176"/>
      <c r="OOJ717" s="1176"/>
      <c r="OOK717" s="1176"/>
      <c r="OOL717" s="1176"/>
      <c r="OOM717" s="1176"/>
      <c r="OON717" s="1176"/>
      <c r="OOO717" s="1176"/>
      <c r="OOP717" s="1176"/>
      <c r="OOQ717" s="1176"/>
      <c r="OOR717" s="1176"/>
      <c r="OOS717" s="1176"/>
      <c r="OOT717" s="1176"/>
      <c r="OOU717" s="1176"/>
      <c r="OOV717" s="1176"/>
      <c r="OOW717" s="1176"/>
      <c r="OOX717" s="1176"/>
      <c r="OOY717" s="1176"/>
      <c r="OOZ717" s="1176"/>
      <c r="OPA717" s="1176"/>
      <c r="OPB717" s="1176"/>
      <c r="OPC717" s="1176"/>
      <c r="OPD717" s="1176"/>
      <c r="OPE717" s="1176"/>
      <c r="OPF717" s="1176"/>
      <c r="OPG717" s="1176"/>
      <c r="OPH717" s="1176"/>
      <c r="OPI717" s="1176"/>
      <c r="OPJ717" s="1176"/>
      <c r="OPK717" s="1176"/>
      <c r="OPL717" s="1176"/>
      <c r="OPM717" s="1176"/>
      <c r="OPN717" s="1176"/>
      <c r="OPO717" s="1176"/>
      <c r="OPP717" s="1176"/>
      <c r="OPQ717" s="1176"/>
      <c r="OPR717" s="1176"/>
      <c r="OPS717" s="1176"/>
      <c r="OPT717" s="1176"/>
      <c r="OPU717" s="1176"/>
      <c r="OPV717" s="1176"/>
      <c r="OPW717" s="1176"/>
      <c r="OPX717" s="1176"/>
      <c r="OPY717" s="1176"/>
      <c r="OPZ717" s="1176"/>
      <c r="OQA717" s="1176"/>
      <c r="OQB717" s="1176"/>
      <c r="OQC717" s="1176"/>
      <c r="OQD717" s="1176"/>
      <c r="OQE717" s="1176"/>
      <c r="OQF717" s="1176"/>
      <c r="OQG717" s="1176"/>
      <c r="OQH717" s="1176"/>
      <c r="OQI717" s="1176"/>
      <c r="OQJ717" s="1176"/>
      <c r="OQK717" s="1176"/>
      <c r="OQL717" s="1176"/>
      <c r="OQM717" s="1176"/>
      <c r="OQN717" s="1176"/>
      <c r="OQO717" s="1176"/>
      <c r="OQP717" s="1176"/>
      <c r="OQQ717" s="1176"/>
      <c r="OQR717" s="1176"/>
      <c r="OQS717" s="1176"/>
      <c r="OQT717" s="1176"/>
      <c r="OQU717" s="1176"/>
      <c r="OQV717" s="1176"/>
      <c r="OQW717" s="1176"/>
      <c r="OQX717" s="1176"/>
      <c r="OQY717" s="1176"/>
      <c r="OQZ717" s="1176"/>
      <c r="ORA717" s="1176"/>
      <c r="ORB717" s="1176"/>
      <c r="ORC717" s="1176"/>
      <c r="ORD717" s="1176"/>
      <c r="ORE717" s="1176"/>
      <c r="ORF717" s="1176"/>
      <c r="ORG717" s="1176"/>
      <c r="ORH717" s="1176"/>
      <c r="ORI717" s="1176"/>
      <c r="ORJ717" s="1176"/>
      <c r="ORK717" s="1176"/>
      <c r="ORL717" s="1176"/>
      <c r="ORM717" s="1176"/>
      <c r="ORN717" s="1176"/>
      <c r="ORO717" s="1176"/>
      <c r="ORP717" s="1176"/>
      <c r="ORQ717" s="1176"/>
      <c r="ORR717" s="1176"/>
      <c r="ORS717" s="1176"/>
      <c r="ORT717" s="1176"/>
      <c r="ORU717" s="1176"/>
      <c r="ORV717" s="1176"/>
      <c r="ORW717" s="1176"/>
      <c r="ORX717" s="1176"/>
      <c r="ORY717" s="1176"/>
      <c r="ORZ717" s="1176"/>
      <c r="OSA717" s="1176"/>
      <c r="OSB717" s="1176"/>
      <c r="OSC717" s="1176"/>
      <c r="OSD717" s="1176"/>
      <c r="OSE717" s="1176"/>
      <c r="OSF717" s="1176"/>
      <c r="OSG717" s="1176"/>
      <c r="OSH717" s="1176"/>
      <c r="OSI717" s="1176"/>
      <c r="OSJ717" s="1176"/>
      <c r="OSK717" s="1176"/>
      <c r="OSL717" s="1176"/>
      <c r="OSM717" s="1176"/>
      <c r="OSN717" s="1176"/>
      <c r="OSO717" s="1176"/>
      <c r="OSP717" s="1176"/>
      <c r="OSQ717" s="1176"/>
      <c r="OSR717" s="1176"/>
      <c r="OSS717" s="1176"/>
      <c r="OST717" s="1176"/>
      <c r="OSU717" s="1176"/>
      <c r="OSV717" s="1176"/>
      <c r="OSW717" s="1176"/>
      <c r="OSX717" s="1176"/>
      <c r="OSY717" s="1176"/>
      <c r="OSZ717" s="1176"/>
      <c r="OTA717" s="1176"/>
      <c r="OTB717" s="1176"/>
      <c r="OTC717" s="1176"/>
      <c r="OTD717" s="1176"/>
      <c r="OTE717" s="1176"/>
      <c r="OTF717" s="1176"/>
      <c r="OTG717" s="1176"/>
      <c r="OTH717" s="1176"/>
      <c r="OTI717" s="1176"/>
      <c r="OTJ717" s="1176"/>
      <c r="OTK717" s="1176"/>
      <c r="OTL717" s="1176"/>
      <c r="OTM717" s="1176"/>
      <c r="OTN717" s="1176"/>
      <c r="OTO717" s="1176"/>
      <c r="OTP717" s="1176"/>
      <c r="OTQ717" s="1176"/>
      <c r="OTR717" s="1176"/>
      <c r="OTS717" s="1176"/>
      <c r="OTT717" s="1176"/>
      <c r="OTU717" s="1176"/>
      <c r="OTV717" s="1176"/>
      <c r="OTW717" s="1176"/>
      <c r="OTX717" s="1176"/>
      <c r="OTY717" s="1176"/>
      <c r="OTZ717" s="1176"/>
      <c r="OUA717" s="1176"/>
      <c r="OUB717" s="1176"/>
      <c r="OUC717" s="1176"/>
      <c r="OUD717" s="1176"/>
      <c r="OUE717" s="1176"/>
      <c r="OUF717" s="1176"/>
      <c r="OUG717" s="1176"/>
      <c r="OUH717" s="1176"/>
      <c r="OUI717" s="1176"/>
      <c r="OUJ717" s="1176"/>
      <c r="OUK717" s="1176"/>
      <c r="OUL717" s="1176"/>
      <c r="OUM717" s="1176"/>
      <c r="OUN717" s="1176"/>
      <c r="OUO717" s="1176"/>
      <c r="OUP717" s="1176"/>
      <c r="OUQ717" s="1176"/>
      <c r="OUR717" s="1176"/>
      <c r="OUS717" s="1176"/>
      <c r="OUT717" s="1176"/>
      <c r="OUU717" s="1176"/>
      <c r="OUV717" s="1176"/>
      <c r="OUW717" s="1176"/>
      <c r="OUX717" s="1176"/>
      <c r="OUY717" s="1176"/>
      <c r="OUZ717" s="1176"/>
      <c r="OVA717" s="1176"/>
      <c r="OVB717" s="1176"/>
      <c r="OVC717" s="1176"/>
      <c r="OVD717" s="1176"/>
      <c r="OVE717" s="1176"/>
      <c r="OVF717" s="1176"/>
      <c r="OVG717" s="1176"/>
      <c r="OVH717" s="1176"/>
      <c r="OVI717" s="1176"/>
      <c r="OVJ717" s="1176"/>
      <c r="OVK717" s="1176"/>
      <c r="OVL717" s="1176"/>
      <c r="OVM717" s="1176"/>
      <c r="OVN717" s="1176"/>
      <c r="OVO717" s="1176"/>
      <c r="OVP717" s="1176"/>
      <c r="OVQ717" s="1176"/>
      <c r="OVR717" s="1176"/>
      <c r="OVS717" s="1176"/>
      <c r="OVT717" s="1176"/>
      <c r="OVU717" s="1176"/>
      <c r="OVV717" s="1176"/>
      <c r="OVW717" s="1176"/>
      <c r="OVX717" s="1176"/>
      <c r="OVY717" s="1176"/>
      <c r="OVZ717" s="1176"/>
      <c r="OWA717" s="1176"/>
      <c r="OWB717" s="1176"/>
      <c r="OWC717" s="1176"/>
      <c r="OWD717" s="1176"/>
      <c r="OWE717" s="1176"/>
      <c r="OWF717" s="1176"/>
      <c r="OWG717" s="1176"/>
      <c r="OWH717" s="1176"/>
      <c r="OWI717" s="1176"/>
      <c r="OWJ717" s="1176"/>
      <c r="OWK717" s="1176"/>
      <c r="OWL717" s="1176"/>
      <c r="OWM717" s="1176"/>
      <c r="OWN717" s="1176"/>
      <c r="OWO717" s="1176"/>
      <c r="OWP717" s="1176"/>
      <c r="OWQ717" s="1176"/>
      <c r="OWR717" s="1176"/>
      <c r="OWS717" s="1176"/>
      <c r="OWT717" s="1176"/>
      <c r="OWU717" s="1176"/>
      <c r="OWV717" s="1176"/>
      <c r="OWW717" s="1176"/>
      <c r="OWX717" s="1176"/>
      <c r="OWY717" s="1176"/>
      <c r="OWZ717" s="1176"/>
      <c r="OXA717" s="1176"/>
      <c r="OXB717" s="1176"/>
      <c r="OXC717" s="1176"/>
      <c r="OXD717" s="1176"/>
      <c r="OXE717" s="1176"/>
      <c r="OXF717" s="1176"/>
      <c r="OXG717" s="1176"/>
      <c r="OXH717" s="1176"/>
      <c r="OXI717" s="1176"/>
      <c r="OXJ717" s="1176"/>
      <c r="OXK717" s="1176"/>
      <c r="OXL717" s="1176"/>
      <c r="OXM717" s="1176"/>
      <c r="OXN717" s="1176"/>
      <c r="OXO717" s="1176"/>
      <c r="OXP717" s="1176"/>
      <c r="OXQ717" s="1176"/>
      <c r="OXR717" s="1176"/>
      <c r="OXS717" s="1176"/>
      <c r="OXT717" s="1176"/>
      <c r="OXU717" s="1176"/>
      <c r="OXV717" s="1176"/>
      <c r="OXW717" s="1176"/>
      <c r="OXX717" s="1176"/>
      <c r="OXY717" s="1176"/>
      <c r="OXZ717" s="1176"/>
      <c r="OYA717" s="1176"/>
      <c r="OYB717" s="1176"/>
      <c r="OYC717" s="1176"/>
      <c r="OYD717" s="1176"/>
      <c r="OYE717" s="1176"/>
      <c r="OYF717" s="1176"/>
      <c r="OYG717" s="1176"/>
      <c r="OYH717" s="1176"/>
      <c r="OYI717" s="1176"/>
      <c r="OYJ717" s="1176"/>
      <c r="OYK717" s="1176"/>
      <c r="OYL717" s="1176"/>
      <c r="OYM717" s="1176"/>
      <c r="OYN717" s="1176"/>
      <c r="OYO717" s="1176"/>
      <c r="OYP717" s="1176"/>
      <c r="OYQ717" s="1176"/>
      <c r="OYR717" s="1176"/>
      <c r="OYS717" s="1176"/>
      <c r="OYT717" s="1176"/>
      <c r="OYU717" s="1176"/>
      <c r="OYV717" s="1176"/>
      <c r="OYW717" s="1176"/>
      <c r="OYX717" s="1176"/>
      <c r="OYY717" s="1176"/>
      <c r="OYZ717" s="1176"/>
      <c r="OZA717" s="1176"/>
      <c r="OZB717" s="1176"/>
      <c r="OZC717" s="1176"/>
      <c r="OZD717" s="1176"/>
      <c r="OZE717" s="1176"/>
      <c r="OZF717" s="1176"/>
      <c r="OZG717" s="1176"/>
      <c r="OZH717" s="1176"/>
      <c r="OZI717" s="1176"/>
      <c r="OZJ717" s="1176"/>
      <c r="OZK717" s="1176"/>
      <c r="OZL717" s="1176"/>
      <c r="OZM717" s="1176"/>
      <c r="OZN717" s="1176"/>
      <c r="OZO717" s="1176"/>
      <c r="OZP717" s="1176"/>
      <c r="OZQ717" s="1176"/>
      <c r="OZR717" s="1176"/>
      <c r="OZS717" s="1176"/>
      <c r="OZT717" s="1176"/>
      <c r="OZU717" s="1176"/>
      <c r="OZV717" s="1176"/>
      <c r="OZW717" s="1176"/>
      <c r="OZX717" s="1176"/>
      <c r="OZY717" s="1176"/>
      <c r="OZZ717" s="1176"/>
      <c r="PAA717" s="1176"/>
      <c r="PAB717" s="1176"/>
      <c r="PAC717" s="1176"/>
      <c r="PAD717" s="1176"/>
      <c r="PAE717" s="1176"/>
      <c r="PAF717" s="1176"/>
      <c r="PAG717" s="1176"/>
      <c r="PAH717" s="1176"/>
      <c r="PAI717" s="1176"/>
      <c r="PAJ717" s="1176"/>
      <c r="PAK717" s="1176"/>
      <c r="PAL717" s="1176"/>
      <c r="PAM717" s="1176"/>
      <c r="PAN717" s="1176"/>
      <c r="PAO717" s="1176"/>
      <c r="PAP717" s="1176"/>
      <c r="PAQ717" s="1176"/>
      <c r="PAR717" s="1176"/>
      <c r="PAS717" s="1176"/>
      <c r="PAT717" s="1176"/>
      <c r="PAU717" s="1176"/>
      <c r="PAV717" s="1176"/>
      <c r="PAW717" s="1176"/>
      <c r="PAX717" s="1176"/>
      <c r="PAY717" s="1176"/>
      <c r="PAZ717" s="1176"/>
      <c r="PBA717" s="1176"/>
      <c r="PBB717" s="1176"/>
      <c r="PBC717" s="1176"/>
      <c r="PBD717" s="1176"/>
      <c r="PBE717" s="1176"/>
      <c r="PBF717" s="1176"/>
      <c r="PBG717" s="1176"/>
      <c r="PBH717" s="1176"/>
      <c r="PBI717" s="1176"/>
      <c r="PBJ717" s="1176"/>
      <c r="PBK717" s="1176"/>
      <c r="PBL717" s="1176"/>
      <c r="PBM717" s="1176"/>
      <c r="PBN717" s="1176"/>
      <c r="PBO717" s="1176"/>
      <c r="PBP717" s="1176"/>
      <c r="PBQ717" s="1176"/>
      <c r="PBR717" s="1176"/>
      <c r="PBS717" s="1176"/>
      <c r="PBT717" s="1176"/>
      <c r="PBU717" s="1176"/>
      <c r="PBV717" s="1176"/>
      <c r="PBW717" s="1176"/>
      <c r="PBX717" s="1176"/>
      <c r="PBY717" s="1176"/>
      <c r="PBZ717" s="1176"/>
      <c r="PCA717" s="1176"/>
      <c r="PCB717" s="1176"/>
      <c r="PCC717" s="1176"/>
      <c r="PCD717" s="1176"/>
      <c r="PCE717" s="1176"/>
      <c r="PCF717" s="1176"/>
      <c r="PCG717" s="1176"/>
      <c r="PCH717" s="1176"/>
      <c r="PCI717" s="1176"/>
      <c r="PCJ717" s="1176"/>
      <c r="PCK717" s="1176"/>
      <c r="PCL717" s="1176"/>
      <c r="PCM717" s="1176"/>
      <c r="PCN717" s="1176"/>
      <c r="PCO717" s="1176"/>
      <c r="PCP717" s="1176"/>
      <c r="PCQ717" s="1176"/>
      <c r="PCR717" s="1176"/>
      <c r="PCS717" s="1176"/>
      <c r="PCT717" s="1176"/>
      <c r="PCU717" s="1176"/>
      <c r="PCV717" s="1176"/>
      <c r="PCW717" s="1176"/>
      <c r="PCX717" s="1176"/>
      <c r="PCY717" s="1176"/>
      <c r="PCZ717" s="1176"/>
      <c r="PDA717" s="1176"/>
      <c r="PDB717" s="1176"/>
      <c r="PDC717" s="1176"/>
      <c r="PDD717" s="1176"/>
      <c r="PDE717" s="1176"/>
      <c r="PDF717" s="1176"/>
      <c r="PDG717" s="1176"/>
      <c r="PDH717" s="1176"/>
      <c r="PDI717" s="1176"/>
      <c r="PDJ717" s="1176"/>
      <c r="PDK717" s="1176"/>
      <c r="PDL717" s="1176"/>
      <c r="PDM717" s="1176"/>
      <c r="PDN717" s="1176"/>
      <c r="PDO717" s="1176"/>
      <c r="PDP717" s="1176"/>
      <c r="PDQ717" s="1176"/>
      <c r="PDR717" s="1176"/>
      <c r="PDS717" s="1176"/>
      <c r="PDT717" s="1176"/>
      <c r="PDU717" s="1176"/>
      <c r="PDV717" s="1176"/>
      <c r="PDW717" s="1176"/>
      <c r="PDX717" s="1176"/>
      <c r="PDY717" s="1176"/>
      <c r="PDZ717" s="1176"/>
      <c r="PEA717" s="1176"/>
      <c r="PEB717" s="1176"/>
      <c r="PEC717" s="1176"/>
      <c r="PED717" s="1176"/>
      <c r="PEE717" s="1176"/>
      <c r="PEF717" s="1176"/>
      <c r="PEG717" s="1176"/>
      <c r="PEH717" s="1176"/>
      <c r="PEI717" s="1176"/>
      <c r="PEJ717" s="1176"/>
      <c r="PEK717" s="1176"/>
      <c r="PEL717" s="1176"/>
      <c r="PEM717" s="1176"/>
      <c r="PEN717" s="1176"/>
      <c r="PEO717" s="1176"/>
      <c r="PEP717" s="1176"/>
      <c r="PEQ717" s="1176"/>
      <c r="PER717" s="1176"/>
      <c r="PES717" s="1176"/>
      <c r="PET717" s="1176"/>
      <c r="PEU717" s="1176"/>
      <c r="PEV717" s="1176"/>
      <c r="PEW717" s="1176"/>
      <c r="PEX717" s="1176"/>
      <c r="PEY717" s="1176"/>
      <c r="PEZ717" s="1176"/>
      <c r="PFA717" s="1176"/>
      <c r="PFB717" s="1176"/>
      <c r="PFC717" s="1176"/>
      <c r="PFD717" s="1176"/>
      <c r="PFE717" s="1176"/>
      <c r="PFF717" s="1176"/>
      <c r="PFG717" s="1176"/>
      <c r="PFH717" s="1176"/>
      <c r="PFI717" s="1176"/>
      <c r="PFJ717" s="1176"/>
      <c r="PFK717" s="1176"/>
      <c r="PFL717" s="1176"/>
      <c r="PFM717" s="1176"/>
      <c r="PFN717" s="1176"/>
      <c r="PFO717" s="1176"/>
      <c r="PFP717" s="1176"/>
      <c r="PFQ717" s="1176"/>
      <c r="PFR717" s="1176"/>
      <c r="PFS717" s="1176"/>
      <c r="PFT717" s="1176"/>
      <c r="PFU717" s="1176"/>
      <c r="PFV717" s="1176"/>
      <c r="PFW717" s="1176"/>
      <c r="PFX717" s="1176"/>
      <c r="PFY717" s="1176"/>
      <c r="PFZ717" s="1176"/>
      <c r="PGA717" s="1176"/>
      <c r="PGB717" s="1176"/>
      <c r="PGC717" s="1176"/>
      <c r="PGD717" s="1176"/>
      <c r="PGE717" s="1176"/>
      <c r="PGF717" s="1176"/>
      <c r="PGG717" s="1176"/>
      <c r="PGH717" s="1176"/>
      <c r="PGI717" s="1176"/>
      <c r="PGJ717" s="1176"/>
      <c r="PGK717" s="1176"/>
      <c r="PGL717" s="1176"/>
      <c r="PGM717" s="1176"/>
      <c r="PGN717" s="1176"/>
      <c r="PGO717" s="1176"/>
      <c r="PGP717" s="1176"/>
      <c r="PGQ717" s="1176"/>
      <c r="PGR717" s="1176"/>
      <c r="PGS717" s="1176"/>
      <c r="PGT717" s="1176"/>
      <c r="PGU717" s="1176"/>
      <c r="PGV717" s="1176"/>
      <c r="PGW717" s="1176"/>
      <c r="PGX717" s="1176"/>
      <c r="PGY717" s="1176"/>
      <c r="PGZ717" s="1176"/>
      <c r="PHA717" s="1176"/>
      <c r="PHB717" s="1176"/>
      <c r="PHC717" s="1176"/>
      <c r="PHD717" s="1176"/>
      <c r="PHE717" s="1176"/>
      <c r="PHF717" s="1176"/>
      <c r="PHG717" s="1176"/>
      <c r="PHH717" s="1176"/>
      <c r="PHI717" s="1176"/>
      <c r="PHJ717" s="1176"/>
      <c r="PHK717" s="1176"/>
      <c r="PHL717" s="1176"/>
      <c r="PHM717" s="1176"/>
      <c r="PHN717" s="1176"/>
      <c r="PHO717" s="1176"/>
      <c r="PHP717" s="1176"/>
      <c r="PHQ717" s="1176"/>
      <c r="PHR717" s="1176"/>
      <c r="PHS717" s="1176"/>
      <c r="PHT717" s="1176"/>
      <c r="PHU717" s="1176"/>
      <c r="PHV717" s="1176"/>
      <c r="PHW717" s="1176"/>
      <c r="PHX717" s="1176"/>
      <c r="PHY717" s="1176"/>
      <c r="PHZ717" s="1176"/>
      <c r="PIA717" s="1176"/>
      <c r="PIB717" s="1176"/>
      <c r="PIC717" s="1176"/>
      <c r="PID717" s="1176"/>
      <c r="PIE717" s="1176"/>
      <c r="PIF717" s="1176"/>
      <c r="PIG717" s="1176"/>
      <c r="PIH717" s="1176"/>
      <c r="PII717" s="1176"/>
      <c r="PIJ717" s="1176"/>
      <c r="PIK717" s="1176"/>
      <c r="PIL717" s="1176"/>
      <c r="PIM717" s="1176"/>
      <c r="PIN717" s="1176"/>
      <c r="PIO717" s="1176"/>
      <c r="PIP717" s="1176"/>
      <c r="PIQ717" s="1176"/>
      <c r="PIR717" s="1176"/>
      <c r="PIS717" s="1176"/>
      <c r="PIT717" s="1176"/>
      <c r="PIU717" s="1176"/>
      <c r="PIV717" s="1176"/>
      <c r="PIW717" s="1176"/>
      <c r="PIX717" s="1176"/>
      <c r="PIY717" s="1176"/>
      <c r="PIZ717" s="1176"/>
      <c r="PJA717" s="1176"/>
      <c r="PJB717" s="1176"/>
      <c r="PJC717" s="1176"/>
      <c r="PJD717" s="1176"/>
      <c r="PJE717" s="1176"/>
      <c r="PJF717" s="1176"/>
      <c r="PJG717" s="1176"/>
      <c r="PJH717" s="1176"/>
      <c r="PJI717" s="1176"/>
      <c r="PJJ717" s="1176"/>
      <c r="PJK717" s="1176"/>
      <c r="PJL717" s="1176"/>
      <c r="PJM717" s="1176"/>
      <c r="PJN717" s="1176"/>
      <c r="PJO717" s="1176"/>
      <c r="PJP717" s="1176"/>
      <c r="PJQ717" s="1176"/>
      <c r="PJR717" s="1176"/>
      <c r="PJS717" s="1176"/>
      <c r="PJT717" s="1176"/>
      <c r="PJU717" s="1176"/>
      <c r="PJV717" s="1176"/>
      <c r="PJW717" s="1176"/>
      <c r="PJX717" s="1176"/>
      <c r="PJY717" s="1176"/>
      <c r="PJZ717" s="1176"/>
      <c r="PKA717" s="1176"/>
      <c r="PKB717" s="1176"/>
      <c r="PKC717" s="1176"/>
      <c r="PKD717" s="1176"/>
      <c r="PKE717" s="1176"/>
      <c r="PKF717" s="1176"/>
      <c r="PKG717" s="1176"/>
      <c r="PKH717" s="1176"/>
      <c r="PKI717" s="1176"/>
      <c r="PKJ717" s="1176"/>
      <c r="PKK717" s="1176"/>
      <c r="PKL717" s="1176"/>
      <c r="PKM717" s="1176"/>
      <c r="PKN717" s="1176"/>
      <c r="PKO717" s="1176"/>
      <c r="PKP717" s="1176"/>
      <c r="PKQ717" s="1176"/>
      <c r="PKR717" s="1176"/>
      <c r="PKS717" s="1176"/>
      <c r="PKT717" s="1176"/>
      <c r="PKU717" s="1176"/>
      <c r="PKV717" s="1176"/>
      <c r="PKW717" s="1176"/>
      <c r="PKX717" s="1176"/>
      <c r="PKY717" s="1176"/>
      <c r="PKZ717" s="1176"/>
      <c r="PLA717" s="1176"/>
      <c r="PLB717" s="1176"/>
      <c r="PLC717" s="1176"/>
      <c r="PLD717" s="1176"/>
      <c r="PLE717" s="1176"/>
      <c r="PLF717" s="1176"/>
      <c r="PLG717" s="1176"/>
      <c r="PLH717" s="1176"/>
      <c r="PLI717" s="1176"/>
      <c r="PLJ717" s="1176"/>
      <c r="PLK717" s="1176"/>
      <c r="PLL717" s="1176"/>
      <c r="PLM717" s="1176"/>
      <c r="PLN717" s="1176"/>
      <c r="PLO717" s="1176"/>
      <c r="PLP717" s="1176"/>
      <c r="PLQ717" s="1176"/>
      <c r="PLR717" s="1176"/>
      <c r="PLS717" s="1176"/>
      <c r="PLT717" s="1176"/>
      <c r="PLU717" s="1176"/>
      <c r="PLV717" s="1176"/>
      <c r="PLW717" s="1176"/>
      <c r="PLX717" s="1176"/>
      <c r="PLY717" s="1176"/>
      <c r="PLZ717" s="1176"/>
      <c r="PMA717" s="1176"/>
      <c r="PMB717" s="1176"/>
      <c r="PMC717" s="1176"/>
      <c r="PMD717" s="1176"/>
      <c r="PME717" s="1176"/>
      <c r="PMF717" s="1176"/>
      <c r="PMG717" s="1176"/>
      <c r="PMH717" s="1176"/>
      <c r="PMI717" s="1176"/>
      <c r="PMJ717" s="1176"/>
      <c r="PMK717" s="1176"/>
      <c r="PML717" s="1176"/>
      <c r="PMM717" s="1176"/>
      <c r="PMN717" s="1176"/>
      <c r="PMO717" s="1176"/>
      <c r="PMP717" s="1176"/>
      <c r="PMQ717" s="1176"/>
      <c r="PMR717" s="1176"/>
      <c r="PMS717" s="1176"/>
      <c r="PMT717" s="1176"/>
      <c r="PMU717" s="1176"/>
      <c r="PMV717" s="1176"/>
      <c r="PMW717" s="1176"/>
      <c r="PMX717" s="1176"/>
      <c r="PMY717" s="1176"/>
      <c r="PMZ717" s="1176"/>
      <c r="PNA717" s="1176"/>
      <c r="PNB717" s="1176"/>
      <c r="PNC717" s="1176"/>
      <c r="PND717" s="1176"/>
      <c r="PNE717" s="1176"/>
      <c r="PNF717" s="1176"/>
      <c r="PNG717" s="1176"/>
      <c r="PNH717" s="1176"/>
      <c r="PNI717" s="1176"/>
      <c r="PNJ717" s="1176"/>
      <c r="PNK717" s="1176"/>
      <c r="PNL717" s="1176"/>
      <c r="PNM717" s="1176"/>
      <c r="PNN717" s="1176"/>
      <c r="PNO717" s="1176"/>
      <c r="PNP717" s="1176"/>
      <c r="PNQ717" s="1176"/>
      <c r="PNR717" s="1176"/>
      <c r="PNS717" s="1176"/>
      <c r="PNT717" s="1176"/>
      <c r="PNU717" s="1176"/>
      <c r="PNV717" s="1176"/>
      <c r="PNW717" s="1176"/>
      <c r="PNX717" s="1176"/>
      <c r="PNY717" s="1176"/>
      <c r="PNZ717" s="1176"/>
      <c r="POA717" s="1176"/>
      <c r="POB717" s="1176"/>
      <c r="POC717" s="1176"/>
      <c r="POD717" s="1176"/>
      <c r="POE717" s="1176"/>
      <c r="POF717" s="1176"/>
      <c r="POG717" s="1176"/>
      <c r="POH717" s="1176"/>
      <c r="POI717" s="1176"/>
      <c r="POJ717" s="1176"/>
      <c r="POK717" s="1176"/>
      <c r="POL717" s="1176"/>
      <c r="POM717" s="1176"/>
      <c r="PON717" s="1176"/>
      <c r="POO717" s="1176"/>
      <c r="POP717" s="1176"/>
      <c r="POQ717" s="1176"/>
      <c r="POR717" s="1176"/>
      <c r="POS717" s="1176"/>
      <c r="POT717" s="1176"/>
      <c r="POU717" s="1176"/>
      <c r="POV717" s="1176"/>
      <c r="POW717" s="1176"/>
      <c r="POX717" s="1176"/>
      <c r="POY717" s="1176"/>
      <c r="POZ717" s="1176"/>
      <c r="PPA717" s="1176"/>
      <c r="PPB717" s="1176"/>
      <c r="PPC717" s="1176"/>
      <c r="PPD717" s="1176"/>
      <c r="PPE717" s="1176"/>
      <c r="PPF717" s="1176"/>
      <c r="PPG717" s="1176"/>
      <c r="PPH717" s="1176"/>
      <c r="PPI717" s="1176"/>
      <c r="PPJ717" s="1176"/>
      <c r="PPK717" s="1176"/>
      <c r="PPL717" s="1176"/>
      <c r="PPM717" s="1176"/>
      <c r="PPN717" s="1176"/>
      <c r="PPO717" s="1176"/>
      <c r="PPP717" s="1176"/>
      <c r="PPQ717" s="1176"/>
      <c r="PPR717" s="1176"/>
      <c r="PPS717" s="1176"/>
      <c r="PPT717" s="1176"/>
      <c r="PPU717" s="1176"/>
      <c r="PPV717" s="1176"/>
      <c r="PPW717" s="1176"/>
      <c r="PPX717" s="1176"/>
      <c r="PPY717" s="1176"/>
      <c r="PPZ717" s="1176"/>
      <c r="PQA717" s="1176"/>
      <c r="PQB717" s="1176"/>
      <c r="PQC717" s="1176"/>
      <c r="PQD717" s="1176"/>
      <c r="PQE717" s="1176"/>
      <c r="PQF717" s="1176"/>
      <c r="PQG717" s="1176"/>
      <c r="PQH717" s="1176"/>
      <c r="PQI717" s="1176"/>
      <c r="PQJ717" s="1176"/>
      <c r="PQK717" s="1176"/>
      <c r="PQL717" s="1176"/>
      <c r="PQM717" s="1176"/>
      <c r="PQN717" s="1176"/>
      <c r="PQO717" s="1176"/>
      <c r="PQP717" s="1176"/>
      <c r="PQQ717" s="1176"/>
      <c r="PQR717" s="1176"/>
      <c r="PQS717" s="1176"/>
      <c r="PQT717" s="1176"/>
      <c r="PQU717" s="1176"/>
      <c r="PQV717" s="1176"/>
      <c r="PQW717" s="1176"/>
      <c r="PQX717" s="1176"/>
      <c r="PQY717" s="1176"/>
      <c r="PQZ717" s="1176"/>
      <c r="PRA717" s="1176"/>
      <c r="PRB717" s="1176"/>
      <c r="PRC717" s="1176"/>
      <c r="PRD717" s="1176"/>
      <c r="PRE717" s="1176"/>
      <c r="PRF717" s="1176"/>
      <c r="PRG717" s="1176"/>
      <c r="PRH717" s="1176"/>
      <c r="PRI717" s="1176"/>
      <c r="PRJ717" s="1176"/>
      <c r="PRK717" s="1176"/>
      <c r="PRL717" s="1176"/>
      <c r="PRM717" s="1176"/>
      <c r="PRN717" s="1176"/>
      <c r="PRO717" s="1176"/>
      <c r="PRP717" s="1176"/>
      <c r="PRQ717" s="1176"/>
      <c r="PRR717" s="1176"/>
      <c r="PRS717" s="1176"/>
      <c r="PRT717" s="1176"/>
      <c r="PRU717" s="1176"/>
      <c r="PRV717" s="1176"/>
      <c r="PRW717" s="1176"/>
      <c r="PRX717" s="1176"/>
      <c r="PRY717" s="1176"/>
      <c r="PRZ717" s="1176"/>
      <c r="PSA717" s="1176"/>
      <c r="PSB717" s="1176"/>
      <c r="PSC717" s="1176"/>
      <c r="PSD717" s="1176"/>
      <c r="PSE717" s="1176"/>
      <c r="PSF717" s="1176"/>
      <c r="PSG717" s="1176"/>
      <c r="PSH717" s="1176"/>
      <c r="PSI717" s="1176"/>
      <c r="PSJ717" s="1176"/>
      <c r="PSK717" s="1176"/>
      <c r="PSL717" s="1176"/>
      <c r="PSM717" s="1176"/>
      <c r="PSN717" s="1176"/>
      <c r="PSO717" s="1176"/>
      <c r="PSP717" s="1176"/>
      <c r="PSQ717" s="1176"/>
      <c r="PSR717" s="1176"/>
      <c r="PSS717" s="1176"/>
      <c r="PST717" s="1176"/>
      <c r="PSU717" s="1176"/>
      <c r="PSV717" s="1176"/>
      <c r="PSW717" s="1176"/>
      <c r="PSX717" s="1176"/>
      <c r="PSY717" s="1176"/>
      <c r="PSZ717" s="1176"/>
      <c r="PTA717" s="1176"/>
      <c r="PTB717" s="1176"/>
      <c r="PTC717" s="1176"/>
      <c r="PTD717" s="1176"/>
      <c r="PTE717" s="1176"/>
      <c r="PTF717" s="1176"/>
      <c r="PTG717" s="1176"/>
      <c r="PTH717" s="1176"/>
      <c r="PTI717" s="1176"/>
      <c r="PTJ717" s="1176"/>
      <c r="PTK717" s="1176"/>
      <c r="PTL717" s="1176"/>
      <c r="PTM717" s="1176"/>
      <c r="PTN717" s="1176"/>
      <c r="PTO717" s="1176"/>
      <c r="PTP717" s="1176"/>
      <c r="PTQ717" s="1176"/>
      <c r="PTR717" s="1176"/>
      <c r="PTS717" s="1176"/>
      <c r="PTT717" s="1176"/>
      <c r="PTU717" s="1176"/>
      <c r="PTV717" s="1176"/>
      <c r="PTW717" s="1176"/>
      <c r="PTX717" s="1176"/>
      <c r="PTY717" s="1176"/>
      <c r="PTZ717" s="1176"/>
      <c r="PUA717" s="1176"/>
      <c r="PUB717" s="1176"/>
      <c r="PUC717" s="1176"/>
      <c r="PUD717" s="1176"/>
      <c r="PUE717" s="1176"/>
      <c r="PUF717" s="1176"/>
      <c r="PUG717" s="1176"/>
      <c r="PUH717" s="1176"/>
      <c r="PUI717" s="1176"/>
      <c r="PUJ717" s="1176"/>
      <c r="PUK717" s="1176"/>
      <c r="PUL717" s="1176"/>
      <c r="PUM717" s="1176"/>
      <c r="PUN717" s="1176"/>
      <c r="PUO717" s="1176"/>
      <c r="PUP717" s="1176"/>
      <c r="PUQ717" s="1176"/>
      <c r="PUR717" s="1176"/>
      <c r="PUS717" s="1176"/>
      <c r="PUT717" s="1176"/>
      <c r="PUU717" s="1176"/>
      <c r="PUV717" s="1176"/>
      <c r="PUW717" s="1176"/>
      <c r="PUX717" s="1176"/>
      <c r="PUY717" s="1176"/>
      <c r="PUZ717" s="1176"/>
      <c r="PVA717" s="1176"/>
      <c r="PVB717" s="1176"/>
      <c r="PVC717" s="1176"/>
      <c r="PVD717" s="1176"/>
      <c r="PVE717" s="1176"/>
      <c r="PVF717" s="1176"/>
      <c r="PVG717" s="1176"/>
      <c r="PVH717" s="1176"/>
      <c r="PVI717" s="1176"/>
      <c r="PVJ717" s="1176"/>
      <c r="PVK717" s="1176"/>
      <c r="PVL717" s="1176"/>
      <c r="PVM717" s="1176"/>
      <c r="PVN717" s="1176"/>
      <c r="PVO717" s="1176"/>
      <c r="PVP717" s="1176"/>
      <c r="PVQ717" s="1176"/>
      <c r="PVR717" s="1176"/>
      <c r="PVS717" s="1176"/>
      <c r="PVT717" s="1176"/>
      <c r="PVU717" s="1176"/>
      <c r="PVV717" s="1176"/>
      <c r="PVW717" s="1176"/>
      <c r="PVX717" s="1176"/>
      <c r="PVY717" s="1176"/>
      <c r="PVZ717" s="1176"/>
      <c r="PWA717" s="1176"/>
      <c r="PWB717" s="1176"/>
      <c r="PWC717" s="1176"/>
      <c r="PWD717" s="1176"/>
      <c r="PWE717" s="1176"/>
      <c r="PWF717" s="1176"/>
      <c r="PWG717" s="1176"/>
      <c r="PWH717" s="1176"/>
      <c r="PWI717" s="1176"/>
      <c r="PWJ717" s="1176"/>
      <c r="PWK717" s="1176"/>
      <c r="PWL717" s="1176"/>
      <c r="PWM717" s="1176"/>
      <c r="PWN717" s="1176"/>
      <c r="PWO717" s="1176"/>
      <c r="PWP717" s="1176"/>
      <c r="PWQ717" s="1176"/>
      <c r="PWR717" s="1176"/>
      <c r="PWS717" s="1176"/>
      <c r="PWT717" s="1176"/>
      <c r="PWU717" s="1176"/>
      <c r="PWV717" s="1176"/>
      <c r="PWW717" s="1176"/>
      <c r="PWX717" s="1176"/>
      <c r="PWY717" s="1176"/>
      <c r="PWZ717" s="1176"/>
      <c r="PXA717" s="1176"/>
      <c r="PXB717" s="1176"/>
      <c r="PXC717" s="1176"/>
      <c r="PXD717" s="1176"/>
      <c r="PXE717" s="1176"/>
      <c r="PXF717" s="1176"/>
      <c r="PXG717" s="1176"/>
      <c r="PXH717" s="1176"/>
      <c r="PXI717" s="1176"/>
      <c r="PXJ717" s="1176"/>
      <c r="PXK717" s="1176"/>
      <c r="PXL717" s="1176"/>
      <c r="PXM717" s="1176"/>
      <c r="PXN717" s="1176"/>
      <c r="PXO717" s="1176"/>
      <c r="PXP717" s="1176"/>
      <c r="PXQ717" s="1176"/>
      <c r="PXR717" s="1176"/>
      <c r="PXS717" s="1176"/>
      <c r="PXT717" s="1176"/>
      <c r="PXU717" s="1176"/>
      <c r="PXV717" s="1176"/>
      <c r="PXW717" s="1176"/>
      <c r="PXX717" s="1176"/>
      <c r="PXY717" s="1176"/>
      <c r="PXZ717" s="1176"/>
      <c r="PYA717" s="1176"/>
      <c r="PYB717" s="1176"/>
      <c r="PYC717" s="1176"/>
      <c r="PYD717" s="1176"/>
      <c r="PYE717" s="1176"/>
      <c r="PYF717" s="1176"/>
      <c r="PYG717" s="1176"/>
      <c r="PYH717" s="1176"/>
      <c r="PYI717" s="1176"/>
      <c r="PYJ717" s="1176"/>
      <c r="PYK717" s="1176"/>
      <c r="PYL717" s="1176"/>
      <c r="PYM717" s="1176"/>
      <c r="PYN717" s="1176"/>
      <c r="PYO717" s="1176"/>
      <c r="PYP717" s="1176"/>
      <c r="PYQ717" s="1176"/>
      <c r="PYR717" s="1176"/>
      <c r="PYS717" s="1176"/>
      <c r="PYT717" s="1176"/>
      <c r="PYU717" s="1176"/>
      <c r="PYV717" s="1176"/>
      <c r="PYW717" s="1176"/>
      <c r="PYX717" s="1176"/>
      <c r="PYY717" s="1176"/>
      <c r="PYZ717" s="1176"/>
      <c r="PZA717" s="1176"/>
      <c r="PZB717" s="1176"/>
      <c r="PZC717" s="1176"/>
      <c r="PZD717" s="1176"/>
      <c r="PZE717" s="1176"/>
      <c r="PZF717" s="1176"/>
      <c r="PZG717" s="1176"/>
      <c r="PZH717" s="1176"/>
      <c r="PZI717" s="1176"/>
      <c r="PZJ717" s="1176"/>
      <c r="PZK717" s="1176"/>
      <c r="PZL717" s="1176"/>
      <c r="PZM717" s="1176"/>
      <c r="PZN717" s="1176"/>
      <c r="PZO717" s="1176"/>
      <c r="PZP717" s="1176"/>
      <c r="PZQ717" s="1176"/>
      <c r="PZR717" s="1176"/>
      <c r="PZS717" s="1176"/>
      <c r="PZT717" s="1176"/>
      <c r="PZU717" s="1176"/>
      <c r="PZV717" s="1176"/>
      <c r="PZW717" s="1176"/>
      <c r="PZX717" s="1176"/>
      <c r="PZY717" s="1176"/>
      <c r="PZZ717" s="1176"/>
      <c r="QAA717" s="1176"/>
      <c r="QAB717" s="1176"/>
      <c r="QAC717" s="1176"/>
      <c r="QAD717" s="1176"/>
      <c r="QAE717" s="1176"/>
      <c r="QAF717" s="1176"/>
      <c r="QAG717" s="1176"/>
      <c r="QAH717" s="1176"/>
      <c r="QAI717" s="1176"/>
      <c r="QAJ717" s="1176"/>
      <c r="QAK717" s="1176"/>
      <c r="QAL717" s="1176"/>
      <c r="QAM717" s="1176"/>
      <c r="QAN717" s="1176"/>
      <c r="QAO717" s="1176"/>
      <c r="QAP717" s="1176"/>
      <c r="QAQ717" s="1176"/>
      <c r="QAR717" s="1176"/>
      <c r="QAS717" s="1176"/>
      <c r="QAT717" s="1176"/>
      <c r="QAU717" s="1176"/>
      <c r="QAV717" s="1176"/>
      <c r="QAW717" s="1176"/>
      <c r="QAX717" s="1176"/>
      <c r="QAY717" s="1176"/>
      <c r="QAZ717" s="1176"/>
      <c r="QBA717" s="1176"/>
      <c r="QBB717" s="1176"/>
      <c r="QBC717" s="1176"/>
      <c r="QBD717" s="1176"/>
      <c r="QBE717" s="1176"/>
      <c r="QBF717" s="1176"/>
      <c r="QBG717" s="1176"/>
      <c r="QBH717" s="1176"/>
      <c r="QBI717" s="1176"/>
      <c r="QBJ717" s="1176"/>
      <c r="QBK717" s="1176"/>
      <c r="QBL717" s="1176"/>
      <c r="QBM717" s="1176"/>
      <c r="QBN717" s="1176"/>
      <c r="QBO717" s="1176"/>
      <c r="QBP717" s="1176"/>
      <c r="QBQ717" s="1176"/>
      <c r="QBR717" s="1176"/>
      <c r="QBS717" s="1176"/>
      <c r="QBT717" s="1176"/>
      <c r="QBU717" s="1176"/>
      <c r="QBV717" s="1176"/>
      <c r="QBW717" s="1176"/>
      <c r="QBX717" s="1176"/>
      <c r="QBY717" s="1176"/>
      <c r="QBZ717" s="1176"/>
      <c r="QCA717" s="1176"/>
      <c r="QCB717" s="1176"/>
      <c r="QCC717" s="1176"/>
      <c r="QCD717" s="1176"/>
      <c r="QCE717" s="1176"/>
      <c r="QCF717" s="1176"/>
      <c r="QCG717" s="1176"/>
      <c r="QCH717" s="1176"/>
      <c r="QCI717" s="1176"/>
      <c r="QCJ717" s="1176"/>
      <c r="QCK717" s="1176"/>
      <c r="QCL717" s="1176"/>
      <c r="QCM717" s="1176"/>
      <c r="QCN717" s="1176"/>
      <c r="QCO717" s="1176"/>
      <c r="QCP717" s="1176"/>
      <c r="QCQ717" s="1176"/>
      <c r="QCR717" s="1176"/>
      <c r="QCS717" s="1176"/>
      <c r="QCT717" s="1176"/>
      <c r="QCU717" s="1176"/>
      <c r="QCV717" s="1176"/>
      <c r="QCW717" s="1176"/>
      <c r="QCX717" s="1176"/>
      <c r="QCY717" s="1176"/>
      <c r="QCZ717" s="1176"/>
      <c r="QDA717" s="1176"/>
      <c r="QDB717" s="1176"/>
      <c r="QDC717" s="1176"/>
      <c r="QDD717" s="1176"/>
      <c r="QDE717" s="1176"/>
      <c r="QDF717" s="1176"/>
      <c r="QDG717" s="1176"/>
      <c r="QDH717" s="1176"/>
      <c r="QDI717" s="1176"/>
      <c r="QDJ717" s="1176"/>
      <c r="QDK717" s="1176"/>
      <c r="QDL717" s="1176"/>
      <c r="QDM717" s="1176"/>
      <c r="QDN717" s="1176"/>
      <c r="QDO717" s="1176"/>
      <c r="QDP717" s="1176"/>
      <c r="QDQ717" s="1176"/>
      <c r="QDR717" s="1176"/>
      <c r="QDS717" s="1176"/>
      <c r="QDT717" s="1176"/>
      <c r="QDU717" s="1176"/>
      <c r="QDV717" s="1176"/>
      <c r="QDW717" s="1176"/>
      <c r="QDX717" s="1176"/>
      <c r="QDY717" s="1176"/>
      <c r="QDZ717" s="1176"/>
      <c r="QEA717" s="1176"/>
      <c r="QEB717" s="1176"/>
      <c r="QEC717" s="1176"/>
      <c r="QED717" s="1176"/>
      <c r="QEE717" s="1176"/>
      <c r="QEF717" s="1176"/>
      <c r="QEG717" s="1176"/>
      <c r="QEH717" s="1176"/>
      <c r="QEI717" s="1176"/>
      <c r="QEJ717" s="1176"/>
      <c r="QEK717" s="1176"/>
      <c r="QEL717" s="1176"/>
      <c r="QEM717" s="1176"/>
      <c r="QEN717" s="1176"/>
      <c r="QEO717" s="1176"/>
      <c r="QEP717" s="1176"/>
      <c r="QEQ717" s="1176"/>
      <c r="QER717" s="1176"/>
      <c r="QES717" s="1176"/>
      <c r="QET717" s="1176"/>
      <c r="QEU717" s="1176"/>
      <c r="QEV717" s="1176"/>
      <c r="QEW717" s="1176"/>
      <c r="QEX717" s="1176"/>
      <c r="QEY717" s="1176"/>
      <c r="QEZ717" s="1176"/>
      <c r="QFA717" s="1176"/>
      <c r="QFB717" s="1176"/>
      <c r="QFC717" s="1176"/>
      <c r="QFD717" s="1176"/>
      <c r="QFE717" s="1176"/>
      <c r="QFF717" s="1176"/>
      <c r="QFG717" s="1176"/>
      <c r="QFH717" s="1176"/>
      <c r="QFI717" s="1176"/>
      <c r="QFJ717" s="1176"/>
      <c r="QFK717" s="1176"/>
      <c r="QFL717" s="1176"/>
      <c r="QFM717" s="1176"/>
      <c r="QFN717" s="1176"/>
      <c r="QFO717" s="1176"/>
      <c r="QFP717" s="1176"/>
      <c r="QFQ717" s="1176"/>
      <c r="QFR717" s="1176"/>
      <c r="QFS717" s="1176"/>
      <c r="QFT717" s="1176"/>
      <c r="QFU717" s="1176"/>
      <c r="QFV717" s="1176"/>
      <c r="QFW717" s="1176"/>
      <c r="QFX717" s="1176"/>
      <c r="QFY717" s="1176"/>
      <c r="QFZ717" s="1176"/>
      <c r="QGA717" s="1176"/>
      <c r="QGB717" s="1176"/>
      <c r="QGC717" s="1176"/>
      <c r="QGD717" s="1176"/>
      <c r="QGE717" s="1176"/>
      <c r="QGF717" s="1176"/>
      <c r="QGG717" s="1176"/>
      <c r="QGH717" s="1176"/>
      <c r="QGI717" s="1176"/>
      <c r="QGJ717" s="1176"/>
      <c r="QGK717" s="1176"/>
      <c r="QGL717" s="1176"/>
      <c r="QGM717" s="1176"/>
      <c r="QGN717" s="1176"/>
      <c r="QGO717" s="1176"/>
      <c r="QGP717" s="1176"/>
      <c r="QGQ717" s="1176"/>
      <c r="QGR717" s="1176"/>
      <c r="QGS717" s="1176"/>
      <c r="QGT717" s="1176"/>
      <c r="QGU717" s="1176"/>
      <c r="QGV717" s="1176"/>
      <c r="QGW717" s="1176"/>
      <c r="QGX717" s="1176"/>
      <c r="QGY717" s="1176"/>
      <c r="QGZ717" s="1176"/>
      <c r="QHA717" s="1176"/>
      <c r="QHB717" s="1176"/>
      <c r="QHC717" s="1176"/>
      <c r="QHD717" s="1176"/>
      <c r="QHE717" s="1176"/>
      <c r="QHF717" s="1176"/>
      <c r="QHG717" s="1176"/>
      <c r="QHH717" s="1176"/>
      <c r="QHI717" s="1176"/>
      <c r="QHJ717" s="1176"/>
      <c r="QHK717" s="1176"/>
      <c r="QHL717" s="1176"/>
      <c r="QHM717" s="1176"/>
      <c r="QHN717" s="1176"/>
      <c r="QHO717" s="1176"/>
      <c r="QHP717" s="1176"/>
      <c r="QHQ717" s="1176"/>
      <c r="QHR717" s="1176"/>
      <c r="QHS717" s="1176"/>
      <c r="QHT717" s="1176"/>
      <c r="QHU717" s="1176"/>
      <c r="QHV717" s="1176"/>
      <c r="QHW717" s="1176"/>
      <c r="QHX717" s="1176"/>
      <c r="QHY717" s="1176"/>
      <c r="QHZ717" s="1176"/>
      <c r="QIA717" s="1176"/>
      <c r="QIB717" s="1176"/>
      <c r="QIC717" s="1176"/>
      <c r="QID717" s="1176"/>
      <c r="QIE717" s="1176"/>
      <c r="QIF717" s="1176"/>
      <c r="QIG717" s="1176"/>
      <c r="QIH717" s="1176"/>
      <c r="QII717" s="1176"/>
      <c r="QIJ717" s="1176"/>
      <c r="QIK717" s="1176"/>
      <c r="QIL717" s="1176"/>
      <c r="QIM717" s="1176"/>
      <c r="QIN717" s="1176"/>
      <c r="QIO717" s="1176"/>
      <c r="QIP717" s="1176"/>
      <c r="QIQ717" s="1176"/>
      <c r="QIR717" s="1176"/>
      <c r="QIS717" s="1176"/>
      <c r="QIT717" s="1176"/>
      <c r="QIU717" s="1176"/>
      <c r="QIV717" s="1176"/>
      <c r="QIW717" s="1176"/>
      <c r="QIX717" s="1176"/>
      <c r="QIY717" s="1176"/>
      <c r="QIZ717" s="1176"/>
      <c r="QJA717" s="1176"/>
      <c r="QJB717" s="1176"/>
      <c r="QJC717" s="1176"/>
      <c r="QJD717" s="1176"/>
      <c r="QJE717" s="1176"/>
      <c r="QJF717" s="1176"/>
      <c r="QJG717" s="1176"/>
      <c r="QJH717" s="1176"/>
      <c r="QJI717" s="1176"/>
      <c r="QJJ717" s="1176"/>
      <c r="QJK717" s="1176"/>
      <c r="QJL717" s="1176"/>
      <c r="QJM717" s="1176"/>
      <c r="QJN717" s="1176"/>
      <c r="QJO717" s="1176"/>
      <c r="QJP717" s="1176"/>
      <c r="QJQ717" s="1176"/>
      <c r="QJR717" s="1176"/>
      <c r="QJS717" s="1176"/>
      <c r="QJT717" s="1176"/>
      <c r="QJU717" s="1176"/>
      <c r="QJV717" s="1176"/>
      <c r="QJW717" s="1176"/>
      <c r="QJX717" s="1176"/>
      <c r="QJY717" s="1176"/>
      <c r="QJZ717" s="1176"/>
      <c r="QKA717" s="1176"/>
      <c r="QKB717" s="1176"/>
      <c r="QKC717" s="1176"/>
      <c r="QKD717" s="1176"/>
      <c r="QKE717" s="1176"/>
      <c r="QKF717" s="1176"/>
      <c r="QKG717" s="1176"/>
      <c r="QKH717" s="1176"/>
      <c r="QKI717" s="1176"/>
      <c r="QKJ717" s="1176"/>
      <c r="QKK717" s="1176"/>
      <c r="QKL717" s="1176"/>
      <c r="QKM717" s="1176"/>
      <c r="QKN717" s="1176"/>
      <c r="QKO717" s="1176"/>
      <c r="QKP717" s="1176"/>
      <c r="QKQ717" s="1176"/>
      <c r="QKR717" s="1176"/>
      <c r="QKS717" s="1176"/>
      <c r="QKT717" s="1176"/>
      <c r="QKU717" s="1176"/>
      <c r="QKV717" s="1176"/>
      <c r="QKW717" s="1176"/>
      <c r="QKX717" s="1176"/>
      <c r="QKY717" s="1176"/>
      <c r="QKZ717" s="1176"/>
      <c r="QLA717" s="1176"/>
      <c r="QLB717" s="1176"/>
      <c r="QLC717" s="1176"/>
      <c r="QLD717" s="1176"/>
      <c r="QLE717" s="1176"/>
      <c r="QLF717" s="1176"/>
      <c r="QLG717" s="1176"/>
      <c r="QLH717" s="1176"/>
      <c r="QLI717" s="1176"/>
      <c r="QLJ717" s="1176"/>
      <c r="QLK717" s="1176"/>
      <c r="QLL717" s="1176"/>
      <c r="QLM717" s="1176"/>
      <c r="QLN717" s="1176"/>
      <c r="QLO717" s="1176"/>
      <c r="QLP717" s="1176"/>
      <c r="QLQ717" s="1176"/>
      <c r="QLR717" s="1176"/>
      <c r="QLS717" s="1176"/>
      <c r="QLT717" s="1176"/>
      <c r="QLU717" s="1176"/>
      <c r="QLV717" s="1176"/>
      <c r="QLW717" s="1176"/>
      <c r="QLX717" s="1176"/>
      <c r="QLY717" s="1176"/>
      <c r="QLZ717" s="1176"/>
      <c r="QMA717" s="1176"/>
      <c r="QMB717" s="1176"/>
      <c r="QMC717" s="1176"/>
      <c r="QMD717" s="1176"/>
      <c r="QME717" s="1176"/>
      <c r="QMF717" s="1176"/>
      <c r="QMG717" s="1176"/>
      <c r="QMH717" s="1176"/>
      <c r="QMI717" s="1176"/>
      <c r="QMJ717" s="1176"/>
      <c r="QMK717" s="1176"/>
      <c r="QML717" s="1176"/>
      <c r="QMM717" s="1176"/>
      <c r="QMN717" s="1176"/>
      <c r="QMO717" s="1176"/>
      <c r="QMP717" s="1176"/>
      <c r="QMQ717" s="1176"/>
      <c r="QMR717" s="1176"/>
      <c r="QMS717" s="1176"/>
      <c r="QMT717" s="1176"/>
      <c r="QMU717" s="1176"/>
      <c r="QMV717" s="1176"/>
      <c r="QMW717" s="1176"/>
      <c r="QMX717" s="1176"/>
      <c r="QMY717" s="1176"/>
      <c r="QMZ717" s="1176"/>
      <c r="QNA717" s="1176"/>
      <c r="QNB717" s="1176"/>
      <c r="QNC717" s="1176"/>
      <c r="QND717" s="1176"/>
      <c r="QNE717" s="1176"/>
      <c r="QNF717" s="1176"/>
      <c r="QNG717" s="1176"/>
      <c r="QNH717" s="1176"/>
      <c r="QNI717" s="1176"/>
      <c r="QNJ717" s="1176"/>
      <c r="QNK717" s="1176"/>
      <c r="QNL717" s="1176"/>
      <c r="QNM717" s="1176"/>
      <c r="QNN717" s="1176"/>
      <c r="QNO717" s="1176"/>
      <c r="QNP717" s="1176"/>
      <c r="QNQ717" s="1176"/>
      <c r="QNR717" s="1176"/>
      <c r="QNS717" s="1176"/>
      <c r="QNT717" s="1176"/>
      <c r="QNU717" s="1176"/>
      <c r="QNV717" s="1176"/>
      <c r="QNW717" s="1176"/>
      <c r="QNX717" s="1176"/>
      <c r="QNY717" s="1176"/>
      <c r="QNZ717" s="1176"/>
      <c r="QOA717" s="1176"/>
      <c r="QOB717" s="1176"/>
      <c r="QOC717" s="1176"/>
      <c r="QOD717" s="1176"/>
      <c r="QOE717" s="1176"/>
      <c r="QOF717" s="1176"/>
      <c r="QOG717" s="1176"/>
      <c r="QOH717" s="1176"/>
      <c r="QOI717" s="1176"/>
      <c r="QOJ717" s="1176"/>
      <c r="QOK717" s="1176"/>
      <c r="QOL717" s="1176"/>
      <c r="QOM717" s="1176"/>
      <c r="QON717" s="1176"/>
      <c r="QOO717" s="1176"/>
      <c r="QOP717" s="1176"/>
      <c r="QOQ717" s="1176"/>
      <c r="QOR717" s="1176"/>
      <c r="QOS717" s="1176"/>
      <c r="QOT717" s="1176"/>
      <c r="QOU717" s="1176"/>
      <c r="QOV717" s="1176"/>
      <c r="QOW717" s="1176"/>
      <c r="QOX717" s="1176"/>
      <c r="QOY717" s="1176"/>
      <c r="QOZ717" s="1176"/>
      <c r="QPA717" s="1176"/>
      <c r="QPB717" s="1176"/>
      <c r="QPC717" s="1176"/>
      <c r="QPD717" s="1176"/>
      <c r="QPE717" s="1176"/>
      <c r="QPF717" s="1176"/>
      <c r="QPG717" s="1176"/>
      <c r="QPH717" s="1176"/>
      <c r="QPI717" s="1176"/>
      <c r="QPJ717" s="1176"/>
      <c r="QPK717" s="1176"/>
      <c r="QPL717" s="1176"/>
      <c r="QPM717" s="1176"/>
      <c r="QPN717" s="1176"/>
      <c r="QPO717" s="1176"/>
      <c r="QPP717" s="1176"/>
      <c r="QPQ717" s="1176"/>
      <c r="QPR717" s="1176"/>
      <c r="QPS717" s="1176"/>
      <c r="QPT717" s="1176"/>
      <c r="QPU717" s="1176"/>
      <c r="QPV717" s="1176"/>
      <c r="QPW717" s="1176"/>
      <c r="QPX717" s="1176"/>
      <c r="QPY717" s="1176"/>
      <c r="QPZ717" s="1176"/>
      <c r="QQA717" s="1176"/>
      <c r="QQB717" s="1176"/>
      <c r="QQC717" s="1176"/>
      <c r="QQD717" s="1176"/>
      <c r="QQE717" s="1176"/>
      <c r="QQF717" s="1176"/>
      <c r="QQG717" s="1176"/>
      <c r="QQH717" s="1176"/>
      <c r="QQI717" s="1176"/>
      <c r="QQJ717" s="1176"/>
      <c r="QQK717" s="1176"/>
      <c r="QQL717" s="1176"/>
      <c r="QQM717" s="1176"/>
      <c r="QQN717" s="1176"/>
      <c r="QQO717" s="1176"/>
      <c r="QQP717" s="1176"/>
      <c r="QQQ717" s="1176"/>
      <c r="QQR717" s="1176"/>
      <c r="QQS717" s="1176"/>
      <c r="QQT717" s="1176"/>
      <c r="QQU717" s="1176"/>
      <c r="QQV717" s="1176"/>
      <c r="QQW717" s="1176"/>
      <c r="QQX717" s="1176"/>
      <c r="QQY717" s="1176"/>
      <c r="QQZ717" s="1176"/>
      <c r="QRA717" s="1176"/>
      <c r="QRB717" s="1176"/>
      <c r="QRC717" s="1176"/>
      <c r="QRD717" s="1176"/>
      <c r="QRE717" s="1176"/>
      <c r="QRF717" s="1176"/>
      <c r="QRG717" s="1176"/>
      <c r="QRH717" s="1176"/>
      <c r="QRI717" s="1176"/>
      <c r="QRJ717" s="1176"/>
      <c r="QRK717" s="1176"/>
      <c r="QRL717" s="1176"/>
      <c r="QRM717" s="1176"/>
      <c r="QRN717" s="1176"/>
      <c r="QRO717" s="1176"/>
      <c r="QRP717" s="1176"/>
      <c r="QRQ717" s="1176"/>
      <c r="QRR717" s="1176"/>
      <c r="QRS717" s="1176"/>
      <c r="QRT717" s="1176"/>
      <c r="QRU717" s="1176"/>
      <c r="QRV717" s="1176"/>
      <c r="QRW717" s="1176"/>
      <c r="QRX717" s="1176"/>
      <c r="QRY717" s="1176"/>
      <c r="QRZ717" s="1176"/>
      <c r="QSA717" s="1176"/>
      <c r="QSB717" s="1176"/>
      <c r="QSC717" s="1176"/>
      <c r="QSD717" s="1176"/>
      <c r="QSE717" s="1176"/>
      <c r="QSF717" s="1176"/>
      <c r="QSG717" s="1176"/>
      <c r="QSH717" s="1176"/>
      <c r="QSI717" s="1176"/>
      <c r="QSJ717" s="1176"/>
      <c r="QSK717" s="1176"/>
      <c r="QSL717" s="1176"/>
      <c r="QSM717" s="1176"/>
      <c r="QSN717" s="1176"/>
      <c r="QSO717" s="1176"/>
      <c r="QSP717" s="1176"/>
      <c r="QSQ717" s="1176"/>
      <c r="QSR717" s="1176"/>
      <c r="QSS717" s="1176"/>
      <c r="QST717" s="1176"/>
      <c r="QSU717" s="1176"/>
      <c r="QSV717" s="1176"/>
      <c r="QSW717" s="1176"/>
      <c r="QSX717" s="1176"/>
      <c r="QSY717" s="1176"/>
      <c r="QSZ717" s="1176"/>
      <c r="QTA717" s="1176"/>
      <c r="QTB717" s="1176"/>
      <c r="QTC717" s="1176"/>
      <c r="QTD717" s="1176"/>
      <c r="QTE717" s="1176"/>
      <c r="QTF717" s="1176"/>
      <c r="QTG717" s="1176"/>
      <c r="QTH717" s="1176"/>
      <c r="QTI717" s="1176"/>
      <c r="QTJ717" s="1176"/>
      <c r="QTK717" s="1176"/>
      <c r="QTL717" s="1176"/>
      <c r="QTM717" s="1176"/>
      <c r="QTN717" s="1176"/>
      <c r="QTO717" s="1176"/>
      <c r="QTP717" s="1176"/>
      <c r="QTQ717" s="1176"/>
      <c r="QTR717" s="1176"/>
      <c r="QTS717" s="1176"/>
      <c r="QTT717" s="1176"/>
      <c r="QTU717" s="1176"/>
      <c r="QTV717" s="1176"/>
      <c r="QTW717" s="1176"/>
      <c r="QTX717" s="1176"/>
      <c r="QTY717" s="1176"/>
      <c r="QTZ717" s="1176"/>
      <c r="QUA717" s="1176"/>
      <c r="QUB717" s="1176"/>
      <c r="QUC717" s="1176"/>
      <c r="QUD717" s="1176"/>
      <c r="QUE717" s="1176"/>
      <c r="QUF717" s="1176"/>
      <c r="QUG717" s="1176"/>
      <c r="QUH717" s="1176"/>
      <c r="QUI717" s="1176"/>
      <c r="QUJ717" s="1176"/>
      <c r="QUK717" s="1176"/>
      <c r="QUL717" s="1176"/>
      <c r="QUM717" s="1176"/>
      <c r="QUN717" s="1176"/>
      <c r="QUO717" s="1176"/>
      <c r="QUP717" s="1176"/>
      <c r="QUQ717" s="1176"/>
      <c r="QUR717" s="1176"/>
      <c r="QUS717" s="1176"/>
      <c r="QUT717" s="1176"/>
      <c r="QUU717" s="1176"/>
      <c r="QUV717" s="1176"/>
      <c r="QUW717" s="1176"/>
      <c r="QUX717" s="1176"/>
      <c r="QUY717" s="1176"/>
      <c r="QUZ717" s="1176"/>
      <c r="QVA717" s="1176"/>
      <c r="QVB717" s="1176"/>
      <c r="QVC717" s="1176"/>
      <c r="QVD717" s="1176"/>
      <c r="QVE717" s="1176"/>
      <c r="QVF717" s="1176"/>
      <c r="QVG717" s="1176"/>
      <c r="QVH717" s="1176"/>
      <c r="QVI717" s="1176"/>
      <c r="QVJ717" s="1176"/>
      <c r="QVK717" s="1176"/>
      <c r="QVL717" s="1176"/>
      <c r="QVM717" s="1176"/>
      <c r="QVN717" s="1176"/>
      <c r="QVO717" s="1176"/>
      <c r="QVP717" s="1176"/>
      <c r="QVQ717" s="1176"/>
      <c r="QVR717" s="1176"/>
      <c r="QVS717" s="1176"/>
      <c r="QVT717" s="1176"/>
      <c r="QVU717" s="1176"/>
      <c r="QVV717" s="1176"/>
      <c r="QVW717" s="1176"/>
      <c r="QVX717" s="1176"/>
      <c r="QVY717" s="1176"/>
      <c r="QVZ717" s="1176"/>
      <c r="QWA717" s="1176"/>
      <c r="QWB717" s="1176"/>
      <c r="QWC717" s="1176"/>
      <c r="QWD717" s="1176"/>
      <c r="QWE717" s="1176"/>
      <c r="QWF717" s="1176"/>
      <c r="QWG717" s="1176"/>
      <c r="QWH717" s="1176"/>
      <c r="QWI717" s="1176"/>
      <c r="QWJ717" s="1176"/>
      <c r="QWK717" s="1176"/>
      <c r="QWL717" s="1176"/>
      <c r="QWM717" s="1176"/>
      <c r="QWN717" s="1176"/>
      <c r="QWO717" s="1176"/>
      <c r="QWP717" s="1176"/>
      <c r="QWQ717" s="1176"/>
      <c r="QWR717" s="1176"/>
      <c r="QWS717" s="1176"/>
      <c r="QWT717" s="1176"/>
      <c r="QWU717" s="1176"/>
      <c r="QWV717" s="1176"/>
      <c r="QWW717" s="1176"/>
      <c r="QWX717" s="1176"/>
      <c r="QWY717" s="1176"/>
      <c r="QWZ717" s="1176"/>
      <c r="QXA717" s="1176"/>
      <c r="QXB717" s="1176"/>
      <c r="QXC717" s="1176"/>
      <c r="QXD717" s="1176"/>
      <c r="QXE717" s="1176"/>
      <c r="QXF717" s="1176"/>
      <c r="QXG717" s="1176"/>
      <c r="QXH717" s="1176"/>
      <c r="QXI717" s="1176"/>
      <c r="QXJ717" s="1176"/>
      <c r="QXK717" s="1176"/>
      <c r="QXL717" s="1176"/>
      <c r="QXM717" s="1176"/>
      <c r="QXN717" s="1176"/>
      <c r="QXO717" s="1176"/>
      <c r="QXP717" s="1176"/>
      <c r="QXQ717" s="1176"/>
      <c r="QXR717" s="1176"/>
      <c r="QXS717" s="1176"/>
      <c r="QXT717" s="1176"/>
      <c r="QXU717" s="1176"/>
      <c r="QXV717" s="1176"/>
      <c r="QXW717" s="1176"/>
      <c r="QXX717" s="1176"/>
      <c r="QXY717" s="1176"/>
      <c r="QXZ717" s="1176"/>
      <c r="QYA717" s="1176"/>
      <c r="QYB717" s="1176"/>
      <c r="QYC717" s="1176"/>
      <c r="QYD717" s="1176"/>
      <c r="QYE717" s="1176"/>
      <c r="QYF717" s="1176"/>
      <c r="QYG717" s="1176"/>
      <c r="QYH717" s="1176"/>
      <c r="QYI717" s="1176"/>
      <c r="QYJ717" s="1176"/>
      <c r="QYK717" s="1176"/>
      <c r="QYL717" s="1176"/>
      <c r="QYM717" s="1176"/>
      <c r="QYN717" s="1176"/>
      <c r="QYO717" s="1176"/>
      <c r="QYP717" s="1176"/>
      <c r="QYQ717" s="1176"/>
      <c r="QYR717" s="1176"/>
      <c r="QYS717" s="1176"/>
      <c r="QYT717" s="1176"/>
      <c r="QYU717" s="1176"/>
      <c r="QYV717" s="1176"/>
      <c r="QYW717" s="1176"/>
      <c r="QYX717" s="1176"/>
      <c r="QYY717" s="1176"/>
      <c r="QYZ717" s="1176"/>
      <c r="QZA717" s="1176"/>
      <c r="QZB717" s="1176"/>
      <c r="QZC717" s="1176"/>
      <c r="QZD717" s="1176"/>
      <c r="QZE717" s="1176"/>
      <c r="QZF717" s="1176"/>
      <c r="QZG717" s="1176"/>
      <c r="QZH717" s="1176"/>
      <c r="QZI717" s="1176"/>
      <c r="QZJ717" s="1176"/>
      <c r="QZK717" s="1176"/>
      <c r="QZL717" s="1176"/>
      <c r="QZM717" s="1176"/>
      <c r="QZN717" s="1176"/>
      <c r="QZO717" s="1176"/>
      <c r="QZP717" s="1176"/>
      <c r="QZQ717" s="1176"/>
      <c r="QZR717" s="1176"/>
      <c r="QZS717" s="1176"/>
      <c r="QZT717" s="1176"/>
      <c r="QZU717" s="1176"/>
      <c r="QZV717" s="1176"/>
      <c r="QZW717" s="1176"/>
      <c r="QZX717" s="1176"/>
      <c r="QZY717" s="1176"/>
      <c r="QZZ717" s="1176"/>
      <c r="RAA717" s="1176"/>
      <c r="RAB717" s="1176"/>
      <c r="RAC717" s="1176"/>
      <c r="RAD717" s="1176"/>
      <c r="RAE717" s="1176"/>
      <c r="RAF717" s="1176"/>
      <c r="RAG717" s="1176"/>
      <c r="RAH717" s="1176"/>
      <c r="RAI717" s="1176"/>
      <c r="RAJ717" s="1176"/>
      <c r="RAK717" s="1176"/>
      <c r="RAL717" s="1176"/>
      <c r="RAM717" s="1176"/>
      <c r="RAN717" s="1176"/>
      <c r="RAO717" s="1176"/>
      <c r="RAP717" s="1176"/>
      <c r="RAQ717" s="1176"/>
      <c r="RAR717" s="1176"/>
      <c r="RAS717" s="1176"/>
      <c r="RAT717" s="1176"/>
      <c r="RAU717" s="1176"/>
      <c r="RAV717" s="1176"/>
      <c r="RAW717" s="1176"/>
      <c r="RAX717" s="1176"/>
      <c r="RAY717" s="1176"/>
      <c r="RAZ717" s="1176"/>
      <c r="RBA717" s="1176"/>
      <c r="RBB717" s="1176"/>
      <c r="RBC717" s="1176"/>
      <c r="RBD717" s="1176"/>
      <c r="RBE717" s="1176"/>
      <c r="RBF717" s="1176"/>
      <c r="RBG717" s="1176"/>
      <c r="RBH717" s="1176"/>
      <c r="RBI717" s="1176"/>
      <c r="RBJ717" s="1176"/>
      <c r="RBK717" s="1176"/>
      <c r="RBL717" s="1176"/>
      <c r="RBM717" s="1176"/>
      <c r="RBN717" s="1176"/>
      <c r="RBO717" s="1176"/>
      <c r="RBP717" s="1176"/>
      <c r="RBQ717" s="1176"/>
      <c r="RBR717" s="1176"/>
      <c r="RBS717" s="1176"/>
      <c r="RBT717" s="1176"/>
      <c r="RBU717" s="1176"/>
      <c r="RBV717" s="1176"/>
      <c r="RBW717" s="1176"/>
      <c r="RBX717" s="1176"/>
      <c r="RBY717" s="1176"/>
      <c r="RBZ717" s="1176"/>
      <c r="RCA717" s="1176"/>
      <c r="RCB717" s="1176"/>
      <c r="RCC717" s="1176"/>
      <c r="RCD717" s="1176"/>
      <c r="RCE717" s="1176"/>
      <c r="RCF717" s="1176"/>
      <c r="RCG717" s="1176"/>
      <c r="RCH717" s="1176"/>
      <c r="RCI717" s="1176"/>
      <c r="RCJ717" s="1176"/>
      <c r="RCK717" s="1176"/>
      <c r="RCL717" s="1176"/>
      <c r="RCM717" s="1176"/>
      <c r="RCN717" s="1176"/>
      <c r="RCO717" s="1176"/>
      <c r="RCP717" s="1176"/>
      <c r="RCQ717" s="1176"/>
      <c r="RCR717" s="1176"/>
      <c r="RCS717" s="1176"/>
      <c r="RCT717" s="1176"/>
      <c r="RCU717" s="1176"/>
      <c r="RCV717" s="1176"/>
      <c r="RCW717" s="1176"/>
      <c r="RCX717" s="1176"/>
      <c r="RCY717" s="1176"/>
      <c r="RCZ717" s="1176"/>
      <c r="RDA717" s="1176"/>
      <c r="RDB717" s="1176"/>
      <c r="RDC717" s="1176"/>
      <c r="RDD717" s="1176"/>
      <c r="RDE717" s="1176"/>
      <c r="RDF717" s="1176"/>
      <c r="RDG717" s="1176"/>
      <c r="RDH717" s="1176"/>
      <c r="RDI717" s="1176"/>
      <c r="RDJ717" s="1176"/>
      <c r="RDK717" s="1176"/>
      <c r="RDL717" s="1176"/>
      <c r="RDM717" s="1176"/>
      <c r="RDN717" s="1176"/>
      <c r="RDO717" s="1176"/>
      <c r="RDP717" s="1176"/>
      <c r="RDQ717" s="1176"/>
      <c r="RDR717" s="1176"/>
      <c r="RDS717" s="1176"/>
      <c r="RDT717" s="1176"/>
      <c r="RDU717" s="1176"/>
      <c r="RDV717" s="1176"/>
      <c r="RDW717" s="1176"/>
      <c r="RDX717" s="1176"/>
      <c r="RDY717" s="1176"/>
      <c r="RDZ717" s="1176"/>
      <c r="REA717" s="1176"/>
      <c r="REB717" s="1176"/>
      <c r="REC717" s="1176"/>
      <c r="RED717" s="1176"/>
      <c r="REE717" s="1176"/>
      <c r="REF717" s="1176"/>
      <c r="REG717" s="1176"/>
      <c r="REH717" s="1176"/>
      <c r="REI717" s="1176"/>
      <c r="REJ717" s="1176"/>
      <c r="REK717" s="1176"/>
      <c r="REL717" s="1176"/>
      <c r="REM717" s="1176"/>
      <c r="REN717" s="1176"/>
      <c r="REO717" s="1176"/>
      <c r="REP717" s="1176"/>
      <c r="REQ717" s="1176"/>
      <c r="RER717" s="1176"/>
      <c r="RES717" s="1176"/>
      <c r="RET717" s="1176"/>
      <c r="REU717" s="1176"/>
      <c r="REV717" s="1176"/>
      <c r="REW717" s="1176"/>
      <c r="REX717" s="1176"/>
      <c r="REY717" s="1176"/>
      <c r="REZ717" s="1176"/>
      <c r="RFA717" s="1176"/>
      <c r="RFB717" s="1176"/>
      <c r="RFC717" s="1176"/>
      <c r="RFD717" s="1176"/>
      <c r="RFE717" s="1176"/>
      <c r="RFF717" s="1176"/>
      <c r="RFG717" s="1176"/>
      <c r="RFH717" s="1176"/>
      <c r="RFI717" s="1176"/>
      <c r="RFJ717" s="1176"/>
      <c r="RFK717" s="1176"/>
      <c r="RFL717" s="1176"/>
      <c r="RFM717" s="1176"/>
      <c r="RFN717" s="1176"/>
      <c r="RFO717" s="1176"/>
      <c r="RFP717" s="1176"/>
      <c r="RFQ717" s="1176"/>
      <c r="RFR717" s="1176"/>
      <c r="RFS717" s="1176"/>
      <c r="RFT717" s="1176"/>
      <c r="RFU717" s="1176"/>
      <c r="RFV717" s="1176"/>
      <c r="RFW717" s="1176"/>
      <c r="RFX717" s="1176"/>
      <c r="RFY717" s="1176"/>
      <c r="RFZ717" s="1176"/>
      <c r="RGA717" s="1176"/>
      <c r="RGB717" s="1176"/>
      <c r="RGC717" s="1176"/>
      <c r="RGD717" s="1176"/>
      <c r="RGE717" s="1176"/>
      <c r="RGF717" s="1176"/>
      <c r="RGG717" s="1176"/>
      <c r="RGH717" s="1176"/>
      <c r="RGI717" s="1176"/>
      <c r="RGJ717" s="1176"/>
      <c r="RGK717" s="1176"/>
      <c r="RGL717" s="1176"/>
      <c r="RGM717" s="1176"/>
      <c r="RGN717" s="1176"/>
      <c r="RGO717" s="1176"/>
      <c r="RGP717" s="1176"/>
      <c r="RGQ717" s="1176"/>
      <c r="RGR717" s="1176"/>
      <c r="RGS717" s="1176"/>
      <c r="RGT717" s="1176"/>
      <c r="RGU717" s="1176"/>
      <c r="RGV717" s="1176"/>
      <c r="RGW717" s="1176"/>
      <c r="RGX717" s="1176"/>
      <c r="RGY717" s="1176"/>
      <c r="RGZ717" s="1176"/>
      <c r="RHA717" s="1176"/>
      <c r="RHB717" s="1176"/>
      <c r="RHC717" s="1176"/>
      <c r="RHD717" s="1176"/>
      <c r="RHE717" s="1176"/>
      <c r="RHF717" s="1176"/>
      <c r="RHG717" s="1176"/>
      <c r="RHH717" s="1176"/>
      <c r="RHI717" s="1176"/>
      <c r="RHJ717" s="1176"/>
      <c r="RHK717" s="1176"/>
      <c r="RHL717" s="1176"/>
      <c r="RHM717" s="1176"/>
      <c r="RHN717" s="1176"/>
      <c r="RHO717" s="1176"/>
      <c r="RHP717" s="1176"/>
      <c r="RHQ717" s="1176"/>
      <c r="RHR717" s="1176"/>
      <c r="RHS717" s="1176"/>
      <c r="RHT717" s="1176"/>
      <c r="RHU717" s="1176"/>
      <c r="RHV717" s="1176"/>
      <c r="RHW717" s="1176"/>
      <c r="RHX717" s="1176"/>
      <c r="RHY717" s="1176"/>
      <c r="RHZ717" s="1176"/>
      <c r="RIA717" s="1176"/>
      <c r="RIB717" s="1176"/>
      <c r="RIC717" s="1176"/>
      <c r="RID717" s="1176"/>
      <c r="RIE717" s="1176"/>
      <c r="RIF717" s="1176"/>
      <c r="RIG717" s="1176"/>
      <c r="RIH717" s="1176"/>
      <c r="RII717" s="1176"/>
      <c r="RIJ717" s="1176"/>
      <c r="RIK717" s="1176"/>
      <c r="RIL717" s="1176"/>
      <c r="RIM717" s="1176"/>
      <c r="RIN717" s="1176"/>
      <c r="RIO717" s="1176"/>
      <c r="RIP717" s="1176"/>
      <c r="RIQ717" s="1176"/>
      <c r="RIR717" s="1176"/>
      <c r="RIS717" s="1176"/>
      <c r="RIT717" s="1176"/>
      <c r="RIU717" s="1176"/>
      <c r="RIV717" s="1176"/>
      <c r="RIW717" s="1176"/>
      <c r="RIX717" s="1176"/>
      <c r="RIY717" s="1176"/>
      <c r="RIZ717" s="1176"/>
      <c r="RJA717" s="1176"/>
      <c r="RJB717" s="1176"/>
      <c r="RJC717" s="1176"/>
      <c r="RJD717" s="1176"/>
      <c r="RJE717" s="1176"/>
      <c r="RJF717" s="1176"/>
      <c r="RJG717" s="1176"/>
      <c r="RJH717" s="1176"/>
      <c r="RJI717" s="1176"/>
      <c r="RJJ717" s="1176"/>
      <c r="RJK717" s="1176"/>
      <c r="RJL717" s="1176"/>
      <c r="RJM717" s="1176"/>
      <c r="RJN717" s="1176"/>
      <c r="RJO717" s="1176"/>
      <c r="RJP717" s="1176"/>
      <c r="RJQ717" s="1176"/>
      <c r="RJR717" s="1176"/>
      <c r="RJS717" s="1176"/>
      <c r="RJT717" s="1176"/>
      <c r="RJU717" s="1176"/>
      <c r="RJV717" s="1176"/>
      <c r="RJW717" s="1176"/>
      <c r="RJX717" s="1176"/>
      <c r="RJY717" s="1176"/>
      <c r="RJZ717" s="1176"/>
      <c r="RKA717" s="1176"/>
      <c r="RKB717" s="1176"/>
      <c r="RKC717" s="1176"/>
      <c r="RKD717" s="1176"/>
      <c r="RKE717" s="1176"/>
      <c r="RKF717" s="1176"/>
      <c r="RKG717" s="1176"/>
      <c r="RKH717" s="1176"/>
      <c r="RKI717" s="1176"/>
      <c r="RKJ717" s="1176"/>
      <c r="RKK717" s="1176"/>
      <c r="RKL717" s="1176"/>
      <c r="RKM717" s="1176"/>
      <c r="RKN717" s="1176"/>
      <c r="RKO717" s="1176"/>
      <c r="RKP717" s="1176"/>
      <c r="RKQ717" s="1176"/>
      <c r="RKR717" s="1176"/>
      <c r="RKS717" s="1176"/>
      <c r="RKT717" s="1176"/>
      <c r="RKU717" s="1176"/>
      <c r="RKV717" s="1176"/>
      <c r="RKW717" s="1176"/>
      <c r="RKX717" s="1176"/>
      <c r="RKY717" s="1176"/>
      <c r="RKZ717" s="1176"/>
      <c r="RLA717" s="1176"/>
      <c r="RLB717" s="1176"/>
      <c r="RLC717" s="1176"/>
      <c r="RLD717" s="1176"/>
      <c r="RLE717" s="1176"/>
      <c r="RLF717" s="1176"/>
      <c r="RLG717" s="1176"/>
      <c r="RLH717" s="1176"/>
      <c r="RLI717" s="1176"/>
      <c r="RLJ717" s="1176"/>
      <c r="RLK717" s="1176"/>
      <c r="RLL717" s="1176"/>
      <c r="RLM717" s="1176"/>
      <c r="RLN717" s="1176"/>
      <c r="RLO717" s="1176"/>
      <c r="RLP717" s="1176"/>
      <c r="RLQ717" s="1176"/>
      <c r="RLR717" s="1176"/>
      <c r="RLS717" s="1176"/>
      <c r="RLT717" s="1176"/>
      <c r="RLU717" s="1176"/>
      <c r="RLV717" s="1176"/>
      <c r="RLW717" s="1176"/>
      <c r="RLX717" s="1176"/>
      <c r="RLY717" s="1176"/>
      <c r="RLZ717" s="1176"/>
      <c r="RMA717" s="1176"/>
      <c r="RMB717" s="1176"/>
      <c r="RMC717" s="1176"/>
      <c r="RMD717" s="1176"/>
      <c r="RME717" s="1176"/>
      <c r="RMF717" s="1176"/>
      <c r="RMG717" s="1176"/>
      <c r="RMH717" s="1176"/>
      <c r="RMI717" s="1176"/>
      <c r="RMJ717" s="1176"/>
      <c r="RMK717" s="1176"/>
      <c r="RML717" s="1176"/>
      <c r="RMM717" s="1176"/>
      <c r="RMN717" s="1176"/>
      <c r="RMO717" s="1176"/>
      <c r="RMP717" s="1176"/>
      <c r="RMQ717" s="1176"/>
      <c r="RMR717" s="1176"/>
      <c r="RMS717" s="1176"/>
      <c r="RMT717" s="1176"/>
      <c r="RMU717" s="1176"/>
      <c r="RMV717" s="1176"/>
      <c r="RMW717" s="1176"/>
      <c r="RMX717" s="1176"/>
      <c r="RMY717" s="1176"/>
      <c r="RMZ717" s="1176"/>
      <c r="RNA717" s="1176"/>
      <c r="RNB717" s="1176"/>
      <c r="RNC717" s="1176"/>
      <c r="RND717" s="1176"/>
      <c r="RNE717" s="1176"/>
      <c r="RNF717" s="1176"/>
      <c r="RNG717" s="1176"/>
      <c r="RNH717" s="1176"/>
      <c r="RNI717" s="1176"/>
      <c r="RNJ717" s="1176"/>
      <c r="RNK717" s="1176"/>
      <c r="RNL717" s="1176"/>
      <c r="RNM717" s="1176"/>
      <c r="RNN717" s="1176"/>
      <c r="RNO717" s="1176"/>
      <c r="RNP717" s="1176"/>
      <c r="RNQ717" s="1176"/>
      <c r="RNR717" s="1176"/>
      <c r="RNS717" s="1176"/>
      <c r="RNT717" s="1176"/>
      <c r="RNU717" s="1176"/>
      <c r="RNV717" s="1176"/>
      <c r="RNW717" s="1176"/>
      <c r="RNX717" s="1176"/>
      <c r="RNY717" s="1176"/>
      <c r="RNZ717" s="1176"/>
      <c r="ROA717" s="1176"/>
      <c r="ROB717" s="1176"/>
      <c r="ROC717" s="1176"/>
      <c r="ROD717" s="1176"/>
      <c r="ROE717" s="1176"/>
      <c r="ROF717" s="1176"/>
      <c r="ROG717" s="1176"/>
      <c r="ROH717" s="1176"/>
      <c r="ROI717" s="1176"/>
      <c r="ROJ717" s="1176"/>
      <c r="ROK717" s="1176"/>
      <c r="ROL717" s="1176"/>
      <c r="ROM717" s="1176"/>
      <c r="RON717" s="1176"/>
      <c r="ROO717" s="1176"/>
      <c r="ROP717" s="1176"/>
      <c r="ROQ717" s="1176"/>
      <c r="ROR717" s="1176"/>
      <c r="ROS717" s="1176"/>
      <c r="ROT717" s="1176"/>
      <c r="ROU717" s="1176"/>
      <c r="ROV717" s="1176"/>
      <c r="ROW717" s="1176"/>
      <c r="ROX717" s="1176"/>
      <c r="ROY717" s="1176"/>
      <c r="ROZ717" s="1176"/>
      <c r="RPA717" s="1176"/>
      <c r="RPB717" s="1176"/>
      <c r="RPC717" s="1176"/>
      <c r="RPD717" s="1176"/>
      <c r="RPE717" s="1176"/>
      <c r="RPF717" s="1176"/>
      <c r="RPG717" s="1176"/>
      <c r="RPH717" s="1176"/>
      <c r="RPI717" s="1176"/>
      <c r="RPJ717" s="1176"/>
      <c r="RPK717" s="1176"/>
      <c r="RPL717" s="1176"/>
      <c r="RPM717" s="1176"/>
      <c r="RPN717" s="1176"/>
      <c r="RPO717" s="1176"/>
      <c r="RPP717" s="1176"/>
      <c r="RPQ717" s="1176"/>
      <c r="RPR717" s="1176"/>
      <c r="RPS717" s="1176"/>
      <c r="RPT717" s="1176"/>
      <c r="RPU717" s="1176"/>
      <c r="RPV717" s="1176"/>
      <c r="RPW717" s="1176"/>
      <c r="RPX717" s="1176"/>
      <c r="RPY717" s="1176"/>
      <c r="RPZ717" s="1176"/>
      <c r="RQA717" s="1176"/>
      <c r="RQB717" s="1176"/>
      <c r="RQC717" s="1176"/>
      <c r="RQD717" s="1176"/>
      <c r="RQE717" s="1176"/>
      <c r="RQF717" s="1176"/>
      <c r="RQG717" s="1176"/>
      <c r="RQH717" s="1176"/>
      <c r="RQI717" s="1176"/>
      <c r="RQJ717" s="1176"/>
      <c r="RQK717" s="1176"/>
      <c r="RQL717" s="1176"/>
      <c r="RQM717" s="1176"/>
      <c r="RQN717" s="1176"/>
      <c r="RQO717" s="1176"/>
      <c r="RQP717" s="1176"/>
      <c r="RQQ717" s="1176"/>
      <c r="RQR717" s="1176"/>
      <c r="RQS717" s="1176"/>
      <c r="RQT717" s="1176"/>
      <c r="RQU717" s="1176"/>
      <c r="RQV717" s="1176"/>
      <c r="RQW717" s="1176"/>
      <c r="RQX717" s="1176"/>
      <c r="RQY717" s="1176"/>
      <c r="RQZ717" s="1176"/>
      <c r="RRA717" s="1176"/>
      <c r="RRB717" s="1176"/>
      <c r="RRC717" s="1176"/>
      <c r="RRD717" s="1176"/>
      <c r="RRE717" s="1176"/>
      <c r="RRF717" s="1176"/>
      <c r="RRG717" s="1176"/>
      <c r="RRH717" s="1176"/>
      <c r="RRI717" s="1176"/>
      <c r="RRJ717" s="1176"/>
      <c r="RRK717" s="1176"/>
      <c r="RRL717" s="1176"/>
      <c r="RRM717" s="1176"/>
      <c r="RRN717" s="1176"/>
      <c r="RRO717" s="1176"/>
      <c r="RRP717" s="1176"/>
      <c r="RRQ717" s="1176"/>
      <c r="RRR717" s="1176"/>
      <c r="RRS717" s="1176"/>
      <c r="RRT717" s="1176"/>
      <c r="RRU717" s="1176"/>
      <c r="RRV717" s="1176"/>
      <c r="RRW717" s="1176"/>
      <c r="RRX717" s="1176"/>
      <c r="RRY717" s="1176"/>
      <c r="RRZ717" s="1176"/>
      <c r="RSA717" s="1176"/>
      <c r="RSB717" s="1176"/>
      <c r="RSC717" s="1176"/>
      <c r="RSD717" s="1176"/>
      <c r="RSE717" s="1176"/>
      <c r="RSF717" s="1176"/>
      <c r="RSG717" s="1176"/>
      <c r="RSH717" s="1176"/>
      <c r="RSI717" s="1176"/>
      <c r="RSJ717" s="1176"/>
      <c r="RSK717" s="1176"/>
      <c r="RSL717" s="1176"/>
      <c r="RSM717" s="1176"/>
      <c r="RSN717" s="1176"/>
      <c r="RSO717" s="1176"/>
      <c r="RSP717" s="1176"/>
      <c r="RSQ717" s="1176"/>
      <c r="RSR717" s="1176"/>
      <c r="RSS717" s="1176"/>
      <c r="RST717" s="1176"/>
      <c r="RSU717" s="1176"/>
      <c r="RSV717" s="1176"/>
      <c r="RSW717" s="1176"/>
      <c r="RSX717" s="1176"/>
      <c r="RSY717" s="1176"/>
      <c r="RSZ717" s="1176"/>
      <c r="RTA717" s="1176"/>
      <c r="RTB717" s="1176"/>
      <c r="RTC717" s="1176"/>
      <c r="RTD717" s="1176"/>
      <c r="RTE717" s="1176"/>
      <c r="RTF717" s="1176"/>
      <c r="RTG717" s="1176"/>
      <c r="RTH717" s="1176"/>
      <c r="RTI717" s="1176"/>
      <c r="RTJ717" s="1176"/>
      <c r="RTK717" s="1176"/>
      <c r="RTL717" s="1176"/>
      <c r="RTM717" s="1176"/>
      <c r="RTN717" s="1176"/>
      <c r="RTO717" s="1176"/>
      <c r="RTP717" s="1176"/>
      <c r="RTQ717" s="1176"/>
      <c r="RTR717" s="1176"/>
      <c r="RTS717" s="1176"/>
      <c r="RTT717" s="1176"/>
      <c r="RTU717" s="1176"/>
      <c r="RTV717" s="1176"/>
      <c r="RTW717" s="1176"/>
      <c r="RTX717" s="1176"/>
      <c r="RTY717" s="1176"/>
      <c r="RTZ717" s="1176"/>
      <c r="RUA717" s="1176"/>
      <c r="RUB717" s="1176"/>
      <c r="RUC717" s="1176"/>
      <c r="RUD717" s="1176"/>
      <c r="RUE717" s="1176"/>
      <c r="RUF717" s="1176"/>
      <c r="RUG717" s="1176"/>
      <c r="RUH717" s="1176"/>
      <c r="RUI717" s="1176"/>
      <c r="RUJ717" s="1176"/>
      <c r="RUK717" s="1176"/>
      <c r="RUL717" s="1176"/>
      <c r="RUM717" s="1176"/>
      <c r="RUN717" s="1176"/>
      <c r="RUO717" s="1176"/>
      <c r="RUP717" s="1176"/>
      <c r="RUQ717" s="1176"/>
      <c r="RUR717" s="1176"/>
      <c r="RUS717" s="1176"/>
      <c r="RUT717" s="1176"/>
      <c r="RUU717" s="1176"/>
      <c r="RUV717" s="1176"/>
      <c r="RUW717" s="1176"/>
      <c r="RUX717" s="1176"/>
      <c r="RUY717" s="1176"/>
      <c r="RUZ717" s="1176"/>
      <c r="RVA717" s="1176"/>
      <c r="RVB717" s="1176"/>
      <c r="RVC717" s="1176"/>
      <c r="RVD717" s="1176"/>
      <c r="RVE717" s="1176"/>
      <c r="RVF717" s="1176"/>
      <c r="RVG717" s="1176"/>
      <c r="RVH717" s="1176"/>
      <c r="RVI717" s="1176"/>
      <c r="RVJ717" s="1176"/>
      <c r="RVK717" s="1176"/>
      <c r="RVL717" s="1176"/>
      <c r="RVM717" s="1176"/>
      <c r="RVN717" s="1176"/>
      <c r="RVO717" s="1176"/>
      <c r="RVP717" s="1176"/>
      <c r="RVQ717" s="1176"/>
      <c r="RVR717" s="1176"/>
      <c r="RVS717" s="1176"/>
      <c r="RVT717" s="1176"/>
      <c r="RVU717" s="1176"/>
      <c r="RVV717" s="1176"/>
      <c r="RVW717" s="1176"/>
      <c r="RVX717" s="1176"/>
      <c r="RVY717" s="1176"/>
      <c r="RVZ717" s="1176"/>
      <c r="RWA717" s="1176"/>
      <c r="RWB717" s="1176"/>
      <c r="RWC717" s="1176"/>
      <c r="RWD717" s="1176"/>
      <c r="RWE717" s="1176"/>
      <c r="RWF717" s="1176"/>
      <c r="RWG717" s="1176"/>
      <c r="RWH717" s="1176"/>
      <c r="RWI717" s="1176"/>
      <c r="RWJ717" s="1176"/>
      <c r="RWK717" s="1176"/>
      <c r="RWL717" s="1176"/>
      <c r="RWM717" s="1176"/>
      <c r="RWN717" s="1176"/>
      <c r="RWO717" s="1176"/>
      <c r="RWP717" s="1176"/>
      <c r="RWQ717" s="1176"/>
      <c r="RWR717" s="1176"/>
      <c r="RWS717" s="1176"/>
      <c r="RWT717" s="1176"/>
      <c r="RWU717" s="1176"/>
      <c r="RWV717" s="1176"/>
      <c r="RWW717" s="1176"/>
      <c r="RWX717" s="1176"/>
      <c r="RWY717" s="1176"/>
      <c r="RWZ717" s="1176"/>
      <c r="RXA717" s="1176"/>
      <c r="RXB717" s="1176"/>
      <c r="RXC717" s="1176"/>
      <c r="RXD717" s="1176"/>
      <c r="RXE717" s="1176"/>
      <c r="RXF717" s="1176"/>
      <c r="RXG717" s="1176"/>
      <c r="RXH717" s="1176"/>
      <c r="RXI717" s="1176"/>
      <c r="RXJ717" s="1176"/>
      <c r="RXK717" s="1176"/>
      <c r="RXL717" s="1176"/>
      <c r="RXM717" s="1176"/>
      <c r="RXN717" s="1176"/>
      <c r="RXO717" s="1176"/>
      <c r="RXP717" s="1176"/>
      <c r="RXQ717" s="1176"/>
      <c r="RXR717" s="1176"/>
      <c r="RXS717" s="1176"/>
      <c r="RXT717" s="1176"/>
      <c r="RXU717" s="1176"/>
      <c r="RXV717" s="1176"/>
      <c r="RXW717" s="1176"/>
      <c r="RXX717" s="1176"/>
      <c r="RXY717" s="1176"/>
      <c r="RXZ717" s="1176"/>
      <c r="RYA717" s="1176"/>
      <c r="RYB717" s="1176"/>
      <c r="RYC717" s="1176"/>
      <c r="RYD717" s="1176"/>
      <c r="RYE717" s="1176"/>
      <c r="RYF717" s="1176"/>
      <c r="RYG717" s="1176"/>
      <c r="RYH717" s="1176"/>
      <c r="RYI717" s="1176"/>
      <c r="RYJ717" s="1176"/>
      <c r="RYK717" s="1176"/>
      <c r="RYL717" s="1176"/>
      <c r="RYM717" s="1176"/>
      <c r="RYN717" s="1176"/>
      <c r="RYO717" s="1176"/>
      <c r="RYP717" s="1176"/>
      <c r="RYQ717" s="1176"/>
      <c r="RYR717" s="1176"/>
      <c r="RYS717" s="1176"/>
      <c r="RYT717" s="1176"/>
      <c r="RYU717" s="1176"/>
      <c r="RYV717" s="1176"/>
      <c r="RYW717" s="1176"/>
      <c r="RYX717" s="1176"/>
      <c r="RYY717" s="1176"/>
      <c r="RYZ717" s="1176"/>
      <c r="RZA717" s="1176"/>
      <c r="RZB717" s="1176"/>
      <c r="RZC717" s="1176"/>
      <c r="RZD717" s="1176"/>
      <c r="RZE717" s="1176"/>
      <c r="RZF717" s="1176"/>
      <c r="RZG717" s="1176"/>
      <c r="RZH717" s="1176"/>
      <c r="RZI717" s="1176"/>
      <c r="RZJ717" s="1176"/>
      <c r="RZK717" s="1176"/>
      <c r="RZL717" s="1176"/>
      <c r="RZM717" s="1176"/>
      <c r="RZN717" s="1176"/>
      <c r="RZO717" s="1176"/>
      <c r="RZP717" s="1176"/>
      <c r="RZQ717" s="1176"/>
      <c r="RZR717" s="1176"/>
      <c r="RZS717" s="1176"/>
      <c r="RZT717" s="1176"/>
      <c r="RZU717" s="1176"/>
      <c r="RZV717" s="1176"/>
      <c r="RZW717" s="1176"/>
      <c r="RZX717" s="1176"/>
      <c r="RZY717" s="1176"/>
      <c r="RZZ717" s="1176"/>
      <c r="SAA717" s="1176"/>
      <c r="SAB717" s="1176"/>
      <c r="SAC717" s="1176"/>
      <c r="SAD717" s="1176"/>
      <c r="SAE717" s="1176"/>
      <c r="SAF717" s="1176"/>
      <c r="SAG717" s="1176"/>
      <c r="SAH717" s="1176"/>
      <c r="SAI717" s="1176"/>
      <c r="SAJ717" s="1176"/>
      <c r="SAK717" s="1176"/>
      <c r="SAL717" s="1176"/>
      <c r="SAM717" s="1176"/>
      <c r="SAN717" s="1176"/>
      <c r="SAO717" s="1176"/>
      <c r="SAP717" s="1176"/>
      <c r="SAQ717" s="1176"/>
      <c r="SAR717" s="1176"/>
      <c r="SAS717" s="1176"/>
      <c r="SAT717" s="1176"/>
      <c r="SAU717" s="1176"/>
      <c r="SAV717" s="1176"/>
      <c r="SAW717" s="1176"/>
      <c r="SAX717" s="1176"/>
      <c r="SAY717" s="1176"/>
      <c r="SAZ717" s="1176"/>
      <c r="SBA717" s="1176"/>
      <c r="SBB717" s="1176"/>
      <c r="SBC717" s="1176"/>
      <c r="SBD717" s="1176"/>
      <c r="SBE717" s="1176"/>
      <c r="SBF717" s="1176"/>
      <c r="SBG717" s="1176"/>
      <c r="SBH717" s="1176"/>
      <c r="SBI717" s="1176"/>
      <c r="SBJ717" s="1176"/>
      <c r="SBK717" s="1176"/>
      <c r="SBL717" s="1176"/>
      <c r="SBM717" s="1176"/>
      <c r="SBN717" s="1176"/>
      <c r="SBO717" s="1176"/>
      <c r="SBP717" s="1176"/>
      <c r="SBQ717" s="1176"/>
      <c r="SBR717" s="1176"/>
      <c r="SBS717" s="1176"/>
      <c r="SBT717" s="1176"/>
      <c r="SBU717" s="1176"/>
      <c r="SBV717" s="1176"/>
      <c r="SBW717" s="1176"/>
      <c r="SBX717" s="1176"/>
      <c r="SBY717" s="1176"/>
      <c r="SBZ717" s="1176"/>
      <c r="SCA717" s="1176"/>
      <c r="SCB717" s="1176"/>
      <c r="SCC717" s="1176"/>
      <c r="SCD717" s="1176"/>
      <c r="SCE717" s="1176"/>
      <c r="SCF717" s="1176"/>
      <c r="SCG717" s="1176"/>
      <c r="SCH717" s="1176"/>
      <c r="SCI717" s="1176"/>
      <c r="SCJ717" s="1176"/>
      <c r="SCK717" s="1176"/>
      <c r="SCL717" s="1176"/>
      <c r="SCM717" s="1176"/>
      <c r="SCN717" s="1176"/>
      <c r="SCO717" s="1176"/>
      <c r="SCP717" s="1176"/>
      <c r="SCQ717" s="1176"/>
      <c r="SCR717" s="1176"/>
      <c r="SCS717" s="1176"/>
      <c r="SCT717" s="1176"/>
      <c r="SCU717" s="1176"/>
      <c r="SCV717" s="1176"/>
      <c r="SCW717" s="1176"/>
      <c r="SCX717" s="1176"/>
      <c r="SCY717" s="1176"/>
      <c r="SCZ717" s="1176"/>
      <c r="SDA717" s="1176"/>
      <c r="SDB717" s="1176"/>
      <c r="SDC717" s="1176"/>
      <c r="SDD717" s="1176"/>
      <c r="SDE717" s="1176"/>
      <c r="SDF717" s="1176"/>
      <c r="SDG717" s="1176"/>
      <c r="SDH717" s="1176"/>
      <c r="SDI717" s="1176"/>
      <c r="SDJ717" s="1176"/>
      <c r="SDK717" s="1176"/>
      <c r="SDL717" s="1176"/>
      <c r="SDM717" s="1176"/>
      <c r="SDN717" s="1176"/>
      <c r="SDO717" s="1176"/>
      <c r="SDP717" s="1176"/>
      <c r="SDQ717" s="1176"/>
      <c r="SDR717" s="1176"/>
      <c r="SDS717" s="1176"/>
      <c r="SDT717" s="1176"/>
      <c r="SDU717" s="1176"/>
      <c r="SDV717" s="1176"/>
      <c r="SDW717" s="1176"/>
      <c r="SDX717" s="1176"/>
      <c r="SDY717" s="1176"/>
      <c r="SDZ717" s="1176"/>
      <c r="SEA717" s="1176"/>
      <c r="SEB717" s="1176"/>
      <c r="SEC717" s="1176"/>
      <c r="SED717" s="1176"/>
      <c r="SEE717" s="1176"/>
      <c r="SEF717" s="1176"/>
      <c r="SEG717" s="1176"/>
      <c r="SEH717" s="1176"/>
      <c r="SEI717" s="1176"/>
      <c r="SEJ717" s="1176"/>
      <c r="SEK717" s="1176"/>
      <c r="SEL717" s="1176"/>
      <c r="SEM717" s="1176"/>
      <c r="SEN717" s="1176"/>
      <c r="SEO717" s="1176"/>
      <c r="SEP717" s="1176"/>
      <c r="SEQ717" s="1176"/>
      <c r="SER717" s="1176"/>
      <c r="SES717" s="1176"/>
      <c r="SET717" s="1176"/>
      <c r="SEU717" s="1176"/>
      <c r="SEV717" s="1176"/>
      <c r="SEW717" s="1176"/>
      <c r="SEX717" s="1176"/>
      <c r="SEY717" s="1176"/>
      <c r="SEZ717" s="1176"/>
      <c r="SFA717" s="1176"/>
      <c r="SFB717" s="1176"/>
      <c r="SFC717" s="1176"/>
      <c r="SFD717" s="1176"/>
      <c r="SFE717" s="1176"/>
      <c r="SFF717" s="1176"/>
      <c r="SFG717" s="1176"/>
      <c r="SFH717" s="1176"/>
      <c r="SFI717" s="1176"/>
      <c r="SFJ717" s="1176"/>
      <c r="SFK717" s="1176"/>
      <c r="SFL717" s="1176"/>
      <c r="SFM717" s="1176"/>
      <c r="SFN717" s="1176"/>
      <c r="SFO717" s="1176"/>
      <c r="SFP717" s="1176"/>
      <c r="SFQ717" s="1176"/>
      <c r="SFR717" s="1176"/>
      <c r="SFS717" s="1176"/>
      <c r="SFT717" s="1176"/>
      <c r="SFU717" s="1176"/>
      <c r="SFV717" s="1176"/>
      <c r="SFW717" s="1176"/>
      <c r="SFX717" s="1176"/>
      <c r="SFY717" s="1176"/>
      <c r="SFZ717" s="1176"/>
      <c r="SGA717" s="1176"/>
      <c r="SGB717" s="1176"/>
      <c r="SGC717" s="1176"/>
      <c r="SGD717" s="1176"/>
      <c r="SGE717" s="1176"/>
      <c r="SGF717" s="1176"/>
      <c r="SGG717" s="1176"/>
      <c r="SGH717" s="1176"/>
      <c r="SGI717" s="1176"/>
      <c r="SGJ717" s="1176"/>
      <c r="SGK717" s="1176"/>
      <c r="SGL717" s="1176"/>
      <c r="SGM717" s="1176"/>
      <c r="SGN717" s="1176"/>
      <c r="SGO717" s="1176"/>
      <c r="SGP717" s="1176"/>
      <c r="SGQ717" s="1176"/>
      <c r="SGR717" s="1176"/>
      <c r="SGS717" s="1176"/>
      <c r="SGT717" s="1176"/>
      <c r="SGU717" s="1176"/>
      <c r="SGV717" s="1176"/>
      <c r="SGW717" s="1176"/>
      <c r="SGX717" s="1176"/>
      <c r="SGY717" s="1176"/>
      <c r="SGZ717" s="1176"/>
      <c r="SHA717" s="1176"/>
      <c r="SHB717" s="1176"/>
      <c r="SHC717" s="1176"/>
      <c r="SHD717" s="1176"/>
      <c r="SHE717" s="1176"/>
      <c r="SHF717" s="1176"/>
      <c r="SHG717" s="1176"/>
      <c r="SHH717" s="1176"/>
      <c r="SHI717" s="1176"/>
      <c r="SHJ717" s="1176"/>
      <c r="SHK717" s="1176"/>
      <c r="SHL717" s="1176"/>
      <c r="SHM717" s="1176"/>
      <c r="SHN717" s="1176"/>
      <c r="SHO717" s="1176"/>
      <c r="SHP717" s="1176"/>
      <c r="SHQ717" s="1176"/>
      <c r="SHR717" s="1176"/>
      <c r="SHS717" s="1176"/>
      <c r="SHT717" s="1176"/>
      <c r="SHU717" s="1176"/>
      <c r="SHV717" s="1176"/>
      <c r="SHW717" s="1176"/>
      <c r="SHX717" s="1176"/>
      <c r="SHY717" s="1176"/>
      <c r="SHZ717" s="1176"/>
      <c r="SIA717" s="1176"/>
      <c r="SIB717" s="1176"/>
      <c r="SIC717" s="1176"/>
      <c r="SID717" s="1176"/>
      <c r="SIE717" s="1176"/>
      <c r="SIF717" s="1176"/>
      <c r="SIG717" s="1176"/>
      <c r="SIH717" s="1176"/>
      <c r="SII717" s="1176"/>
      <c r="SIJ717" s="1176"/>
      <c r="SIK717" s="1176"/>
      <c r="SIL717" s="1176"/>
      <c r="SIM717" s="1176"/>
      <c r="SIN717" s="1176"/>
      <c r="SIO717" s="1176"/>
      <c r="SIP717" s="1176"/>
      <c r="SIQ717" s="1176"/>
      <c r="SIR717" s="1176"/>
      <c r="SIS717" s="1176"/>
      <c r="SIT717" s="1176"/>
      <c r="SIU717" s="1176"/>
      <c r="SIV717" s="1176"/>
      <c r="SIW717" s="1176"/>
      <c r="SIX717" s="1176"/>
      <c r="SIY717" s="1176"/>
      <c r="SIZ717" s="1176"/>
      <c r="SJA717" s="1176"/>
      <c r="SJB717" s="1176"/>
      <c r="SJC717" s="1176"/>
      <c r="SJD717" s="1176"/>
      <c r="SJE717" s="1176"/>
      <c r="SJF717" s="1176"/>
      <c r="SJG717" s="1176"/>
      <c r="SJH717" s="1176"/>
      <c r="SJI717" s="1176"/>
      <c r="SJJ717" s="1176"/>
      <c r="SJK717" s="1176"/>
      <c r="SJL717" s="1176"/>
      <c r="SJM717" s="1176"/>
      <c r="SJN717" s="1176"/>
      <c r="SJO717" s="1176"/>
      <c r="SJP717" s="1176"/>
      <c r="SJQ717" s="1176"/>
      <c r="SJR717" s="1176"/>
      <c r="SJS717" s="1176"/>
      <c r="SJT717" s="1176"/>
      <c r="SJU717" s="1176"/>
      <c r="SJV717" s="1176"/>
      <c r="SJW717" s="1176"/>
      <c r="SJX717" s="1176"/>
      <c r="SJY717" s="1176"/>
      <c r="SJZ717" s="1176"/>
      <c r="SKA717" s="1176"/>
      <c r="SKB717" s="1176"/>
      <c r="SKC717" s="1176"/>
      <c r="SKD717" s="1176"/>
      <c r="SKE717" s="1176"/>
      <c r="SKF717" s="1176"/>
      <c r="SKG717" s="1176"/>
      <c r="SKH717" s="1176"/>
      <c r="SKI717" s="1176"/>
      <c r="SKJ717" s="1176"/>
      <c r="SKK717" s="1176"/>
      <c r="SKL717" s="1176"/>
      <c r="SKM717" s="1176"/>
      <c r="SKN717" s="1176"/>
      <c r="SKO717" s="1176"/>
      <c r="SKP717" s="1176"/>
      <c r="SKQ717" s="1176"/>
      <c r="SKR717" s="1176"/>
      <c r="SKS717" s="1176"/>
      <c r="SKT717" s="1176"/>
      <c r="SKU717" s="1176"/>
      <c r="SKV717" s="1176"/>
      <c r="SKW717" s="1176"/>
      <c r="SKX717" s="1176"/>
      <c r="SKY717" s="1176"/>
      <c r="SKZ717" s="1176"/>
      <c r="SLA717" s="1176"/>
      <c r="SLB717" s="1176"/>
      <c r="SLC717" s="1176"/>
      <c r="SLD717" s="1176"/>
      <c r="SLE717" s="1176"/>
      <c r="SLF717" s="1176"/>
      <c r="SLG717" s="1176"/>
      <c r="SLH717" s="1176"/>
      <c r="SLI717" s="1176"/>
      <c r="SLJ717" s="1176"/>
      <c r="SLK717" s="1176"/>
      <c r="SLL717" s="1176"/>
      <c r="SLM717" s="1176"/>
      <c r="SLN717" s="1176"/>
      <c r="SLO717" s="1176"/>
      <c r="SLP717" s="1176"/>
      <c r="SLQ717" s="1176"/>
      <c r="SLR717" s="1176"/>
      <c r="SLS717" s="1176"/>
      <c r="SLT717" s="1176"/>
      <c r="SLU717" s="1176"/>
      <c r="SLV717" s="1176"/>
      <c r="SLW717" s="1176"/>
      <c r="SLX717" s="1176"/>
      <c r="SLY717" s="1176"/>
      <c r="SLZ717" s="1176"/>
      <c r="SMA717" s="1176"/>
      <c r="SMB717" s="1176"/>
      <c r="SMC717" s="1176"/>
      <c r="SMD717" s="1176"/>
      <c r="SME717" s="1176"/>
      <c r="SMF717" s="1176"/>
      <c r="SMG717" s="1176"/>
      <c r="SMH717" s="1176"/>
      <c r="SMI717" s="1176"/>
      <c r="SMJ717" s="1176"/>
      <c r="SMK717" s="1176"/>
      <c r="SML717" s="1176"/>
      <c r="SMM717" s="1176"/>
      <c r="SMN717" s="1176"/>
      <c r="SMO717" s="1176"/>
      <c r="SMP717" s="1176"/>
      <c r="SMQ717" s="1176"/>
      <c r="SMR717" s="1176"/>
      <c r="SMS717" s="1176"/>
      <c r="SMT717" s="1176"/>
      <c r="SMU717" s="1176"/>
      <c r="SMV717" s="1176"/>
      <c r="SMW717" s="1176"/>
      <c r="SMX717" s="1176"/>
      <c r="SMY717" s="1176"/>
      <c r="SMZ717" s="1176"/>
      <c r="SNA717" s="1176"/>
      <c r="SNB717" s="1176"/>
      <c r="SNC717" s="1176"/>
      <c r="SND717" s="1176"/>
      <c r="SNE717" s="1176"/>
      <c r="SNF717" s="1176"/>
      <c r="SNG717" s="1176"/>
      <c r="SNH717" s="1176"/>
      <c r="SNI717" s="1176"/>
      <c r="SNJ717" s="1176"/>
      <c r="SNK717" s="1176"/>
      <c r="SNL717" s="1176"/>
      <c r="SNM717" s="1176"/>
      <c r="SNN717" s="1176"/>
      <c r="SNO717" s="1176"/>
      <c r="SNP717" s="1176"/>
      <c r="SNQ717" s="1176"/>
      <c r="SNR717" s="1176"/>
      <c r="SNS717" s="1176"/>
      <c r="SNT717" s="1176"/>
      <c r="SNU717" s="1176"/>
      <c r="SNV717" s="1176"/>
      <c r="SNW717" s="1176"/>
      <c r="SNX717" s="1176"/>
      <c r="SNY717" s="1176"/>
      <c r="SNZ717" s="1176"/>
      <c r="SOA717" s="1176"/>
      <c r="SOB717" s="1176"/>
      <c r="SOC717" s="1176"/>
      <c r="SOD717" s="1176"/>
      <c r="SOE717" s="1176"/>
      <c r="SOF717" s="1176"/>
      <c r="SOG717" s="1176"/>
      <c r="SOH717" s="1176"/>
      <c r="SOI717" s="1176"/>
      <c r="SOJ717" s="1176"/>
      <c r="SOK717" s="1176"/>
      <c r="SOL717" s="1176"/>
      <c r="SOM717" s="1176"/>
      <c r="SON717" s="1176"/>
      <c r="SOO717" s="1176"/>
      <c r="SOP717" s="1176"/>
      <c r="SOQ717" s="1176"/>
      <c r="SOR717" s="1176"/>
      <c r="SOS717" s="1176"/>
      <c r="SOT717" s="1176"/>
      <c r="SOU717" s="1176"/>
      <c r="SOV717" s="1176"/>
      <c r="SOW717" s="1176"/>
      <c r="SOX717" s="1176"/>
      <c r="SOY717" s="1176"/>
      <c r="SOZ717" s="1176"/>
      <c r="SPA717" s="1176"/>
      <c r="SPB717" s="1176"/>
      <c r="SPC717" s="1176"/>
      <c r="SPD717" s="1176"/>
      <c r="SPE717" s="1176"/>
      <c r="SPF717" s="1176"/>
      <c r="SPG717" s="1176"/>
      <c r="SPH717" s="1176"/>
      <c r="SPI717" s="1176"/>
      <c r="SPJ717" s="1176"/>
      <c r="SPK717" s="1176"/>
      <c r="SPL717" s="1176"/>
      <c r="SPM717" s="1176"/>
      <c r="SPN717" s="1176"/>
      <c r="SPO717" s="1176"/>
      <c r="SPP717" s="1176"/>
      <c r="SPQ717" s="1176"/>
      <c r="SPR717" s="1176"/>
      <c r="SPS717" s="1176"/>
      <c r="SPT717" s="1176"/>
      <c r="SPU717" s="1176"/>
      <c r="SPV717" s="1176"/>
      <c r="SPW717" s="1176"/>
      <c r="SPX717" s="1176"/>
      <c r="SPY717" s="1176"/>
      <c r="SPZ717" s="1176"/>
      <c r="SQA717" s="1176"/>
      <c r="SQB717" s="1176"/>
      <c r="SQC717" s="1176"/>
      <c r="SQD717" s="1176"/>
      <c r="SQE717" s="1176"/>
      <c r="SQF717" s="1176"/>
      <c r="SQG717" s="1176"/>
      <c r="SQH717" s="1176"/>
      <c r="SQI717" s="1176"/>
      <c r="SQJ717" s="1176"/>
      <c r="SQK717" s="1176"/>
      <c r="SQL717" s="1176"/>
      <c r="SQM717" s="1176"/>
      <c r="SQN717" s="1176"/>
      <c r="SQO717" s="1176"/>
      <c r="SQP717" s="1176"/>
      <c r="SQQ717" s="1176"/>
      <c r="SQR717" s="1176"/>
      <c r="SQS717" s="1176"/>
      <c r="SQT717" s="1176"/>
      <c r="SQU717" s="1176"/>
      <c r="SQV717" s="1176"/>
      <c r="SQW717" s="1176"/>
      <c r="SQX717" s="1176"/>
      <c r="SQY717" s="1176"/>
      <c r="SQZ717" s="1176"/>
      <c r="SRA717" s="1176"/>
      <c r="SRB717" s="1176"/>
      <c r="SRC717" s="1176"/>
      <c r="SRD717" s="1176"/>
      <c r="SRE717" s="1176"/>
      <c r="SRF717" s="1176"/>
      <c r="SRG717" s="1176"/>
      <c r="SRH717" s="1176"/>
      <c r="SRI717" s="1176"/>
      <c r="SRJ717" s="1176"/>
      <c r="SRK717" s="1176"/>
      <c r="SRL717" s="1176"/>
      <c r="SRM717" s="1176"/>
      <c r="SRN717" s="1176"/>
      <c r="SRO717" s="1176"/>
      <c r="SRP717" s="1176"/>
      <c r="SRQ717" s="1176"/>
      <c r="SRR717" s="1176"/>
      <c r="SRS717" s="1176"/>
      <c r="SRT717" s="1176"/>
      <c r="SRU717" s="1176"/>
      <c r="SRV717" s="1176"/>
      <c r="SRW717" s="1176"/>
      <c r="SRX717" s="1176"/>
      <c r="SRY717" s="1176"/>
      <c r="SRZ717" s="1176"/>
      <c r="SSA717" s="1176"/>
      <c r="SSB717" s="1176"/>
      <c r="SSC717" s="1176"/>
      <c r="SSD717" s="1176"/>
      <c r="SSE717" s="1176"/>
      <c r="SSF717" s="1176"/>
      <c r="SSG717" s="1176"/>
      <c r="SSH717" s="1176"/>
      <c r="SSI717" s="1176"/>
      <c r="SSJ717" s="1176"/>
      <c r="SSK717" s="1176"/>
      <c r="SSL717" s="1176"/>
      <c r="SSM717" s="1176"/>
      <c r="SSN717" s="1176"/>
      <c r="SSO717" s="1176"/>
      <c r="SSP717" s="1176"/>
      <c r="SSQ717" s="1176"/>
      <c r="SSR717" s="1176"/>
      <c r="SSS717" s="1176"/>
      <c r="SST717" s="1176"/>
      <c r="SSU717" s="1176"/>
      <c r="SSV717" s="1176"/>
      <c r="SSW717" s="1176"/>
      <c r="SSX717" s="1176"/>
      <c r="SSY717" s="1176"/>
      <c r="SSZ717" s="1176"/>
      <c r="STA717" s="1176"/>
      <c r="STB717" s="1176"/>
      <c r="STC717" s="1176"/>
      <c r="STD717" s="1176"/>
      <c r="STE717" s="1176"/>
      <c r="STF717" s="1176"/>
      <c r="STG717" s="1176"/>
      <c r="STH717" s="1176"/>
      <c r="STI717" s="1176"/>
      <c r="STJ717" s="1176"/>
      <c r="STK717" s="1176"/>
      <c r="STL717" s="1176"/>
      <c r="STM717" s="1176"/>
      <c r="STN717" s="1176"/>
      <c r="STO717" s="1176"/>
      <c r="STP717" s="1176"/>
      <c r="STQ717" s="1176"/>
      <c r="STR717" s="1176"/>
      <c r="STS717" s="1176"/>
      <c r="STT717" s="1176"/>
      <c r="STU717" s="1176"/>
      <c r="STV717" s="1176"/>
      <c r="STW717" s="1176"/>
      <c r="STX717" s="1176"/>
      <c r="STY717" s="1176"/>
      <c r="STZ717" s="1176"/>
      <c r="SUA717" s="1176"/>
      <c r="SUB717" s="1176"/>
      <c r="SUC717" s="1176"/>
      <c r="SUD717" s="1176"/>
      <c r="SUE717" s="1176"/>
      <c r="SUF717" s="1176"/>
      <c r="SUG717" s="1176"/>
      <c r="SUH717" s="1176"/>
      <c r="SUI717" s="1176"/>
      <c r="SUJ717" s="1176"/>
      <c r="SUK717" s="1176"/>
      <c r="SUL717" s="1176"/>
      <c r="SUM717" s="1176"/>
      <c r="SUN717" s="1176"/>
      <c r="SUO717" s="1176"/>
      <c r="SUP717" s="1176"/>
      <c r="SUQ717" s="1176"/>
      <c r="SUR717" s="1176"/>
      <c r="SUS717" s="1176"/>
      <c r="SUT717" s="1176"/>
      <c r="SUU717" s="1176"/>
      <c r="SUV717" s="1176"/>
      <c r="SUW717" s="1176"/>
      <c r="SUX717" s="1176"/>
      <c r="SUY717" s="1176"/>
      <c r="SUZ717" s="1176"/>
      <c r="SVA717" s="1176"/>
      <c r="SVB717" s="1176"/>
      <c r="SVC717" s="1176"/>
      <c r="SVD717" s="1176"/>
      <c r="SVE717" s="1176"/>
      <c r="SVF717" s="1176"/>
      <c r="SVG717" s="1176"/>
      <c r="SVH717" s="1176"/>
      <c r="SVI717" s="1176"/>
      <c r="SVJ717" s="1176"/>
      <c r="SVK717" s="1176"/>
      <c r="SVL717" s="1176"/>
      <c r="SVM717" s="1176"/>
      <c r="SVN717" s="1176"/>
      <c r="SVO717" s="1176"/>
      <c r="SVP717" s="1176"/>
      <c r="SVQ717" s="1176"/>
      <c r="SVR717" s="1176"/>
      <c r="SVS717" s="1176"/>
      <c r="SVT717" s="1176"/>
      <c r="SVU717" s="1176"/>
      <c r="SVV717" s="1176"/>
      <c r="SVW717" s="1176"/>
      <c r="SVX717" s="1176"/>
      <c r="SVY717" s="1176"/>
      <c r="SVZ717" s="1176"/>
      <c r="SWA717" s="1176"/>
      <c r="SWB717" s="1176"/>
      <c r="SWC717" s="1176"/>
      <c r="SWD717" s="1176"/>
      <c r="SWE717" s="1176"/>
      <c r="SWF717" s="1176"/>
      <c r="SWG717" s="1176"/>
      <c r="SWH717" s="1176"/>
      <c r="SWI717" s="1176"/>
      <c r="SWJ717" s="1176"/>
      <c r="SWK717" s="1176"/>
      <c r="SWL717" s="1176"/>
      <c r="SWM717" s="1176"/>
      <c r="SWN717" s="1176"/>
      <c r="SWO717" s="1176"/>
      <c r="SWP717" s="1176"/>
      <c r="SWQ717" s="1176"/>
      <c r="SWR717" s="1176"/>
      <c r="SWS717" s="1176"/>
      <c r="SWT717" s="1176"/>
      <c r="SWU717" s="1176"/>
      <c r="SWV717" s="1176"/>
      <c r="SWW717" s="1176"/>
      <c r="SWX717" s="1176"/>
      <c r="SWY717" s="1176"/>
      <c r="SWZ717" s="1176"/>
      <c r="SXA717" s="1176"/>
      <c r="SXB717" s="1176"/>
      <c r="SXC717" s="1176"/>
      <c r="SXD717" s="1176"/>
      <c r="SXE717" s="1176"/>
      <c r="SXF717" s="1176"/>
      <c r="SXG717" s="1176"/>
      <c r="SXH717" s="1176"/>
      <c r="SXI717" s="1176"/>
      <c r="SXJ717" s="1176"/>
      <c r="SXK717" s="1176"/>
      <c r="SXL717" s="1176"/>
      <c r="SXM717" s="1176"/>
      <c r="SXN717" s="1176"/>
      <c r="SXO717" s="1176"/>
      <c r="SXP717" s="1176"/>
      <c r="SXQ717" s="1176"/>
      <c r="SXR717" s="1176"/>
      <c r="SXS717" s="1176"/>
      <c r="SXT717" s="1176"/>
      <c r="SXU717" s="1176"/>
      <c r="SXV717" s="1176"/>
      <c r="SXW717" s="1176"/>
      <c r="SXX717" s="1176"/>
      <c r="SXY717" s="1176"/>
      <c r="SXZ717" s="1176"/>
      <c r="SYA717" s="1176"/>
      <c r="SYB717" s="1176"/>
      <c r="SYC717" s="1176"/>
      <c r="SYD717" s="1176"/>
      <c r="SYE717" s="1176"/>
      <c r="SYF717" s="1176"/>
      <c r="SYG717" s="1176"/>
      <c r="SYH717" s="1176"/>
      <c r="SYI717" s="1176"/>
      <c r="SYJ717" s="1176"/>
      <c r="SYK717" s="1176"/>
      <c r="SYL717" s="1176"/>
      <c r="SYM717" s="1176"/>
      <c r="SYN717" s="1176"/>
      <c r="SYO717" s="1176"/>
      <c r="SYP717" s="1176"/>
      <c r="SYQ717" s="1176"/>
      <c r="SYR717" s="1176"/>
      <c r="SYS717" s="1176"/>
      <c r="SYT717" s="1176"/>
      <c r="SYU717" s="1176"/>
      <c r="SYV717" s="1176"/>
      <c r="SYW717" s="1176"/>
      <c r="SYX717" s="1176"/>
      <c r="SYY717" s="1176"/>
      <c r="SYZ717" s="1176"/>
      <c r="SZA717" s="1176"/>
      <c r="SZB717" s="1176"/>
      <c r="SZC717" s="1176"/>
      <c r="SZD717" s="1176"/>
      <c r="SZE717" s="1176"/>
      <c r="SZF717" s="1176"/>
      <c r="SZG717" s="1176"/>
      <c r="SZH717" s="1176"/>
      <c r="SZI717" s="1176"/>
      <c r="SZJ717" s="1176"/>
      <c r="SZK717" s="1176"/>
      <c r="SZL717" s="1176"/>
      <c r="SZM717" s="1176"/>
      <c r="SZN717" s="1176"/>
      <c r="SZO717" s="1176"/>
      <c r="SZP717" s="1176"/>
      <c r="SZQ717" s="1176"/>
      <c r="SZR717" s="1176"/>
      <c r="SZS717" s="1176"/>
      <c r="SZT717" s="1176"/>
      <c r="SZU717" s="1176"/>
      <c r="SZV717" s="1176"/>
      <c r="SZW717" s="1176"/>
      <c r="SZX717" s="1176"/>
      <c r="SZY717" s="1176"/>
      <c r="SZZ717" s="1176"/>
      <c r="TAA717" s="1176"/>
      <c r="TAB717" s="1176"/>
      <c r="TAC717" s="1176"/>
      <c r="TAD717" s="1176"/>
      <c r="TAE717" s="1176"/>
      <c r="TAF717" s="1176"/>
      <c r="TAG717" s="1176"/>
      <c r="TAH717" s="1176"/>
      <c r="TAI717" s="1176"/>
      <c r="TAJ717" s="1176"/>
      <c r="TAK717" s="1176"/>
      <c r="TAL717" s="1176"/>
      <c r="TAM717" s="1176"/>
      <c r="TAN717" s="1176"/>
      <c r="TAO717" s="1176"/>
      <c r="TAP717" s="1176"/>
      <c r="TAQ717" s="1176"/>
      <c r="TAR717" s="1176"/>
      <c r="TAS717" s="1176"/>
      <c r="TAT717" s="1176"/>
      <c r="TAU717" s="1176"/>
      <c r="TAV717" s="1176"/>
      <c r="TAW717" s="1176"/>
      <c r="TAX717" s="1176"/>
      <c r="TAY717" s="1176"/>
      <c r="TAZ717" s="1176"/>
      <c r="TBA717" s="1176"/>
      <c r="TBB717" s="1176"/>
      <c r="TBC717" s="1176"/>
      <c r="TBD717" s="1176"/>
      <c r="TBE717" s="1176"/>
      <c r="TBF717" s="1176"/>
      <c r="TBG717" s="1176"/>
      <c r="TBH717" s="1176"/>
      <c r="TBI717" s="1176"/>
      <c r="TBJ717" s="1176"/>
      <c r="TBK717" s="1176"/>
      <c r="TBL717" s="1176"/>
      <c r="TBM717" s="1176"/>
      <c r="TBN717" s="1176"/>
      <c r="TBO717" s="1176"/>
      <c r="TBP717" s="1176"/>
      <c r="TBQ717" s="1176"/>
      <c r="TBR717" s="1176"/>
      <c r="TBS717" s="1176"/>
      <c r="TBT717" s="1176"/>
      <c r="TBU717" s="1176"/>
      <c r="TBV717" s="1176"/>
      <c r="TBW717" s="1176"/>
      <c r="TBX717" s="1176"/>
      <c r="TBY717" s="1176"/>
      <c r="TBZ717" s="1176"/>
      <c r="TCA717" s="1176"/>
      <c r="TCB717" s="1176"/>
      <c r="TCC717" s="1176"/>
      <c r="TCD717" s="1176"/>
      <c r="TCE717" s="1176"/>
      <c r="TCF717" s="1176"/>
      <c r="TCG717" s="1176"/>
      <c r="TCH717" s="1176"/>
      <c r="TCI717" s="1176"/>
      <c r="TCJ717" s="1176"/>
      <c r="TCK717" s="1176"/>
      <c r="TCL717" s="1176"/>
      <c r="TCM717" s="1176"/>
      <c r="TCN717" s="1176"/>
      <c r="TCO717" s="1176"/>
      <c r="TCP717" s="1176"/>
      <c r="TCQ717" s="1176"/>
      <c r="TCR717" s="1176"/>
      <c r="TCS717" s="1176"/>
      <c r="TCT717" s="1176"/>
      <c r="TCU717" s="1176"/>
      <c r="TCV717" s="1176"/>
      <c r="TCW717" s="1176"/>
      <c r="TCX717" s="1176"/>
      <c r="TCY717" s="1176"/>
      <c r="TCZ717" s="1176"/>
      <c r="TDA717" s="1176"/>
      <c r="TDB717" s="1176"/>
      <c r="TDC717" s="1176"/>
      <c r="TDD717" s="1176"/>
      <c r="TDE717" s="1176"/>
      <c r="TDF717" s="1176"/>
      <c r="TDG717" s="1176"/>
      <c r="TDH717" s="1176"/>
      <c r="TDI717" s="1176"/>
      <c r="TDJ717" s="1176"/>
      <c r="TDK717" s="1176"/>
      <c r="TDL717" s="1176"/>
      <c r="TDM717" s="1176"/>
      <c r="TDN717" s="1176"/>
      <c r="TDO717" s="1176"/>
      <c r="TDP717" s="1176"/>
      <c r="TDQ717" s="1176"/>
      <c r="TDR717" s="1176"/>
      <c r="TDS717" s="1176"/>
      <c r="TDT717" s="1176"/>
      <c r="TDU717" s="1176"/>
      <c r="TDV717" s="1176"/>
      <c r="TDW717" s="1176"/>
      <c r="TDX717" s="1176"/>
      <c r="TDY717" s="1176"/>
      <c r="TDZ717" s="1176"/>
      <c r="TEA717" s="1176"/>
      <c r="TEB717" s="1176"/>
      <c r="TEC717" s="1176"/>
      <c r="TED717" s="1176"/>
      <c r="TEE717" s="1176"/>
      <c r="TEF717" s="1176"/>
      <c r="TEG717" s="1176"/>
      <c r="TEH717" s="1176"/>
      <c r="TEI717" s="1176"/>
      <c r="TEJ717" s="1176"/>
      <c r="TEK717" s="1176"/>
      <c r="TEL717" s="1176"/>
      <c r="TEM717" s="1176"/>
      <c r="TEN717" s="1176"/>
      <c r="TEO717" s="1176"/>
      <c r="TEP717" s="1176"/>
      <c r="TEQ717" s="1176"/>
      <c r="TER717" s="1176"/>
      <c r="TES717" s="1176"/>
      <c r="TET717" s="1176"/>
      <c r="TEU717" s="1176"/>
      <c r="TEV717" s="1176"/>
      <c r="TEW717" s="1176"/>
      <c r="TEX717" s="1176"/>
      <c r="TEY717" s="1176"/>
      <c r="TEZ717" s="1176"/>
      <c r="TFA717" s="1176"/>
      <c r="TFB717" s="1176"/>
      <c r="TFC717" s="1176"/>
      <c r="TFD717" s="1176"/>
      <c r="TFE717" s="1176"/>
      <c r="TFF717" s="1176"/>
      <c r="TFG717" s="1176"/>
      <c r="TFH717" s="1176"/>
      <c r="TFI717" s="1176"/>
      <c r="TFJ717" s="1176"/>
      <c r="TFK717" s="1176"/>
      <c r="TFL717" s="1176"/>
      <c r="TFM717" s="1176"/>
      <c r="TFN717" s="1176"/>
      <c r="TFO717" s="1176"/>
      <c r="TFP717" s="1176"/>
      <c r="TFQ717" s="1176"/>
      <c r="TFR717" s="1176"/>
      <c r="TFS717" s="1176"/>
      <c r="TFT717" s="1176"/>
      <c r="TFU717" s="1176"/>
      <c r="TFV717" s="1176"/>
      <c r="TFW717" s="1176"/>
      <c r="TFX717" s="1176"/>
      <c r="TFY717" s="1176"/>
      <c r="TFZ717" s="1176"/>
      <c r="TGA717" s="1176"/>
      <c r="TGB717" s="1176"/>
      <c r="TGC717" s="1176"/>
      <c r="TGD717" s="1176"/>
      <c r="TGE717" s="1176"/>
      <c r="TGF717" s="1176"/>
      <c r="TGG717" s="1176"/>
      <c r="TGH717" s="1176"/>
      <c r="TGI717" s="1176"/>
      <c r="TGJ717" s="1176"/>
      <c r="TGK717" s="1176"/>
      <c r="TGL717" s="1176"/>
      <c r="TGM717" s="1176"/>
      <c r="TGN717" s="1176"/>
      <c r="TGO717" s="1176"/>
      <c r="TGP717" s="1176"/>
      <c r="TGQ717" s="1176"/>
      <c r="TGR717" s="1176"/>
      <c r="TGS717" s="1176"/>
      <c r="TGT717" s="1176"/>
      <c r="TGU717" s="1176"/>
      <c r="TGV717" s="1176"/>
      <c r="TGW717" s="1176"/>
      <c r="TGX717" s="1176"/>
      <c r="TGY717" s="1176"/>
      <c r="TGZ717" s="1176"/>
      <c r="THA717" s="1176"/>
      <c r="THB717" s="1176"/>
      <c r="THC717" s="1176"/>
      <c r="THD717" s="1176"/>
      <c r="THE717" s="1176"/>
      <c r="THF717" s="1176"/>
      <c r="THG717" s="1176"/>
      <c r="THH717" s="1176"/>
      <c r="THI717" s="1176"/>
      <c r="THJ717" s="1176"/>
      <c r="THK717" s="1176"/>
      <c r="THL717" s="1176"/>
      <c r="THM717" s="1176"/>
      <c r="THN717" s="1176"/>
      <c r="THO717" s="1176"/>
      <c r="THP717" s="1176"/>
      <c r="THQ717" s="1176"/>
      <c r="THR717" s="1176"/>
      <c r="THS717" s="1176"/>
      <c r="THT717" s="1176"/>
      <c r="THU717" s="1176"/>
      <c r="THV717" s="1176"/>
      <c r="THW717" s="1176"/>
      <c r="THX717" s="1176"/>
      <c r="THY717" s="1176"/>
      <c r="THZ717" s="1176"/>
      <c r="TIA717" s="1176"/>
      <c r="TIB717" s="1176"/>
      <c r="TIC717" s="1176"/>
      <c r="TID717" s="1176"/>
      <c r="TIE717" s="1176"/>
      <c r="TIF717" s="1176"/>
      <c r="TIG717" s="1176"/>
      <c r="TIH717" s="1176"/>
      <c r="TII717" s="1176"/>
      <c r="TIJ717" s="1176"/>
      <c r="TIK717" s="1176"/>
      <c r="TIL717" s="1176"/>
      <c r="TIM717" s="1176"/>
      <c r="TIN717" s="1176"/>
      <c r="TIO717" s="1176"/>
      <c r="TIP717" s="1176"/>
      <c r="TIQ717" s="1176"/>
      <c r="TIR717" s="1176"/>
      <c r="TIS717" s="1176"/>
      <c r="TIT717" s="1176"/>
      <c r="TIU717" s="1176"/>
      <c r="TIV717" s="1176"/>
      <c r="TIW717" s="1176"/>
      <c r="TIX717" s="1176"/>
      <c r="TIY717" s="1176"/>
      <c r="TIZ717" s="1176"/>
      <c r="TJA717" s="1176"/>
      <c r="TJB717" s="1176"/>
      <c r="TJC717" s="1176"/>
      <c r="TJD717" s="1176"/>
      <c r="TJE717" s="1176"/>
      <c r="TJF717" s="1176"/>
      <c r="TJG717" s="1176"/>
      <c r="TJH717" s="1176"/>
      <c r="TJI717" s="1176"/>
      <c r="TJJ717" s="1176"/>
      <c r="TJK717" s="1176"/>
      <c r="TJL717" s="1176"/>
      <c r="TJM717" s="1176"/>
      <c r="TJN717" s="1176"/>
      <c r="TJO717" s="1176"/>
      <c r="TJP717" s="1176"/>
      <c r="TJQ717" s="1176"/>
      <c r="TJR717" s="1176"/>
      <c r="TJS717" s="1176"/>
      <c r="TJT717" s="1176"/>
      <c r="TJU717" s="1176"/>
      <c r="TJV717" s="1176"/>
      <c r="TJW717" s="1176"/>
      <c r="TJX717" s="1176"/>
      <c r="TJY717" s="1176"/>
      <c r="TJZ717" s="1176"/>
      <c r="TKA717" s="1176"/>
      <c r="TKB717" s="1176"/>
      <c r="TKC717" s="1176"/>
      <c r="TKD717" s="1176"/>
      <c r="TKE717" s="1176"/>
      <c r="TKF717" s="1176"/>
      <c r="TKG717" s="1176"/>
      <c r="TKH717" s="1176"/>
      <c r="TKI717" s="1176"/>
      <c r="TKJ717" s="1176"/>
      <c r="TKK717" s="1176"/>
      <c r="TKL717" s="1176"/>
      <c r="TKM717" s="1176"/>
      <c r="TKN717" s="1176"/>
      <c r="TKO717" s="1176"/>
      <c r="TKP717" s="1176"/>
      <c r="TKQ717" s="1176"/>
      <c r="TKR717" s="1176"/>
      <c r="TKS717" s="1176"/>
      <c r="TKT717" s="1176"/>
      <c r="TKU717" s="1176"/>
      <c r="TKV717" s="1176"/>
      <c r="TKW717" s="1176"/>
      <c r="TKX717" s="1176"/>
      <c r="TKY717" s="1176"/>
      <c r="TKZ717" s="1176"/>
      <c r="TLA717" s="1176"/>
      <c r="TLB717" s="1176"/>
      <c r="TLC717" s="1176"/>
      <c r="TLD717" s="1176"/>
      <c r="TLE717" s="1176"/>
      <c r="TLF717" s="1176"/>
      <c r="TLG717" s="1176"/>
      <c r="TLH717" s="1176"/>
      <c r="TLI717" s="1176"/>
      <c r="TLJ717" s="1176"/>
      <c r="TLK717" s="1176"/>
      <c r="TLL717" s="1176"/>
      <c r="TLM717" s="1176"/>
      <c r="TLN717" s="1176"/>
      <c r="TLO717" s="1176"/>
      <c r="TLP717" s="1176"/>
      <c r="TLQ717" s="1176"/>
      <c r="TLR717" s="1176"/>
      <c r="TLS717" s="1176"/>
      <c r="TLT717" s="1176"/>
      <c r="TLU717" s="1176"/>
      <c r="TLV717" s="1176"/>
      <c r="TLW717" s="1176"/>
      <c r="TLX717" s="1176"/>
      <c r="TLY717" s="1176"/>
      <c r="TLZ717" s="1176"/>
      <c r="TMA717" s="1176"/>
      <c r="TMB717" s="1176"/>
      <c r="TMC717" s="1176"/>
      <c r="TMD717" s="1176"/>
      <c r="TME717" s="1176"/>
      <c r="TMF717" s="1176"/>
      <c r="TMG717" s="1176"/>
      <c r="TMH717" s="1176"/>
      <c r="TMI717" s="1176"/>
      <c r="TMJ717" s="1176"/>
      <c r="TMK717" s="1176"/>
      <c r="TML717" s="1176"/>
      <c r="TMM717" s="1176"/>
      <c r="TMN717" s="1176"/>
      <c r="TMO717" s="1176"/>
      <c r="TMP717" s="1176"/>
      <c r="TMQ717" s="1176"/>
      <c r="TMR717" s="1176"/>
      <c r="TMS717" s="1176"/>
      <c r="TMT717" s="1176"/>
      <c r="TMU717" s="1176"/>
      <c r="TMV717" s="1176"/>
      <c r="TMW717" s="1176"/>
      <c r="TMX717" s="1176"/>
      <c r="TMY717" s="1176"/>
      <c r="TMZ717" s="1176"/>
      <c r="TNA717" s="1176"/>
      <c r="TNB717" s="1176"/>
      <c r="TNC717" s="1176"/>
      <c r="TND717" s="1176"/>
      <c r="TNE717" s="1176"/>
      <c r="TNF717" s="1176"/>
      <c r="TNG717" s="1176"/>
      <c r="TNH717" s="1176"/>
      <c r="TNI717" s="1176"/>
      <c r="TNJ717" s="1176"/>
      <c r="TNK717" s="1176"/>
      <c r="TNL717" s="1176"/>
      <c r="TNM717" s="1176"/>
      <c r="TNN717" s="1176"/>
      <c r="TNO717" s="1176"/>
      <c r="TNP717" s="1176"/>
      <c r="TNQ717" s="1176"/>
      <c r="TNR717" s="1176"/>
      <c r="TNS717" s="1176"/>
      <c r="TNT717" s="1176"/>
      <c r="TNU717" s="1176"/>
      <c r="TNV717" s="1176"/>
      <c r="TNW717" s="1176"/>
      <c r="TNX717" s="1176"/>
      <c r="TNY717" s="1176"/>
      <c r="TNZ717" s="1176"/>
      <c r="TOA717" s="1176"/>
      <c r="TOB717" s="1176"/>
      <c r="TOC717" s="1176"/>
      <c r="TOD717" s="1176"/>
      <c r="TOE717" s="1176"/>
      <c r="TOF717" s="1176"/>
      <c r="TOG717" s="1176"/>
      <c r="TOH717" s="1176"/>
      <c r="TOI717" s="1176"/>
      <c r="TOJ717" s="1176"/>
      <c r="TOK717" s="1176"/>
      <c r="TOL717" s="1176"/>
      <c r="TOM717" s="1176"/>
      <c r="TON717" s="1176"/>
      <c r="TOO717" s="1176"/>
      <c r="TOP717" s="1176"/>
      <c r="TOQ717" s="1176"/>
      <c r="TOR717" s="1176"/>
      <c r="TOS717" s="1176"/>
      <c r="TOT717" s="1176"/>
      <c r="TOU717" s="1176"/>
      <c r="TOV717" s="1176"/>
      <c r="TOW717" s="1176"/>
      <c r="TOX717" s="1176"/>
      <c r="TOY717" s="1176"/>
      <c r="TOZ717" s="1176"/>
      <c r="TPA717" s="1176"/>
      <c r="TPB717" s="1176"/>
      <c r="TPC717" s="1176"/>
      <c r="TPD717" s="1176"/>
      <c r="TPE717" s="1176"/>
      <c r="TPF717" s="1176"/>
      <c r="TPG717" s="1176"/>
      <c r="TPH717" s="1176"/>
      <c r="TPI717" s="1176"/>
      <c r="TPJ717" s="1176"/>
      <c r="TPK717" s="1176"/>
      <c r="TPL717" s="1176"/>
      <c r="TPM717" s="1176"/>
      <c r="TPN717" s="1176"/>
      <c r="TPO717" s="1176"/>
      <c r="TPP717" s="1176"/>
      <c r="TPQ717" s="1176"/>
      <c r="TPR717" s="1176"/>
      <c r="TPS717" s="1176"/>
      <c r="TPT717" s="1176"/>
      <c r="TPU717" s="1176"/>
      <c r="TPV717" s="1176"/>
      <c r="TPW717" s="1176"/>
      <c r="TPX717" s="1176"/>
      <c r="TPY717" s="1176"/>
      <c r="TPZ717" s="1176"/>
      <c r="TQA717" s="1176"/>
      <c r="TQB717" s="1176"/>
      <c r="TQC717" s="1176"/>
      <c r="TQD717" s="1176"/>
      <c r="TQE717" s="1176"/>
      <c r="TQF717" s="1176"/>
      <c r="TQG717" s="1176"/>
      <c r="TQH717" s="1176"/>
      <c r="TQI717" s="1176"/>
      <c r="TQJ717" s="1176"/>
      <c r="TQK717" s="1176"/>
      <c r="TQL717" s="1176"/>
      <c r="TQM717" s="1176"/>
      <c r="TQN717" s="1176"/>
      <c r="TQO717" s="1176"/>
      <c r="TQP717" s="1176"/>
      <c r="TQQ717" s="1176"/>
      <c r="TQR717" s="1176"/>
      <c r="TQS717" s="1176"/>
      <c r="TQT717" s="1176"/>
      <c r="TQU717" s="1176"/>
      <c r="TQV717" s="1176"/>
      <c r="TQW717" s="1176"/>
      <c r="TQX717" s="1176"/>
      <c r="TQY717" s="1176"/>
      <c r="TQZ717" s="1176"/>
      <c r="TRA717" s="1176"/>
      <c r="TRB717" s="1176"/>
      <c r="TRC717" s="1176"/>
      <c r="TRD717" s="1176"/>
      <c r="TRE717" s="1176"/>
      <c r="TRF717" s="1176"/>
      <c r="TRG717" s="1176"/>
      <c r="TRH717" s="1176"/>
      <c r="TRI717" s="1176"/>
      <c r="TRJ717" s="1176"/>
      <c r="TRK717" s="1176"/>
      <c r="TRL717" s="1176"/>
      <c r="TRM717" s="1176"/>
      <c r="TRN717" s="1176"/>
      <c r="TRO717" s="1176"/>
      <c r="TRP717" s="1176"/>
      <c r="TRQ717" s="1176"/>
      <c r="TRR717" s="1176"/>
      <c r="TRS717" s="1176"/>
      <c r="TRT717" s="1176"/>
      <c r="TRU717" s="1176"/>
      <c r="TRV717" s="1176"/>
      <c r="TRW717" s="1176"/>
      <c r="TRX717" s="1176"/>
      <c r="TRY717" s="1176"/>
      <c r="TRZ717" s="1176"/>
      <c r="TSA717" s="1176"/>
      <c r="TSB717" s="1176"/>
      <c r="TSC717" s="1176"/>
      <c r="TSD717" s="1176"/>
      <c r="TSE717" s="1176"/>
      <c r="TSF717" s="1176"/>
      <c r="TSG717" s="1176"/>
      <c r="TSH717" s="1176"/>
      <c r="TSI717" s="1176"/>
      <c r="TSJ717" s="1176"/>
      <c r="TSK717" s="1176"/>
      <c r="TSL717" s="1176"/>
      <c r="TSM717" s="1176"/>
      <c r="TSN717" s="1176"/>
      <c r="TSO717" s="1176"/>
      <c r="TSP717" s="1176"/>
      <c r="TSQ717" s="1176"/>
      <c r="TSR717" s="1176"/>
      <c r="TSS717" s="1176"/>
      <c r="TST717" s="1176"/>
      <c r="TSU717" s="1176"/>
      <c r="TSV717" s="1176"/>
      <c r="TSW717" s="1176"/>
      <c r="TSX717" s="1176"/>
      <c r="TSY717" s="1176"/>
      <c r="TSZ717" s="1176"/>
      <c r="TTA717" s="1176"/>
      <c r="TTB717" s="1176"/>
      <c r="TTC717" s="1176"/>
      <c r="TTD717" s="1176"/>
      <c r="TTE717" s="1176"/>
      <c r="TTF717" s="1176"/>
      <c r="TTG717" s="1176"/>
      <c r="TTH717" s="1176"/>
      <c r="TTI717" s="1176"/>
      <c r="TTJ717" s="1176"/>
      <c r="TTK717" s="1176"/>
      <c r="TTL717" s="1176"/>
      <c r="TTM717" s="1176"/>
      <c r="TTN717" s="1176"/>
      <c r="TTO717" s="1176"/>
      <c r="TTP717" s="1176"/>
      <c r="TTQ717" s="1176"/>
      <c r="TTR717" s="1176"/>
      <c r="TTS717" s="1176"/>
      <c r="TTT717" s="1176"/>
      <c r="TTU717" s="1176"/>
      <c r="TTV717" s="1176"/>
      <c r="TTW717" s="1176"/>
      <c r="TTX717" s="1176"/>
      <c r="TTY717" s="1176"/>
      <c r="TTZ717" s="1176"/>
      <c r="TUA717" s="1176"/>
      <c r="TUB717" s="1176"/>
      <c r="TUC717" s="1176"/>
      <c r="TUD717" s="1176"/>
      <c r="TUE717" s="1176"/>
      <c r="TUF717" s="1176"/>
      <c r="TUG717" s="1176"/>
      <c r="TUH717" s="1176"/>
      <c r="TUI717" s="1176"/>
      <c r="TUJ717" s="1176"/>
      <c r="TUK717" s="1176"/>
      <c r="TUL717" s="1176"/>
      <c r="TUM717" s="1176"/>
      <c r="TUN717" s="1176"/>
      <c r="TUO717" s="1176"/>
      <c r="TUP717" s="1176"/>
      <c r="TUQ717" s="1176"/>
      <c r="TUR717" s="1176"/>
      <c r="TUS717" s="1176"/>
      <c r="TUT717" s="1176"/>
      <c r="TUU717" s="1176"/>
      <c r="TUV717" s="1176"/>
      <c r="TUW717" s="1176"/>
      <c r="TUX717" s="1176"/>
      <c r="TUY717" s="1176"/>
      <c r="TUZ717" s="1176"/>
      <c r="TVA717" s="1176"/>
      <c r="TVB717" s="1176"/>
      <c r="TVC717" s="1176"/>
      <c r="TVD717" s="1176"/>
      <c r="TVE717" s="1176"/>
      <c r="TVF717" s="1176"/>
      <c r="TVG717" s="1176"/>
      <c r="TVH717" s="1176"/>
      <c r="TVI717" s="1176"/>
      <c r="TVJ717" s="1176"/>
      <c r="TVK717" s="1176"/>
      <c r="TVL717" s="1176"/>
      <c r="TVM717" s="1176"/>
      <c r="TVN717" s="1176"/>
      <c r="TVO717" s="1176"/>
      <c r="TVP717" s="1176"/>
      <c r="TVQ717" s="1176"/>
      <c r="TVR717" s="1176"/>
      <c r="TVS717" s="1176"/>
      <c r="TVT717" s="1176"/>
      <c r="TVU717" s="1176"/>
      <c r="TVV717" s="1176"/>
      <c r="TVW717" s="1176"/>
      <c r="TVX717" s="1176"/>
      <c r="TVY717" s="1176"/>
      <c r="TVZ717" s="1176"/>
      <c r="TWA717" s="1176"/>
      <c r="TWB717" s="1176"/>
      <c r="TWC717" s="1176"/>
      <c r="TWD717" s="1176"/>
      <c r="TWE717" s="1176"/>
      <c r="TWF717" s="1176"/>
      <c r="TWG717" s="1176"/>
      <c r="TWH717" s="1176"/>
      <c r="TWI717" s="1176"/>
      <c r="TWJ717" s="1176"/>
      <c r="TWK717" s="1176"/>
      <c r="TWL717" s="1176"/>
      <c r="TWM717" s="1176"/>
      <c r="TWN717" s="1176"/>
      <c r="TWO717" s="1176"/>
      <c r="TWP717" s="1176"/>
      <c r="TWQ717" s="1176"/>
      <c r="TWR717" s="1176"/>
      <c r="TWS717" s="1176"/>
      <c r="TWT717" s="1176"/>
      <c r="TWU717" s="1176"/>
      <c r="TWV717" s="1176"/>
      <c r="TWW717" s="1176"/>
      <c r="TWX717" s="1176"/>
      <c r="TWY717" s="1176"/>
      <c r="TWZ717" s="1176"/>
      <c r="TXA717" s="1176"/>
      <c r="TXB717" s="1176"/>
      <c r="TXC717" s="1176"/>
      <c r="TXD717" s="1176"/>
      <c r="TXE717" s="1176"/>
      <c r="TXF717" s="1176"/>
      <c r="TXG717" s="1176"/>
      <c r="TXH717" s="1176"/>
      <c r="TXI717" s="1176"/>
      <c r="TXJ717" s="1176"/>
      <c r="TXK717" s="1176"/>
      <c r="TXL717" s="1176"/>
      <c r="TXM717" s="1176"/>
      <c r="TXN717" s="1176"/>
      <c r="TXO717" s="1176"/>
      <c r="TXP717" s="1176"/>
      <c r="TXQ717" s="1176"/>
      <c r="TXR717" s="1176"/>
      <c r="TXS717" s="1176"/>
      <c r="TXT717" s="1176"/>
      <c r="TXU717" s="1176"/>
      <c r="TXV717" s="1176"/>
      <c r="TXW717" s="1176"/>
      <c r="TXX717" s="1176"/>
      <c r="TXY717" s="1176"/>
      <c r="TXZ717" s="1176"/>
      <c r="TYA717" s="1176"/>
      <c r="TYB717" s="1176"/>
      <c r="TYC717" s="1176"/>
      <c r="TYD717" s="1176"/>
      <c r="TYE717" s="1176"/>
      <c r="TYF717" s="1176"/>
      <c r="TYG717" s="1176"/>
      <c r="TYH717" s="1176"/>
      <c r="TYI717" s="1176"/>
      <c r="TYJ717" s="1176"/>
      <c r="TYK717" s="1176"/>
      <c r="TYL717" s="1176"/>
      <c r="TYM717" s="1176"/>
      <c r="TYN717" s="1176"/>
      <c r="TYO717" s="1176"/>
      <c r="TYP717" s="1176"/>
      <c r="TYQ717" s="1176"/>
      <c r="TYR717" s="1176"/>
      <c r="TYS717" s="1176"/>
      <c r="TYT717" s="1176"/>
      <c r="TYU717" s="1176"/>
      <c r="TYV717" s="1176"/>
      <c r="TYW717" s="1176"/>
      <c r="TYX717" s="1176"/>
      <c r="TYY717" s="1176"/>
      <c r="TYZ717" s="1176"/>
      <c r="TZA717" s="1176"/>
      <c r="TZB717" s="1176"/>
      <c r="TZC717" s="1176"/>
      <c r="TZD717" s="1176"/>
      <c r="TZE717" s="1176"/>
      <c r="TZF717" s="1176"/>
      <c r="TZG717" s="1176"/>
      <c r="TZH717" s="1176"/>
      <c r="TZI717" s="1176"/>
      <c r="TZJ717" s="1176"/>
      <c r="TZK717" s="1176"/>
      <c r="TZL717" s="1176"/>
      <c r="TZM717" s="1176"/>
      <c r="TZN717" s="1176"/>
      <c r="TZO717" s="1176"/>
      <c r="TZP717" s="1176"/>
      <c r="TZQ717" s="1176"/>
      <c r="TZR717" s="1176"/>
      <c r="TZS717" s="1176"/>
      <c r="TZT717" s="1176"/>
      <c r="TZU717" s="1176"/>
      <c r="TZV717" s="1176"/>
      <c r="TZW717" s="1176"/>
      <c r="TZX717" s="1176"/>
      <c r="TZY717" s="1176"/>
      <c r="TZZ717" s="1176"/>
      <c r="UAA717" s="1176"/>
      <c r="UAB717" s="1176"/>
      <c r="UAC717" s="1176"/>
      <c r="UAD717" s="1176"/>
      <c r="UAE717" s="1176"/>
      <c r="UAF717" s="1176"/>
      <c r="UAG717" s="1176"/>
      <c r="UAH717" s="1176"/>
      <c r="UAI717" s="1176"/>
      <c r="UAJ717" s="1176"/>
      <c r="UAK717" s="1176"/>
      <c r="UAL717" s="1176"/>
      <c r="UAM717" s="1176"/>
      <c r="UAN717" s="1176"/>
      <c r="UAO717" s="1176"/>
      <c r="UAP717" s="1176"/>
      <c r="UAQ717" s="1176"/>
      <c r="UAR717" s="1176"/>
      <c r="UAS717" s="1176"/>
      <c r="UAT717" s="1176"/>
      <c r="UAU717" s="1176"/>
      <c r="UAV717" s="1176"/>
      <c r="UAW717" s="1176"/>
      <c r="UAX717" s="1176"/>
      <c r="UAY717" s="1176"/>
      <c r="UAZ717" s="1176"/>
      <c r="UBA717" s="1176"/>
      <c r="UBB717" s="1176"/>
      <c r="UBC717" s="1176"/>
      <c r="UBD717" s="1176"/>
      <c r="UBE717" s="1176"/>
      <c r="UBF717" s="1176"/>
      <c r="UBG717" s="1176"/>
      <c r="UBH717" s="1176"/>
      <c r="UBI717" s="1176"/>
      <c r="UBJ717" s="1176"/>
      <c r="UBK717" s="1176"/>
      <c r="UBL717" s="1176"/>
      <c r="UBM717" s="1176"/>
      <c r="UBN717" s="1176"/>
      <c r="UBO717" s="1176"/>
      <c r="UBP717" s="1176"/>
      <c r="UBQ717" s="1176"/>
      <c r="UBR717" s="1176"/>
      <c r="UBS717" s="1176"/>
      <c r="UBT717" s="1176"/>
      <c r="UBU717" s="1176"/>
      <c r="UBV717" s="1176"/>
      <c r="UBW717" s="1176"/>
      <c r="UBX717" s="1176"/>
      <c r="UBY717" s="1176"/>
      <c r="UBZ717" s="1176"/>
      <c r="UCA717" s="1176"/>
      <c r="UCB717" s="1176"/>
      <c r="UCC717" s="1176"/>
      <c r="UCD717" s="1176"/>
      <c r="UCE717" s="1176"/>
      <c r="UCF717" s="1176"/>
      <c r="UCG717" s="1176"/>
      <c r="UCH717" s="1176"/>
      <c r="UCI717" s="1176"/>
      <c r="UCJ717" s="1176"/>
      <c r="UCK717" s="1176"/>
      <c r="UCL717" s="1176"/>
      <c r="UCM717" s="1176"/>
      <c r="UCN717" s="1176"/>
      <c r="UCO717" s="1176"/>
      <c r="UCP717" s="1176"/>
      <c r="UCQ717" s="1176"/>
      <c r="UCR717" s="1176"/>
      <c r="UCS717" s="1176"/>
      <c r="UCT717" s="1176"/>
      <c r="UCU717" s="1176"/>
      <c r="UCV717" s="1176"/>
      <c r="UCW717" s="1176"/>
      <c r="UCX717" s="1176"/>
      <c r="UCY717" s="1176"/>
      <c r="UCZ717" s="1176"/>
      <c r="UDA717" s="1176"/>
      <c r="UDB717" s="1176"/>
      <c r="UDC717" s="1176"/>
      <c r="UDD717" s="1176"/>
      <c r="UDE717" s="1176"/>
      <c r="UDF717" s="1176"/>
      <c r="UDG717" s="1176"/>
      <c r="UDH717" s="1176"/>
      <c r="UDI717" s="1176"/>
      <c r="UDJ717" s="1176"/>
      <c r="UDK717" s="1176"/>
      <c r="UDL717" s="1176"/>
      <c r="UDM717" s="1176"/>
      <c r="UDN717" s="1176"/>
      <c r="UDO717" s="1176"/>
      <c r="UDP717" s="1176"/>
      <c r="UDQ717" s="1176"/>
      <c r="UDR717" s="1176"/>
      <c r="UDS717" s="1176"/>
      <c r="UDT717" s="1176"/>
      <c r="UDU717" s="1176"/>
      <c r="UDV717" s="1176"/>
      <c r="UDW717" s="1176"/>
      <c r="UDX717" s="1176"/>
      <c r="UDY717" s="1176"/>
      <c r="UDZ717" s="1176"/>
      <c r="UEA717" s="1176"/>
      <c r="UEB717" s="1176"/>
      <c r="UEC717" s="1176"/>
      <c r="UED717" s="1176"/>
      <c r="UEE717" s="1176"/>
      <c r="UEF717" s="1176"/>
      <c r="UEG717" s="1176"/>
      <c r="UEH717" s="1176"/>
      <c r="UEI717" s="1176"/>
      <c r="UEJ717" s="1176"/>
      <c r="UEK717" s="1176"/>
      <c r="UEL717" s="1176"/>
      <c r="UEM717" s="1176"/>
      <c r="UEN717" s="1176"/>
      <c r="UEO717" s="1176"/>
      <c r="UEP717" s="1176"/>
      <c r="UEQ717" s="1176"/>
      <c r="UER717" s="1176"/>
      <c r="UES717" s="1176"/>
      <c r="UET717" s="1176"/>
      <c r="UEU717" s="1176"/>
      <c r="UEV717" s="1176"/>
      <c r="UEW717" s="1176"/>
      <c r="UEX717" s="1176"/>
      <c r="UEY717" s="1176"/>
      <c r="UEZ717" s="1176"/>
      <c r="UFA717" s="1176"/>
      <c r="UFB717" s="1176"/>
      <c r="UFC717" s="1176"/>
      <c r="UFD717" s="1176"/>
      <c r="UFE717" s="1176"/>
      <c r="UFF717" s="1176"/>
      <c r="UFG717" s="1176"/>
      <c r="UFH717" s="1176"/>
      <c r="UFI717" s="1176"/>
      <c r="UFJ717" s="1176"/>
      <c r="UFK717" s="1176"/>
      <c r="UFL717" s="1176"/>
      <c r="UFM717" s="1176"/>
      <c r="UFN717" s="1176"/>
      <c r="UFO717" s="1176"/>
      <c r="UFP717" s="1176"/>
      <c r="UFQ717" s="1176"/>
      <c r="UFR717" s="1176"/>
      <c r="UFS717" s="1176"/>
      <c r="UFT717" s="1176"/>
      <c r="UFU717" s="1176"/>
      <c r="UFV717" s="1176"/>
      <c r="UFW717" s="1176"/>
      <c r="UFX717" s="1176"/>
      <c r="UFY717" s="1176"/>
      <c r="UFZ717" s="1176"/>
      <c r="UGA717" s="1176"/>
      <c r="UGB717" s="1176"/>
      <c r="UGC717" s="1176"/>
      <c r="UGD717" s="1176"/>
      <c r="UGE717" s="1176"/>
      <c r="UGF717" s="1176"/>
      <c r="UGG717" s="1176"/>
      <c r="UGH717" s="1176"/>
      <c r="UGI717" s="1176"/>
      <c r="UGJ717" s="1176"/>
      <c r="UGK717" s="1176"/>
      <c r="UGL717" s="1176"/>
      <c r="UGM717" s="1176"/>
      <c r="UGN717" s="1176"/>
      <c r="UGO717" s="1176"/>
      <c r="UGP717" s="1176"/>
      <c r="UGQ717" s="1176"/>
      <c r="UGR717" s="1176"/>
      <c r="UGS717" s="1176"/>
      <c r="UGT717" s="1176"/>
      <c r="UGU717" s="1176"/>
      <c r="UGV717" s="1176"/>
      <c r="UGW717" s="1176"/>
      <c r="UGX717" s="1176"/>
      <c r="UGY717" s="1176"/>
      <c r="UGZ717" s="1176"/>
      <c r="UHA717" s="1176"/>
      <c r="UHB717" s="1176"/>
      <c r="UHC717" s="1176"/>
      <c r="UHD717" s="1176"/>
      <c r="UHE717" s="1176"/>
      <c r="UHF717" s="1176"/>
      <c r="UHG717" s="1176"/>
      <c r="UHH717" s="1176"/>
      <c r="UHI717" s="1176"/>
      <c r="UHJ717" s="1176"/>
      <c r="UHK717" s="1176"/>
      <c r="UHL717" s="1176"/>
      <c r="UHM717" s="1176"/>
      <c r="UHN717" s="1176"/>
      <c r="UHO717" s="1176"/>
      <c r="UHP717" s="1176"/>
      <c r="UHQ717" s="1176"/>
      <c r="UHR717" s="1176"/>
      <c r="UHS717" s="1176"/>
      <c r="UHT717" s="1176"/>
      <c r="UHU717" s="1176"/>
      <c r="UHV717" s="1176"/>
      <c r="UHW717" s="1176"/>
      <c r="UHX717" s="1176"/>
      <c r="UHY717" s="1176"/>
      <c r="UHZ717" s="1176"/>
      <c r="UIA717" s="1176"/>
      <c r="UIB717" s="1176"/>
      <c r="UIC717" s="1176"/>
      <c r="UID717" s="1176"/>
      <c r="UIE717" s="1176"/>
      <c r="UIF717" s="1176"/>
      <c r="UIG717" s="1176"/>
      <c r="UIH717" s="1176"/>
      <c r="UII717" s="1176"/>
      <c r="UIJ717" s="1176"/>
      <c r="UIK717" s="1176"/>
      <c r="UIL717" s="1176"/>
      <c r="UIM717" s="1176"/>
      <c r="UIN717" s="1176"/>
      <c r="UIO717" s="1176"/>
      <c r="UIP717" s="1176"/>
      <c r="UIQ717" s="1176"/>
      <c r="UIR717" s="1176"/>
      <c r="UIS717" s="1176"/>
      <c r="UIT717" s="1176"/>
      <c r="UIU717" s="1176"/>
      <c r="UIV717" s="1176"/>
      <c r="UIW717" s="1176"/>
      <c r="UIX717" s="1176"/>
      <c r="UIY717" s="1176"/>
      <c r="UIZ717" s="1176"/>
      <c r="UJA717" s="1176"/>
      <c r="UJB717" s="1176"/>
      <c r="UJC717" s="1176"/>
      <c r="UJD717" s="1176"/>
      <c r="UJE717" s="1176"/>
      <c r="UJF717" s="1176"/>
      <c r="UJG717" s="1176"/>
      <c r="UJH717" s="1176"/>
      <c r="UJI717" s="1176"/>
      <c r="UJJ717" s="1176"/>
      <c r="UJK717" s="1176"/>
      <c r="UJL717" s="1176"/>
      <c r="UJM717" s="1176"/>
      <c r="UJN717" s="1176"/>
      <c r="UJO717" s="1176"/>
      <c r="UJP717" s="1176"/>
      <c r="UJQ717" s="1176"/>
      <c r="UJR717" s="1176"/>
      <c r="UJS717" s="1176"/>
      <c r="UJT717" s="1176"/>
      <c r="UJU717" s="1176"/>
      <c r="UJV717" s="1176"/>
      <c r="UJW717" s="1176"/>
      <c r="UJX717" s="1176"/>
      <c r="UJY717" s="1176"/>
      <c r="UJZ717" s="1176"/>
      <c r="UKA717" s="1176"/>
      <c r="UKB717" s="1176"/>
      <c r="UKC717" s="1176"/>
      <c r="UKD717" s="1176"/>
      <c r="UKE717" s="1176"/>
      <c r="UKF717" s="1176"/>
      <c r="UKG717" s="1176"/>
      <c r="UKH717" s="1176"/>
      <c r="UKI717" s="1176"/>
      <c r="UKJ717" s="1176"/>
      <c r="UKK717" s="1176"/>
      <c r="UKL717" s="1176"/>
      <c r="UKM717" s="1176"/>
      <c r="UKN717" s="1176"/>
      <c r="UKO717" s="1176"/>
      <c r="UKP717" s="1176"/>
      <c r="UKQ717" s="1176"/>
      <c r="UKR717" s="1176"/>
      <c r="UKS717" s="1176"/>
      <c r="UKT717" s="1176"/>
      <c r="UKU717" s="1176"/>
      <c r="UKV717" s="1176"/>
      <c r="UKW717" s="1176"/>
      <c r="UKX717" s="1176"/>
      <c r="UKY717" s="1176"/>
      <c r="UKZ717" s="1176"/>
      <c r="ULA717" s="1176"/>
      <c r="ULB717" s="1176"/>
      <c r="ULC717" s="1176"/>
      <c r="ULD717" s="1176"/>
      <c r="ULE717" s="1176"/>
      <c r="ULF717" s="1176"/>
      <c r="ULG717" s="1176"/>
      <c r="ULH717" s="1176"/>
      <c r="ULI717" s="1176"/>
      <c r="ULJ717" s="1176"/>
      <c r="ULK717" s="1176"/>
      <c r="ULL717" s="1176"/>
      <c r="ULM717" s="1176"/>
      <c r="ULN717" s="1176"/>
      <c r="ULO717" s="1176"/>
      <c r="ULP717" s="1176"/>
      <c r="ULQ717" s="1176"/>
      <c r="ULR717" s="1176"/>
      <c r="ULS717" s="1176"/>
      <c r="ULT717" s="1176"/>
      <c r="ULU717" s="1176"/>
      <c r="ULV717" s="1176"/>
      <c r="ULW717" s="1176"/>
      <c r="ULX717" s="1176"/>
      <c r="ULY717" s="1176"/>
      <c r="ULZ717" s="1176"/>
      <c r="UMA717" s="1176"/>
      <c r="UMB717" s="1176"/>
      <c r="UMC717" s="1176"/>
      <c r="UMD717" s="1176"/>
      <c r="UME717" s="1176"/>
      <c r="UMF717" s="1176"/>
      <c r="UMG717" s="1176"/>
      <c r="UMH717" s="1176"/>
      <c r="UMI717" s="1176"/>
      <c r="UMJ717" s="1176"/>
      <c r="UMK717" s="1176"/>
      <c r="UML717" s="1176"/>
      <c r="UMM717" s="1176"/>
      <c r="UMN717" s="1176"/>
      <c r="UMO717" s="1176"/>
      <c r="UMP717" s="1176"/>
      <c r="UMQ717" s="1176"/>
      <c r="UMR717" s="1176"/>
      <c r="UMS717" s="1176"/>
      <c r="UMT717" s="1176"/>
      <c r="UMU717" s="1176"/>
      <c r="UMV717" s="1176"/>
      <c r="UMW717" s="1176"/>
      <c r="UMX717" s="1176"/>
      <c r="UMY717" s="1176"/>
      <c r="UMZ717" s="1176"/>
      <c r="UNA717" s="1176"/>
      <c r="UNB717" s="1176"/>
      <c r="UNC717" s="1176"/>
      <c r="UND717" s="1176"/>
      <c r="UNE717" s="1176"/>
      <c r="UNF717" s="1176"/>
      <c r="UNG717" s="1176"/>
      <c r="UNH717" s="1176"/>
      <c r="UNI717" s="1176"/>
      <c r="UNJ717" s="1176"/>
      <c r="UNK717" s="1176"/>
      <c r="UNL717" s="1176"/>
      <c r="UNM717" s="1176"/>
      <c r="UNN717" s="1176"/>
      <c r="UNO717" s="1176"/>
      <c r="UNP717" s="1176"/>
      <c r="UNQ717" s="1176"/>
      <c r="UNR717" s="1176"/>
      <c r="UNS717" s="1176"/>
      <c r="UNT717" s="1176"/>
      <c r="UNU717" s="1176"/>
      <c r="UNV717" s="1176"/>
      <c r="UNW717" s="1176"/>
      <c r="UNX717" s="1176"/>
      <c r="UNY717" s="1176"/>
      <c r="UNZ717" s="1176"/>
      <c r="UOA717" s="1176"/>
      <c r="UOB717" s="1176"/>
      <c r="UOC717" s="1176"/>
      <c r="UOD717" s="1176"/>
      <c r="UOE717" s="1176"/>
      <c r="UOF717" s="1176"/>
      <c r="UOG717" s="1176"/>
      <c r="UOH717" s="1176"/>
      <c r="UOI717" s="1176"/>
      <c r="UOJ717" s="1176"/>
      <c r="UOK717" s="1176"/>
      <c r="UOL717" s="1176"/>
      <c r="UOM717" s="1176"/>
      <c r="UON717" s="1176"/>
      <c r="UOO717" s="1176"/>
      <c r="UOP717" s="1176"/>
      <c r="UOQ717" s="1176"/>
      <c r="UOR717" s="1176"/>
      <c r="UOS717" s="1176"/>
      <c r="UOT717" s="1176"/>
      <c r="UOU717" s="1176"/>
      <c r="UOV717" s="1176"/>
      <c r="UOW717" s="1176"/>
      <c r="UOX717" s="1176"/>
      <c r="UOY717" s="1176"/>
      <c r="UOZ717" s="1176"/>
      <c r="UPA717" s="1176"/>
      <c r="UPB717" s="1176"/>
      <c r="UPC717" s="1176"/>
      <c r="UPD717" s="1176"/>
      <c r="UPE717" s="1176"/>
      <c r="UPF717" s="1176"/>
      <c r="UPG717" s="1176"/>
      <c r="UPH717" s="1176"/>
      <c r="UPI717" s="1176"/>
      <c r="UPJ717" s="1176"/>
      <c r="UPK717" s="1176"/>
      <c r="UPL717" s="1176"/>
      <c r="UPM717" s="1176"/>
      <c r="UPN717" s="1176"/>
      <c r="UPO717" s="1176"/>
      <c r="UPP717" s="1176"/>
      <c r="UPQ717" s="1176"/>
      <c r="UPR717" s="1176"/>
      <c r="UPS717" s="1176"/>
      <c r="UPT717" s="1176"/>
      <c r="UPU717" s="1176"/>
      <c r="UPV717" s="1176"/>
      <c r="UPW717" s="1176"/>
      <c r="UPX717" s="1176"/>
      <c r="UPY717" s="1176"/>
      <c r="UPZ717" s="1176"/>
      <c r="UQA717" s="1176"/>
      <c r="UQB717" s="1176"/>
      <c r="UQC717" s="1176"/>
      <c r="UQD717" s="1176"/>
      <c r="UQE717" s="1176"/>
      <c r="UQF717" s="1176"/>
      <c r="UQG717" s="1176"/>
      <c r="UQH717" s="1176"/>
      <c r="UQI717" s="1176"/>
      <c r="UQJ717" s="1176"/>
      <c r="UQK717" s="1176"/>
      <c r="UQL717" s="1176"/>
      <c r="UQM717" s="1176"/>
      <c r="UQN717" s="1176"/>
      <c r="UQO717" s="1176"/>
      <c r="UQP717" s="1176"/>
      <c r="UQQ717" s="1176"/>
      <c r="UQR717" s="1176"/>
      <c r="UQS717" s="1176"/>
      <c r="UQT717" s="1176"/>
      <c r="UQU717" s="1176"/>
      <c r="UQV717" s="1176"/>
      <c r="UQW717" s="1176"/>
      <c r="UQX717" s="1176"/>
      <c r="UQY717" s="1176"/>
      <c r="UQZ717" s="1176"/>
      <c r="URA717" s="1176"/>
      <c r="URB717" s="1176"/>
      <c r="URC717" s="1176"/>
      <c r="URD717" s="1176"/>
      <c r="URE717" s="1176"/>
      <c r="URF717" s="1176"/>
      <c r="URG717" s="1176"/>
      <c r="URH717" s="1176"/>
      <c r="URI717" s="1176"/>
      <c r="URJ717" s="1176"/>
      <c r="URK717" s="1176"/>
      <c r="URL717" s="1176"/>
      <c r="URM717" s="1176"/>
      <c r="URN717" s="1176"/>
      <c r="URO717" s="1176"/>
      <c r="URP717" s="1176"/>
      <c r="URQ717" s="1176"/>
      <c r="URR717" s="1176"/>
      <c r="URS717" s="1176"/>
      <c r="URT717" s="1176"/>
      <c r="URU717" s="1176"/>
      <c r="URV717" s="1176"/>
      <c r="URW717" s="1176"/>
      <c r="URX717" s="1176"/>
      <c r="URY717" s="1176"/>
      <c r="URZ717" s="1176"/>
      <c r="USA717" s="1176"/>
      <c r="USB717" s="1176"/>
      <c r="USC717" s="1176"/>
      <c r="USD717" s="1176"/>
      <c r="USE717" s="1176"/>
      <c r="USF717" s="1176"/>
      <c r="USG717" s="1176"/>
      <c r="USH717" s="1176"/>
      <c r="USI717" s="1176"/>
      <c r="USJ717" s="1176"/>
      <c r="USK717" s="1176"/>
      <c r="USL717" s="1176"/>
      <c r="USM717" s="1176"/>
      <c r="USN717" s="1176"/>
      <c r="USO717" s="1176"/>
      <c r="USP717" s="1176"/>
      <c r="USQ717" s="1176"/>
      <c r="USR717" s="1176"/>
      <c r="USS717" s="1176"/>
      <c r="UST717" s="1176"/>
      <c r="USU717" s="1176"/>
      <c r="USV717" s="1176"/>
      <c r="USW717" s="1176"/>
      <c r="USX717" s="1176"/>
      <c r="USY717" s="1176"/>
      <c r="USZ717" s="1176"/>
      <c r="UTA717" s="1176"/>
      <c r="UTB717" s="1176"/>
      <c r="UTC717" s="1176"/>
      <c r="UTD717" s="1176"/>
      <c r="UTE717" s="1176"/>
      <c r="UTF717" s="1176"/>
      <c r="UTG717" s="1176"/>
      <c r="UTH717" s="1176"/>
      <c r="UTI717" s="1176"/>
      <c r="UTJ717" s="1176"/>
      <c r="UTK717" s="1176"/>
      <c r="UTL717" s="1176"/>
      <c r="UTM717" s="1176"/>
      <c r="UTN717" s="1176"/>
      <c r="UTO717" s="1176"/>
      <c r="UTP717" s="1176"/>
      <c r="UTQ717" s="1176"/>
      <c r="UTR717" s="1176"/>
      <c r="UTS717" s="1176"/>
      <c r="UTT717" s="1176"/>
      <c r="UTU717" s="1176"/>
      <c r="UTV717" s="1176"/>
      <c r="UTW717" s="1176"/>
      <c r="UTX717" s="1176"/>
      <c r="UTY717" s="1176"/>
      <c r="UTZ717" s="1176"/>
      <c r="UUA717" s="1176"/>
      <c r="UUB717" s="1176"/>
      <c r="UUC717" s="1176"/>
      <c r="UUD717" s="1176"/>
      <c r="UUE717" s="1176"/>
      <c r="UUF717" s="1176"/>
      <c r="UUG717" s="1176"/>
      <c r="UUH717" s="1176"/>
      <c r="UUI717" s="1176"/>
      <c r="UUJ717" s="1176"/>
      <c r="UUK717" s="1176"/>
      <c r="UUL717" s="1176"/>
      <c r="UUM717" s="1176"/>
      <c r="UUN717" s="1176"/>
      <c r="UUO717" s="1176"/>
      <c r="UUP717" s="1176"/>
      <c r="UUQ717" s="1176"/>
      <c r="UUR717" s="1176"/>
      <c r="UUS717" s="1176"/>
      <c r="UUT717" s="1176"/>
      <c r="UUU717" s="1176"/>
      <c r="UUV717" s="1176"/>
      <c r="UUW717" s="1176"/>
      <c r="UUX717" s="1176"/>
      <c r="UUY717" s="1176"/>
      <c r="UUZ717" s="1176"/>
      <c r="UVA717" s="1176"/>
      <c r="UVB717" s="1176"/>
      <c r="UVC717" s="1176"/>
      <c r="UVD717" s="1176"/>
      <c r="UVE717" s="1176"/>
      <c r="UVF717" s="1176"/>
      <c r="UVG717" s="1176"/>
      <c r="UVH717" s="1176"/>
      <c r="UVI717" s="1176"/>
      <c r="UVJ717" s="1176"/>
      <c r="UVK717" s="1176"/>
      <c r="UVL717" s="1176"/>
      <c r="UVM717" s="1176"/>
      <c r="UVN717" s="1176"/>
      <c r="UVO717" s="1176"/>
      <c r="UVP717" s="1176"/>
      <c r="UVQ717" s="1176"/>
      <c r="UVR717" s="1176"/>
      <c r="UVS717" s="1176"/>
      <c r="UVT717" s="1176"/>
      <c r="UVU717" s="1176"/>
      <c r="UVV717" s="1176"/>
      <c r="UVW717" s="1176"/>
      <c r="UVX717" s="1176"/>
      <c r="UVY717" s="1176"/>
      <c r="UVZ717" s="1176"/>
      <c r="UWA717" s="1176"/>
      <c r="UWB717" s="1176"/>
      <c r="UWC717" s="1176"/>
      <c r="UWD717" s="1176"/>
      <c r="UWE717" s="1176"/>
      <c r="UWF717" s="1176"/>
      <c r="UWG717" s="1176"/>
      <c r="UWH717" s="1176"/>
      <c r="UWI717" s="1176"/>
      <c r="UWJ717" s="1176"/>
      <c r="UWK717" s="1176"/>
      <c r="UWL717" s="1176"/>
      <c r="UWM717" s="1176"/>
      <c r="UWN717" s="1176"/>
      <c r="UWO717" s="1176"/>
      <c r="UWP717" s="1176"/>
      <c r="UWQ717" s="1176"/>
      <c r="UWR717" s="1176"/>
      <c r="UWS717" s="1176"/>
      <c r="UWT717" s="1176"/>
      <c r="UWU717" s="1176"/>
      <c r="UWV717" s="1176"/>
      <c r="UWW717" s="1176"/>
      <c r="UWX717" s="1176"/>
      <c r="UWY717" s="1176"/>
      <c r="UWZ717" s="1176"/>
      <c r="UXA717" s="1176"/>
      <c r="UXB717" s="1176"/>
      <c r="UXC717" s="1176"/>
      <c r="UXD717" s="1176"/>
      <c r="UXE717" s="1176"/>
      <c r="UXF717" s="1176"/>
      <c r="UXG717" s="1176"/>
      <c r="UXH717" s="1176"/>
      <c r="UXI717" s="1176"/>
      <c r="UXJ717" s="1176"/>
      <c r="UXK717" s="1176"/>
      <c r="UXL717" s="1176"/>
      <c r="UXM717" s="1176"/>
      <c r="UXN717" s="1176"/>
      <c r="UXO717" s="1176"/>
      <c r="UXP717" s="1176"/>
      <c r="UXQ717" s="1176"/>
      <c r="UXR717" s="1176"/>
      <c r="UXS717" s="1176"/>
      <c r="UXT717" s="1176"/>
      <c r="UXU717" s="1176"/>
      <c r="UXV717" s="1176"/>
      <c r="UXW717" s="1176"/>
      <c r="UXX717" s="1176"/>
      <c r="UXY717" s="1176"/>
      <c r="UXZ717" s="1176"/>
      <c r="UYA717" s="1176"/>
      <c r="UYB717" s="1176"/>
      <c r="UYC717" s="1176"/>
      <c r="UYD717" s="1176"/>
      <c r="UYE717" s="1176"/>
      <c r="UYF717" s="1176"/>
      <c r="UYG717" s="1176"/>
      <c r="UYH717" s="1176"/>
      <c r="UYI717" s="1176"/>
      <c r="UYJ717" s="1176"/>
      <c r="UYK717" s="1176"/>
      <c r="UYL717" s="1176"/>
      <c r="UYM717" s="1176"/>
      <c r="UYN717" s="1176"/>
      <c r="UYO717" s="1176"/>
      <c r="UYP717" s="1176"/>
      <c r="UYQ717" s="1176"/>
      <c r="UYR717" s="1176"/>
      <c r="UYS717" s="1176"/>
      <c r="UYT717" s="1176"/>
      <c r="UYU717" s="1176"/>
      <c r="UYV717" s="1176"/>
      <c r="UYW717" s="1176"/>
      <c r="UYX717" s="1176"/>
      <c r="UYY717" s="1176"/>
      <c r="UYZ717" s="1176"/>
      <c r="UZA717" s="1176"/>
      <c r="UZB717" s="1176"/>
      <c r="UZC717" s="1176"/>
      <c r="UZD717" s="1176"/>
      <c r="UZE717" s="1176"/>
      <c r="UZF717" s="1176"/>
      <c r="UZG717" s="1176"/>
      <c r="UZH717" s="1176"/>
      <c r="UZI717" s="1176"/>
      <c r="UZJ717" s="1176"/>
      <c r="UZK717" s="1176"/>
      <c r="UZL717" s="1176"/>
      <c r="UZM717" s="1176"/>
      <c r="UZN717" s="1176"/>
      <c r="UZO717" s="1176"/>
      <c r="UZP717" s="1176"/>
      <c r="UZQ717" s="1176"/>
      <c r="UZR717" s="1176"/>
      <c r="UZS717" s="1176"/>
      <c r="UZT717" s="1176"/>
      <c r="UZU717" s="1176"/>
      <c r="UZV717" s="1176"/>
      <c r="UZW717" s="1176"/>
      <c r="UZX717" s="1176"/>
      <c r="UZY717" s="1176"/>
      <c r="UZZ717" s="1176"/>
      <c r="VAA717" s="1176"/>
      <c r="VAB717" s="1176"/>
      <c r="VAC717" s="1176"/>
      <c r="VAD717" s="1176"/>
      <c r="VAE717" s="1176"/>
      <c r="VAF717" s="1176"/>
      <c r="VAG717" s="1176"/>
      <c r="VAH717" s="1176"/>
      <c r="VAI717" s="1176"/>
      <c r="VAJ717" s="1176"/>
      <c r="VAK717" s="1176"/>
      <c r="VAL717" s="1176"/>
      <c r="VAM717" s="1176"/>
      <c r="VAN717" s="1176"/>
      <c r="VAO717" s="1176"/>
      <c r="VAP717" s="1176"/>
      <c r="VAQ717" s="1176"/>
      <c r="VAR717" s="1176"/>
      <c r="VAS717" s="1176"/>
      <c r="VAT717" s="1176"/>
      <c r="VAU717" s="1176"/>
      <c r="VAV717" s="1176"/>
      <c r="VAW717" s="1176"/>
      <c r="VAX717" s="1176"/>
      <c r="VAY717" s="1176"/>
      <c r="VAZ717" s="1176"/>
      <c r="VBA717" s="1176"/>
      <c r="VBB717" s="1176"/>
      <c r="VBC717" s="1176"/>
      <c r="VBD717" s="1176"/>
      <c r="VBE717" s="1176"/>
      <c r="VBF717" s="1176"/>
      <c r="VBG717" s="1176"/>
      <c r="VBH717" s="1176"/>
      <c r="VBI717" s="1176"/>
      <c r="VBJ717" s="1176"/>
      <c r="VBK717" s="1176"/>
      <c r="VBL717" s="1176"/>
      <c r="VBM717" s="1176"/>
      <c r="VBN717" s="1176"/>
      <c r="VBO717" s="1176"/>
      <c r="VBP717" s="1176"/>
      <c r="VBQ717" s="1176"/>
      <c r="VBR717" s="1176"/>
      <c r="VBS717" s="1176"/>
      <c r="VBT717" s="1176"/>
      <c r="VBU717" s="1176"/>
      <c r="VBV717" s="1176"/>
      <c r="VBW717" s="1176"/>
      <c r="VBX717" s="1176"/>
      <c r="VBY717" s="1176"/>
      <c r="VBZ717" s="1176"/>
      <c r="VCA717" s="1176"/>
      <c r="VCB717" s="1176"/>
      <c r="VCC717" s="1176"/>
      <c r="VCD717" s="1176"/>
      <c r="VCE717" s="1176"/>
      <c r="VCF717" s="1176"/>
      <c r="VCG717" s="1176"/>
      <c r="VCH717" s="1176"/>
      <c r="VCI717" s="1176"/>
      <c r="VCJ717" s="1176"/>
      <c r="VCK717" s="1176"/>
      <c r="VCL717" s="1176"/>
      <c r="VCM717" s="1176"/>
      <c r="VCN717" s="1176"/>
      <c r="VCO717" s="1176"/>
      <c r="VCP717" s="1176"/>
      <c r="VCQ717" s="1176"/>
      <c r="VCR717" s="1176"/>
      <c r="VCS717" s="1176"/>
      <c r="VCT717" s="1176"/>
      <c r="VCU717" s="1176"/>
      <c r="VCV717" s="1176"/>
      <c r="VCW717" s="1176"/>
      <c r="VCX717" s="1176"/>
      <c r="VCY717" s="1176"/>
      <c r="VCZ717" s="1176"/>
      <c r="VDA717" s="1176"/>
      <c r="VDB717" s="1176"/>
      <c r="VDC717" s="1176"/>
      <c r="VDD717" s="1176"/>
      <c r="VDE717" s="1176"/>
      <c r="VDF717" s="1176"/>
      <c r="VDG717" s="1176"/>
      <c r="VDH717" s="1176"/>
      <c r="VDI717" s="1176"/>
      <c r="VDJ717" s="1176"/>
      <c r="VDK717" s="1176"/>
      <c r="VDL717" s="1176"/>
      <c r="VDM717" s="1176"/>
      <c r="VDN717" s="1176"/>
      <c r="VDO717" s="1176"/>
      <c r="VDP717" s="1176"/>
      <c r="VDQ717" s="1176"/>
      <c r="VDR717" s="1176"/>
      <c r="VDS717" s="1176"/>
      <c r="VDT717" s="1176"/>
      <c r="VDU717" s="1176"/>
      <c r="VDV717" s="1176"/>
      <c r="VDW717" s="1176"/>
      <c r="VDX717" s="1176"/>
      <c r="VDY717" s="1176"/>
      <c r="VDZ717" s="1176"/>
      <c r="VEA717" s="1176"/>
      <c r="VEB717" s="1176"/>
      <c r="VEC717" s="1176"/>
      <c r="VED717" s="1176"/>
      <c r="VEE717" s="1176"/>
      <c r="VEF717" s="1176"/>
      <c r="VEG717" s="1176"/>
      <c r="VEH717" s="1176"/>
      <c r="VEI717" s="1176"/>
      <c r="VEJ717" s="1176"/>
      <c r="VEK717" s="1176"/>
      <c r="VEL717" s="1176"/>
      <c r="VEM717" s="1176"/>
      <c r="VEN717" s="1176"/>
      <c r="VEO717" s="1176"/>
      <c r="VEP717" s="1176"/>
      <c r="VEQ717" s="1176"/>
      <c r="VER717" s="1176"/>
      <c r="VES717" s="1176"/>
      <c r="VET717" s="1176"/>
      <c r="VEU717" s="1176"/>
      <c r="VEV717" s="1176"/>
      <c r="VEW717" s="1176"/>
      <c r="VEX717" s="1176"/>
      <c r="VEY717" s="1176"/>
      <c r="VEZ717" s="1176"/>
      <c r="VFA717" s="1176"/>
      <c r="VFB717" s="1176"/>
      <c r="VFC717" s="1176"/>
      <c r="VFD717" s="1176"/>
      <c r="VFE717" s="1176"/>
      <c r="VFF717" s="1176"/>
      <c r="VFG717" s="1176"/>
      <c r="VFH717" s="1176"/>
      <c r="VFI717" s="1176"/>
      <c r="VFJ717" s="1176"/>
      <c r="VFK717" s="1176"/>
      <c r="VFL717" s="1176"/>
      <c r="VFM717" s="1176"/>
      <c r="VFN717" s="1176"/>
      <c r="VFO717" s="1176"/>
      <c r="VFP717" s="1176"/>
      <c r="VFQ717" s="1176"/>
      <c r="VFR717" s="1176"/>
      <c r="VFS717" s="1176"/>
      <c r="VFT717" s="1176"/>
      <c r="VFU717" s="1176"/>
      <c r="VFV717" s="1176"/>
      <c r="VFW717" s="1176"/>
      <c r="VFX717" s="1176"/>
      <c r="VFY717" s="1176"/>
      <c r="VFZ717" s="1176"/>
      <c r="VGA717" s="1176"/>
      <c r="VGB717" s="1176"/>
      <c r="VGC717" s="1176"/>
      <c r="VGD717" s="1176"/>
      <c r="VGE717" s="1176"/>
      <c r="VGF717" s="1176"/>
      <c r="VGG717" s="1176"/>
      <c r="VGH717" s="1176"/>
      <c r="VGI717" s="1176"/>
      <c r="VGJ717" s="1176"/>
      <c r="VGK717" s="1176"/>
      <c r="VGL717" s="1176"/>
      <c r="VGM717" s="1176"/>
      <c r="VGN717" s="1176"/>
      <c r="VGO717" s="1176"/>
      <c r="VGP717" s="1176"/>
      <c r="VGQ717" s="1176"/>
      <c r="VGR717" s="1176"/>
      <c r="VGS717" s="1176"/>
      <c r="VGT717" s="1176"/>
      <c r="VGU717" s="1176"/>
      <c r="VGV717" s="1176"/>
      <c r="VGW717" s="1176"/>
      <c r="VGX717" s="1176"/>
      <c r="VGY717" s="1176"/>
      <c r="VGZ717" s="1176"/>
      <c r="VHA717" s="1176"/>
      <c r="VHB717" s="1176"/>
      <c r="VHC717" s="1176"/>
      <c r="VHD717" s="1176"/>
      <c r="VHE717" s="1176"/>
      <c r="VHF717" s="1176"/>
      <c r="VHG717" s="1176"/>
      <c r="VHH717" s="1176"/>
      <c r="VHI717" s="1176"/>
      <c r="VHJ717" s="1176"/>
      <c r="VHK717" s="1176"/>
      <c r="VHL717" s="1176"/>
      <c r="VHM717" s="1176"/>
      <c r="VHN717" s="1176"/>
      <c r="VHO717" s="1176"/>
      <c r="VHP717" s="1176"/>
      <c r="VHQ717" s="1176"/>
      <c r="VHR717" s="1176"/>
      <c r="VHS717" s="1176"/>
      <c r="VHT717" s="1176"/>
      <c r="VHU717" s="1176"/>
      <c r="VHV717" s="1176"/>
      <c r="VHW717" s="1176"/>
      <c r="VHX717" s="1176"/>
      <c r="VHY717" s="1176"/>
      <c r="VHZ717" s="1176"/>
      <c r="VIA717" s="1176"/>
      <c r="VIB717" s="1176"/>
      <c r="VIC717" s="1176"/>
      <c r="VID717" s="1176"/>
      <c r="VIE717" s="1176"/>
      <c r="VIF717" s="1176"/>
      <c r="VIG717" s="1176"/>
      <c r="VIH717" s="1176"/>
      <c r="VII717" s="1176"/>
      <c r="VIJ717" s="1176"/>
      <c r="VIK717" s="1176"/>
      <c r="VIL717" s="1176"/>
      <c r="VIM717" s="1176"/>
      <c r="VIN717" s="1176"/>
      <c r="VIO717" s="1176"/>
      <c r="VIP717" s="1176"/>
      <c r="VIQ717" s="1176"/>
      <c r="VIR717" s="1176"/>
      <c r="VIS717" s="1176"/>
      <c r="VIT717" s="1176"/>
      <c r="VIU717" s="1176"/>
      <c r="VIV717" s="1176"/>
      <c r="VIW717" s="1176"/>
      <c r="VIX717" s="1176"/>
      <c r="VIY717" s="1176"/>
      <c r="VIZ717" s="1176"/>
      <c r="VJA717" s="1176"/>
      <c r="VJB717" s="1176"/>
      <c r="VJC717" s="1176"/>
      <c r="VJD717" s="1176"/>
      <c r="VJE717" s="1176"/>
      <c r="VJF717" s="1176"/>
      <c r="VJG717" s="1176"/>
      <c r="VJH717" s="1176"/>
      <c r="VJI717" s="1176"/>
      <c r="VJJ717" s="1176"/>
      <c r="VJK717" s="1176"/>
      <c r="VJL717" s="1176"/>
      <c r="VJM717" s="1176"/>
      <c r="VJN717" s="1176"/>
      <c r="VJO717" s="1176"/>
      <c r="VJP717" s="1176"/>
      <c r="VJQ717" s="1176"/>
      <c r="VJR717" s="1176"/>
      <c r="VJS717" s="1176"/>
      <c r="VJT717" s="1176"/>
      <c r="VJU717" s="1176"/>
      <c r="VJV717" s="1176"/>
      <c r="VJW717" s="1176"/>
      <c r="VJX717" s="1176"/>
      <c r="VJY717" s="1176"/>
      <c r="VJZ717" s="1176"/>
      <c r="VKA717" s="1176"/>
      <c r="VKB717" s="1176"/>
      <c r="VKC717" s="1176"/>
      <c r="VKD717" s="1176"/>
      <c r="VKE717" s="1176"/>
      <c r="VKF717" s="1176"/>
      <c r="VKG717" s="1176"/>
      <c r="VKH717" s="1176"/>
      <c r="VKI717" s="1176"/>
      <c r="VKJ717" s="1176"/>
      <c r="VKK717" s="1176"/>
      <c r="VKL717" s="1176"/>
      <c r="VKM717" s="1176"/>
      <c r="VKN717" s="1176"/>
      <c r="VKO717" s="1176"/>
      <c r="VKP717" s="1176"/>
      <c r="VKQ717" s="1176"/>
      <c r="VKR717" s="1176"/>
      <c r="VKS717" s="1176"/>
      <c r="VKT717" s="1176"/>
      <c r="VKU717" s="1176"/>
      <c r="VKV717" s="1176"/>
      <c r="VKW717" s="1176"/>
      <c r="VKX717" s="1176"/>
      <c r="VKY717" s="1176"/>
      <c r="VKZ717" s="1176"/>
      <c r="VLA717" s="1176"/>
      <c r="VLB717" s="1176"/>
      <c r="VLC717" s="1176"/>
      <c r="VLD717" s="1176"/>
      <c r="VLE717" s="1176"/>
      <c r="VLF717" s="1176"/>
      <c r="VLG717" s="1176"/>
      <c r="VLH717" s="1176"/>
      <c r="VLI717" s="1176"/>
      <c r="VLJ717" s="1176"/>
      <c r="VLK717" s="1176"/>
      <c r="VLL717" s="1176"/>
      <c r="VLM717" s="1176"/>
      <c r="VLN717" s="1176"/>
      <c r="VLO717" s="1176"/>
      <c r="VLP717" s="1176"/>
      <c r="VLQ717" s="1176"/>
      <c r="VLR717" s="1176"/>
      <c r="VLS717" s="1176"/>
      <c r="VLT717" s="1176"/>
      <c r="VLU717" s="1176"/>
      <c r="VLV717" s="1176"/>
      <c r="VLW717" s="1176"/>
      <c r="VLX717" s="1176"/>
      <c r="VLY717" s="1176"/>
      <c r="VLZ717" s="1176"/>
      <c r="VMA717" s="1176"/>
      <c r="VMB717" s="1176"/>
      <c r="VMC717" s="1176"/>
      <c r="VMD717" s="1176"/>
      <c r="VME717" s="1176"/>
      <c r="VMF717" s="1176"/>
      <c r="VMG717" s="1176"/>
      <c r="VMH717" s="1176"/>
      <c r="VMI717" s="1176"/>
      <c r="VMJ717" s="1176"/>
      <c r="VMK717" s="1176"/>
      <c r="VML717" s="1176"/>
      <c r="VMM717" s="1176"/>
      <c r="VMN717" s="1176"/>
      <c r="VMO717" s="1176"/>
      <c r="VMP717" s="1176"/>
      <c r="VMQ717" s="1176"/>
      <c r="VMR717" s="1176"/>
      <c r="VMS717" s="1176"/>
      <c r="VMT717" s="1176"/>
      <c r="VMU717" s="1176"/>
      <c r="VMV717" s="1176"/>
      <c r="VMW717" s="1176"/>
      <c r="VMX717" s="1176"/>
      <c r="VMY717" s="1176"/>
      <c r="VMZ717" s="1176"/>
      <c r="VNA717" s="1176"/>
      <c r="VNB717" s="1176"/>
      <c r="VNC717" s="1176"/>
      <c r="VND717" s="1176"/>
      <c r="VNE717" s="1176"/>
      <c r="VNF717" s="1176"/>
      <c r="VNG717" s="1176"/>
      <c r="VNH717" s="1176"/>
      <c r="VNI717" s="1176"/>
      <c r="VNJ717" s="1176"/>
      <c r="VNK717" s="1176"/>
      <c r="VNL717" s="1176"/>
      <c r="VNM717" s="1176"/>
      <c r="VNN717" s="1176"/>
      <c r="VNO717" s="1176"/>
      <c r="VNP717" s="1176"/>
      <c r="VNQ717" s="1176"/>
      <c r="VNR717" s="1176"/>
      <c r="VNS717" s="1176"/>
      <c r="VNT717" s="1176"/>
      <c r="VNU717" s="1176"/>
      <c r="VNV717" s="1176"/>
      <c r="VNW717" s="1176"/>
      <c r="VNX717" s="1176"/>
      <c r="VNY717" s="1176"/>
      <c r="VNZ717" s="1176"/>
      <c r="VOA717" s="1176"/>
      <c r="VOB717" s="1176"/>
      <c r="VOC717" s="1176"/>
      <c r="VOD717" s="1176"/>
      <c r="VOE717" s="1176"/>
      <c r="VOF717" s="1176"/>
      <c r="VOG717" s="1176"/>
      <c r="VOH717" s="1176"/>
      <c r="VOI717" s="1176"/>
      <c r="VOJ717" s="1176"/>
      <c r="VOK717" s="1176"/>
      <c r="VOL717" s="1176"/>
      <c r="VOM717" s="1176"/>
      <c r="VON717" s="1176"/>
      <c r="VOO717" s="1176"/>
      <c r="VOP717" s="1176"/>
      <c r="VOQ717" s="1176"/>
      <c r="VOR717" s="1176"/>
      <c r="VOS717" s="1176"/>
      <c r="VOT717" s="1176"/>
      <c r="VOU717" s="1176"/>
      <c r="VOV717" s="1176"/>
      <c r="VOW717" s="1176"/>
      <c r="VOX717" s="1176"/>
      <c r="VOY717" s="1176"/>
      <c r="VOZ717" s="1176"/>
      <c r="VPA717" s="1176"/>
      <c r="VPB717" s="1176"/>
      <c r="VPC717" s="1176"/>
      <c r="VPD717" s="1176"/>
      <c r="VPE717" s="1176"/>
      <c r="VPF717" s="1176"/>
      <c r="VPG717" s="1176"/>
      <c r="VPH717" s="1176"/>
      <c r="VPI717" s="1176"/>
      <c r="VPJ717" s="1176"/>
      <c r="VPK717" s="1176"/>
      <c r="VPL717" s="1176"/>
      <c r="VPM717" s="1176"/>
      <c r="VPN717" s="1176"/>
      <c r="VPO717" s="1176"/>
      <c r="VPP717" s="1176"/>
      <c r="VPQ717" s="1176"/>
      <c r="VPR717" s="1176"/>
      <c r="VPS717" s="1176"/>
      <c r="VPT717" s="1176"/>
      <c r="VPU717" s="1176"/>
      <c r="VPV717" s="1176"/>
      <c r="VPW717" s="1176"/>
      <c r="VPX717" s="1176"/>
      <c r="VPY717" s="1176"/>
      <c r="VPZ717" s="1176"/>
      <c r="VQA717" s="1176"/>
      <c r="VQB717" s="1176"/>
      <c r="VQC717" s="1176"/>
      <c r="VQD717" s="1176"/>
      <c r="VQE717" s="1176"/>
      <c r="VQF717" s="1176"/>
      <c r="VQG717" s="1176"/>
      <c r="VQH717" s="1176"/>
      <c r="VQI717" s="1176"/>
      <c r="VQJ717" s="1176"/>
      <c r="VQK717" s="1176"/>
      <c r="VQL717" s="1176"/>
      <c r="VQM717" s="1176"/>
      <c r="VQN717" s="1176"/>
      <c r="VQO717" s="1176"/>
      <c r="VQP717" s="1176"/>
      <c r="VQQ717" s="1176"/>
      <c r="VQR717" s="1176"/>
      <c r="VQS717" s="1176"/>
      <c r="VQT717" s="1176"/>
      <c r="VQU717" s="1176"/>
      <c r="VQV717" s="1176"/>
      <c r="VQW717" s="1176"/>
      <c r="VQX717" s="1176"/>
      <c r="VQY717" s="1176"/>
      <c r="VQZ717" s="1176"/>
      <c r="VRA717" s="1176"/>
      <c r="VRB717" s="1176"/>
      <c r="VRC717" s="1176"/>
      <c r="VRD717" s="1176"/>
      <c r="VRE717" s="1176"/>
      <c r="VRF717" s="1176"/>
      <c r="VRG717" s="1176"/>
      <c r="VRH717" s="1176"/>
      <c r="VRI717" s="1176"/>
      <c r="VRJ717" s="1176"/>
      <c r="VRK717" s="1176"/>
      <c r="VRL717" s="1176"/>
      <c r="VRM717" s="1176"/>
      <c r="VRN717" s="1176"/>
      <c r="VRO717" s="1176"/>
      <c r="VRP717" s="1176"/>
      <c r="VRQ717" s="1176"/>
      <c r="VRR717" s="1176"/>
      <c r="VRS717" s="1176"/>
      <c r="VRT717" s="1176"/>
      <c r="VRU717" s="1176"/>
      <c r="VRV717" s="1176"/>
      <c r="VRW717" s="1176"/>
      <c r="VRX717" s="1176"/>
      <c r="VRY717" s="1176"/>
      <c r="VRZ717" s="1176"/>
      <c r="VSA717" s="1176"/>
      <c r="VSB717" s="1176"/>
      <c r="VSC717" s="1176"/>
      <c r="VSD717" s="1176"/>
      <c r="VSE717" s="1176"/>
      <c r="VSF717" s="1176"/>
      <c r="VSG717" s="1176"/>
      <c r="VSH717" s="1176"/>
      <c r="VSI717" s="1176"/>
      <c r="VSJ717" s="1176"/>
      <c r="VSK717" s="1176"/>
      <c r="VSL717" s="1176"/>
      <c r="VSM717" s="1176"/>
      <c r="VSN717" s="1176"/>
      <c r="VSO717" s="1176"/>
      <c r="VSP717" s="1176"/>
      <c r="VSQ717" s="1176"/>
      <c r="VSR717" s="1176"/>
      <c r="VSS717" s="1176"/>
      <c r="VST717" s="1176"/>
      <c r="VSU717" s="1176"/>
      <c r="VSV717" s="1176"/>
      <c r="VSW717" s="1176"/>
      <c r="VSX717" s="1176"/>
      <c r="VSY717" s="1176"/>
      <c r="VSZ717" s="1176"/>
      <c r="VTA717" s="1176"/>
      <c r="VTB717" s="1176"/>
      <c r="VTC717" s="1176"/>
      <c r="VTD717" s="1176"/>
      <c r="VTE717" s="1176"/>
      <c r="VTF717" s="1176"/>
      <c r="VTG717" s="1176"/>
      <c r="VTH717" s="1176"/>
      <c r="VTI717" s="1176"/>
      <c r="VTJ717" s="1176"/>
      <c r="VTK717" s="1176"/>
      <c r="VTL717" s="1176"/>
      <c r="VTM717" s="1176"/>
      <c r="VTN717" s="1176"/>
      <c r="VTO717" s="1176"/>
      <c r="VTP717" s="1176"/>
      <c r="VTQ717" s="1176"/>
      <c r="VTR717" s="1176"/>
      <c r="VTS717" s="1176"/>
      <c r="VTT717" s="1176"/>
      <c r="VTU717" s="1176"/>
      <c r="VTV717" s="1176"/>
      <c r="VTW717" s="1176"/>
      <c r="VTX717" s="1176"/>
      <c r="VTY717" s="1176"/>
      <c r="VTZ717" s="1176"/>
      <c r="VUA717" s="1176"/>
      <c r="VUB717" s="1176"/>
      <c r="VUC717" s="1176"/>
      <c r="VUD717" s="1176"/>
      <c r="VUE717" s="1176"/>
      <c r="VUF717" s="1176"/>
      <c r="VUG717" s="1176"/>
      <c r="VUH717" s="1176"/>
      <c r="VUI717" s="1176"/>
      <c r="VUJ717" s="1176"/>
      <c r="VUK717" s="1176"/>
      <c r="VUL717" s="1176"/>
      <c r="VUM717" s="1176"/>
      <c r="VUN717" s="1176"/>
      <c r="VUO717" s="1176"/>
      <c r="VUP717" s="1176"/>
      <c r="VUQ717" s="1176"/>
      <c r="VUR717" s="1176"/>
      <c r="VUS717" s="1176"/>
      <c r="VUT717" s="1176"/>
      <c r="VUU717" s="1176"/>
      <c r="VUV717" s="1176"/>
      <c r="VUW717" s="1176"/>
      <c r="VUX717" s="1176"/>
      <c r="VUY717" s="1176"/>
      <c r="VUZ717" s="1176"/>
      <c r="VVA717" s="1176"/>
      <c r="VVB717" s="1176"/>
      <c r="VVC717" s="1176"/>
      <c r="VVD717" s="1176"/>
      <c r="VVE717" s="1176"/>
      <c r="VVF717" s="1176"/>
      <c r="VVG717" s="1176"/>
      <c r="VVH717" s="1176"/>
      <c r="VVI717" s="1176"/>
      <c r="VVJ717" s="1176"/>
      <c r="VVK717" s="1176"/>
      <c r="VVL717" s="1176"/>
      <c r="VVM717" s="1176"/>
      <c r="VVN717" s="1176"/>
      <c r="VVO717" s="1176"/>
      <c r="VVP717" s="1176"/>
      <c r="VVQ717" s="1176"/>
      <c r="VVR717" s="1176"/>
      <c r="VVS717" s="1176"/>
      <c r="VVT717" s="1176"/>
      <c r="VVU717" s="1176"/>
      <c r="VVV717" s="1176"/>
      <c r="VVW717" s="1176"/>
      <c r="VVX717" s="1176"/>
      <c r="VVY717" s="1176"/>
      <c r="VVZ717" s="1176"/>
      <c r="VWA717" s="1176"/>
      <c r="VWB717" s="1176"/>
      <c r="VWC717" s="1176"/>
      <c r="VWD717" s="1176"/>
      <c r="VWE717" s="1176"/>
      <c r="VWF717" s="1176"/>
      <c r="VWG717" s="1176"/>
      <c r="VWH717" s="1176"/>
      <c r="VWI717" s="1176"/>
      <c r="VWJ717" s="1176"/>
      <c r="VWK717" s="1176"/>
      <c r="VWL717" s="1176"/>
      <c r="VWM717" s="1176"/>
      <c r="VWN717" s="1176"/>
      <c r="VWO717" s="1176"/>
      <c r="VWP717" s="1176"/>
      <c r="VWQ717" s="1176"/>
      <c r="VWR717" s="1176"/>
      <c r="VWS717" s="1176"/>
      <c r="VWT717" s="1176"/>
      <c r="VWU717" s="1176"/>
      <c r="VWV717" s="1176"/>
      <c r="VWW717" s="1176"/>
      <c r="VWX717" s="1176"/>
      <c r="VWY717" s="1176"/>
      <c r="VWZ717" s="1176"/>
      <c r="VXA717" s="1176"/>
      <c r="VXB717" s="1176"/>
      <c r="VXC717" s="1176"/>
      <c r="VXD717" s="1176"/>
      <c r="VXE717" s="1176"/>
      <c r="VXF717" s="1176"/>
      <c r="VXG717" s="1176"/>
      <c r="VXH717" s="1176"/>
      <c r="VXI717" s="1176"/>
      <c r="VXJ717" s="1176"/>
      <c r="VXK717" s="1176"/>
      <c r="VXL717" s="1176"/>
      <c r="VXM717" s="1176"/>
      <c r="VXN717" s="1176"/>
      <c r="VXO717" s="1176"/>
      <c r="VXP717" s="1176"/>
      <c r="VXQ717" s="1176"/>
      <c r="VXR717" s="1176"/>
      <c r="VXS717" s="1176"/>
      <c r="VXT717" s="1176"/>
      <c r="VXU717" s="1176"/>
      <c r="VXV717" s="1176"/>
      <c r="VXW717" s="1176"/>
      <c r="VXX717" s="1176"/>
      <c r="VXY717" s="1176"/>
      <c r="VXZ717" s="1176"/>
      <c r="VYA717" s="1176"/>
      <c r="VYB717" s="1176"/>
      <c r="VYC717" s="1176"/>
      <c r="VYD717" s="1176"/>
      <c r="VYE717" s="1176"/>
      <c r="VYF717" s="1176"/>
      <c r="VYG717" s="1176"/>
      <c r="VYH717" s="1176"/>
      <c r="VYI717" s="1176"/>
      <c r="VYJ717" s="1176"/>
      <c r="VYK717" s="1176"/>
      <c r="VYL717" s="1176"/>
      <c r="VYM717" s="1176"/>
      <c r="VYN717" s="1176"/>
      <c r="VYO717" s="1176"/>
      <c r="VYP717" s="1176"/>
      <c r="VYQ717" s="1176"/>
      <c r="VYR717" s="1176"/>
      <c r="VYS717" s="1176"/>
      <c r="VYT717" s="1176"/>
      <c r="VYU717" s="1176"/>
      <c r="VYV717" s="1176"/>
      <c r="VYW717" s="1176"/>
      <c r="VYX717" s="1176"/>
      <c r="VYY717" s="1176"/>
      <c r="VYZ717" s="1176"/>
      <c r="VZA717" s="1176"/>
      <c r="VZB717" s="1176"/>
      <c r="VZC717" s="1176"/>
      <c r="VZD717" s="1176"/>
      <c r="VZE717" s="1176"/>
      <c r="VZF717" s="1176"/>
      <c r="VZG717" s="1176"/>
      <c r="VZH717" s="1176"/>
      <c r="VZI717" s="1176"/>
      <c r="VZJ717" s="1176"/>
      <c r="VZK717" s="1176"/>
      <c r="VZL717" s="1176"/>
      <c r="VZM717" s="1176"/>
      <c r="VZN717" s="1176"/>
      <c r="VZO717" s="1176"/>
      <c r="VZP717" s="1176"/>
      <c r="VZQ717" s="1176"/>
      <c r="VZR717" s="1176"/>
      <c r="VZS717" s="1176"/>
      <c r="VZT717" s="1176"/>
      <c r="VZU717" s="1176"/>
      <c r="VZV717" s="1176"/>
      <c r="VZW717" s="1176"/>
      <c r="VZX717" s="1176"/>
      <c r="VZY717" s="1176"/>
      <c r="VZZ717" s="1176"/>
      <c r="WAA717" s="1176"/>
      <c r="WAB717" s="1176"/>
      <c r="WAC717" s="1176"/>
      <c r="WAD717" s="1176"/>
      <c r="WAE717" s="1176"/>
      <c r="WAF717" s="1176"/>
      <c r="WAG717" s="1176"/>
      <c r="WAH717" s="1176"/>
      <c r="WAI717" s="1176"/>
      <c r="WAJ717" s="1176"/>
      <c r="WAK717" s="1176"/>
      <c r="WAL717" s="1176"/>
      <c r="WAM717" s="1176"/>
      <c r="WAN717" s="1176"/>
      <c r="WAO717" s="1176"/>
      <c r="WAP717" s="1176"/>
      <c r="WAQ717" s="1176"/>
      <c r="WAR717" s="1176"/>
      <c r="WAS717" s="1176"/>
      <c r="WAT717" s="1176"/>
      <c r="WAU717" s="1176"/>
      <c r="WAV717" s="1176"/>
      <c r="WAW717" s="1176"/>
      <c r="WAX717" s="1176"/>
      <c r="WAY717" s="1176"/>
      <c r="WAZ717" s="1176"/>
      <c r="WBA717" s="1176"/>
      <c r="WBB717" s="1176"/>
      <c r="WBC717" s="1176"/>
      <c r="WBD717" s="1176"/>
      <c r="WBE717" s="1176"/>
      <c r="WBF717" s="1176"/>
      <c r="WBG717" s="1176"/>
      <c r="WBH717" s="1176"/>
      <c r="WBI717" s="1176"/>
      <c r="WBJ717" s="1176"/>
      <c r="WBK717" s="1176"/>
      <c r="WBL717" s="1176"/>
      <c r="WBM717" s="1176"/>
      <c r="WBN717" s="1176"/>
      <c r="WBO717" s="1176"/>
      <c r="WBP717" s="1176"/>
      <c r="WBQ717" s="1176"/>
      <c r="WBR717" s="1176"/>
      <c r="WBS717" s="1176"/>
      <c r="WBT717" s="1176"/>
      <c r="WBU717" s="1176"/>
      <c r="WBV717" s="1176"/>
      <c r="WBW717" s="1176"/>
      <c r="WBX717" s="1176"/>
      <c r="WBY717" s="1176"/>
      <c r="WBZ717" s="1176"/>
      <c r="WCA717" s="1176"/>
      <c r="WCB717" s="1176"/>
      <c r="WCC717" s="1176"/>
      <c r="WCD717" s="1176"/>
      <c r="WCE717" s="1176"/>
      <c r="WCF717" s="1176"/>
      <c r="WCG717" s="1176"/>
      <c r="WCH717" s="1176"/>
      <c r="WCI717" s="1176"/>
      <c r="WCJ717" s="1176"/>
      <c r="WCK717" s="1176"/>
      <c r="WCL717" s="1176"/>
      <c r="WCM717" s="1176"/>
      <c r="WCN717" s="1176"/>
      <c r="WCO717" s="1176"/>
      <c r="WCP717" s="1176"/>
      <c r="WCQ717" s="1176"/>
      <c r="WCR717" s="1176"/>
      <c r="WCS717" s="1176"/>
      <c r="WCT717" s="1176"/>
      <c r="WCU717" s="1176"/>
      <c r="WCV717" s="1176"/>
      <c r="WCW717" s="1176"/>
      <c r="WCX717" s="1176"/>
      <c r="WCY717" s="1176"/>
      <c r="WCZ717" s="1176"/>
      <c r="WDA717" s="1176"/>
      <c r="WDB717" s="1176"/>
      <c r="WDC717" s="1176"/>
      <c r="WDD717" s="1176"/>
      <c r="WDE717" s="1176"/>
      <c r="WDF717" s="1176"/>
      <c r="WDG717" s="1176"/>
      <c r="WDH717" s="1176"/>
      <c r="WDI717" s="1176"/>
      <c r="WDJ717" s="1176"/>
      <c r="WDK717" s="1176"/>
      <c r="WDL717" s="1176"/>
      <c r="WDM717" s="1176"/>
      <c r="WDN717" s="1176"/>
      <c r="WDO717" s="1176"/>
      <c r="WDP717" s="1176"/>
      <c r="WDQ717" s="1176"/>
      <c r="WDR717" s="1176"/>
      <c r="WDS717" s="1176"/>
      <c r="WDT717" s="1176"/>
      <c r="WDU717" s="1176"/>
      <c r="WDV717" s="1176"/>
      <c r="WDW717" s="1176"/>
      <c r="WDX717" s="1176"/>
      <c r="WDY717" s="1176"/>
      <c r="WDZ717" s="1176"/>
      <c r="WEA717" s="1176"/>
      <c r="WEB717" s="1176"/>
      <c r="WEC717" s="1176"/>
      <c r="WED717" s="1176"/>
      <c r="WEE717" s="1176"/>
      <c r="WEF717" s="1176"/>
      <c r="WEG717" s="1176"/>
      <c r="WEH717" s="1176"/>
      <c r="WEI717" s="1176"/>
      <c r="WEJ717" s="1176"/>
      <c r="WEK717" s="1176"/>
      <c r="WEL717" s="1176"/>
      <c r="WEM717" s="1176"/>
      <c r="WEN717" s="1176"/>
      <c r="WEO717" s="1176"/>
      <c r="WEP717" s="1176"/>
      <c r="WEQ717" s="1176"/>
      <c r="WER717" s="1176"/>
      <c r="WES717" s="1176"/>
      <c r="WET717" s="1176"/>
      <c r="WEU717" s="1176"/>
      <c r="WEV717" s="1176"/>
      <c r="WEW717" s="1176"/>
      <c r="WEX717" s="1176"/>
      <c r="WEY717" s="1176"/>
      <c r="WEZ717" s="1176"/>
      <c r="WFA717" s="1176"/>
      <c r="WFB717" s="1176"/>
      <c r="WFC717" s="1176"/>
      <c r="WFD717" s="1176"/>
      <c r="WFE717" s="1176"/>
      <c r="WFF717" s="1176"/>
      <c r="WFG717" s="1176"/>
      <c r="WFH717" s="1176"/>
      <c r="WFI717" s="1176"/>
      <c r="WFJ717" s="1176"/>
      <c r="WFK717" s="1176"/>
      <c r="WFL717" s="1176"/>
      <c r="WFM717" s="1176"/>
      <c r="WFN717" s="1176"/>
      <c r="WFO717" s="1176"/>
      <c r="WFP717" s="1176"/>
      <c r="WFQ717" s="1176"/>
      <c r="WFR717" s="1176"/>
      <c r="WFS717" s="1176"/>
      <c r="WFT717" s="1176"/>
      <c r="WFU717" s="1176"/>
      <c r="WFV717" s="1176"/>
      <c r="WFW717" s="1176"/>
      <c r="WFX717" s="1176"/>
      <c r="WFY717" s="1176"/>
      <c r="WFZ717" s="1176"/>
      <c r="WGA717" s="1176"/>
      <c r="WGB717" s="1176"/>
      <c r="WGC717" s="1176"/>
      <c r="WGD717" s="1176"/>
      <c r="WGE717" s="1176"/>
      <c r="WGF717" s="1176"/>
      <c r="WGG717" s="1176"/>
      <c r="WGH717" s="1176"/>
      <c r="WGI717" s="1176"/>
      <c r="WGJ717" s="1176"/>
      <c r="WGK717" s="1176"/>
      <c r="WGL717" s="1176"/>
      <c r="WGM717" s="1176"/>
      <c r="WGN717" s="1176"/>
      <c r="WGO717" s="1176"/>
      <c r="WGP717" s="1176"/>
      <c r="WGQ717" s="1176"/>
      <c r="WGR717" s="1176"/>
      <c r="WGS717" s="1176"/>
      <c r="WGT717" s="1176"/>
      <c r="WGU717" s="1176"/>
      <c r="WGV717" s="1176"/>
      <c r="WGW717" s="1176"/>
      <c r="WGX717" s="1176"/>
      <c r="WGY717" s="1176"/>
      <c r="WGZ717" s="1176"/>
      <c r="WHA717" s="1176"/>
      <c r="WHB717" s="1176"/>
      <c r="WHC717" s="1176"/>
      <c r="WHD717" s="1176"/>
      <c r="WHE717" s="1176"/>
      <c r="WHF717" s="1176"/>
      <c r="WHG717" s="1176"/>
      <c r="WHH717" s="1176"/>
      <c r="WHI717" s="1176"/>
      <c r="WHJ717" s="1176"/>
      <c r="WHK717" s="1176"/>
      <c r="WHL717" s="1176"/>
      <c r="WHM717" s="1176"/>
      <c r="WHN717" s="1176"/>
      <c r="WHO717" s="1176"/>
      <c r="WHP717" s="1176"/>
      <c r="WHQ717" s="1176"/>
      <c r="WHR717" s="1176"/>
      <c r="WHS717" s="1176"/>
      <c r="WHT717" s="1176"/>
      <c r="WHU717" s="1176"/>
      <c r="WHV717" s="1176"/>
      <c r="WHW717" s="1176"/>
      <c r="WHX717" s="1176"/>
      <c r="WHY717" s="1176"/>
      <c r="WHZ717" s="1176"/>
      <c r="WIA717" s="1176"/>
      <c r="WIB717" s="1176"/>
      <c r="WIC717" s="1176"/>
      <c r="WID717" s="1176"/>
      <c r="WIE717" s="1176"/>
      <c r="WIF717" s="1176"/>
      <c r="WIG717" s="1176"/>
      <c r="WIH717" s="1176"/>
      <c r="WII717" s="1176"/>
      <c r="WIJ717" s="1176"/>
      <c r="WIK717" s="1176"/>
      <c r="WIL717" s="1176"/>
      <c r="WIM717" s="1176"/>
      <c r="WIN717" s="1176"/>
      <c r="WIO717" s="1176"/>
      <c r="WIP717" s="1176"/>
      <c r="WIQ717" s="1176"/>
      <c r="WIR717" s="1176"/>
      <c r="WIS717" s="1176"/>
      <c r="WIT717" s="1176"/>
      <c r="WIU717" s="1176"/>
      <c r="WIV717" s="1176"/>
      <c r="WIW717" s="1176"/>
      <c r="WIX717" s="1176"/>
      <c r="WIY717" s="1176"/>
      <c r="WIZ717" s="1176"/>
      <c r="WJA717" s="1176"/>
      <c r="WJB717" s="1176"/>
      <c r="WJC717" s="1176"/>
      <c r="WJD717" s="1176"/>
      <c r="WJE717" s="1176"/>
      <c r="WJF717" s="1176"/>
      <c r="WJG717" s="1176"/>
      <c r="WJH717" s="1176"/>
      <c r="WJI717" s="1176"/>
      <c r="WJJ717" s="1176"/>
      <c r="WJK717" s="1176"/>
      <c r="WJL717" s="1176"/>
      <c r="WJM717" s="1176"/>
      <c r="WJN717" s="1176"/>
      <c r="WJO717" s="1176"/>
      <c r="WJP717" s="1176"/>
      <c r="WJQ717" s="1176"/>
      <c r="WJR717" s="1176"/>
      <c r="WJS717" s="1176"/>
      <c r="WJT717" s="1176"/>
      <c r="WJU717" s="1176"/>
      <c r="WJV717" s="1176"/>
      <c r="WJW717" s="1176"/>
      <c r="WJX717" s="1176"/>
      <c r="WJY717" s="1176"/>
      <c r="WJZ717" s="1176"/>
      <c r="WKA717" s="1176"/>
      <c r="WKB717" s="1176"/>
      <c r="WKC717" s="1176"/>
      <c r="WKD717" s="1176"/>
      <c r="WKE717" s="1176"/>
      <c r="WKF717" s="1176"/>
      <c r="WKG717" s="1176"/>
      <c r="WKH717" s="1176"/>
      <c r="WKI717" s="1176"/>
      <c r="WKJ717" s="1176"/>
      <c r="WKK717" s="1176"/>
      <c r="WKL717" s="1176"/>
      <c r="WKM717" s="1176"/>
      <c r="WKN717" s="1176"/>
      <c r="WKO717" s="1176"/>
      <c r="WKP717" s="1176"/>
      <c r="WKQ717" s="1176"/>
      <c r="WKR717" s="1176"/>
      <c r="WKS717" s="1176"/>
      <c r="WKT717" s="1176"/>
      <c r="WKU717" s="1176"/>
      <c r="WKV717" s="1176"/>
      <c r="WKW717" s="1176"/>
      <c r="WKX717" s="1176"/>
      <c r="WKY717" s="1176"/>
      <c r="WKZ717" s="1176"/>
      <c r="WLA717" s="1176"/>
      <c r="WLB717" s="1176"/>
      <c r="WLC717" s="1176"/>
      <c r="WLD717" s="1176"/>
      <c r="WLE717" s="1176"/>
      <c r="WLF717" s="1176"/>
      <c r="WLG717" s="1176"/>
      <c r="WLH717" s="1176"/>
      <c r="WLI717" s="1176"/>
      <c r="WLJ717" s="1176"/>
      <c r="WLK717" s="1176"/>
      <c r="WLL717" s="1176"/>
      <c r="WLM717" s="1176"/>
      <c r="WLN717" s="1176"/>
      <c r="WLO717" s="1176"/>
      <c r="WLP717" s="1176"/>
      <c r="WLQ717" s="1176"/>
      <c r="WLR717" s="1176"/>
      <c r="WLS717" s="1176"/>
      <c r="WLT717" s="1176"/>
      <c r="WLU717" s="1176"/>
      <c r="WLV717" s="1176"/>
      <c r="WLW717" s="1176"/>
      <c r="WLX717" s="1176"/>
      <c r="WLY717" s="1176"/>
      <c r="WLZ717" s="1176"/>
      <c r="WMA717" s="1176"/>
      <c r="WMB717" s="1176"/>
      <c r="WMC717" s="1176"/>
      <c r="WMD717" s="1176"/>
      <c r="WME717" s="1176"/>
      <c r="WMF717" s="1176"/>
      <c r="WMG717" s="1176"/>
      <c r="WMH717" s="1176"/>
      <c r="WMI717" s="1176"/>
      <c r="WMJ717" s="1176"/>
      <c r="WMK717" s="1176"/>
      <c r="WML717" s="1176"/>
      <c r="WMM717" s="1176"/>
      <c r="WMN717" s="1176"/>
      <c r="WMO717" s="1176"/>
      <c r="WMP717" s="1176"/>
      <c r="WMQ717" s="1176"/>
      <c r="WMR717" s="1176"/>
      <c r="WMS717" s="1176"/>
      <c r="WMT717" s="1176"/>
      <c r="WMU717" s="1176"/>
      <c r="WMV717" s="1176"/>
      <c r="WMW717" s="1176"/>
      <c r="WMX717" s="1176"/>
      <c r="WMY717" s="1176"/>
      <c r="WMZ717" s="1176"/>
      <c r="WNA717" s="1176"/>
      <c r="WNB717" s="1176"/>
      <c r="WNC717" s="1176"/>
      <c r="WND717" s="1176"/>
      <c r="WNE717" s="1176"/>
      <c r="WNF717" s="1176"/>
      <c r="WNG717" s="1176"/>
      <c r="WNH717" s="1176"/>
      <c r="WNI717" s="1176"/>
      <c r="WNJ717" s="1176"/>
      <c r="WNK717" s="1176"/>
      <c r="WNL717" s="1176"/>
      <c r="WNM717" s="1176"/>
      <c r="WNN717" s="1176"/>
      <c r="WNO717" s="1176"/>
      <c r="WNP717" s="1176"/>
      <c r="WNQ717" s="1176"/>
      <c r="WNR717" s="1176"/>
      <c r="WNS717" s="1176"/>
      <c r="WNT717" s="1176"/>
      <c r="WNU717" s="1176"/>
      <c r="WNV717" s="1176"/>
      <c r="WNW717" s="1176"/>
      <c r="WNX717" s="1176"/>
      <c r="WNY717" s="1176"/>
      <c r="WNZ717" s="1176"/>
      <c r="WOA717" s="1176"/>
      <c r="WOB717" s="1176"/>
      <c r="WOC717" s="1176"/>
      <c r="WOD717" s="1176"/>
      <c r="WOE717" s="1176"/>
      <c r="WOF717" s="1176"/>
      <c r="WOG717" s="1176"/>
      <c r="WOH717" s="1176"/>
      <c r="WOI717" s="1176"/>
      <c r="WOJ717" s="1176"/>
      <c r="WOK717" s="1176"/>
      <c r="WOL717" s="1176"/>
      <c r="WOM717" s="1176"/>
      <c r="WON717" s="1176"/>
      <c r="WOO717" s="1176"/>
      <c r="WOP717" s="1176"/>
      <c r="WOQ717" s="1176"/>
      <c r="WOR717" s="1176"/>
      <c r="WOS717" s="1176"/>
      <c r="WOT717" s="1176"/>
      <c r="WOU717" s="1176"/>
      <c r="WOV717" s="1176"/>
      <c r="WOW717" s="1176"/>
      <c r="WOX717" s="1176"/>
      <c r="WOY717" s="1176"/>
      <c r="WOZ717" s="1176"/>
      <c r="WPA717" s="1176"/>
      <c r="WPB717" s="1176"/>
      <c r="WPC717" s="1176"/>
      <c r="WPD717" s="1176"/>
      <c r="WPE717" s="1176"/>
      <c r="WPF717" s="1176"/>
      <c r="WPG717" s="1176"/>
      <c r="WPH717" s="1176"/>
      <c r="WPI717" s="1176"/>
      <c r="WPJ717" s="1176"/>
      <c r="WPK717" s="1176"/>
      <c r="WPL717" s="1176"/>
      <c r="WPM717" s="1176"/>
      <c r="WPN717" s="1176"/>
      <c r="WPO717" s="1176"/>
      <c r="WPP717" s="1176"/>
      <c r="WPQ717" s="1176"/>
      <c r="WPR717" s="1176"/>
      <c r="WPS717" s="1176"/>
      <c r="WPT717" s="1176"/>
      <c r="WPU717" s="1176"/>
      <c r="WPV717" s="1176"/>
      <c r="WPW717" s="1176"/>
      <c r="WPX717" s="1176"/>
      <c r="WPY717" s="1176"/>
      <c r="WPZ717" s="1176"/>
      <c r="WQA717" s="1176"/>
      <c r="WQB717" s="1176"/>
      <c r="WQC717" s="1176"/>
      <c r="WQD717" s="1176"/>
      <c r="WQE717" s="1176"/>
      <c r="WQF717" s="1176"/>
      <c r="WQG717" s="1176"/>
      <c r="WQH717" s="1176"/>
      <c r="WQI717" s="1176"/>
      <c r="WQJ717" s="1176"/>
      <c r="WQK717" s="1176"/>
      <c r="WQL717" s="1176"/>
      <c r="WQM717" s="1176"/>
      <c r="WQN717" s="1176"/>
      <c r="WQO717" s="1176"/>
      <c r="WQP717" s="1176"/>
      <c r="WQQ717" s="1176"/>
      <c r="WQR717" s="1176"/>
      <c r="WQS717" s="1176"/>
      <c r="WQT717" s="1176"/>
      <c r="WQU717" s="1176"/>
      <c r="WQV717" s="1176"/>
      <c r="WQW717" s="1176"/>
      <c r="WQX717" s="1176"/>
      <c r="WQY717" s="1176"/>
      <c r="WQZ717" s="1176"/>
      <c r="WRA717" s="1176"/>
      <c r="WRB717" s="1176"/>
      <c r="WRC717" s="1176"/>
      <c r="WRD717" s="1176"/>
      <c r="WRE717" s="1176"/>
      <c r="WRF717" s="1176"/>
      <c r="WRG717" s="1176"/>
      <c r="WRH717" s="1176"/>
      <c r="WRI717" s="1176"/>
      <c r="WRJ717" s="1176"/>
      <c r="WRK717" s="1176"/>
      <c r="WRL717" s="1176"/>
      <c r="WRM717" s="1176"/>
      <c r="WRN717" s="1176"/>
      <c r="WRO717" s="1176"/>
      <c r="WRP717" s="1176"/>
      <c r="WRQ717" s="1176"/>
      <c r="WRR717" s="1176"/>
      <c r="WRS717" s="1176"/>
      <c r="WRT717" s="1176"/>
      <c r="WRU717" s="1176"/>
      <c r="WRV717" s="1176"/>
      <c r="WRW717" s="1176"/>
      <c r="WRX717" s="1176"/>
      <c r="WRY717" s="1176"/>
      <c r="WRZ717" s="1176"/>
      <c r="WSA717" s="1176"/>
      <c r="WSB717" s="1176"/>
      <c r="WSC717" s="1176"/>
      <c r="WSD717" s="1176"/>
      <c r="WSE717" s="1176"/>
      <c r="WSF717" s="1176"/>
      <c r="WSG717" s="1176"/>
      <c r="WSH717" s="1176"/>
      <c r="WSI717" s="1176"/>
      <c r="WSJ717" s="1176"/>
      <c r="WSK717" s="1176"/>
      <c r="WSL717" s="1176"/>
      <c r="WSM717" s="1176"/>
      <c r="WSN717" s="1176"/>
      <c r="WSO717" s="1176"/>
      <c r="WSP717" s="1176"/>
      <c r="WSQ717" s="1176"/>
      <c r="WSR717" s="1176"/>
      <c r="WSS717" s="1176"/>
      <c r="WST717" s="1176"/>
      <c r="WSU717" s="1176"/>
      <c r="WSV717" s="1176"/>
      <c r="WSW717" s="1176"/>
      <c r="WSX717" s="1176"/>
      <c r="WSY717" s="1176"/>
      <c r="WSZ717" s="1176"/>
      <c r="WTA717" s="1176"/>
      <c r="WTB717" s="1176"/>
      <c r="WTC717" s="1176"/>
      <c r="WTD717" s="1176"/>
      <c r="WTE717" s="1176"/>
      <c r="WTF717" s="1176"/>
      <c r="WTG717" s="1176"/>
      <c r="WTH717" s="1176"/>
      <c r="WTI717" s="1176"/>
      <c r="WTJ717" s="1176"/>
      <c r="WTK717" s="1176"/>
      <c r="WTL717" s="1176"/>
      <c r="WTM717" s="1176"/>
      <c r="WTN717" s="1176"/>
      <c r="WTO717" s="1176"/>
      <c r="WTP717" s="1176"/>
      <c r="WTQ717" s="1176"/>
      <c r="WTR717" s="1176"/>
      <c r="WTS717" s="1176"/>
      <c r="WTT717" s="1176"/>
      <c r="WTU717" s="1176"/>
      <c r="WTV717" s="1176"/>
      <c r="WTW717" s="1176"/>
      <c r="WTX717" s="1176"/>
      <c r="WTY717" s="1176"/>
      <c r="WTZ717" s="1176"/>
      <c r="WUA717" s="1176"/>
      <c r="WUB717" s="1176"/>
      <c r="WUC717" s="1176"/>
      <c r="WUD717" s="1176"/>
      <c r="WUE717" s="1176"/>
      <c r="WUF717" s="1176"/>
      <c r="WUG717" s="1176"/>
      <c r="WUH717" s="1176"/>
      <c r="WUI717" s="1176"/>
      <c r="WUJ717" s="1176"/>
      <c r="WUK717" s="1176"/>
      <c r="WUL717" s="1176"/>
      <c r="WUM717" s="1176"/>
      <c r="WUN717" s="1176"/>
      <c r="WUO717" s="1176"/>
      <c r="WUP717" s="1176"/>
      <c r="WUQ717" s="1176"/>
      <c r="WUR717" s="1176"/>
      <c r="WUS717" s="1176"/>
      <c r="WUT717" s="1176"/>
      <c r="WUU717" s="1176"/>
      <c r="WUV717" s="1176"/>
      <c r="WUW717" s="1176"/>
      <c r="WUX717" s="1176"/>
      <c r="WUY717" s="1176"/>
      <c r="WUZ717" s="1176"/>
      <c r="WVA717" s="1176"/>
      <c r="WVB717" s="1176"/>
      <c r="WVC717" s="1176"/>
      <c r="WVD717" s="1176"/>
      <c r="WVE717" s="1176"/>
      <c r="WVF717" s="1176"/>
      <c r="WVG717" s="1176"/>
      <c r="WVH717" s="1176"/>
      <c r="WVI717" s="1176"/>
      <c r="WVJ717" s="1176"/>
      <c r="WVK717" s="1176"/>
      <c r="WVL717" s="1176"/>
      <c r="WVM717" s="1176"/>
      <c r="WVN717" s="1176"/>
      <c r="WVO717" s="1176"/>
      <c r="WVP717" s="1176"/>
      <c r="WVQ717" s="1176"/>
      <c r="WVR717" s="1176"/>
      <c r="WVS717" s="1176"/>
      <c r="WVT717" s="1176"/>
      <c r="WVU717" s="1176"/>
      <c r="WVV717" s="1176"/>
      <c r="WVW717" s="1176"/>
      <c r="WVX717" s="1176"/>
      <c r="WVY717" s="1176"/>
      <c r="WVZ717" s="1176"/>
      <c r="WWA717" s="1176"/>
      <c r="WWB717" s="1176"/>
      <c r="WWC717" s="1176"/>
      <c r="WWD717" s="1176"/>
      <c r="WWE717" s="1176"/>
      <c r="WWF717" s="1176"/>
      <c r="WWG717" s="1176"/>
      <c r="WWH717" s="1176"/>
      <c r="WWI717" s="1176"/>
      <c r="WWJ717" s="1176"/>
      <c r="WWK717" s="1176"/>
      <c r="WWL717" s="1176"/>
      <c r="WWM717" s="1176"/>
      <c r="WWN717" s="1176"/>
      <c r="WWO717" s="1176"/>
      <c r="WWP717" s="1176"/>
      <c r="WWQ717" s="1176"/>
      <c r="WWR717" s="1176"/>
      <c r="WWS717" s="1176"/>
      <c r="WWT717" s="1176"/>
      <c r="WWU717" s="1176"/>
      <c r="WWV717" s="1176"/>
      <c r="WWW717" s="1176"/>
      <c r="WWX717" s="1176"/>
      <c r="WWY717" s="1176"/>
      <c r="WWZ717" s="1176"/>
      <c r="WXA717" s="1176"/>
      <c r="WXB717" s="1176"/>
      <c r="WXC717" s="1176"/>
      <c r="WXD717" s="1176"/>
      <c r="WXE717" s="1176"/>
      <c r="WXF717" s="1176"/>
      <c r="WXG717" s="1176"/>
      <c r="WXH717" s="1176"/>
      <c r="WXI717" s="1176"/>
      <c r="WXJ717" s="1176"/>
      <c r="WXK717" s="1176"/>
      <c r="WXL717" s="1176"/>
      <c r="WXM717" s="1176"/>
      <c r="WXN717" s="1176"/>
      <c r="WXO717" s="1176"/>
      <c r="WXP717" s="1176"/>
      <c r="WXQ717" s="1176"/>
      <c r="WXR717" s="1176"/>
      <c r="WXS717" s="1176"/>
      <c r="WXT717" s="1176"/>
      <c r="WXU717" s="1176"/>
      <c r="WXV717" s="1176"/>
      <c r="WXW717" s="1176"/>
      <c r="WXX717" s="1176"/>
      <c r="WXY717" s="1176"/>
      <c r="WXZ717" s="1176"/>
      <c r="WYA717" s="1176"/>
      <c r="WYB717" s="1176"/>
      <c r="WYC717" s="1176"/>
      <c r="WYD717" s="1176"/>
      <c r="WYE717" s="1176"/>
      <c r="WYF717" s="1176"/>
      <c r="WYG717" s="1176"/>
      <c r="WYH717" s="1176"/>
      <c r="WYI717" s="1176"/>
      <c r="WYJ717" s="1176"/>
      <c r="WYK717" s="1176"/>
      <c r="WYL717" s="1176"/>
      <c r="WYM717" s="1176"/>
      <c r="WYN717" s="1176"/>
      <c r="WYO717" s="1176"/>
      <c r="WYP717" s="1176"/>
      <c r="WYQ717" s="1176"/>
      <c r="WYR717" s="1176"/>
      <c r="WYS717" s="1176"/>
      <c r="WYT717" s="1176"/>
      <c r="WYU717" s="1176"/>
      <c r="WYV717" s="1176"/>
      <c r="WYW717" s="1176"/>
      <c r="WYX717" s="1176"/>
      <c r="WYY717" s="1176"/>
      <c r="WYZ717" s="1176"/>
      <c r="WZA717" s="1176"/>
      <c r="WZB717" s="1176"/>
      <c r="WZC717" s="1176"/>
      <c r="WZD717" s="1176"/>
      <c r="WZE717" s="1176"/>
      <c r="WZF717" s="1176"/>
      <c r="WZG717" s="1176"/>
      <c r="WZH717" s="1176"/>
      <c r="WZI717" s="1176"/>
      <c r="WZJ717" s="1176"/>
      <c r="WZK717" s="1176"/>
      <c r="WZL717" s="1176"/>
      <c r="WZM717" s="1176"/>
      <c r="WZN717" s="1176"/>
      <c r="WZO717" s="1176"/>
      <c r="WZP717" s="1176"/>
      <c r="WZQ717" s="1176"/>
      <c r="WZR717" s="1176"/>
      <c r="WZS717" s="1176"/>
      <c r="WZT717" s="1176"/>
      <c r="WZU717" s="1176"/>
      <c r="WZV717" s="1176"/>
      <c r="WZW717" s="1176"/>
      <c r="WZX717" s="1176"/>
      <c r="WZY717" s="1176"/>
      <c r="WZZ717" s="1176"/>
      <c r="XAA717" s="1176"/>
      <c r="XAB717" s="1176"/>
      <c r="XAC717" s="1176"/>
      <c r="XAD717" s="1176"/>
      <c r="XAE717" s="1176"/>
      <c r="XAF717" s="1176"/>
      <c r="XAG717" s="1176"/>
      <c r="XAH717" s="1176"/>
      <c r="XAI717" s="1176"/>
      <c r="XAJ717" s="1176"/>
      <c r="XAK717" s="1176"/>
      <c r="XAL717" s="1176"/>
      <c r="XAM717" s="1176"/>
      <c r="XAN717" s="1176"/>
      <c r="XAO717" s="1176"/>
      <c r="XAP717" s="1176"/>
      <c r="XAQ717" s="1176"/>
      <c r="XAR717" s="1176"/>
      <c r="XAS717" s="1176"/>
      <c r="XAT717" s="1176"/>
      <c r="XAU717" s="1176"/>
      <c r="XAV717" s="1176"/>
      <c r="XAW717" s="1176"/>
      <c r="XAX717" s="1176"/>
      <c r="XAY717" s="1176"/>
      <c r="XAZ717" s="1176"/>
      <c r="XBA717" s="1176"/>
      <c r="XBB717" s="1176"/>
      <c r="XBC717" s="1176"/>
      <c r="XBD717" s="1176"/>
      <c r="XBE717" s="1176"/>
      <c r="XBF717" s="1176"/>
      <c r="XBG717" s="1176"/>
      <c r="XBH717" s="1176"/>
      <c r="XBI717" s="1176"/>
      <c r="XBJ717" s="1176"/>
      <c r="XBK717" s="1176"/>
      <c r="XBL717" s="1176"/>
    </row>
    <row r="718" spans="1:16288" s="1171" customFormat="1" ht="105.6" customHeight="1">
      <c r="A718" s="1280">
        <v>229</v>
      </c>
      <c r="B718" s="1163" t="s">
        <v>2470</v>
      </c>
      <c r="C718" s="1129">
        <f t="shared" si="336"/>
        <v>1438795</v>
      </c>
      <c r="D718" s="1129">
        <v>0</v>
      </c>
      <c r="E718" s="1129">
        <v>0</v>
      </c>
      <c r="F718" s="1129">
        <v>0</v>
      </c>
      <c r="G718" s="1129">
        <v>0</v>
      </c>
      <c r="H718" s="1129">
        <v>0</v>
      </c>
      <c r="I718" s="1129">
        <v>0</v>
      </c>
      <c r="J718" s="1129">
        <v>0</v>
      </c>
      <c r="K718" s="1136">
        <v>0</v>
      </c>
      <c r="L718" s="1129">
        <v>0</v>
      </c>
      <c r="M718" s="1136">
        <v>0</v>
      </c>
      <c r="N718" s="1129">
        <v>0</v>
      </c>
      <c r="O718" s="1129">
        <v>425.1</v>
      </c>
      <c r="P718" s="1129">
        <v>1334288</v>
      </c>
      <c r="Q718" s="1129">
        <v>0</v>
      </c>
      <c r="R718" s="1129">
        <v>0</v>
      </c>
      <c r="S718" s="1129">
        <v>0</v>
      </c>
      <c r="T718" s="1129">
        <v>0</v>
      </c>
      <c r="U718" s="1129">
        <v>0</v>
      </c>
      <c r="V718" s="1129">
        <v>0</v>
      </c>
      <c r="W718" s="1167">
        <v>0</v>
      </c>
      <c r="X718" s="1129">
        <v>104507</v>
      </c>
      <c r="Y718" s="1129">
        <v>0</v>
      </c>
      <c r="Z718" s="1176"/>
      <c r="AA718" s="1176"/>
      <c r="AB718" s="1176"/>
      <c r="AC718" s="1176"/>
      <c r="AD718" s="1176"/>
      <c r="AE718" s="1176"/>
      <c r="AF718" s="1176"/>
      <c r="AG718" s="1176"/>
      <c r="AH718" s="1176"/>
      <c r="AI718" s="1176"/>
      <c r="AJ718" s="1176"/>
      <c r="AK718" s="1176"/>
      <c r="AL718" s="1176"/>
      <c r="AM718" s="1176"/>
      <c r="AN718" s="1176"/>
      <c r="AO718" s="1176"/>
      <c r="AP718" s="1176"/>
      <c r="AQ718" s="1176"/>
      <c r="AR718" s="1176"/>
      <c r="AS718" s="1176"/>
      <c r="AT718" s="1176"/>
      <c r="AU718" s="1176"/>
      <c r="AV718" s="1176"/>
      <c r="AW718" s="1176"/>
      <c r="AX718" s="1176"/>
      <c r="AY718" s="1176"/>
      <c r="AZ718" s="1176"/>
      <c r="BA718" s="1176"/>
      <c r="BB718" s="1176"/>
      <c r="BC718" s="1176"/>
      <c r="BD718" s="1176"/>
      <c r="BE718" s="1176"/>
      <c r="BF718" s="1176"/>
      <c r="BG718" s="1176"/>
      <c r="BH718" s="1176"/>
      <c r="BI718" s="1176"/>
      <c r="BJ718" s="1176"/>
      <c r="BK718" s="1176"/>
      <c r="BL718" s="1176"/>
      <c r="BM718" s="1176"/>
      <c r="BN718" s="1176"/>
      <c r="BO718" s="1176"/>
      <c r="BP718" s="1176"/>
      <c r="BQ718" s="1176"/>
      <c r="BR718" s="1176"/>
      <c r="BS718" s="1176"/>
      <c r="BT718" s="1176"/>
      <c r="BU718" s="1176"/>
      <c r="BV718" s="1176"/>
      <c r="BW718" s="1176"/>
      <c r="BX718" s="1176"/>
      <c r="BY718" s="1176"/>
      <c r="BZ718" s="1176"/>
      <c r="CA718" s="1176"/>
      <c r="CB718" s="1176"/>
      <c r="CC718" s="1176"/>
      <c r="CD718" s="1176"/>
      <c r="CE718" s="1176"/>
      <c r="CF718" s="1176"/>
      <c r="CG718" s="1176"/>
      <c r="CH718" s="1176"/>
      <c r="CI718" s="1176"/>
      <c r="CJ718" s="1176"/>
      <c r="CK718" s="1176"/>
      <c r="CL718" s="1176"/>
      <c r="CM718" s="1176"/>
      <c r="CN718" s="1176"/>
      <c r="CO718" s="1176"/>
      <c r="CP718" s="1176"/>
      <c r="CQ718" s="1176"/>
      <c r="CR718" s="1176"/>
      <c r="CS718" s="1176"/>
      <c r="CT718" s="1176"/>
      <c r="CU718" s="1176"/>
      <c r="CV718" s="1176"/>
      <c r="CW718" s="1176"/>
      <c r="CX718" s="1176"/>
      <c r="CY718" s="1176"/>
      <c r="CZ718" s="1176"/>
      <c r="DA718" s="1176"/>
      <c r="DB718" s="1176"/>
      <c r="DC718" s="1176"/>
      <c r="DD718" s="1176"/>
      <c r="DE718" s="1176"/>
      <c r="DF718" s="1176"/>
      <c r="DG718" s="1176"/>
      <c r="DH718" s="1176"/>
      <c r="DI718" s="1176"/>
      <c r="DJ718" s="1176"/>
      <c r="DK718" s="1176"/>
      <c r="DL718" s="1176"/>
      <c r="DM718" s="1176"/>
      <c r="DN718" s="1176"/>
      <c r="DO718" s="1176"/>
      <c r="DP718" s="1176"/>
      <c r="DQ718" s="1176"/>
      <c r="DR718" s="1176"/>
      <c r="DS718" s="1176"/>
      <c r="DT718" s="1176"/>
      <c r="DU718" s="1176"/>
      <c r="DV718" s="1176"/>
      <c r="DW718" s="1176"/>
      <c r="DX718" s="1176"/>
      <c r="DY718" s="1176"/>
      <c r="DZ718" s="1176"/>
      <c r="EA718" s="1176"/>
      <c r="EB718" s="1176"/>
      <c r="EC718" s="1176"/>
      <c r="ED718" s="1176"/>
      <c r="EE718" s="1176"/>
      <c r="EF718" s="1176"/>
      <c r="EG718" s="1176"/>
      <c r="EH718" s="1176"/>
      <c r="EI718" s="1176"/>
      <c r="EJ718" s="1176"/>
      <c r="EK718" s="1176"/>
      <c r="EL718" s="1176"/>
      <c r="EM718" s="1176"/>
      <c r="EN718" s="1176"/>
      <c r="EO718" s="1176"/>
      <c r="EP718" s="1176"/>
      <c r="EQ718" s="1176"/>
      <c r="ER718" s="1176"/>
      <c r="ES718" s="1176"/>
      <c r="ET718" s="1176"/>
      <c r="EU718" s="1176"/>
      <c r="EV718" s="1176"/>
      <c r="EW718" s="1176"/>
      <c r="EX718" s="1176"/>
      <c r="EY718" s="1176"/>
      <c r="EZ718" s="1176"/>
      <c r="FA718" s="1176"/>
      <c r="FB718" s="1176"/>
      <c r="FC718" s="1176"/>
      <c r="FD718" s="1176"/>
      <c r="FE718" s="1176"/>
      <c r="FF718" s="1176"/>
      <c r="FG718" s="1176"/>
      <c r="FH718" s="1176"/>
      <c r="FI718" s="1176"/>
      <c r="FJ718" s="1176"/>
      <c r="FK718" s="1176"/>
      <c r="FL718" s="1176"/>
      <c r="FM718" s="1176"/>
      <c r="FN718" s="1176"/>
      <c r="FO718" s="1176"/>
      <c r="FP718" s="1176"/>
      <c r="FQ718" s="1176"/>
      <c r="FR718" s="1176"/>
      <c r="FS718" s="1176"/>
      <c r="FT718" s="1176"/>
      <c r="FU718" s="1176"/>
      <c r="FV718" s="1176"/>
      <c r="FW718" s="1176"/>
      <c r="FX718" s="1176"/>
      <c r="FY718" s="1176"/>
      <c r="FZ718" s="1176"/>
      <c r="GA718" s="1176"/>
      <c r="GB718" s="1176"/>
      <c r="GC718" s="1176"/>
      <c r="GD718" s="1176"/>
      <c r="GE718" s="1176"/>
      <c r="GF718" s="1176"/>
      <c r="GG718" s="1176"/>
      <c r="GH718" s="1176"/>
      <c r="GI718" s="1176"/>
      <c r="GJ718" s="1176"/>
      <c r="GK718" s="1176"/>
      <c r="GL718" s="1176"/>
      <c r="GM718" s="1176"/>
      <c r="GN718" s="1176"/>
      <c r="GO718" s="1176"/>
      <c r="GP718" s="1176"/>
      <c r="GQ718" s="1176"/>
      <c r="GR718" s="1176"/>
      <c r="GS718" s="1176"/>
      <c r="GT718" s="1176"/>
      <c r="GU718" s="1176"/>
      <c r="GV718" s="1176"/>
      <c r="GW718" s="1176"/>
      <c r="GX718" s="1176"/>
      <c r="GY718" s="1176"/>
      <c r="GZ718" s="1176"/>
      <c r="HA718" s="1176"/>
      <c r="HB718" s="1176"/>
      <c r="HC718" s="1176"/>
      <c r="HD718" s="1176"/>
      <c r="HE718" s="1176"/>
      <c r="HF718" s="1176"/>
      <c r="HG718" s="1176"/>
      <c r="HH718" s="1176"/>
      <c r="HI718" s="1176"/>
      <c r="HJ718" s="1176"/>
      <c r="HK718" s="1176"/>
      <c r="HL718" s="1176"/>
      <c r="HM718" s="1176"/>
      <c r="HN718" s="1176"/>
      <c r="HO718" s="1176"/>
      <c r="HP718" s="1176"/>
      <c r="HQ718" s="1176"/>
      <c r="HR718" s="1176"/>
      <c r="HS718" s="1176"/>
      <c r="HT718" s="1176"/>
      <c r="HU718" s="1176"/>
      <c r="HV718" s="1176"/>
      <c r="HW718" s="1176"/>
      <c r="HX718" s="1176"/>
      <c r="HY718" s="1176"/>
      <c r="HZ718" s="1176"/>
      <c r="IA718" s="1176"/>
      <c r="IB718" s="1176"/>
      <c r="IC718" s="1176"/>
      <c r="ID718" s="1176"/>
      <c r="IE718" s="1176"/>
      <c r="IF718" s="1176"/>
      <c r="IG718" s="1176"/>
      <c r="IH718" s="1176"/>
      <c r="II718" s="1176"/>
      <c r="IJ718" s="1176"/>
      <c r="IK718" s="1176"/>
      <c r="IL718" s="1176"/>
      <c r="IM718" s="1176"/>
      <c r="IN718" s="1176"/>
      <c r="IO718" s="1176"/>
      <c r="IP718" s="1176"/>
      <c r="IQ718" s="1176"/>
      <c r="IR718" s="1176"/>
      <c r="IS718" s="1176"/>
      <c r="IT718" s="1176"/>
      <c r="IU718" s="1176"/>
      <c r="IV718" s="1176"/>
      <c r="IW718" s="1176"/>
      <c r="IX718" s="1176"/>
      <c r="IY718" s="1176"/>
      <c r="IZ718" s="1176"/>
      <c r="JA718" s="1176"/>
      <c r="JB718" s="1176"/>
      <c r="JC718" s="1176"/>
      <c r="JD718" s="1176"/>
      <c r="JE718" s="1176"/>
      <c r="JF718" s="1176"/>
      <c r="JG718" s="1176"/>
      <c r="JH718" s="1176"/>
      <c r="JI718" s="1176"/>
      <c r="JJ718" s="1176"/>
      <c r="JK718" s="1176"/>
      <c r="JL718" s="1176"/>
      <c r="JM718" s="1176"/>
      <c r="JN718" s="1176"/>
      <c r="JO718" s="1176"/>
      <c r="JP718" s="1176"/>
      <c r="JQ718" s="1176"/>
      <c r="JR718" s="1176"/>
      <c r="JS718" s="1176"/>
      <c r="JT718" s="1176"/>
      <c r="JU718" s="1176"/>
      <c r="JV718" s="1176"/>
      <c r="JW718" s="1176"/>
      <c r="JX718" s="1176"/>
      <c r="JY718" s="1176"/>
      <c r="JZ718" s="1176"/>
      <c r="KA718" s="1176"/>
      <c r="KB718" s="1176"/>
      <c r="KC718" s="1176"/>
      <c r="KD718" s="1176"/>
      <c r="KE718" s="1176"/>
      <c r="KF718" s="1176"/>
      <c r="KG718" s="1176"/>
      <c r="KH718" s="1176"/>
      <c r="KI718" s="1176"/>
      <c r="KJ718" s="1176"/>
      <c r="KK718" s="1176"/>
      <c r="KL718" s="1176"/>
      <c r="KM718" s="1176"/>
      <c r="KN718" s="1176"/>
      <c r="KO718" s="1176"/>
      <c r="KP718" s="1176"/>
      <c r="KQ718" s="1176"/>
      <c r="KR718" s="1176"/>
      <c r="KS718" s="1176"/>
      <c r="KT718" s="1176"/>
      <c r="KU718" s="1176"/>
      <c r="KV718" s="1176"/>
      <c r="KW718" s="1176"/>
      <c r="KX718" s="1176"/>
      <c r="KY718" s="1176"/>
      <c r="KZ718" s="1176"/>
      <c r="LA718" s="1176"/>
      <c r="LB718" s="1176"/>
      <c r="LC718" s="1176"/>
      <c r="LD718" s="1176"/>
      <c r="LE718" s="1176"/>
      <c r="LF718" s="1176"/>
      <c r="LG718" s="1176"/>
      <c r="LH718" s="1176"/>
      <c r="LI718" s="1176"/>
      <c r="LJ718" s="1176"/>
      <c r="LK718" s="1176"/>
      <c r="LL718" s="1176"/>
      <c r="LM718" s="1176"/>
      <c r="LN718" s="1176"/>
      <c r="LO718" s="1176"/>
      <c r="LP718" s="1176"/>
      <c r="LQ718" s="1176"/>
      <c r="LR718" s="1176"/>
      <c r="LS718" s="1176"/>
      <c r="LT718" s="1176"/>
      <c r="LU718" s="1176"/>
      <c r="LV718" s="1176"/>
      <c r="LW718" s="1176"/>
      <c r="LX718" s="1176"/>
      <c r="LY718" s="1176"/>
      <c r="LZ718" s="1176"/>
      <c r="MA718" s="1176"/>
      <c r="MB718" s="1176"/>
      <c r="MC718" s="1176"/>
      <c r="MD718" s="1176"/>
      <c r="ME718" s="1176"/>
      <c r="MF718" s="1176"/>
      <c r="MG718" s="1176"/>
      <c r="MH718" s="1176"/>
      <c r="MI718" s="1176"/>
      <c r="MJ718" s="1176"/>
      <c r="MK718" s="1176"/>
      <c r="ML718" s="1176"/>
      <c r="MM718" s="1176"/>
      <c r="MN718" s="1176"/>
      <c r="MO718" s="1176"/>
      <c r="MP718" s="1176"/>
      <c r="MQ718" s="1176"/>
      <c r="MR718" s="1176"/>
      <c r="MS718" s="1176"/>
      <c r="MT718" s="1176"/>
      <c r="MU718" s="1176"/>
      <c r="MV718" s="1176"/>
      <c r="MW718" s="1176"/>
      <c r="MX718" s="1176"/>
      <c r="MY718" s="1176"/>
      <c r="MZ718" s="1176"/>
      <c r="NA718" s="1176"/>
      <c r="NB718" s="1176"/>
      <c r="NC718" s="1176"/>
      <c r="ND718" s="1176"/>
      <c r="NE718" s="1176"/>
      <c r="NF718" s="1176"/>
      <c r="NG718" s="1176"/>
      <c r="NH718" s="1176"/>
      <c r="NI718" s="1176"/>
      <c r="NJ718" s="1176"/>
      <c r="NK718" s="1176"/>
      <c r="NL718" s="1176"/>
      <c r="NM718" s="1176"/>
      <c r="NN718" s="1176"/>
      <c r="NO718" s="1176"/>
      <c r="NP718" s="1176"/>
      <c r="NQ718" s="1176"/>
      <c r="NR718" s="1176"/>
      <c r="NS718" s="1176"/>
      <c r="NT718" s="1176"/>
      <c r="NU718" s="1176"/>
      <c r="NV718" s="1176"/>
      <c r="NW718" s="1176"/>
      <c r="NX718" s="1176"/>
      <c r="NY718" s="1176"/>
      <c r="NZ718" s="1176"/>
      <c r="OA718" s="1176"/>
      <c r="OB718" s="1176"/>
      <c r="OC718" s="1176"/>
      <c r="OD718" s="1176"/>
      <c r="OE718" s="1176"/>
      <c r="OF718" s="1176"/>
      <c r="OG718" s="1176"/>
      <c r="OH718" s="1176"/>
      <c r="OI718" s="1176"/>
      <c r="OJ718" s="1176"/>
      <c r="OK718" s="1176"/>
      <c r="OL718" s="1176"/>
      <c r="OM718" s="1176"/>
      <c r="ON718" s="1176"/>
      <c r="OO718" s="1176"/>
      <c r="OP718" s="1176"/>
      <c r="OQ718" s="1176"/>
      <c r="OR718" s="1176"/>
      <c r="OS718" s="1176"/>
      <c r="OT718" s="1176"/>
      <c r="OU718" s="1176"/>
      <c r="OV718" s="1176"/>
      <c r="OW718" s="1176"/>
      <c r="OX718" s="1176"/>
      <c r="OY718" s="1176"/>
      <c r="OZ718" s="1176"/>
      <c r="PA718" s="1176"/>
      <c r="PB718" s="1176"/>
      <c r="PC718" s="1176"/>
      <c r="PD718" s="1176"/>
      <c r="PE718" s="1176"/>
      <c r="PF718" s="1176"/>
      <c r="PG718" s="1176"/>
      <c r="PH718" s="1176"/>
      <c r="PI718" s="1176"/>
      <c r="PJ718" s="1176"/>
      <c r="PK718" s="1176"/>
      <c r="PL718" s="1176"/>
      <c r="PM718" s="1176"/>
      <c r="PN718" s="1176"/>
      <c r="PO718" s="1176"/>
      <c r="PP718" s="1176"/>
      <c r="PQ718" s="1176"/>
      <c r="PR718" s="1176"/>
      <c r="PS718" s="1176"/>
      <c r="PT718" s="1176"/>
      <c r="PU718" s="1176"/>
      <c r="PV718" s="1176"/>
      <c r="PW718" s="1176"/>
      <c r="PX718" s="1176"/>
      <c r="PY718" s="1176"/>
      <c r="PZ718" s="1176"/>
      <c r="QA718" s="1176"/>
      <c r="QB718" s="1176"/>
      <c r="QC718" s="1176"/>
      <c r="QD718" s="1176"/>
      <c r="QE718" s="1176"/>
      <c r="QF718" s="1176"/>
      <c r="QG718" s="1176"/>
      <c r="QH718" s="1176"/>
      <c r="QI718" s="1176"/>
      <c r="QJ718" s="1176"/>
      <c r="QK718" s="1176"/>
      <c r="QL718" s="1176"/>
      <c r="QM718" s="1176"/>
      <c r="QN718" s="1176"/>
      <c r="QO718" s="1176"/>
      <c r="QP718" s="1176"/>
      <c r="QQ718" s="1176"/>
      <c r="QR718" s="1176"/>
      <c r="QS718" s="1176"/>
      <c r="QT718" s="1176"/>
      <c r="QU718" s="1176"/>
      <c r="QV718" s="1176"/>
      <c r="QW718" s="1176"/>
      <c r="QX718" s="1176"/>
      <c r="QY718" s="1176"/>
      <c r="QZ718" s="1176"/>
      <c r="RA718" s="1176"/>
      <c r="RB718" s="1176"/>
      <c r="RC718" s="1176"/>
      <c r="RD718" s="1176"/>
      <c r="RE718" s="1176"/>
      <c r="RF718" s="1176"/>
      <c r="RG718" s="1176"/>
      <c r="RH718" s="1176"/>
      <c r="RI718" s="1176"/>
      <c r="RJ718" s="1176"/>
      <c r="RK718" s="1176"/>
      <c r="RL718" s="1176"/>
      <c r="RM718" s="1176"/>
      <c r="RN718" s="1176"/>
      <c r="RO718" s="1176"/>
      <c r="RP718" s="1176"/>
      <c r="RQ718" s="1176"/>
      <c r="RR718" s="1176"/>
      <c r="RS718" s="1176"/>
      <c r="RT718" s="1176"/>
      <c r="RU718" s="1176"/>
      <c r="RV718" s="1176"/>
      <c r="RW718" s="1176"/>
      <c r="RX718" s="1176"/>
      <c r="RY718" s="1176"/>
      <c r="RZ718" s="1176"/>
      <c r="SA718" s="1176"/>
      <c r="SB718" s="1176"/>
      <c r="SC718" s="1176"/>
      <c r="SD718" s="1176"/>
      <c r="SE718" s="1176"/>
      <c r="SF718" s="1176"/>
      <c r="SG718" s="1176"/>
      <c r="SH718" s="1176"/>
      <c r="SI718" s="1176"/>
      <c r="SJ718" s="1176"/>
      <c r="SK718" s="1176"/>
      <c r="SL718" s="1176"/>
      <c r="SM718" s="1176"/>
      <c r="SN718" s="1176"/>
      <c r="SO718" s="1176"/>
      <c r="SP718" s="1176"/>
      <c r="SQ718" s="1176"/>
      <c r="SR718" s="1176"/>
      <c r="SS718" s="1176"/>
      <c r="ST718" s="1176"/>
      <c r="SU718" s="1176"/>
      <c r="SV718" s="1176"/>
      <c r="SW718" s="1176"/>
      <c r="SX718" s="1176"/>
      <c r="SY718" s="1176"/>
      <c r="SZ718" s="1176"/>
      <c r="TA718" s="1176"/>
      <c r="TB718" s="1176"/>
      <c r="TC718" s="1176"/>
      <c r="TD718" s="1176"/>
      <c r="TE718" s="1176"/>
      <c r="TF718" s="1176"/>
      <c r="TG718" s="1176"/>
      <c r="TH718" s="1176"/>
      <c r="TI718" s="1176"/>
      <c r="TJ718" s="1176"/>
      <c r="TK718" s="1176"/>
      <c r="TL718" s="1176"/>
      <c r="TM718" s="1176"/>
      <c r="TN718" s="1176"/>
      <c r="TO718" s="1176"/>
      <c r="TP718" s="1176"/>
      <c r="TQ718" s="1176"/>
      <c r="TR718" s="1176"/>
      <c r="TS718" s="1176"/>
      <c r="TT718" s="1176"/>
      <c r="TU718" s="1176"/>
      <c r="TV718" s="1176"/>
      <c r="TW718" s="1176"/>
      <c r="TX718" s="1176"/>
      <c r="TY718" s="1176"/>
      <c r="TZ718" s="1176"/>
      <c r="UA718" s="1176"/>
      <c r="UB718" s="1176"/>
      <c r="UC718" s="1176"/>
      <c r="UD718" s="1176"/>
      <c r="UE718" s="1176"/>
      <c r="UF718" s="1176"/>
      <c r="UG718" s="1176"/>
      <c r="UH718" s="1176"/>
      <c r="UI718" s="1176"/>
      <c r="UJ718" s="1176"/>
      <c r="UK718" s="1176"/>
      <c r="UL718" s="1176"/>
      <c r="UM718" s="1176"/>
      <c r="UN718" s="1176"/>
      <c r="UO718" s="1176"/>
      <c r="UP718" s="1176"/>
      <c r="UQ718" s="1176"/>
      <c r="UR718" s="1176"/>
      <c r="US718" s="1176"/>
      <c r="UT718" s="1176"/>
      <c r="UU718" s="1176"/>
      <c r="UV718" s="1176"/>
      <c r="UW718" s="1176"/>
      <c r="UX718" s="1176"/>
      <c r="UY718" s="1176"/>
      <c r="UZ718" s="1176"/>
      <c r="VA718" s="1176"/>
      <c r="VB718" s="1176"/>
      <c r="VC718" s="1176"/>
      <c r="VD718" s="1176"/>
      <c r="VE718" s="1176"/>
      <c r="VF718" s="1176"/>
      <c r="VG718" s="1176"/>
      <c r="VH718" s="1176"/>
      <c r="VI718" s="1176"/>
      <c r="VJ718" s="1176"/>
      <c r="VK718" s="1176"/>
      <c r="VL718" s="1176"/>
      <c r="VM718" s="1176"/>
      <c r="VN718" s="1176"/>
      <c r="VO718" s="1176"/>
      <c r="VP718" s="1176"/>
      <c r="VQ718" s="1176"/>
      <c r="VR718" s="1176"/>
      <c r="VS718" s="1176"/>
      <c r="VT718" s="1176"/>
      <c r="VU718" s="1176"/>
      <c r="VV718" s="1176"/>
      <c r="VW718" s="1176"/>
      <c r="VX718" s="1176"/>
      <c r="VY718" s="1176"/>
      <c r="VZ718" s="1176"/>
      <c r="WA718" s="1176"/>
      <c r="WB718" s="1176"/>
      <c r="WC718" s="1176"/>
      <c r="WD718" s="1176"/>
      <c r="WE718" s="1176"/>
      <c r="WF718" s="1176"/>
      <c r="WG718" s="1176"/>
      <c r="WH718" s="1176"/>
      <c r="WI718" s="1176"/>
      <c r="WJ718" s="1176"/>
      <c r="WK718" s="1176"/>
      <c r="WL718" s="1176"/>
      <c r="WM718" s="1176"/>
      <c r="WN718" s="1176"/>
      <c r="WO718" s="1176"/>
      <c r="WP718" s="1176"/>
      <c r="WQ718" s="1176"/>
      <c r="WR718" s="1176"/>
      <c r="WS718" s="1176"/>
      <c r="WT718" s="1176"/>
      <c r="WU718" s="1176"/>
      <c r="WV718" s="1176"/>
      <c r="WW718" s="1176"/>
      <c r="WX718" s="1176"/>
      <c r="WY718" s="1176"/>
      <c r="WZ718" s="1176"/>
      <c r="XA718" s="1176"/>
      <c r="XB718" s="1176"/>
      <c r="XC718" s="1176"/>
      <c r="XD718" s="1176"/>
      <c r="XE718" s="1176"/>
      <c r="XF718" s="1176"/>
      <c r="XG718" s="1176"/>
      <c r="XH718" s="1176"/>
      <c r="XI718" s="1176"/>
      <c r="XJ718" s="1176"/>
      <c r="XK718" s="1176"/>
      <c r="XL718" s="1176"/>
      <c r="XM718" s="1176"/>
      <c r="XN718" s="1176"/>
      <c r="XO718" s="1176"/>
      <c r="XP718" s="1176"/>
      <c r="XQ718" s="1176"/>
      <c r="XR718" s="1176"/>
      <c r="XS718" s="1176"/>
      <c r="XT718" s="1176"/>
      <c r="XU718" s="1176"/>
      <c r="XV718" s="1176"/>
      <c r="XW718" s="1176"/>
      <c r="XX718" s="1176"/>
      <c r="XY718" s="1176"/>
      <c r="XZ718" s="1176"/>
      <c r="YA718" s="1176"/>
      <c r="YB718" s="1176"/>
      <c r="YC718" s="1176"/>
      <c r="YD718" s="1176"/>
      <c r="YE718" s="1176"/>
      <c r="YF718" s="1176"/>
      <c r="YG718" s="1176"/>
      <c r="YH718" s="1176"/>
      <c r="YI718" s="1176"/>
      <c r="YJ718" s="1176"/>
      <c r="YK718" s="1176"/>
      <c r="YL718" s="1176"/>
      <c r="YM718" s="1176"/>
      <c r="YN718" s="1176"/>
      <c r="YO718" s="1176"/>
      <c r="YP718" s="1176"/>
      <c r="YQ718" s="1176"/>
      <c r="YR718" s="1176"/>
      <c r="YS718" s="1176"/>
      <c r="YT718" s="1176"/>
      <c r="YU718" s="1176"/>
      <c r="YV718" s="1176"/>
      <c r="YW718" s="1176"/>
      <c r="YX718" s="1176"/>
      <c r="YY718" s="1176"/>
      <c r="YZ718" s="1176"/>
      <c r="ZA718" s="1176"/>
      <c r="ZB718" s="1176"/>
      <c r="ZC718" s="1176"/>
      <c r="ZD718" s="1176"/>
      <c r="ZE718" s="1176"/>
      <c r="ZF718" s="1176"/>
      <c r="ZG718" s="1176"/>
      <c r="ZH718" s="1176"/>
      <c r="ZI718" s="1176"/>
      <c r="ZJ718" s="1176"/>
      <c r="ZK718" s="1176"/>
      <c r="ZL718" s="1176"/>
      <c r="ZM718" s="1176"/>
      <c r="ZN718" s="1176"/>
      <c r="ZO718" s="1176"/>
      <c r="ZP718" s="1176"/>
      <c r="ZQ718" s="1176"/>
      <c r="ZR718" s="1176"/>
      <c r="ZS718" s="1176"/>
      <c r="ZT718" s="1176"/>
      <c r="ZU718" s="1176"/>
      <c r="ZV718" s="1176"/>
      <c r="ZW718" s="1176"/>
      <c r="ZX718" s="1176"/>
      <c r="ZY718" s="1176"/>
      <c r="ZZ718" s="1176"/>
      <c r="AAA718" s="1176"/>
      <c r="AAB718" s="1176"/>
      <c r="AAC718" s="1176"/>
      <c r="AAD718" s="1176"/>
      <c r="AAE718" s="1176"/>
      <c r="AAF718" s="1176"/>
      <c r="AAG718" s="1176"/>
      <c r="AAH718" s="1176"/>
      <c r="AAI718" s="1176"/>
      <c r="AAJ718" s="1176"/>
      <c r="AAK718" s="1176"/>
      <c r="AAL718" s="1176"/>
      <c r="AAM718" s="1176"/>
      <c r="AAN718" s="1176"/>
      <c r="AAO718" s="1176"/>
      <c r="AAP718" s="1176"/>
      <c r="AAQ718" s="1176"/>
      <c r="AAR718" s="1176"/>
      <c r="AAS718" s="1176"/>
      <c r="AAT718" s="1176"/>
      <c r="AAU718" s="1176"/>
      <c r="AAV718" s="1176"/>
      <c r="AAW718" s="1176"/>
      <c r="AAX718" s="1176"/>
      <c r="AAY718" s="1176"/>
      <c r="AAZ718" s="1176"/>
      <c r="ABA718" s="1176"/>
      <c r="ABB718" s="1176"/>
      <c r="ABC718" s="1176"/>
      <c r="ABD718" s="1176"/>
      <c r="ABE718" s="1176"/>
      <c r="ABF718" s="1176"/>
      <c r="ABG718" s="1176"/>
      <c r="ABH718" s="1176"/>
      <c r="ABI718" s="1176"/>
      <c r="ABJ718" s="1176"/>
      <c r="ABK718" s="1176"/>
      <c r="ABL718" s="1176"/>
      <c r="ABM718" s="1176"/>
      <c r="ABN718" s="1176"/>
      <c r="ABO718" s="1176"/>
      <c r="ABP718" s="1176"/>
      <c r="ABQ718" s="1176"/>
      <c r="ABR718" s="1176"/>
      <c r="ABS718" s="1176"/>
      <c r="ABT718" s="1176"/>
      <c r="ABU718" s="1176"/>
      <c r="ABV718" s="1176"/>
      <c r="ABW718" s="1176"/>
      <c r="ABX718" s="1176"/>
      <c r="ABY718" s="1176"/>
      <c r="ABZ718" s="1176"/>
      <c r="ACA718" s="1176"/>
      <c r="ACB718" s="1176"/>
      <c r="ACC718" s="1176"/>
      <c r="ACD718" s="1176"/>
      <c r="ACE718" s="1176"/>
      <c r="ACF718" s="1176"/>
      <c r="ACG718" s="1176"/>
      <c r="ACH718" s="1176"/>
      <c r="ACI718" s="1176"/>
      <c r="ACJ718" s="1176"/>
      <c r="ACK718" s="1176"/>
      <c r="ACL718" s="1176"/>
      <c r="ACM718" s="1176"/>
      <c r="ACN718" s="1176"/>
      <c r="ACO718" s="1176"/>
      <c r="ACP718" s="1176"/>
      <c r="ACQ718" s="1176"/>
      <c r="ACR718" s="1176"/>
      <c r="ACS718" s="1176"/>
      <c r="ACT718" s="1176"/>
      <c r="ACU718" s="1176"/>
      <c r="ACV718" s="1176"/>
      <c r="ACW718" s="1176"/>
      <c r="ACX718" s="1176"/>
      <c r="ACY718" s="1176"/>
      <c r="ACZ718" s="1176"/>
      <c r="ADA718" s="1176"/>
      <c r="ADB718" s="1176"/>
      <c r="ADC718" s="1176"/>
      <c r="ADD718" s="1176"/>
      <c r="ADE718" s="1176"/>
      <c r="ADF718" s="1176"/>
      <c r="ADG718" s="1176"/>
      <c r="ADH718" s="1176"/>
      <c r="ADI718" s="1176"/>
      <c r="ADJ718" s="1176"/>
      <c r="ADK718" s="1176"/>
      <c r="ADL718" s="1176"/>
      <c r="ADM718" s="1176"/>
      <c r="ADN718" s="1176"/>
      <c r="ADO718" s="1176"/>
      <c r="ADP718" s="1176"/>
      <c r="ADQ718" s="1176"/>
      <c r="ADR718" s="1176"/>
      <c r="ADS718" s="1176"/>
      <c r="ADT718" s="1176"/>
      <c r="ADU718" s="1176"/>
      <c r="ADV718" s="1176"/>
      <c r="ADW718" s="1176"/>
      <c r="ADX718" s="1176"/>
      <c r="ADY718" s="1176"/>
      <c r="ADZ718" s="1176"/>
      <c r="AEA718" s="1176"/>
      <c r="AEB718" s="1176"/>
      <c r="AEC718" s="1176"/>
      <c r="AED718" s="1176"/>
      <c r="AEE718" s="1176"/>
      <c r="AEF718" s="1176"/>
      <c r="AEG718" s="1176"/>
      <c r="AEH718" s="1176"/>
      <c r="AEI718" s="1176"/>
      <c r="AEJ718" s="1176"/>
      <c r="AEK718" s="1176"/>
      <c r="AEL718" s="1176"/>
      <c r="AEM718" s="1176"/>
      <c r="AEN718" s="1176"/>
      <c r="AEO718" s="1176"/>
      <c r="AEP718" s="1176"/>
      <c r="AEQ718" s="1176"/>
      <c r="AER718" s="1176"/>
      <c r="AES718" s="1176"/>
      <c r="AET718" s="1176"/>
      <c r="AEU718" s="1176"/>
      <c r="AEV718" s="1176"/>
      <c r="AEW718" s="1176"/>
      <c r="AEX718" s="1176"/>
      <c r="AEY718" s="1176"/>
      <c r="AEZ718" s="1176"/>
      <c r="AFA718" s="1176"/>
      <c r="AFB718" s="1176"/>
      <c r="AFC718" s="1176"/>
      <c r="AFD718" s="1176"/>
      <c r="AFE718" s="1176"/>
      <c r="AFF718" s="1176"/>
      <c r="AFG718" s="1176"/>
      <c r="AFH718" s="1176"/>
      <c r="AFI718" s="1176"/>
      <c r="AFJ718" s="1176"/>
      <c r="AFK718" s="1176"/>
      <c r="AFL718" s="1176"/>
      <c r="AFM718" s="1176"/>
      <c r="AFN718" s="1176"/>
      <c r="AFO718" s="1176"/>
      <c r="AFP718" s="1176"/>
      <c r="AFQ718" s="1176"/>
      <c r="AFR718" s="1176"/>
      <c r="AFS718" s="1176"/>
      <c r="AFT718" s="1176"/>
      <c r="AFU718" s="1176"/>
      <c r="AFV718" s="1176"/>
      <c r="AFW718" s="1176"/>
      <c r="AFX718" s="1176"/>
      <c r="AFY718" s="1176"/>
      <c r="AFZ718" s="1176"/>
      <c r="AGA718" s="1176"/>
      <c r="AGB718" s="1176"/>
      <c r="AGC718" s="1176"/>
      <c r="AGD718" s="1176"/>
      <c r="AGE718" s="1176"/>
      <c r="AGF718" s="1176"/>
      <c r="AGG718" s="1176"/>
      <c r="AGH718" s="1176"/>
      <c r="AGI718" s="1176"/>
      <c r="AGJ718" s="1176"/>
      <c r="AGK718" s="1176"/>
      <c r="AGL718" s="1176"/>
      <c r="AGM718" s="1176"/>
      <c r="AGN718" s="1176"/>
      <c r="AGO718" s="1176"/>
      <c r="AGP718" s="1176"/>
      <c r="AGQ718" s="1176"/>
      <c r="AGR718" s="1176"/>
      <c r="AGS718" s="1176"/>
      <c r="AGT718" s="1176"/>
      <c r="AGU718" s="1176"/>
      <c r="AGV718" s="1176"/>
      <c r="AGW718" s="1176"/>
      <c r="AGX718" s="1176"/>
      <c r="AGY718" s="1176"/>
      <c r="AGZ718" s="1176"/>
      <c r="AHA718" s="1176"/>
      <c r="AHB718" s="1176"/>
      <c r="AHC718" s="1176"/>
      <c r="AHD718" s="1176"/>
      <c r="AHE718" s="1176"/>
      <c r="AHF718" s="1176"/>
      <c r="AHG718" s="1176"/>
      <c r="AHH718" s="1176"/>
      <c r="AHI718" s="1176"/>
      <c r="AHJ718" s="1176"/>
      <c r="AHK718" s="1176"/>
      <c r="AHL718" s="1176"/>
      <c r="AHM718" s="1176"/>
      <c r="AHN718" s="1176"/>
      <c r="AHO718" s="1176"/>
      <c r="AHP718" s="1176"/>
      <c r="AHQ718" s="1176"/>
      <c r="AHR718" s="1176"/>
      <c r="AHS718" s="1176"/>
      <c r="AHT718" s="1176"/>
      <c r="AHU718" s="1176"/>
      <c r="AHV718" s="1176"/>
      <c r="AHW718" s="1176"/>
      <c r="AHX718" s="1176"/>
      <c r="AHY718" s="1176"/>
      <c r="AHZ718" s="1176"/>
      <c r="AIA718" s="1176"/>
      <c r="AIB718" s="1176"/>
      <c r="AIC718" s="1176"/>
      <c r="AID718" s="1176"/>
      <c r="AIE718" s="1176"/>
      <c r="AIF718" s="1176"/>
      <c r="AIG718" s="1176"/>
      <c r="AIH718" s="1176"/>
      <c r="AII718" s="1176"/>
      <c r="AIJ718" s="1176"/>
      <c r="AIK718" s="1176"/>
      <c r="AIL718" s="1176"/>
      <c r="AIM718" s="1176"/>
      <c r="AIN718" s="1176"/>
      <c r="AIO718" s="1176"/>
      <c r="AIP718" s="1176"/>
      <c r="AIQ718" s="1176"/>
      <c r="AIR718" s="1176"/>
      <c r="AIS718" s="1176"/>
      <c r="AIT718" s="1176"/>
      <c r="AIU718" s="1176"/>
      <c r="AIV718" s="1176"/>
      <c r="AIW718" s="1176"/>
      <c r="AIX718" s="1176"/>
      <c r="AIY718" s="1176"/>
      <c r="AIZ718" s="1176"/>
      <c r="AJA718" s="1176"/>
      <c r="AJB718" s="1176"/>
      <c r="AJC718" s="1176"/>
      <c r="AJD718" s="1176"/>
      <c r="AJE718" s="1176"/>
      <c r="AJF718" s="1176"/>
      <c r="AJG718" s="1176"/>
      <c r="AJH718" s="1176"/>
      <c r="AJI718" s="1176"/>
      <c r="AJJ718" s="1176"/>
      <c r="AJK718" s="1176"/>
      <c r="AJL718" s="1176"/>
      <c r="AJM718" s="1176"/>
      <c r="AJN718" s="1176"/>
      <c r="AJO718" s="1176"/>
      <c r="AJP718" s="1176"/>
      <c r="AJQ718" s="1176"/>
      <c r="AJR718" s="1176"/>
      <c r="AJS718" s="1176"/>
      <c r="AJT718" s="1176"/>
      <c r="AJU718" s="1176"/>
      <c r="AJV718" s="1176"/>
      <c r="AJW718" s="1176"/>
      <c r="AJX718" s="1176"/>
      <c r="AJY718" s="1176"/>
      <c r="AJZ718" s="1176"/>
      <c r="AKA718" s="1176"/>
      <c r="AKB718" s="1176"/>
      <c r="AKC718" s="1176"/>
      <c r="AKD718" s="1176"/>
      <c r="AKE718" s="1176"/>
      <c r="AKF718" s="1176"/>
      <c r="AKG718" s="1176"/>
      <c r="AKH718" s="1176"/>
      <c r="AKI718" s="1176"/>
      <c r="AKJ718" s="1176"/>
      <c r="AKK718" s="1176"/>
      <c r="AKL718" s="1176"/>
      <c r="AKM718" s="1176"/>
      <c r="AKN718" s="1176"/>
      <c r="AKO718" s="1176"/>
      <c r="AKP718" s="1176"/>
      <c r="AKQ718" s="1176"/>
      <c r="AKR718" s="1176"/>
      <c r="AKS718" s="1176"/>
      <c r="AKT718" s="1176"/>
      <c r="AKU718" s="1176"/>
      <c r="AKV718" s="1176"/>
      <c r="AKW718" s="1176"/>
      <c r="AKX718" s="1176"/>
      <c r="AKY718" s="1176"/>
      <c r="AKZ718" s="1176"/>
      <c r="ALA718" s="1176"/>
      <c r="ALB718" s="1176"/>
      <c r="ALC718" s="1176"/>
      <c r="ALD718" s="1176"/>
      <c r="ALE718" s="1176"/>
      <c r="ALF718" s="1176"/>
      <c r="ALG718" s="1176"/>
      <c r="ALH718" s="1176"/>
      <c r="ALI718" s="1176"/>
      <c r="ALJ718" s="1176"/>
      <c r="ALK718" s="1176"/>
      <c r="ALL718" s="1176"/>
      <c r="ALM718" s="1176"/>
      <c r="ALN718" s="1176"/>
      <c r="ALO718" s="1176"/>
      <c r="ALP718" s="1176"/>
      <c r="ALQ718" s="1176"/>
      <c r="ALR718" s="1176"/>
      <c r="ALS718" s="1176"/>
      <c r="ALT718" s="1176"/>
      <c r="ALU718" s="1176"/>
      <c r="ALV718" s="1176"/>
      <c r="ALW718" s="1176"/>
      <c r="ALX718" s="1176"/>
      <c r="ALY718" s="1176"/>
      <c r="ALZ718" s="1176"/>
      <c r="AMA718" s="1176"/>
      <c r="AMB718" s="1176"/>
      <c r="AMC718" s="1176"/>
      <c r="AMD718" s="1176"/>
      <c r="AME718" s="1176"/>
      <c r="AMF718" s="1176"/>
      <c r="AMG718" s="1176"/>
      <c r="AMH718" s="1176"/>
      <c r="AMI718" s="1176"/>
      <c r="AMJ718" s="1176"/>
      <c r="AMK718" s="1176"/>
      <c r="AML718" s="1176"/>
      <c r="AMM718" s="1176"/>
      <c r="AMN718" s="1176"/>
      <c r="AMO718" s="1176"/>
      <c r="AMP718" s="1176"/>
      <c r="AMQ718" s="1176"/>
      <c r="AMR718" s="1176"/>
      <c r="AMS718" s="1176"/>
      <c r="AMT718" s="1176"/>
      <c r="AMU718" s="1176"/>
      <c r="AMV718" s="1176"/>
      <c r="AMW718" s="1176"/>
      <c r="AMX718" s="1176"/>
      <c r="AMY718" s="1176"/>
      <c r="AMZ718" s="1176"/>
      <c r="ANA718" s="1176"/>
      <c r="ANB718" s="1176"/>
      <c r="ANC718" s="1176"/>
      <c r="AND718" s="1176"/>
      <c r="ANE718" s="1176"/>
      <c r="ANF718" s="1176"/>
      <c r="ANG718" s="1176"/>
      <c r="ANH718" s="1176"/>
      <c r="ANI718" s="1176"/>
      <c r="ANJ718" s="1176"/>
      <c r="ANK718" s="1176"/>
      <c r="ANL718" s="1176"/>
      <c r="ANM718" s="1176"/>
      <c r="ANN718" s="1176"/>
      <c r="ANO718" s="1176"/>
      <c r="ANP718" s="1176"/>
      <c r="ANQ718" s="1176"/>
      <c r="ANR718" s="1176"/>
      <c r="ANS718" s="1176"/>
      <c r="ANT718" s="1176"/>
      <c r="ANU718" s="1176"/>
      <c r="ANV718" s="1176"/>
      <c r="ANW718" s="1176"/>
      <c r="ANX718" s="1176"/>
      <c r="ANY718" s="1176"/>
      <c r="ANZ718" s="1176"/>
      <c r="AOA718" s="1176"/>
      <c r="AOB718" s="1176"/>
      <c r="AOC718" s="1176"/>
      <c r="AOD718" s="1176"/>
      <c r="AOE718" s="1176"/>
      <c r="AOF718" s="1176"/>
      <c r="AOG718" s="1176"/>
      <c r="AOH718" s="1176"/>
      <c r="AOI718" s="1176"/>
      <c r="AOJ718" s="1176"/>
      <c r="AOK718" s="1176"/>
      <c r="AOL718" s="1176"/>
      <c r="AOM718" s="1176"/>
      <c r="AON718" s="1176"/>
      <c r="AOO718" s="1176"/>
      <c r="AOP718" s="1176"/>
      <c r="AOQ718" s="1176"/>
      <c r="AOR718" s="1176"/>
      <c r="AOS718" s="1176"/>
      <c r="AOT718" s="1176"/>
      <c r="AOU718" s="1176"/>
      <c r="AOV718" s="1176"/>
      <c r="AOW718" s="1176"/>
      <c r="AOX718" s="1176"/>
      <c r="AOY718" s="1176"/>
      <c r="AOZ718" s="1176"/>
      <c r="APA718" s="1176"/>
      <c r="APB718" s="1176"/>
      <c r="APC718" s="1176"/>
      <c r="APD718" s="1176"/>
      <c r="APE718" s="1176"/>
      <c r="APF718" s="1176"/>
      <c r="APG718" s="1176"/>
      <c r="APH718" s="1176"/>
      <c r="API718" s="1176"/>
      <c r="APJ718" s="1176"/>
      <c r="APK718" s="1176"/>
      <c r="APL718" s="1176"/>
      <c r="APM718" s="1176"/>
      <c r="APN718" s="1176"/>
      <c r="APO718" s="1176"/>
      <c r="APP718" s="1176"/>
      <c r="APQ718" s="1176"/>
      <c r="APR718" s="1176"/>
      <c r="APS718" s="1176"/>
      <c r="APT718" s="1176"/>
      <c r="APU718" s="1176"/>
      <c r="APV718" s="1176"/>
      <c r="APW718" s="1176"/>
      <c r="APX718" s="1176"/>
      <c r="APY718" s="1176"/>
      <c r="APZ718" s="1176"/>
      <c r="AQA718" s="1176"/>
      <c r="AQB718" s="1176"/>
      <c r="AQC718" s="1176"/>
      <c r="AQD718" s="1176"/>
      <c r="AQE718" s="1176"/>
      <c r="AQF718" s="1176"/>
      <c r="AQG718" s="1176"/>
      <c r="AQH718" s="1176"/>
      <c r="AQI718" s="1176"/>
      <c r="AQJ718" s="1176"/>
      <c r="AQK718" s="1176"/>
      <c r="AQL718" s="1176"/>
      <c r="AQM718" s="1176"/>
      <c r="AQN718" s="1176"/>
      <c r="AQO718" s="1176"/>
      <c r="AQP718" s="1176"/>
      <c r="AQQ718" s="1176"/>
      <c r="AQR718" s="1176"/>
      <c r="AQS718" s="1176"/>
      <c r="AQT718" s="1176"/>
      <c r="AQU718" s="1176"/>
      <c r="AQV718" s="1176"/>
      <c r="AQW718" s="1176"/>
      <c r="AQX718" s="1176"/>
      <c r="AQY718" s="1176"/>
      <c r="AQZ718" s="1176"/>
      <c r="ARA718" s="1176"/>
      <c r="ARB718" s="1176"/>
      <c r="ARC718" s="1176"/>
      <c r="ARD718" s="1176"/>
      <c r="ARE718" s="1176"/>
      <c r="ARF718" s="1176"/>
      <c r="ARG718" s="1176"/>
      <c r="ARH718" s="1176"/>
      <c r="ARI718" s="1176"/>
      <c r="ARJ718" s="1176"/>
      <c r="ARK718" s="1176"/>
      <c r="ARL718" s="1176"/>
      <c r="ARM718" s="1176"/>
      <c r="ARN718" s="1176"/>
      <c r="ARO718" s="1176"/>
      <c r="ARP718" s="1176"/>
      <c r="ARQ718" s="1176"/>
      <c r="ARR718" s="1176"/>
      <c r="ARS718" s="1176"/>
      <c r="ART718" s="1176"/>
      <c r="ARU718" s="1176"/>
      <c r="ARV718" s="1176"/>
      <c r="ARW718" s="1176"/>
      <c r="ARX718" s="1176"/>
      <c r="ARY718" s="1176"/>
      <c r="ARZ718" s="1176"/>
      <c r="ASA718" s="1176"/>
      <c r="ASB718" s="1176"/>
      <c r="ASC718" s="1176"/>
      <c r="ASD718" s="1176"/>
      <c r="ASE718" s="1176"/>
      <c r="ASF718" s="1176"/>
      <c r="ASG718" s="1176"/>
      <c r="ASH718" s="1176"/>
      <c r="ASI718" s="1176"/>
      <c r="ASJ718" s="1176"/>
      <c r="ASK718" s="1176"/>
      <c r="ASL718" s="1176"/>
      <c r="ASM718" s="1176"/>
      <c r="ASN718" s="1176"/>
      <c r="ASO718" s="1176"/>
      <c r="ASP718" s="1176"/>
      <c r="ASQ718" s="1176"/>
      <c r="ASR718" s="1176"/>
      <c r="ASS718" s="1176"/>
      <c r="AST718" s="1176"/>
      <c r="ASU718" s="1176"/>
      <c r="ASV718" s="1176"/>
      <c r="ASW718" s="1176"/>
      <c r="ASX718" s="1176"/>
      <c r="ASY718" s="1176"/>
      <c r="ASZ718" s="1176"/>
      <c r="ATA718" s="1176"/>
      <c r="ATB718" s="1176"/>
      <c r="ATC718" s="1176"/>
      <c r="ATD718" s="1176"/>
      <c r="ATE718" s="1176"/>
      <c r="ATF718" s="1176"/>
      <c r="ATG718" s="1176"/>
      <c r="ATH718" s="1176"/>
      <c r="ATI718" s="1176"/>
      <c r="ATJ718" s="1176"/>
      <c r="ATK718" s="1176"/>
      <c r="ATL718" s="1176"/>
      <c r="ATM718" s="1176"/>
      <c r="ATN718" s="1176"/>
      <c r="ATO718" s="1176"/>
      <c r="ATP718" s="1176"/>
      <c r="ATQ718" s="1176"/>
      <c r="ATR718" s="1176"/>
      <c r="ATS718" s="1176"/>
      <c r="ATT718" s="1176"/>
      <c r="ATU718" s="1176"/>
      <c r="ATV718" s="1176"/>
      <c r="ATW718" s="1176"/>
      <c r="ATX718" s="1176"/>
      <c r="ATY718" s="1176"/>
      <c r="ATZ718" s="1176"/>
      <c r="AUA718" s="1176"/>
      <c r="AUB718" s="1176"/>
      <c r="AUC718" s="1176"/>
      <c r="AUD718" s="1176"/>
      <c r="AUE718" s="1176"/>
      <c r="AUF718" s="1176"/>
      <c r="AUG718" s="1176"/>
      <c r="AUH718" s="1176"/>
      <c r="AUI718" s="1176"/>
      <c r="AUJ718" s="1176"/>
      <c r="AUK718" s="1176"/>
      <c r="AUL718" s="1176"/>
      <c r="AUM718" s="1176"/>
      <c r="AUN718" s="1176"/>
      <c r="AUO718" s="1176"/>
      <c r="AUP718" s="1176"/>
      <c r="AUQ718" s="1176"/>
      <c r="AUR718" s="1176"/>
      <c r="AUS718" s="1176"/>
      <c r="AUT718" s="1176"/>
      <c r="AUU718" s="1176"/>
      <c r="AUV718" s="1176"/>
      <c r="AUW718" s="1176"/>
      <c r="AUX718" s="1176"/>
      <c r="AUY718" s="1176"/>
      <c r="AUZ718" s="1176"/>
      <c r="AVA718" s="1176"/>
      <c r="AVB718" s="1176"/>
      <c r="AVC718" s="1176"/>
      <c r="AVD718" s="1176"/>
      <c r="AVE718" s="1176"/>
      <c r="AVF718" s="1176"/>
      <c r="AVG718" s="1176"/>
      <c r="AVH718" s="1176"/>
      <c r="AVI718" s="1176"/>
      <c r="AVJ718" s="1176"/>
      <c r="AVK718" s="1176"/>
      <c r="AVL718" s="1176"/>
      <c r="AVM718" s="1176"/>
      <c r="AVN718" s="1176"/>
      <c r="AVO718" s="1176"/>
      <c r="AVP718" s="1176"/>
      <c r="AVQ718" s="1176"/>
      <c r="AVR718" s="1176"/>
      <c r="AVS718" s="1176"/>
      <c r="AVT718" s="1176"/>
      <c r="AVU718" s="1176"/>
      <c r="AVV718" s="1176"/>
      <c r="AVW718" s="1176"/>
      <c r="AVX718" s="1176"/>
      <c r="AVY718" s="1176"/>
      <c r="AVZ718" s="1176"/>
      <c r="AWA718" s="1176"/>
      <c r="AWB718" s="1176"/>
      <c r="AWC718" s="1176"/>
      <c r="AWD718" s="1176"/>
      <c r="AWE718" s="1176"/>
      <c r="AWF718" s="1176"/>
      <c r="AWG718" s="1176"/>
      <c r="AWH718" s="1176"/>
      <c r="AWI718" s="1176"/>
      <c r="AWJ718" s="1176"/>
      <c r="AWK718" s="1176"/>
      <c r="AWL718" s="1176"/>
      <c r="AWM718" s="1176"/>
      <c r="AWN718" s="1176"/>
      <c r="AWO718" s="1176"/>
      <c r="AWP718" s="1176"/>
      <c r="AWQ718" s="1176"/>
      <c r="AWR718" s="1176"/>
      <c r="AWS718" s="1176"/>
      <c r="AWT718" s="1176"/>
      <c r="AWU718" s="1176"/>
      <c r="AWV718" s="1176"/>
      <c r="AWW718" s="1176"/>
      <c r="AWX718" s="1176"/>
      <c r="AWY718" s="1176"/>
      <c r="AWZ718" s="1176"/>
      <c r="AXA718" s="1176"/>
      <c r="AXB718" s="1176"/>
      <c r="AXC718" s="1176"/>
      <c r="AXD718" s="1176"/>
      <c r="AXE718" s="1176"/>
      <c r="AXF718" s="1176"/>
      <c r="AXG718" s="1176"/>
      <c r="AXH718" s="1176"/>
      <c r="AXI718" s="1176"/>
      <c r="AXJ718" s="1176"/>
      <c r="AXK718" s="1176"/>
      <c r="AXL718" s="1176"/>
      <c r="AXM718" s="1176"/>
      <c r="AXN718" s="1176"/>
      <c r="AXO718" s="1176"/>
      <c r="AXP718" s="1176"/>
      <c r="AXQ718" s="1176"/>
      <c r="AXR718" s="1176"/>
      <c r="AXS718" s="1176"/>
      <c r="AXT718" s="1176"/>
      <c r="AXU718" s="1176"/>
      <c r="AXV718" s="1176"/>
      <c r="AXW718" s="1176"/>
      <c r="AXX718" s="1176"/>
      <c r="AXY718" s="1176"/>
      <c r="AXZ718" s="1176"/>
      <c r="AYA718" s="1176"/>
      <c r="AYB718" s="1176"/>
      <c r="AYC718" s="1176"/>
      <c r="AYD718" s="1176"/>
      <c r="AYE718" s="1176"/>
      <c r="AYF718" s="1176"/>
      <c r="AYG718" s="1176"/>
      <c r="AYH718" s="1176"/>
      <c r="AYI718" s="1176"/>
      <c r="AYJ718" s="1176"/>
      <c r="AYK718" s="1176"/>
      <c r="AYL718" s="1176"/>
      <c r="AYM718" s="1176"/>
      <c r="AYN718" s="1176"/>
      <c r="AYO718" s="1176"/>
      <c r="AYP718" s="1176"/>
      <c r="AYQ718" s="1176"/>
      <c r="AYR718" s="1176"/>
      <c r="AYS718" s="1176"/>
      <c r="AYT718" s="1176"/>
      <c r="AYU718" s="1176"/>
      <c r="AYV718" s="1176"/>
      <c r="AYW718" s="1176"/>
      <c r="AYX718" s="1176"/>
      <c r="AYY718" s="1176"/>
      <c r="AYZ718" s="1176"/>
      <c r="AZA718" s="1176"/>
      <c r="AZB718" s="1176"/>
      <c r="AZC718" s="1176"/>
      <c r="AZD718" s="1176"/>
      <c r="AZE718" s="1176"/>
      <c r="AZF718" s="1176"/>
      <c r="AZG718" s="1176"/>
      <c r="AZH718" s="1176"/>
      <c r="AZI718" s="1176"/>
      <c r="AZJ718" s="1176"/>
      <c r="AZK718" s="1176"/>
      <c r="AZL718" s="1176"/>
      <c r="AZM718" s="1176"/>
      <c r="AZN718" s="1176"/>
      <c r="AZO718" s="1176"/>
      <c r="AZP718" s="1176"/>
      <c r="AZQ718" s="1176"/>
      <c r="AZR718" s="1176"/>
      <c r="AZS718" s="1176"/>
      <c r="AZT718" s="1176"/>
      <c r="AZU718" s="1176"/>
      <c r="AZV718" s="1176"/>
      <c r="AZW718" s="1176"/>
      <c r="AZX718" s="1176"/>
      <c r="AZY718" s="1176"/>
      <c r="AZZ718" s="1176"/>
      <c r="BAA718" s="1176"/>
      <c r="BAB718" s="1176"/>
      <c r="BAC718" s="1176"/>
      <c r="BAD718" s="1176"/>
      <c r="BAE718" s="1176"/>
      <c r="BAF718" s="1176"/>
      <c r="BAG718" s="1176"/>
      <c r="BAH718" s="1176"/>
      <c r="BAI718" s="1176"/>
      <c r="BAJ718" s="1176"/>
      <c r="BAK718" s="1176"/>
      <c r="BAL718" s="1176"/>
      <c r="BAM718" s="1176"/>
      <c r="BAN718" s="1176"/>
      <c r="BAO718" s="1176"/>
      <c r="BAP718" s="1176"/>
      <c r="BAQ718" s="1176"/>
      <c r="BAR718" s="1176"/>
      <c r="BAS718" s="1176"/>
      <c r="BAT718" s="1176"/>
      <c r="BAU718" s="1176"/>
      <c r="BAV718" s="1176"/>
      <c r="BAW718" s="1176"/>
      <c r="BAX718" s="1176"/>
      <c r="BAY718" s="1176"/>
      <c r="BAZ718" s="1176"/>
      <c r="BBA718" s="1176"/>
      <c r="BBB718" s="1176"/>
      <c r="BBC718" s="1176"/>
      <c r="BBD718" s="1176"/>
      <c r="BBE718" s="1176"/>
      <c r="BBF718" s="1176"/>
      <c r="BBG718" s="1176"/>
      <c r="BBH718" s="1176"/>
      <c r="BBI718" s="1176"/>
      <c r="BBJ718" s="1176"/>
      <c r="BBK718" s="1176"/>
      <c r="BBL718" s="1176"/>
      <c r="BBM718" s="1176"/>
      <c r="BBN718" s="1176"/>
      <c r="BBO718" s="1176"/>
      <c r="BBP718" s="1176"/>
      <c r="BBQ718" s="1176"/>
      <c r="BBR718" s="1176"/>
      <c r="BBS718" s="1176"/>
      <c r="BBT718" s="1176"/>
      <c r="BBU718" s="1176"/>
      <c r="BBV718" s="1176"/>
      <c r="BBW718" s="1176"/>
      <c r="BBX718" s="1176"/>
      <c r="BBY718" s="1176"/>
      <c r="BBZ718" s="1176"/>
      <c r="BCA718" s="1176"/>
      <c r="BCB718" s="1176"/>
      <c r="BCC718" s="1176"/>
      <c r="BCD718" s="1176"/>
      <c r="BCE718" s="1176"/>
      <c r="BCF718" s="1176"/>
      <c r="BCG718" s="1176"/>
      <c r="BCH718" s="1176"/>
      <c r="BCI718" s="1176"/>
      <c r="BCJ718" s="1176"/>
      <c r="BCK718" s="1176"/>
      <c r="BCL718" s="1176"/>
      <c r="BCM718" s="1176"/>
      <c r="BCN718" s="1176"/>
      <c r="BCO718" s="1176"/>
      <c r="BCP718" s="1176"/>
      <c r="BCQ718" s="1176"/>
      <c r="BCR718" s="1176"/>
      <c r="BCS718" s="1176"/>
      <c r="BCT718" s="1176"/>
      <c r="BCU718" s="1176"/>
      <c r="BCV718" s="1176"/>
      <c r="BCW718" s="1176"/>
      <c r="BCX718" s="1176"/>
      <c r="BCY718" s="1176"/>
      <c r="BCZ718" s="1176"/>
      <c r="BDA718" s="1176"/>
      <c r="BDB718" s="1176"/>
      <c r="BDC718" s="1176"/>
      <c r="BDD718" s="1176"/>
      <c r="BDE718" s="1176"/>
      <c r="BDF718" s="1176"/>
      <c r="BDG718" s="1176"/>
      <c r="BDH718" s="1176"/>
      <c r="BDI718" s="1176"/>
      <c r="BDJ718" s="1176"/>
      <c r="BDK718" s="1176"/>
      <c r="BDL718" s="1176"/>
      <c r="BDM718" s="1176"/>
      <c r="BDN718" s="1176"/>
      <c r="BDO718" s="1176"/>
      <c r="BDP718" s="1176"/>
      <c r="BDQ718" s="1176"/>
      <c r="BDR718" s="1176"/>
      <c r="BDS718" s="1176"/>
      <c r="BDT718" s="1176"/>
      <c r="BDU718" s="1176"/>
      <c r="BDV718" s="1176"/>
      <c r="BDW718" s="1176"/>
      <c r="BDX718" s="1176"/>
      <c r="BDY718" s="1176"/>
      <c r="BDZ718" s="1176"/>
      <c r="BEA718" s="1176"/>
      <c r="BEB718" s="1176"/>
      <c r="BEC718" s="1176"/>
      <c r="BED718" s="1176"/>
      <c r="BEE718" s="1176"/>
      <c r="BEF718" s="1176"/>
      <c r="BEG718" s="1176"/>
      <c r="BEH718" s="1176"/>
      <c r="BEI718" s="1176"/>
      <c r="BEJ718" s="1176"/>
      <c r="BEK718" s="1176"/>
      <c r="BEL718" s="1176"/>
      <c r="BEM718" s="1176"/>
      <c r="BEN718" s="1176"/>
      <c r="BEO718" s="1176"/>
      <c r="BEP718" s="1176"/>
      <c r="BEQ718" s="1176"/>
      <c r="BER718" s="1176"/>
      <c r="BES718" s="1176"/>
      <c r="BET718" s="1176"/>
      <c r="BEU718" s="1176"/>
      <c r="BEV718" s="1176"/>
      <c r="BEW718" s="1176"/>
      <c r="BEX718" s="1176"/>
      <c r="BEY718" s="1176"/>
      <c r="BEZ718" s="1176"/>
      <c r="BFA718" s="1176"/>
      <c r="BFB718" s="1176"/>
      <c r="BFC718" s="1176"/>
      <c r="BFD718" s="1176"/>
      <c r="BFE718" s="1176"/>
      <c r="BFF718" s="1176"/>
      <c r="BFG718" s="1176"/>
      <c r="BFH718" s="1176"/>
      <c r="BFI718" s="1176"/>
      <c r="BFJ718" s="1176"/>
      <c r="BFK718" s="1176"/>
      <c r="BFL718" s="1176"/>
      <c r="BFM718" s="1176"/>
      <c r="BFN718" s="1176"/>
      <c r="BFO718" s="1176"/>
      <c r="BFP718" s="1176"/>
      <c r="BFQ718" s="1176"/>
      <c r="BFR718" s="1176"/>
      <c r="BFS718" s="1176"/>
      <c r="BFT718" s="1176"/>
      <c r="BFU718" s="1176"/>
      <c r="BFV718" s="1176"/>
      <c r="BFW718" s="1176"/>
      <c r="BFX718" s="1176"/>
      <c r="BFY718" s="1176"/>
      <c r="BFZ718" s="1176"/>
      <c r="BGA718" s="1176"/>
      <c r="BGB718" s="1176"/>
      <c r="BGC718" s="1176"/>
      <c r="BGD718" s="1176"/>
      <c r="BGE718" s="1176"/>
      <c r="BGF718" s="1176"/>
      <c r="BGG718" s="1176"/>
      <c r="BGH718" s="1176"/>
      <c r="BGI718" s="1176"/>
      <c r="BGJ718" s="1176"/>
      <c r="BGK718" s="1176"/>
      <c r="BGL718" s="1176"/>
      <c r="BGM718" s="1176"/>
      <c r="BGN718" s="1176"/>
      <c r="BGO718" s="1176"/>
      <c r="BGP718" s="1176"/>
      <c r="BGQ718" s="1176"/>
      <c r="BGR718" s="1176"/>
      <c r="BGS718" s="1176"/>
      <c r="BGT718" s="1176"/>
      <c r="BGU718" s="1176"/>
      <c r="BGV718" s="1176"/>
      <c r="BGW718" s="1176"/>
      <c r="BGX718" s="1176"/>
      <c r="BGY718" s="1176"/>
      <c r="BGZ718" s="1176"/>
      <c r="BHA718" s="1176"/>
      <c r="BHB718" s="1176"/>
      <c r="BHC718" s="1176"/>
      <c r="BHD718" s="1176"/>
      <c r="BHE718" s="1176"/>
      <c r="BHF718" s="1176"/>
      <c r="BHG718" s="1176"/>
      <c r="BHH718" s="1176"/>
      <c r="BHI718" s="1176"/>
      <c r="BHJ718" s="1176"/>
      <c r="BHK718" s="1176"/>
      <c r="BHL718" s="1176"/>
      <c r="BHM718" s="1176"/>
      <c r="BHN718" s="1176"/>
      <c r="BHO718" s="1176"/>
      <c r="BHP718" s="1176"/>
      <c r="BHQ718" s="1176"/>
      <c r="BHR718" s="1176"/>
      <c r="BHS718" s="1176"/>
      <c r="BHT718" s="1176"/>
      <c r="BHU718" s="1176"/>
      <c r="BHV718" s="1176"/>
      <c r="BHW718" s="1176"/>
      <c r="BHX718" s="1176"/>
      <c r="BHY718" s="1176"/>
      <c r="BHZ718" s="1176"/>
      <c r="BIA718" s="1176"/>
      <c r="BIB718" s="1176"/>
      <c r="BIC718" s="1176"/>
      <c r="BID718" s="1176"/>
      <c r="BIE718" s="1176"/>
      <c r="BIF718" s="1176"/>
      <c r="BIG718" s="1176"/>
      <c r="BIH718" s="1176"/>
      <c r="BII718" s="1176"/>
      <c r="BIJ718" s="1176"/>
      <c r="BIK718" s="1176"/>
      <c r="BIL718" s="1176"/>
      <c r="BIM718" s="1176"/>
      <c r="BIN718" s="1176"/>
      <c r="BIO718" s="1176"/>
      <c r="BIP718" s="1176"/>
      <c r="BIQ718" s="1176"/>
      <c r="BIR718" s="1176"/>
      <c r="BIS718" s="1176"/>
      <c r="BIT718" s="1176"/>
      <c r="BIU718" s="1176"/>
      <c r="BIV718" s="1176"/>
      <c r="BIW718" s="1176"/>
      <c r="BIX718" s="1176"/>
      <c r="BIY718" s="1176"/>
      <c r="BIZ718" s="1176"/>
      <c r="BJA718" s="1176"/>
      <c r="BJB718" s="1176"/>
      <c r="BJC718" s="1176"/>
      <c r="BJD718" s="1176"/>
      <c r="BJE718" s="1176"/>
      <c r="BJF718" s="1176"/>
      <c r="BJG718" s="1176"/>
      <c r="BJH718" s="1176"/>
      <c r="BJI718" s="1176"/>
      <c r="BJJ718" s="1176"/>
      <c r="BJK718" s="1176"/>
      <c r="BJL718" s="1176"/>
      <c r="BJM718" s="1176"/>
      <c r="BJN718" s="1176"/>
      <c r="BJO718" s="1176"/>
      <c r="BJP718" s="1176"/>
      <c r="BJQ718" s="1176"/>
      <c r="BJR718" s="1176"/>
      <c r="BJS718" s="1176"/>
      <c r="BJT718" s="1176"/>
      <c r="BJU718" s="1176"/>
      <c r="BJV718" s="1176"/>
      <c r="BJW718" s="1176"/>
      <c r="BJX718" s="1176"/>
      <c r="BJY718" s="1176"/>
      <c r="BJZ718" s="1176"/>
      <c r="BKA718" s="1176"/>
      <c r="BKB718" s="1176"/>
      <c r="BKC718" s="1176"/>
      <c r="BKD718" s="1176"/>
      <c r="BKE718" s="1176"/>
      <c r="BKF718" s="1176"/>
      <c r="BKG718" s="1176"/>
      <c r="BKH718" s="1176"/>
      <c r="BKI718" s="1176"/>
      <c r="BKJ718" s="1176"/>
      <c r="BKK718" s="1176"/>
      <c r="BKL718" s="1176"/>
      <c r="BKM718" s="1176"/>
      <c r="BKN718" s="1176"/>
      <c r="BKO718" s="1176"/>
      <c r="BKP718" s="1176"/>
      <c r="BKQ718" s="1176"/>
      <c r="BKR718" s="1176"/>
      <c r="BKS718" s="1176"/>
      <c r="BKT718" s="1176"/>
      <c r="BKU718" s="1176"/>
      <c r="BKV718" s="1176"/>
      <c r="BKW718" s="1176"/>
      <c r="BKX718" s="1176"/>
      <c r="BKY718" s="1176"/>
      <c r="BKZ718" s="1176"/>
      <c r="BLA718" s="1176"/>
      <c r="BLB718" s="1176"/>
      <c r="BLC718" s="1176"/>
      <c r="BLD718" s="1176"/>
      <c r="BLE718" s="1176"/>
      <c r="BLF718" s="1176"/>
      <c r="BLG718" s="1176"/>
      <c r="BLH718" s="1176"/>
      <c r="BLI718" s="1176"/>
      <c r="BLJ718" s="1176"/>
      <c r="BLK718" s="1176"/>
      <c r="BLL718" s="1176"/>
      <c r="BLM718" s="1176"/>
      <c r="BLN718" s="1176"/>
      <c r="BLO718" s="1176"/>
      <c r="BLP718" s="1176"/>
      <c r="BLQ718" s="1176"/>
      <c r="BLR718" s="1176"/>
      <c r="BLS718" s="1176"/>
      <c r="BLT718" s="1176"/>
      <c r="BLU718" s="1176"/>
      <c r="BLV718" s="1176"/>
      <c r="BLW718" s="1176"/>
      <c r="BLX718" s="1176"/>
      <c r="BLY718" s="1176"/>
      <c r="BLZ718" s="1176"/>
      <c r="BMA718" s="1176"/>
      <c r="BMB718" s="1176"/>
      <c r="BMC718" s="1176"/>
      <c r="BMD718" s="1176"/>
      <c r="BME718" s="1176"/>
      <c r="BMF718" s="1176"/>
      <c r="BMG718" s="1176"/>
      <c r="BMH718" s="1176"/>
      <c r="BMI718" s="1176"/>
      <c r="BMJ718" s="1176"/>
      <c r="BMK718" s="1176"/>
      <c r="BML718" s="1176"/>
      <c r="BMM718" s="1176"/>
      <c r="BMN718" s="1176"/>
      <c r="BMO718" s="1176"/>
      <c r="BMP718" s="1176"/>
      <c r="BMQ718" s="1176"/>
      <c r="BMR718" s="1176"/>
      <c r="BMS718" s="1176"/>
      <c r="BMT718" s="1176"/>
      <c r="BMU718" s="1176"/>
      <c r="BMV718" s="1176"/>
      <c r="BMW718" s="1176"/>
      <c r="BMX718" s="1176"/>
      <c r="BMY718" s="1176"/>
      <c r="BMZ718" s="1176"/>
      <c r="BNA718" s="1176"/>
      <c r="BNB718" s="1176"/>
      <c r="BNC718" s="1176"/>
      <c r="BND718" s="1176"/>
      <c r="BNE718" s="1176"/>
      <c r="BNF718" s="1176"/>
      <c r="BNG718" s="1176"/>
      <c r="BNH718" s="1176"/>
      <c r="BNI718" s="1176"/>
      <c r="BNJ718" s="1176"/>
      <c r="BNK718" s="1176"/>
      <c r="BNL718" s="1176"/>
      <c r="BNM718" s="1176"/>
      <c r="BNN718" s="1176"/>
      <c r="BNO718" s="1176"/>
      <c r="BNP718" s="1176"/>
      <c r="BNQ718" s="1176"/>
      <c r="BNR718" s="1176"/>
      <c r="BNS718" s="1176"/>
      <c r="BNT718" s="1176"/>
      <c r="BNU718" s="1176"/>
      <c r="BNV718" s="1176"/>
      <c r="BNW718" s="1176"/>
      <c r="BNX718" s="1176"/>
      <c r="BNY718" s="1176"/>
      <c r="BNZ718" s="1176"/>
      <c r="BOA718" s="1176"/>
      <c r="BOB718" s="1176"/>
      <c r="BOC718" s="1176"/>
      <c r="BOD718" s="1176"/>
      <c r="BOE718" s="1176"/>
      <c r="BOF718" s="1176"/>
      <c r="BOG718" s="1176"/>
      <c r="BOH718" s="1176"/>
      <c r="BOI718" s="1176"/>
      <c r="BOJ718" s="1176"/>
      <c r="BOK718" s="1176"/>
      <c r="BOL718" s="1176"/>
      <c r="BOM718" s="1176"/>
      <c r="BON718" s="1176"/>
      <c r="BOO718" s="1176"/>
      <c r="BOP718" s="1176"/>
      <c r="BOQ718" s="1176"/>
      <c r="BOR718" s="1176"/>
      <c r="BOS718" s="1176"/>
      <c r="BOT718" s="1176"/>
      <c r="BOU718" s="1176"/>
      <c r="BOV718" s="1176"/>
      <c r="BOW718" s="1176"/>
      <c r="BOX718" s="1176"/>
      <c r="BOY718" s="1176"/>
      <c r="BOZ718" s="1176"/>
      <c r="BPA718" s="1176"/>
      <c r="BPB718" s="1176"/>
      <c r="BPC718" s="1176"/>
      <c r="BPD718" s="1176"/>
      <c r="BPE718" s="1176"/>
      <c r="BPF718" s="1176"/>
      <c r="BPG718" s="1176"/>
      <c r="BPH718" s="1176"/>
      <c r="BPI718" s="1176"/>
      <c r="BPJ718" s="1176"/>
      <c r="BPK718" s="1176"/>
      <c r="BPL718" s="1176"/>
      <c r="BPM718" s="1176"/>
      <c r="BPN718" s="1176"/>
      <c r="BPO718" s="1176"/>
      <c r="BPP718" s="1176"/>
      <c r="BPQ718" s="1176"/>
      <c r="BPR718" s="1176"/>
      <c r="BPS718" s="1176"/>
      <c r="BPT718" s="1176"/>
      <c r="BPU718" s="1176"/>
      <c r="BPV718" s="1176"/>
      <c r="BPW718" s="1176"/>
      <c r="BPX718" s="1176"/>
      <c r="BPY718" s="1176"/>
      <c r="BPZ718" s="1176"/>
      <c r="BQA718" s="1176"/>
      <c r="BQB718" s="1176"/>
      <c r="BQC718" s="1176"/>
      <c r="BQD718" s="1176"/>
      <c r="BQE718" s="1176"/>
      <c r="BQF718" s="1176"/>
      <c r="BQG718" s="1176"/>
      <c r="BQH718" s="1176"/>
      <c r="BQI718" s="1176"/>
      <c r="BQJ718" s="1176"/>
      <c r="BQK718" s="1176"/>
      <c r="BQL718" s="1176"/>
      <c r="BQM718" s="1176"/>
      <c r="BQN718" s="1176"/>
      <c r="BQO718" s="1176"/>
      <c r="BQP718" s="1176"/>
      <c r="BQQ718" s="1176"/>
      <c r="BQR718" s="1176"/>
      <c r="BQS718" s="1176"/>
      <c r="BQT718" s="1176"/>
      <c r="BQU718" s="1176"/>
      <c r="BQV718" s="1176"/>
      <c r="BQW718" s="1176"/>
      <c r="BQX718" s="1176"/>
      <c r="BQY718" s="1176"/>
      <c r="BQZ718" s="1176"/>
      <c r="BRA718" s="1176"/>
      <c r="BRB718" s="1176"/>
      <c r="BRC718" s="1176"/>
      <c r="BRD718" s="1176"/>
      <c r="BRE718" s="1176"/>
      <c r="BRF718" s="1176"/>
      <c r="BRG718" s="1176"/>
      <c r="BRH718" s="1176"/>
      <c r="BRI718" s="1176"/>
      <c r="BRJ718" s="1176"/>
      <c r="BRK718" s="1176"/>
      <c r="BRL718" s="1176"/>
      <c r="BRM718" s="1176"/>
      <c r="BRN718" s="1176"/>
      <c r="BRO718" s="1176"/>
      <c r="BRP718" s="1176"/>
      <c r="BRQ718" s="1176"/>
      <c r="BRR718" s="1176"/>
      <c r="BRS718" s="1176"/>
      <c r="BRT718" s="1176"/>
      <c r="BRU718" s="1176"/>
      <c r="BRV718" s="1176"/>
      <c r="BRW718" s="1176"/>
      <c r="BRX718" s="1176"/>
      <c r="BRY718" s="1176"/>
      <c r="BRZ718" s="1176"/>
      <c r="BSA718" s="1176"/>
      <c r="BSB718" s="1176"/>
      <c r="BSC718" s="1176"/>
      <c r="BSD718" s="1176"/>
      <c r="BSE718" s="1176"/>
      <c r="BSF718" s="1176"/>
      <c r="BSG718" s="1176"/>
      <c r="BSH718" s="1176"/>
      <c r="BSI718" s="1176"/>
      <c r="BSJ718" s="1176"/>
      <c r="BSK718" s="1176"/>
      <c r="BSL718" s="1176"/>
      <c r="BSM718" s="1176"/>
      <c r="BSN718" s="1176"/>
      <c r="BSO718" s="1176"/>
      <c r="BSP718" s="1176"/>
      <c r="BSQ718" s="1176"/>
      <c r="BSR718" s="1176"/>
      <c r="BSS718" s="1176"/>
      <c r="BST718" s="1176"/>
      <c r="BSU718" s="1176"/>
      <c r="BSV718" s="1176"/>
      <c r="BSW718" s="1176"/>
      <c r="BSX718" s="1176"/>
      <c r="BSY718" s="1176"/>
      <c r="BSZ718" s="1176"/>
      <c r="BTA718" s="1176"/>
      <c r="BTB718" s="1176"/>
      <c r="BTC718" s="1176"/>
      <c r="BTD718" s="1176"/>
      <c r="BTE718" s="1176"/>
      <c r="BTF718" s="1176"/>
      <c r="BTG718" s="1176"/>
      <c r="BTH718" s="1176"/>
      <c r="BTI718" s="1176"/>
      <c r="BTJ718" s="1176"/>
      <c r="BTK718" s="1176"/>
      <c r="BTL718" s="1176"/>
      <c r="BTM718" s="1176"/>
      <c r="BTN718" s="1176"/>
      <c r="BTO718" s="1176"/>
      <c r="BTP718" s="1176"/>
      <c r="BTQ718" s="1176"/>
      <c r="BTR718" s="1176"/>
      <c r="BTS718" s="1176"/>
      <c r="BTT718" s="1176"/>
      <c r="BTU718" s="1176"/>
      <c r="BTV718" s="1176"/>
      <c r="BTW718" s="1176"/>
      <c r="BTX718" s="1176"/>
      <c r="BTY718" s="1176"/>
      <c r="BTZ718" s="1176"/>
      <c r="BUA718" s="1176"/>
      <c r="BUB718" s="1176"/>
      <c r="BUC718" s="1176"/>
      <c r="BUD718" s="1176"/>
      <c r="BUE718" s="1176"/>
      <c r="BUF718" s="1176"/>
      <c r="BUG718" s="1176"/>
      <c r="BUH718" s="1176"/>
      <c r="BUI718" s="1176"/>
      <c r="BUJ718" s="1176"/>
      <c r="BUK718" s="1176"/>
      <c r="BUL718" s="1176"/>
      <c r="BUM718" s="1176"/>
      <c r="BUN718" s="1176"/>
      <c r="BUO718" s="1176"/>
      <c r="BUP718" s="1176"/>
      <c r="BUQ718" s="1176"/>
      <c r="BUR718" s="1176"/>
      <c r="BUS718" s="1176"/>
      <c r="BUT718" s="1176"/>
      <c r="BUU718" s="1176"/>
      <c r="BUV718" s="1176"/>
      <c r="BUW718" s="1176"/>
      <c r="BUX718" s="1176"/>
      <c r="BUY718" s="1176"/>
      <c r="BUZ718" s="1176"/>
      <c r="BVA718" s="1176"/>
      <c r="BVB718" s="1176"/>
      <c r="BVC718" s="1176"/>
      <c r="BVD718" s="1176"/>
      <c r="BVE718" s="1176"/>
      <c r="BVF718" s="1176"/>
      <c r="BVG718" s="1176"/>
      <c r="BVH718" s="1176"/>
      <c r="BVI718" s="1176"/>
      <c r="BVJ718" s="1176"/>
      <c r="BVK718" s="1176"/>
      <c r="BVL718" s="1176"/>
      <c r="BVM718" s="1176"/>
      <c r="BVN718" s="1176"/>
      <c r="BVO718" s="1176"/>
      <c r="BVP718" s="1176"/>
      <c r="BVQ718" s="1176"/>
      <c r="BVR718" s="1176"/>
      <c r="BVS718" s="1176"/>
      <c r="BVT718" s="1176"/>
      <c r="BVU718" s="1176"/>
      <c r="BVV718" s="1176"/>
      <c r="BVW718" s="1176"/>
      <c r="BVX718" s="1176"/>
      <c r="BVY718" s="1176"/>
      <c r="BVZ718" s="1176"/>
      <c r="BWA718" s="1176"/>
      <c r="BWB718" s="1176"/>
      <c r="BWC718" s="1176"/>
      <c r="BWD718" s="1176"/>
      <c r="BWE718" s="1176"/>
      <c r="BWF718" s="1176"/>
      <c r="BWG718" s="1176"/>
      <c r="BWH718" s="1176"/>
      <c r="BWI718" s="1176"/>
      <c r="BWJ718" s="1176"/>
      <c r="BWK718" s="1176"/>
      <c r="BWL718" s="1176"/>
      <c r="BWM718" s="1176"/>
      <c r="BWN718" s="1176"/>
      <c r="BWO718" s="1176"/>
      <c r="BWP718" s="1176"/>
      <c r="BWQ718" s="1176"/>
      <c r="BWR718" s="1176"/>
      <c r="BWS718" s="1176"/>
      <c r="BWT718" s="1176"/>
      <c r="BWU718" s="1176"/>
      <c r="BWV718" s="1176"/>
      <c r="BWW718" s="1176"/>
      <c r="BWX718" s="1176"/>
      <c r="BWY718" s="1176"/>
      <c r="BWZ718" s="1176"/>
      <c r="BXA718" s="1176"/>
      <c r="BXB718" s="1176"/>
      <c r="BXC718" s="1176"/>
      <c r="BXD718" s="1176"/>
      <c r="BXE718" s="1176"/>
      <c r="BXF718" s="1176"/>
      <c r="BXG718" s="1176"/>
      <c r="BXH718" s="1176"/>
      <c r="BXI718" s="1176"/>
      <c r="BXJ718" s="1176"/>
      <c r="BXK718" s="1176"/>
      <c r="BXL718" s="1176"/>
      <c r="BXM718" s="1176"/>
      <c r="BXN718" s="1176"/>
      <c r="BXO718" s="1176"/>
      <c r="BXP718" s="1176"/>
      <c r="BXQ718" s="1176"/>
      <c r="BXR718" s="1176"/>
      <c r="BXS718" s="1176"/>
      <c r="BXT718" s="1176"/>
      <c r="BXU718" s="1176"/>
      <c r="BXV718" s="1176"/>
      <c r="BXW718" s="1176"/>
      <c r="BXX718" s="1176"/>
      <c r="BXY718" s="1176"/>
      <c r="BXZ718" s="1176"/>
      <c r="BYA718" s="1176"/>
      <c r="BYB718" s="1176"/>
      <c r="BYC718" s="1176"/>
      <c r="BYD718" s="1176"/>
      <c r="BYE718" s="1176"/>
      <c r="BYF718" s="1176"/>
      <c r="BYG718" s="1176"/>
      <c r="BYH718" s="1176"/>
      <c r="BYI718" s="1176"/>
      <c r="BYJ718" s="1176"/>
      <c r="BYK718" s="1176"/>
      <c r="BYL718" s="1176"/>
      <c r="BYM718" s="1176"/>
      <c r="BYN718" s="1176"/>
      <c r="BYO718" s="1176"/>
      <c r="BYP718" s="1176"/>
      <c r="BYQ718" s="1176"/>
      <c r="BYR718" s="1176"/>
      <c r="BYS718" s="1176"/>
      <c r="BYT718" s="1176"/>
      <c r="BYU718" s="1176"/>
      <c r="BYV718" s="1176"/>
      <c r="BYW718" s="1176"/>
      <c r="BYX718" s="1176"/>
      <c r="BYY718" s="1176"/>
      <c r="BYZ718" s="1176"/>
      <c r="BZA718" s="1176"/>
      <c r="BZB718" s="1176"/>
      <c r="BZC718" s="1176"/>
      <c r="BZD718" s="1176"/>
      <c r="BZE718" s="1176"/>
      <c r="BZF718" s="1176"/>
      <c r="BZG718" s="1176"/>
      <c r="BZH718" s="1176"/>
      <c r="BZI718" s="1176"/>
      <c r="BZJ718" s="1176"/>
      <c r="BZK718" s="1176"/>
      <c r="BZL718" s="1176"/>
      <c r="BZM718" s="1176"/>
      <c r="BZN718" s="1176"/>
      <c r="BZO718" s="1176"/>
      <c r="BZP718" s="1176"/>
      <c r="BZQ718" s="1176"/>
      <c r="BZR718" s="1176"/>
      <c r="BZS718" s="1176"/>
      <c r="BZT718" s="1176"/>
      <c r="BZU718" s="1176"/>
      <c r="BZV718" s="1176"/>
      <c r="BZW718" s="1176"/>
      <c r="BZX718" s="1176"/>
      <c r="BZY718" s="1176"/>
      <c r="BZZ718" s="1176"/>
      <c r="CAA718" s="1176"/>
      <c r="CAB718" s="1176"/>
      <c r="CAC718" s="1176"/>
      <c r="CAD718" s="1176"/>
      <c r="CAE718" s="1176"/>
      <c r="CAF718" s="1176"/>
      <c r="CAG718" s="1176"/>
      <c r="CAH718" s="1176"/>
      <c r="CAI718" s="1176"/>
      <c r="CAJ718" s="1176"/>
      <c r="CAK718" s="1176"/>
      <c r="CAL718" s="1176"/>
      <c r="CAM718" s="1176"/>
      <c r="CAN718" s="1176"/>
      <c r="CAO718" s="1176"/>
      <c r="CAP718" s="1176"/>
      <c r="CAQ718" s="1176"/>
      <c r="CAR718" s="1176"/>
      <c r="CAS718" s="1176"/>
      <c r="CAT718" s="1176"/>
      <c r="CAU718" s="1176"/>
      <c r="CAV718" s="1176"/>
      <c r="CAW718" s="1176"/>
      <c r="CAX718" s="1176"/>
      <c r="CAY718" s="1176"/>
      <c r="CAZ718" s="1176"/>
      <c r="CBA718" s="1176"/>
      <c r="CBB718" s="1176"/>
      <c r="CBC718" s="1176"/>
      <c r="CBD718" s="1176"/>
      <c r="CBE718" s="1176"/>
      <c r="CBF718" s="1176"/>
      <c r="CBG718" s="1176"/>
      <c r="CBH718" s="1176"/>
      <c r="CBI718" s="1176"/>
      <c r="CBJ718" s="1176"/>
      <c r="CBK718" s="1176"/>
      <c r="CBL718" s="1176"/>
      <c r="CBM718" s="1176"/>
      <c r="CBN718" s="1176"/>
      <c r="CBO718" s="1176"/>
      <c r="CBP718" s="1176"/>
      <c r="CBQ718" s="1176"/>
      <c r="CBR718" s="1176"/>
      <c r="CBS718" s="1176"/>
      <c r="CBT718" s="1176"/>
      <c r="CBU718" s="1176"/>
      <c r="CBV718" s="1176"/>
      <c r="CBW718" s="1176"/>
      <c r="CBX718" s="1176"/>
      <c r="CBY718" s="1176"/>
      <c r="CBZ718" s="1176"/>
      <c r="CCA718" s="1176"/>
      <c r="CCB718" s="1176"/>
      <c r="CCC718" s="1176"/>
      <c r="CCD718" s="1176"/>
      <c r="CCE718" s="1176"/>
      <c r="CCF718" s="1176"/>
      <c r="CCG718" s="1176"/>
      <c r="CCH718" s="1176"/>
      <c r="CCI718" s="1176"/>
      <c r="CCJ718" s="1176"/>
      <c r="CCK718" s="1176"/>
      <c r="CCL718" s="1176"/>
      <c r="CCM718" s="1176"/>
      <c r="CCN718" s="1176"/>
      <c r="CCO718" s="1176"/>
      <c r="CCP718" s="1176"/>
      <c r="CCQ718" s="1176"/>
      <c r="CCR718" s="1176"/>
      <c r="CCS718" s="1176"/>
      <c r="CCT718" s="1176"/>
      <c r="CCU718" s="1176"/>
      <c r="CCV718" s="1176"/>
      <c r="CCW718" s="1176"/>
      <c r="CCX718" s="1176"/>
      <c r="CCY718" s="1176"/>
      <c r="CCZ718" s="1176"/>
      <c r="CDA718" s="1176"/>
      <c r="CDB718" s="1176"/>
      <c r="CDC718" s="1176"/>
      <c r="CDD718" s="1176"/>
      <c r="CDE718" s="1176"/>
      <c r="CDF718" s="1176"/>
      <c r="CDG718" s="1176"/>
      <c r="CDH718" s="1176"/>
      <c r="CDI718" s="1176"/>
      <c r="CDJ718" s="1176"/>
      <c r="CDK718" s="1176"/>
      <c r="CDL718" s="1176"/>
      <c r="CDM718" s="1176"/>
      <c r="CDN718" s="1176"/>
      <c r="CDO718" s="1176"/>
      <c r="CDP718" s="1176"/>
      <c r="CDQ718" s="1176"/>
      <c r="CDR718" s="1176"/>
      <c r="CDS718" s="1176"/>
      <c r="CDT718" s="1176"/>
      <c r="CDU718" s="1176"/>
      <c r="CDV718" s="1176"/>
      <c r="CDW718" s="1176"/>
      <c r="CDX718" s="1176"/>
      <c r="CDY718" s="1176"/>
      <c r="CDZ718" s="1176"/>
      <c r="CEA718" s="1176"/>
      <c r="CEB718" s="1176"/>
      <c r="CEC718" s="1176"/>
      <c r="CED718" s="1176"/>
      <c r="CEE718" s="1176"/>
      <c r="CEF718" s="1176"/>
      <c r="CEG718" s="1176"/>
      <c r="CEH718" s="1176"/>
      <c r="CEI718" s="1176"/>
      <c r="CEJ718" s="1176"/>
      <c r="CEK718" s="1176"/>
      <c r="CEL718" s="1176"/>
      <c r="CEM718" s="1176"/>
      <c r="CEN718" s="1176"/>
      <c r="CEO718" s="1176"/>
      <c r="CEP718" s="1176"/>
      <c r="CEQ718" s="1176"/>
      <c r="CER718" s="1176"/>
      <c r="CES718" s="1176"/>
      <c r="CET718" s="1176"/>
      <c r="CEU718" s="1176"/>
      <c r="CEV718" s="1176"/>
      <c r="CEW718" s="1176"/>
      <c r="CEX718" s="1176"/>
      <c r="CEY718" s="1176"/>
      <c r="CEZ718" s="1176"/>
      <c r="CFA718" s="1176"/>
      <c r="CFB718" s="1176"/>
      <c r="CFC718" s="1176"/>
      <c r="CFD718" s="1176"/>
      <c r="CFE718" s="1176"/>
      <c r="CFF718" s="1176"/>
      <c r="CFG718" s="1176"/>
      <c r="CFH718" s="1176"/>
      <c r="CFI718" s="1176"/>
      <c r="CFJ718" s="1176"/>
      <c r="CFK718" s="1176"/>
      <c r="CFL718" s="1176"/>
      <c r="CFM718" s="1176"/>
      <c r="CFN718" s="1176"/>
      <c r="CFO718" s="1176"/>
      <c r="CFP718" s="1176"/>
      <c r="CFQ718" s="1176"/>
      <c r="CFR718" s="1176"/>
      <c r="CFS718" s="1176"/>
      <c r="CFT718" s="1176"/>
      <c r="CFU718" s="1176"/>
      <c r="CFV718" s="1176"/>
      <c r="CFW718" s="1176"/>
      <c r="CFX718" s="1176"/>
      <c r="CFY718" s="1176"/>
      <c r="CFZ718" s="1176"/>
      <c r="CGA718" s="1176"/>
      <c r="CGB718" s="1176"/>
      <c r="CGC718" s="1176"/>
      <c r="CGD718" s="1176"/>
      <c r="CGE718" s="1176"/>
      <c r="CGF718" s="1176"/>
      <c r="CGG718" s="1176"/>
      <c r="CGH718" s="1176"/>
      <c r="CGI718" s="1176"/>
      <c r="CGJ718" s="1176"/>
      <c r="CGK718" s="1176"/>
      <c r="CGL718" s="1176"/>
      <c r="CGM718" s="1176"/>
      <c r="CGN718" s="1176"/>
      <c r="CGO718" s="1176"/>
      <c r="CGP718" s="1176"/>
      <c r="CGQ718" s="1176"/>
      <c r="CGR718" s="1176"/>
      <c r="CGS718" s="1176"/>
      <c r="CGT718" s="1176"/>
      <c r="CGU718" s="1176"/>
      <c r="CGV718" s="1176"/>
      <c r="CGW718" s="1176"/>
      <c r="CGX718" s="1176"/>
      <c r="CGY718" s="1176"/>
      <c r="CGZ718" s="1176"/>
      <c r="CHA718" s="1176"/>
      <c r="CHB718" s="1176"/>
      <c r="CHC718" s="1176"/>
      <c r="CHD718" s="1176"/>
      <c r="CHE718" s="1176"/>
      <c r="CHF718" s="1176"/>
      <c r="CHG718" s="1176"/>
      <c r="CHH718" s="1176"/>
      <c r="CHI718" s="1176"/>
      <c r="CHJ718" s="1176"/>
      <c r="CHK718" s="1176"/>
      <c r="CHL718" s="1176"/>
      <c r="CHM718" s="1176"/>
      <c r="CHN718" s="1176"/>
      <c r="CHO718" s="1176"/>
      <c r="CHP718" s="1176"/>
      <c r="CHQ718" s="1176"/>
      <c r="CHR718" s="1176"/>
      <c r="CHS718" s="1176"/>
      <c r="CHT718" s="1176"/>
      <c r="CHU718" s="1176"/>
      <c r="CHV718" s="1176"/>
      <c r="CHW718" s="1176"/>
      <c r="CHX718" s="1176"/>
      <c r="CHY718" s="1176"/>
      <c r="CHZ718" s="1176"/>
      <c r="CIA718" s="1176"/>
      <c r="CIB718" s="1176"/>
      <c r="CIC718" s="1176"/>
      <c r="CID718" s="1176"/>
      <c r="CIE718" s="1176"/>
      <c r="CIF718" s="1176"/>
      <c r="CIG718" s="1176"/>
      <c r="CIH718" s="1176"/>
      <c r="CII718" s="1176"/>
      <c r="CIJ718" s="1176"/>
      <c r="CIK718" s="1176"/>
      <c r="CIL718" s="1176"/>
      <c r="CIM718" s="1176"/>
      <c r="CIN718" s="1176"/>
      <c r="CIO718" s="1176"/>
      <c r="CIP718" s="1176"/>
      <c r="CIQ718" s="1176"/>
      <c r="CIR718" s="1176"/>
      <c r="CIS718" s="1176"/>
      <c r="CIT718" s="1176"/>
      <c r="CIU718" s="1176"/>
      <c r="CIV718" s="1176"/>
      <c r="CIW718" s="1176"/>
      <c r="CIX718" s="1176"/>
      <c r="CIY718" s="1176"/>
      <c r="CIZ718" s="1176"/>
      <c r="CJA718" s="1176"/>
      <c r="CJB718" s="1176"/>
      <c r="CJC718" s="1176"/>
      <c r="CJD718" s="1176"/>
      <c r="CJE718" s="1176"/>
      <c r="CJF718" s="1176"/>
      <c r="CJG718" s="1176"/>
      <c r="CJH718" s="1176"/>
      <c r="CJI718" s="1176"/>
      <c r="CJJ718" s="1176"/>
      <c r="CJK718" s="1176"/>
      <c r="CJL718" s="1176"/>
      <c r="CJM718" s="1176"/>
      <c r="CJN718" s="1176"/>
      <c r="CJO718" s="1176"/>
      <c r="CJP718" s="1176"/>
      <c r="CJQ718" s="1176"/>
      <c r="CJR718" s="1176"/>
      <c r="CJS718" s="1176"/>
      <c r="CJT718" s="1176"/>
      <c r="CJU718" s="1176"/>
      <c r="CJV718" s="1176"/>
      <c r="CJW718" s="1176"/>
      <c r="CJX718" s="1176"/>
      <c r="CJY718" s="1176"/>
      <c r="CJZ718" s="1176"/>
      <c r="CKA718" s="1176"/>
      <c r="CKB718" s="1176"/>
      <c r="CKC718" s="1176"/>
      <c r="CKD718" s="1176"/>
      <c r="CKE718" s="1176"/>
      <c r="CKF718" s="1176"/>
      <c r="CKG718" s="1176"/>
      <c r="CKH718" s="1176"/>
      <c r="CKI718" s="1176"/>
      <c r="CKJ718" s="1176"/>
      <c r="CKK718" s="1176"/>
      <c r="CKL718" s="1176"/>
      <c r="CKM718" s="1176"/>
      <c r="CKN718" s="1176"/>
      <c r="CKO718" s="1176"/>
      <c r="CKP718" s="1176"/>
      <c r="CKQ718" s="1176"/>
      <c r="CKR718" s="1176"/>
      <c r="CKS718" s="1176"/>
      <c r="CKT718" s="1176"/>
      <c r="CKU718" s="1176"/>
      <c r="CKV718" s="1176"/>
      <c r="CKW718" s="1176"/>
      <c r="CKX718" s="1176"/>
      <c r="CKY718" s="1176"/>
      <c r="CKZ718" s="1176"/>
      <c r="CLA718" s="1176"/>
      <c r="CLB718" s="1176"/>
      <c r="CLC718" s="1176"/>
      <c r="CLD718" s="1176"/>
      <c r="CLE718" s="1176"/>
      <c r="CLF718" s="1176"/>
      <c r="CLG718" s="1176"/>
      <c r="CLH718" s="1176"/>
      <c r="CLI718" s="1176"/>
      <c r="CLJ718" s="1176"/>
      <c r="CLK718" s="1176"/>
      <c r="CLL718" s="1176"/>
      <c r="CLM718" s="1176"/>
      <c r="CLN718" s="1176"/>
      <c r="CLO718" s="1176"/>
      <c r="CLP718" s="1176"/>
      <c r="CLQ718" s="1176"/>
      <c r="CLR718" s="1176"/>
      <c r="CLS718" s="1176"/>
      <c r="CLT718" s="1176"/>
      <c r="CLU718" s="1176"/>
      <c r="CLV718" s="1176"/>
      <c r="CLW718" s="1176"/>
      <c r="CLX718" s="1176"/>
      <c r="CLY718" s="1176"/>
      <c r="CLZ718" s="1176"/>
      <c r="CMA718" s="1176"/>
      <c r="CMB718" s="1176"/>
      <c r="CMC718" s="1176"/>
      <c r="CMD718" s="1176"/>
      <c r="CME718" s="1176"/>
      <c r="CMF718" s="1176"/>
      <c r="CMG718" s="1176"/>
      <c r="CMH718" s="1176"/>
      <c r="CMI718" s="1176"/>
      <c r="CMJ718" s="1176"/>
      <c r="CMK718" s="1176"/>
      <c r="CML718" s="1176"/>
      <c r="CMM718" s="1176"/>
      <c r="CMN718" s="1176"/>
      <c r="CMO718" s="1176"/>
      <c r="CMP718" s="1176"/>
      <c r="CMQ718" s="1176"/>
      <c r="CMR718" s="1176"/>
      <c r="CMS718" s="1176"/>
      <c r="CMT718" s="1176"/>
      <c r="CMU718" s="1176"/>
      <c r="CMV718" s="1176"/>
      <c r="CMW718" s="1176"/>
      <c r="CMX718" s="1176"/>
      <c r="CMY718" s="1176"/>
      <c r="CMZ718" s="1176"/>
      <c r="CNA718" s="1176"/>
      <c r="CNB718" s="1176"/>
      <c r="CNC718" s="1176"/>
      <c r="CND718" s="1176"/>
      <c r="CNE718" s="1176"/>
      <c r="CNF718" s="1176"/>
      <c r="CNG718" s="1176"/>
      <c r="CNH718" s="1176"/>
      <c r="CNI718" s="1176"/>
      <c r="CNJ718" s="1176"/>
      <c r="CNK718" s="1176"/>
      <c r="CNL718" s="1176"/>
      <c r="CNM718" s="1176"/>
      <c r="CNN718" s="1176"/>
      <c r="CNO718" s="1176"/>
      <c r="CNP718" s="1176"/>
      <c r="CNQ718" s="1176"/>
      <c r="CNR718" s="1176"/>
      <c r="CNS718" s="1176"/>
      <c r="CNT718" s="1176"/>
      <c r="CNU718" s="1176"/>
      <c r="CNV718" s="1176"/>
      <c r="CNW718" s="1176"/>
      <c r="CNX718" s="1176"/>
      <c r="CNY718" s="1176"/>
      <c r="CNZ718" s="1176"/>
      <c r="COA718" s="1176"/>
      <c r="COB718" s="1176"/>
      <c r="COC718" s="1176"/>
      <c r="COD718" s="1176"/>
      <c r="COE718" s="1176"/>
      <c r="COF718" s="1176"/>
      <c r="COG718" s="1176"/>
      <c r="COH718" s="1176"/>
      <c r="COI718" s="1176"/>
      <c r="COJ718" s="1176"/>
      <c r="COK718" s="1176"/>
      <c r="COL718" s="1176"/>
      <c r="COM718" s="1176"/>
      <c r="CON718" s="1176"/>
      <c r="COO718" s="1176"/>
      <c r="COP718" s="1176"/>
      <c r="COQ718" s="1176"/>
      <c r="COR718" s="1176"/>
      <c r="COS718" s="1176"/>
      <c r="COT718" s="1176"/>
      <c r="COU718" s="1176"/>
      <c r="COV718" s="1176"/>
      <c r="COW718" s="1176"/>
      <c r="COX718" s="1176"/>
      <c r="COY718" s="1176"/>
      <c r="COZ718" s="1176"/>
      <c r="CPA718" s="1176"/>
      <c r="CPB718" s="1176"/>
      <c r="CPC718" s="1176"/>
      <c r="CPD718" s="1176"/>
      <c r="CPE718" s="1176"/>
      <c r="CPF718" s="1176"/>
      <c r="CPG718" s="1176"/>
      <c r="CPH718" s="1176"/>
      <c r="CPI718" s="1176"/>
      <c r="CPJ718" s="1176"/>
      <c r="CPK718" s="1176"/>
      <c r="CPL718" s="1176"/>
      <c r="CPM718" s="1176"/>
      <c r="CPN718" s="1176"/>
      <c r="CPO718" s="1176"/>
      <c r="CPP718" s="1176"/>
      <c r="CPQ718" s="1176"/>
      <c r="CPR718" s="1176"/>
      <c r="CPS718" s="1176"/>
      <c r="CPT718" s="1176"/>
      <c r="CPU718" s="1176"/>
      <c r="CPV718" s="1176"/>
      <c r="CPW718" s="1176"/>
      <c r="CPX718" s="1176"/>
      <c r="CPY718" s="1176"/>
      <c r="CPZ718" s="1176"/>
      <c r="CQA718" s="1176"/>
      <c r="CQB718" s="1176"/>
      <c r="CQC718" s="1176"/>
      <c r="CQD718" s="1176"/>
      <c r="CQE718" s="1176"/>
      <c r="CQF718" s="1176"/>
      <c r="CQG718" s="1176"/>
      <c r="CQH718" s="1176"/>
      <c r="CQI718" s="1176"/>
      <c r="CQJ718" s="1176"/>
      <c r="CQK718" s="1176"/>
      <c r="CQL718" s="1176"/>
      <c r="CQM718" s="1176"/>
      <c r="CQN718" s="1176"/>
      <c r="CQO718" s="1176"/>
      <c r="CQP718" s="1176"/>
      <c r="CQQ718" s="1176"/>
      <c r="CQR718" s="1176"/>
      <c r="CQS718" s="1176"/>
      <c r="CQT718" s="1176"/>
      <c r="CQU718" s="1176"/>
      <c r="CQV718" s="1176"/>
      <c r="CQW718" s="1176"/>
      <c r="CQX718" s="1176"/>
      <c r="CQY718" s="1176"/>
      <c r="CQZ718" s="1176"/>
      <c r="CRA718" s="1176"/>
      <c r="CRB718" s="1176"/>
      <c r="CRC718" s="1176"/>
      <c r="CRD718" s="1176"/>
      <c r="CRE718" s="1176"/>
      <c r="CRF718" s="1176"/>
      <c r="CRG718" s="1176"/>
      <c r="CRH718" s="1176"/>
      <c r="CRI718" s="1176"/>
      <c r="CRJ718" s="1176"/>
      <c r="CRK718" s="1176"/>
      <c r="CRL718" s="1176"/>
      <c r="CRM718" s="1176"/>
      <c r="CRN718" s="1176"/>
      <c r="CRO718" s="1176"/>
      <c r="CRP718" s="1176"/>
      <c r="CRQ718" s="1176"/>
      <c r="CRR718" s="1176"/>
      <c r="CRS718" s="1176"/>
      <c r="CRT718" s="1176"/>
      <c r="CRU718" s="1176"/>
      <c r="CRV718" s="1176"/>
      <c r="CRW718" s="1176"/>
      <c r="CRX718" s="1176"/>
      <c r="CRY718" s="1176"/>
      <c r="CRZ718" s="1176"/>
      <c r="CSA718" s="1176"/>
      <c r="CSB718" s="1176"/>
      <c r="CSC718" s="1176"/>
      <c r="CSD718" s="1176"/>
      <c r="CSE718" s="1176"/>
      <c r="CSF718" s="1176"/>
      <c r="CSG718" s="1176"/>
      <c r="CSH718" s="1176"/>
      <c r="CSI718" s="1176"/>
      <c r="CSJ718" s="1176"/>
      <c r="CSK718" s="1176"/>
      <c r="CSL718" s="1176"/>
      <c r="CSM718" s="1176"/>
      <c r="CSN718" s="1176"/>
      <c r="CSO718" s="1176"/>
      <c r="CSP718" s="1176"/>
      <c r="CSQ718" s="1176"/>
      <c r="CSR718" s="1176"/>
      <c r="CSS718" s="1176"/>
      <c r="CST718" s="1176"/>
      <c r="CSU718" s="1176"/>
      <c r="CSV718" s="1176"/>
      <c r="CSW718" s="1176"/>
      <c r="CSX718" s="1176"/>
      <c r="CSY718" s="1176"/>
      <c r="CSZ718" s="1176"/>
      <c r="CTA718" s="1176"/>
      <c r="CTB718" s="1176"/>
      <c r="CTC718" s="1176"/>
      <c r="CTD718" s="1176"/>
      <c r="CTE718" s="1176"/>
      <c r="CTF718" s="1176"/>
      <c r="CTG718" s="1176"/>
      <c r="CTH718" s="1176"/>
      <c r="CTI718" s="1176"/>
      <c r="CTJ718" s="1176"/>
      <c r="CTK718" s="1176"/>
      <c r="CTL718" s="1176"/>
      <c r="CTM718" s="1176"/>
      <c r="CTN718" s="1176"/>
      <c r="CTO718" s="1176"/>
      <c r="CTP718" s="1176"/>
      <c r="CTQ718" s="1176"/>
      <c r="CTR718" s="1176"/>
      <c r="CTS718" s="1176"/>
      <c r="CTT718" s="1176"/>
      <c r="CTU718" s="1176"/>
      <c r="CTV718" s="1176"/>
      <c r="CTW718" s="1176"/>
      <c r="CTX718" s="1176"/>
      <c r="CTY718" s="1176"/>
      <c r="CTZ718" s="1176"/>
      <c r="CUA718" s="1176"/>
      <c r="CUB718" s="1176"/>
      <c r="CUC718" s="1176"/>
      <c r="CUD718" s="1176"/>
      <c r="CUE718" s="1176"/>
      <c r="CUF718" s="1176"/>
      <c r="CUG718" s="1176"/>
      <c r="CUH718" s="1176"/>
      <c r="CUI718" s="1176"/>
      <c r="CUJ718" s="1176"/>
      <c r="CUK718" s="1176"/>
      <c r="CUL718" s="1176"/>
      <c r="CUM718" s="1176"/>
      <c r="CUN718" s="1176"/>
      <c r="CUO718" s="1176"/>
      <c r="CUP718" s="1176"/>
      <c r="CUQ718" s="1176"/>
      <c r="CUR718" s="1176"/>
      <c r="CUS718" s="1176"/>
      <c r="CUT718" s="1176"/>
      <c r="CUU718" s="1176"/>
      <c r="CUV718" s="1176"/>
      <c r="CUW718" s="1176"/>
      <c r="CUX718" s="1176"/>
      <c r="CUY718" s="1176"/>
      <c r="CUZ718" s="1176"/>
      <c r="CVA718" s="1176"/>
      <c r="CVB718" s="1176"/>
      <c r="CVC718" s="1176"/>
      <c r="CVD718" s="1176"/>
      <c r="CVE718" s="1176"/>
      <c r="CVF718" s="1176"/>
      <c r="CVG718" s="1176"/>
      <c r="CVH718" s="1176"/>
      <c r="CVI718" s="1176"/>
      <c r="CVJ718" s="1176"/>
      <c r="CVK718" s="1176"/>
      <c r="CVL718" s="1176"/>
      <c r="CVM718" s="1176"/>
      <c r="CVN718" s="1176"/>
      <c r="CVO718" s="1176"/>
      <c r="CVP718" s="1176"/>
      <c r="CVQ718" s="1176"/>
      <c r="CVR718" s="1176"/>
      <c r="CVS718" s="1176"/>
      <c r="CVT718" s="1176"/>
      <c r="CVU718" s="1176"/>
      <c r="CVV718" s="1176"/>
      <c r="CVW718" s="1176"/>
      <c r="CVX718" s="1176"/>
      <c r="CVY718" s="1176"/>
      <c r="CVZ718" s="1176"/>
      <c r="CWA718" s="1176"/>
      <c r="CWB718" s="1176"/>
      <c r="CWC718" s="1176"/>
      <c r="CWD718" s="1176"/>
      <c r="CWE718" s="1176"/>
      <c r="CWF718" s="1176"/>
      <c r="CWG718" s="1176"/>
      <c r="CWH718" s="1176"/>
      <c r="CWI718" s="1176"/>
      <c r="CWJ718" s="1176"/>
      <c r="CWK718" s="1176"/>
      <c r="CWL718" s="1176"/>
      <c r="CWM718" s="1176"/>
      <c r="CWN718" s="1176"/>
      <c r="CWO718" s="1176"/>
      <c r="CWP718" s="1176"/>
      <c r="CWQ718" s="1176"/>
      <c r="CWR718" s="1176"/>
      <c r="CWS718" s="1176"/>
      <c r="CWT718" s="1176"/>
      <c r="CWU718" s="1176"/>
      <c r="CWV718" s="1176"/>
      <c r="CWW718" s="1176"/>
      <c r="CWX718" s="1176"/>
      <c r="CWY718" s="1176"/>
      <c r="CWZ718" s="1176"/>
      <c r="CXA718" s="1176"/>
      <c r="CXB718" s="1176"/>
      <c r="CXC718" s="1176"/>
      <c r="CXD718" s="1176"/>
      <c r="CXE718" s="1176"/>
      <c r="CXF718" s="1176"/>
      <c r="CXG718" s="1176"/>
      <c r="CXH718" s="1176"/>
      <c r="CXI718" s="1176"/>
      <c r="CXJ718" s="1176"/>
      <c r="CXK718" s="1176"/>
      <c r="CXL718" s="1176"/>
      <c r="CXM718" s="1176"/>
      <c r="CXN718" s="1176"/>
      <c r="CXO718" s="1176"/>
      <c r="CXP718" s="1176"/>
      <c r="CXQ718" s="1176"/>
      <c r="CXR718" s="1176"/>
      <c r="CXS718" s="1176"/>
      <c r="CXT718" s="1176"/>
      <c r="CXU718" s="1176"/>
      <c r="CXV718" s="1176"/>
      <c r="CXW718" s="1176"/>
      <c r="CXX718" s="1176"/>
      <c r="CXY718" s="1176"/>
      <c r="CXZ718" s="1176"/>
      <c r="CYA718" s="1176"/>
      <c r="CYB718" s="1176"/>
      <c r="CYC718" s="1176"/>
      <c r="CYD718" s="1176"/>
      <c r="CYE718" s="1176"/>
      <c r="CYF718" s="1176"/>
      <c r="CYG718" s="1176"/>
      <c r="CYH718" s="1176"/>
      <c r="CYI718" s="1176"/>
      <c r="CYJ718" s="1176"/>
      <c r="CYK718" s="1176"/>
      <c r="CYL718" s="1176"/>
      <c r="CYM718" s="1176"/>
      <c r="CYN718" s="1176"/>
      <c r="CYO718" s="1176"/>
      <c r="CYP718" s="1176"/>
      <c r="CYQ718" s="1176"/>
      <c r="CYR718" s="1176"/>
      <c r="CYS718" s="1176"/>
      <c r="CYT718" s="1176"/>
      <c r="CYU718" s="1176"/>
      <c r="CYV718" s="1176"/>
      <c r="CYW718" s="1176"/>
      <c r="CYX718" s="1176"/>
      <c r="CYY718" s="1176"/>
      <c r="CYZ718" s="1176"/>
      <c r="CZA718" s="1176"/>
      <c r="CZB718" s="1176"/>
      <c r="CZC718" s="1176"/>
      <c r="CZD718" s="1176"/>
      <c r="CZE718" s="1176"/>
      <c r="CZF718" s="1176"/>
      <c r="CZG718" s="1176"/>
      <c r="CZH718" s="1176"/>
      <c r="CZI718" s="1176"/>
      <c r="CZJ718" s="1176"/>
      <c r="CZK718" s="1176"/>
      <c r="CZL718" s="1176"/>
      <c r="CZM718" s="1176"/>
      <c r="CZN718" s="1176"/>
      <c r="CZO718" s="1176"/>
      <c r="CZP718" s="1176"/>
      <c r="CZQ718" s="1176"/>
      <c r="CZR718" s="1176"/>
      <c r="CZS718" s="1176"/>
      <c r="CZT718" s="1176"/>
      <c r="CZU718" s="1176"/>
      <c r="CZV718" s="1176"/>
      <c r="CZW718" s="1176"/>
      <c r="CZX718" s="1176"/>
      <c r="CZY718" s="1176"/>
      <c r="CZZ718" s="1176"/>
      <c r="DAA718" s="1176"/>
      <c r="DAB718" s="1176"/>
      <c r="DAC718" s="1176"/>
      <c r="DAD718" s="1176"/>
      <c r="DAE718" s="1176"/>
      <c r="DAF718" s="1176"/>
      <c r="DAG718" s="1176"/>
      <c r="DAH718" s="1176"/>
      <c r="DAI718" s="1176"/>
      <c r="DAJ718" s="1176"/>
      <c r="DAK718" s="1176"/>
      <c r="DAL718" s="1176"/>
      <c r="DAM718" s="1176"/>
      <c r="DAN718" s="1176"/>
      <c r="DAO718" s="1176"/>
      <c r="DAP718" s="1176"/>
      <c r="DAQ718" s="1176"/>
      <c r="DAR718" s="1176"/>
      <c r="DAS718" s="1176"/>
      <c r="DAT718" s="1176"/>
      <c r="DAU718" s="1176"/>
      <c r="DAV718" s="1176"/>
      <c r="DAW718" s="1176"/>
      <c r="DAX718" s="1176"/>
      <c r="DAY718" s="1176"/>
      <c r="DAZ718" s="1176"/>
      <c r="DBA718" s="1176"/>
      <c r="DBB718" s="1176"/>
      <c r="DBC718" s="1176"/>
      <c r="DBD718" s="1176"/>
      <c r="DBE718" s="1176"/>
      <c r="DBF718" s="1176"/>
      <c r="DBG718" s="1176"/>
      <c r="DBH718" s="1176"/>
      <c r="DBI718" s="1176"/>
      <c r="DBJ718" s="1176"/>
      <c r="DBK718" s="1176"/>
      <c r="DBL718" s="1176"/>
      <c r="DBM718" s="1176"/>
      <c r="DBN718" s="1176"/>
      <c r="DBO718" s="1176"/>
      <c r="DBP718" s="1176"/>
      <c r="DBQ718" s="1176"/>
      <c r="DBR718" s="1176"/>
      <c r="DBS718" s="1176"/>
      <c r="DBT718" s="1176"/>
      <c r="DBU718" s="1176"/>
      <c r="DBV718" s="1176"/>
      <c r="DBW718" s="1176"/>
      <c r="DBX718" s="1176"/>
      <c r="DBY718" s="1176"/>
      <c r="DBZ718" s="1176"/>
      <c r="DCA718" s="1176"/>
      <c r="DCB718" s="1176"/>
      <c r="DCC718" s="1176"/>
      <c r="DCD718" s="1176"/>
      <c r="DCE718" s="1176"/>
      <c r="DCF718" s="1176"/>
      <c r="DCG718" s="1176"/>
      <c r="DCH718" s="1176"/>
      <c r="DCI718" s="1176"/>
      <c r="DCJ718" s="1176"/>
      <c r="DCK718" s="1176"/>
      <c r="DCL718" s="1176"/>
      <c r="DCM718" s="1176"/>
      <c r="DCN718" s="1176"/>
      <c r="DCO718" s="1176"/>
      <c r="DCP718" s="1176"/>
      <c r="DCQ718" s="1176"/>
      <c r="DCR718" s="1176"/>
      <c r="DCS718" s="1176"/>
      <c r="DCT718" s="1176"/>
      <c r="DCU718" s="1176"/>
      <c r="DCV718" s="1176"/>
      <c r="DCW718" s="1176"/>
      <c r="DCX718" s="1176"/>
      <c r="DCY718" s="1176"/>
      <c r="DCZ718" s="1176"/>
      <c r="DDA718" s="1176"/>
      <c r="DDB718" s="1176"/>
      <c r="DDC718" s="1176"/>
      <c r="DDD718" s="1176"/>
      <c r="DDE718" s="1176"/>
      <c r="DDF718" s="1176"/>
      <c r="DDG718" s="1176"/>
      <c r="DDH718" s="1176"/>
      <c r="DDI718" s="1176"/>
      <c r="DDJ718" s="1176"/>
      <c r="DDK718" s="1176"/>
      <c r="DDL718" s="1176"/>
      <c r="DDM718" s="1176"/>
      <c r="DDN718" s="1176"/>
      <c r="DDO718" s="1176"/>
      <c r="DDP718" s="1176"/>
      <c r="DDQ718" s="1176"/>
      <c r="DDR718" s="1176"/>
      <c r="DDS718" s="1176"/>
      <c r="DDT718" s="1176"/>
      <c r="DDU718" s="1176"/>
      <c r="DDV718" s="1176"/>
      <c r="DDW718" s="1176"/>
      <c r="DDX718" s="1176"/>
      <c r="DDY718" s="1176"/>
      <c r="DDZ718" s="1176"/>
      <c r="DEA718" s="1176"/>
      <c r="DEB718" s="1176"/>
      <c r="DEC718" s="1176"/>
      <c r="DED718" s="1176"/>
      <c r="DEE718" s="1176"/>
      <c r="DEF718" s="1176"/>
      <c r="DEG718" s="1176"/>
      <c r="DEH718" s="1176"/>
      <c r="DEI718" s="1176"/>
      <c r="DEJ718" s="1176"/>
      <c r="DEK718" s="1176"/>
      <c r="DEL718" s="1176"/>
      <c r="DEM718" s="1176"/>
      <c r="DEN718" s="1176"/>
      <c r="DEO718" s="1176"/>
      <c r="DEP718" s="1176"/>
      <c r="DEQ718" s="1176"/>
      <c r="DER718" s="1176"/>
      <c r="DES718" s="1176"/>
      <c r="DET718" s="1176"/>
      <c r="DEU718" s="1176"/>
      <c r="DEV718" s="1176"/>
      <c r="DEW718" s="1176"/>
      <c r="DEX718" s="1176"/>
      <c r="DEY718" s="1176"/>
      <c r="DEZ718" s="1176"/>
      <c r="DFA718" s="1176"/>
      <c r="DFB718" s="1176"/>
      <c r="DFC718" s="1176"/>
      <c r="DFD718" s="1176"/>
      <c r="DFE718" s="1176"/>
      <c r="DFF718" s="1176"/>
      <c r="DFG718" s="1176"/>
      <c r="DFH718" s="1176"/>
      <c r="DFI718" s="1176"/>
      <c r="DFJ718" s="1176"/>
      <c r="DFK718" s="1176"/>
      <c r="DFL718" s="1176"/>
      <c r="DFM718" s="1176"/>
      <c r="DFN718" s="1176"/>
      <c r="DFO718" s="1176"/>
      <c r="DFP718" s="1176"/>
      <c r="DFQ718" s="1176"/>
      <c r="DFR718" s="1176"/>
      <c r="DFS718" s="1176"/>
      <c r="DFT718" s="1176"/>
      <c r="DFU718" s="1176"/>
      <c r="DFV718" s="1176"/>
      <c r="DFW718" s="1176"/>
      <c r="DFX718" s="1176"/>
      <c r="DFY718" s="1176"/>
      <c r="DFZ718" s="1176"/>
      <c r="DGA718" s="1176"/>
      <c r="DGB718" s="1176"/>
      <c r="DGC718" s="1176"/>
      <c r="DGD718" s="1176"/>
      <c r="DGE718" s="1176"/>
      <c r="DGF718" s="1176"/>
      <c r="DGG718" s="1176"/>
      <c r="DGH718" s="1176"/>
      <c r="DGI718" s="1176"/>
      <c r="DGJ718" s="1176"/>
      <c r="DGK718" s="1176"/>
      <c r="DGL718" s="1176"/>
      <c r="DGM718" s="1176"/>
      <c r="DGN718" s="1176"/>
      <c r="DGO718" s="1176"/>
      <c r="DGP718" s="1176"/>
      <c r="DGQ718" s="1176"/>
      <c r="DGR718" s="1176"/>
      <c r="DGS718" s="1176"/>
      <c r="DGT718" s="1176"/>
      <c r="DGU718" s="1176"/>
      <c r="DGV718" s="1176"/>
      <c r="DGW718" s="1176"/>
      <c r="DGX718" s="1176"/>
      <c r="DGY718" s="1176"/>
      <c r="DGZ718" s="1176"/>
      <c r="DHA718" s="1176"/>
      <c r="DHB718" s="1176"/>
      <c r="DHC718" s="1176"/>
      <c r="DHD718" s="1176"/>
      <c r="DHE718" s="1176"/>
      <c r="DHF718" s="1176"/>
      <c r="DHG718" s="1176"/>
      <c r="DHH718" s="1176"/>
      <c r="DHI718" s="1176"/>
      <c r="DHJ718" s="1176"/>
      <c r="DHK718" s="1176"/>
      <c r="DHL718" s="1176"/>
      <c r="DHM718" s="1176"/>
      <c r="DHN718" s="1176"/>
      <c r="DHO718" s="1176"/>
      <c r="DHP718" s="1176"/>
      <c r="DHQ718" s="1176"/>
      <c r="DHR718" s="1176"/>
      <c r="DHS718" s="1176"/>
      <c r="DHT718" s="1176"/>
      <c r="DHU718" s="1176"/>
      <c r="DHV718" s="1176"/>
      <c r="DHW718" s="1176"/>
      <c r="DHX718" s="1176"/>
      <c r="DHY718" s="1176"/>
      <c r="DHZ718" s="1176"/>
      <c r="DIA718" s="1176"/>
      <c r="DIB718" s="1176"/>
      <c r="DIC718" s="1176"/>
      <c r="DID718" s="1176"/>
      <c r="DIE718" s="1176"/>
      <c r="DIF718" s="1176"/>
      <c r="DIG718" s="1176"/>
      <c r="DIH718" s="1176"/>
      <c r="DII718" s="1176"/>
      <c r="DIJ718" s="1176"/>
      <c r="DIK718" s="1176"/>
      <c r="DIL718" s="1176"/>
      <c r="DIM718" s="1176"/>
      <c r="DIN718" s="1176"/>
      <c r="DIO718" s="1176"/>
      <c r="DIP718" s="1176"/>
      <c r="DIQ718" s="1176"/>
      <c r="DIR718" s="1176"/>
      <c r="DIS718" s="1176"/>
      <c r="DIT718" s="1176"/>
      <c r="DIU718" s="1176"/>
      <c r="DIV718" s="1176"/>
      <c r="DIW718" s="1176"/>
      <c r="DIX718" s="1176"/>
      <c r="DIY718" s="1176"/>
      <c r="DIZ718" s="1176"/>
      <c r="DJA718" s="1176"/>
      <c r="DJB718" s="1176"/>
      <c r="DJC718" s="1176"/>
      <c r="DJD718" s="1176"/>
      <c r="DJE718" s="1176"/>
      <c r="DJF718" s="1176"/>
      <c r="DJG718" s="1176"/>
      <c r="DJH718" s="1176"/>
      <c r="DJI718" s="1176"/>
      <c r="DJJ718" s="1176"/>
      <c r="DJK718" s="1176"/>
      <c r="DJL718" s="1176"/>
      <c r="DJM718" s="1176"/>
      <c r="DJN718" s="1176"/>
      <c r="DJO718" s="1176"/>
      <c r="DJP718" s="1176"/>
      <c r="DJQ718" s="1176"/>
      <c r="DJR718" s="1176"/>
      <c r="DJS718" s="1176"/>
      <c r="DJT718" s="1176"/>
      <c r="DJU718" s="1176"/>
      <c r="DJV718" s="1176"/>
      <c r="DJW718" s="1176"/>
      <c r="DJX718" s="1176"/>
      <c r="DJY718" s="1176"/>
      <c r="DJZ718" s="1176"/>
      <c r="DKA718" s="1176"/>
      <c r="DKB718" s="1176"/>
      <c r="DKC718" s="1176"/>
      <c r="DKD718" s="1176"/>
      <c r="DKE718" s="1176"/>
      <c r="DKF718" s="1176"/>
      <c r="DKG718" s="1176"/>
      <c r="DKH718" s="1176"/>
      <c r="DKI718" s="1176"/>
      <c r="DKJ718" s="1176"/>
      <c r="DKK718" s="1176"/>
      <c r="DKL718" s="1176"/>
      <c r="DKM718" s="1176"/>
      <c r="DKN718" s="1176"/>
      <c r="DKO718" s="1176"/>
      <c r="DKP718" s="1176"/>
      <c r="DKQ718" s="1176"/>
      <c r="DKR718" s="1176"/>
      <c r="DKS718" s="1176"/>
      <c r="DKT718" s="1176"/>
      <c r="DKU718" s="1176"/>
      <c r="DKV718" s="1176"/>
      <c r="DKW718" s="1176"/>
      <c r="DKX718" s="1176"/>
      <c r="DKY718" s="1176"/>
      <c r="DKZ718" s="1176"/>
      <c r="DLA718" s="1176"/>
      <c r="DLB718" s="1176"/>
      <c r="DLC718" s="1176"/>
      <c r="DLD718" s="1176"/>
      <c r="DLE718" s="1176"/>
      <c r="DLF718" s="1176"/>
      <c r="DLG718" s="1176"/>
      <c r="DLH718" s="1176"/>
      <c r="DLI718" s="1176"/>
      <c r="DLJ718" s="1176"/>
      <c r="DLK718" s="1176"/>
      <c r="DLL718" s="1176"/>
      <c r="DLM718" s="1176"/>
      <c r="DLN718" s="1176"/>
      <c r="DLO718" s="1176"/>
      <c r="DLP718" s="1176"/>
      <c r="DLQ718" s="1176"/>
      <c r="DLR718" s="1176"/>
      <c r="DLS718" s="1176"/>
      <c r="DLT718" s="1176"/>
      <c r="DLU718" s="1176"/>
      <c r="DLV718" s="1176"/>
      <c r="DLW718" s="1176"/>
      <c r="DLX718" s="1176"/>
      <c r="DLY718" s="1176"/>
      <c r="DLZ718" s="1176"/>
      <c r="DMA718" s="1176"/>
      <c r="DMB718" s="1176"/>
      <c r="DMC718" s="1176"/>
      <c r="DMD718" s="1176"/>
      <c r="DME718" s="1176"/>
      <c r="DMF718" s="1176"/>
      <c r="DMG718" s="1176"/>
      <c r="DMH718" s="1176"/>
      <c r="DMI718" s="1176"/>
      <c r="DMJ718" s="1176"/>
      <c r="DMK718" s="1176"/>
      <c r="DML718" s="1176"/>
      <c r="DMM718" s="1176"/>
      <c r="DMN718" s="1176"/>
      <c r="DMO718" s="1176"/>
      <c r="DMP718" s="1176"/>
      <c r="DMQ718" s="1176"/>
      <c r="DMR718" s="1176"/>
      <c r="DMS718" s="1176"/>
      <c r="DMT718" s="1176"/>
      <c r="DMU718" s="1176"/>
      <c r="DMV718" s="1176"/>
      <c r="DMW718" s="1176"/>
      <c r="DMX718" s="1176"/>
      <c r="DMY718" s="1176"/>
      <c r="DMZ718" s="1176"/>
      <c r="DNA718" s="1176"/>
      <c r="DNB718" s="1176"/>
      <c r="DNC718" s="1176"/>
      <c r="DND718" s="1176"/>
      <c r="DNE718" s="1176"/>
      <c r="DNF718" s="1176"/>
      <c r="DNG718" s="1176"/>
      <c r="DNH718" s="1176"/>
      <c r="DNI718" s="1176"/>
      <c r="DNJ718" s="1176"/>
      <c r="DNK718" s="1176"/>
      <c r="DNL718" s="1176"/>
      <c r="DNM718" s="1176"/>
      <c r="DNN718" s="1176"/>
      <c r="DNO718" s="1176"/>
      <c r="DNP718" s="1176"/>
      <c r="DNQ718" s="1176"/>
      <c r="DNR718" s="1176"/>
      <c r="DNS718" s="1176"/>
      <c r="DNT718" s="1176"/>
      <c r="DNU718" s="1176"/>
      <c r="DNV718" s="1176"/>
      <c r="DNW718" s="1176"/>
      <c r="DNX718" s="1176"/>
      <c r="DNY718" s="1176"/>
      <c r="DNZ718" s="1176"/>
      <c r="DOA718" s="1176"/>
      <c r="DOB718" s="1176"/>
      <c r="DOC718" s="1176"/>
      <c r="DOD718" s="1176"/>
      <c r="DOE718" s="1176"/>
      <c r="DOF718" s="1176"/>
      <c r="DOG718" s="1176"/>
      <c r="DOH718" s="1176"/>
      <c r="DOI718" s="1176"/>
      <c r="DOJ718" s="1176"/>
      <c r="DOK718" s="1176"/>
      <c r="DOL718" s="1176"/>
      <c r="DOM718" s="1176"/>
      <c r="DON718" s="1176"/>
      <c r="DOO718" s="1176"/>
      <c r="DOP718" s="1176"/>
      <c r="DOQ718" s="1176"/>
      <c r="DOR718" s="1176"/>
      <c r="DOS718" s="1176"/>
      <c r="DOT718" s="1176"/>
      <c r="DOU718" s="1176"/>
      <c r="DOV718" s="1176"/>
      <c r="DOW718" s="1176"/>
      <c r="DOX718" s="1176"/>
      <c r="DOY718" s="1176"/>
      <c r="DOZ718" s="1176"/>
      <c r="DPA718" s="1176"/>
      <c r="DPB718" s="1176"/>
      <c r="DPC718" s="1176"/>
      <c r="DPD718" s="1176"/>
      <c r="DPE718" s="1176"/>
      <c r="DPF718" s="1176"/>
      <c r="DPG718" s="1176"/>
      <c r="DPH718" s="1176"/>
      <c r="DPI718" s="1176"/>
      <c r="DPJ718" s="1176"/>
      <c r="DPK718" s="1176"/>
      <c r="DPL718" s="1176"/>
      <c r="DPM718" s="1176"/>
      <c r="DPN718" s="1176"/>
      <c r="DPO718" s="1176"/>
      <c r="DPP718" s="1176"/>
      <c r="DPQ718" s="1176"/>
      <c r="DPR718" s="1176"/>
      <c r="DPS718" s="1176"/>
      <c r="DPT718" s="1176"/>
      <c r="DPU718" s="1176"/>
      <c r="DPV718" s="1176"/>
      <c r="DPW718" s="1176"/>
      <c r="DPX718" s="1176"/>
      <c r="DPY718" s="1176"/>
      <c r="DPZ718" s="1176"/>
      <c r="DQA718" s="1176"/>
      <c r="DQB718" s="1176"/>
      <c r="DQC718" s="1176"/>
      <c r="DQD718" s="1176"/>
      <c r="DQE718" s="1176"/>
      <c r="DQF718" s="1176"/>
      <c r="DQG718" s="1176"/>
      <c r="DQH718" s="1176"/>
      <c r="DQI718" s="1176"/>
      <c r="DQJ718" s="1176"/>
      <c r="DQK718" s="1176"/>
      <c r="DQL718" s="1176"/>
      <c r="DQM718" s="1176"/>
      <c r="DQN718" s="1176"/>
      <c r="DQO718" s="1176"/>
      <c r="DQP718" s="1176"/>
      <c r="DQQ718" s="1176"/>
      <c r="DQR718" s="1176"/>
      <c r="DQS718" s="1176"/>
      <c r="DQT718" s="1176"/>
      <c r="DQU718" s="1176"/>
      <c r="DQV718" s="1176"/>
      <c r="DQW718" s="1176"/>
      <c r="DQX718" s="1176"/>
      <c r="DQY718" s="1176"/>
      <c r="DQZ718" s="1176"/>
      <c r="DRA718" s="1176"/>
      <c r="DRB718" s="1176"/>
      <c r="DRC718" s="1176"/>
      <c r="DRD718" s="1176"/>
      <c r="DRE718" s="1176"/>
      <c r="DRF718" s="1176"/>
      <c r="DRG718" s="1176"/>
      <c r="DRH718" s="1176"/>
      <c r="DRI718" s="1176"/>
      <c r="DRJ718" s="1176"/>
      <c r="DRK718" s="1176"/>
      <c r="DRL718" s="1176"/>
      <c r="DRM718" s="1176"/>
      <c r="DRN718" s="1176"/>
      <c r="DRO718" s="1176"/>
      <c r="DRP718" s="1176"/>
      <c r="DRQ718" s="1176"/>
      <c r="DRR718" s="1176"/>
      <c r="DRS718" s="1176"/>
      <c r="DRT718" s="1176"/>
      <c r="DRU718" s="1176"/>
      <c r="DRV718" s="1176"/>
      <c r="DRW718" s="1176"/>
      <c r="DRX718" s="1176"/>
      <c r="DRY718" s="1176"/>
      <c r="DRZ718" s="1176"/>
      <c r="DSA718" s="1176"/>
      <c r="DSB718" s="1176"/>
      <c r="DSC718" s="1176"/>
      <c r="DSD718" s="1176"/>
      <c r="DSE718" s="1176"/>
      <c r="DSF718" s="1176"/>
      <c r="DSG718" s="1176"/>
      <c r="DSH718" s="1176"/>
      <c r="DSI718" s="1176"/>
      <c r="DSJ718" s="1176"/>
      <c r="DSK718" s="1176"/>
      <c r="DSL718" s="1176"/>
      <c r="DSM718" s="1176"/>
      <c r="DSN718" s="1176"/>
      <c r="DSO718" s="1176"/>
      <c r="DSP718" s="1176"/>
      <c r="DSQ718" s="1176"/>
      <c r="DSR718" s="1176"/>
      <c r="DSS718" s="1176"/>
      <c r="DST718" s="1176"/>
      <c r="DSU718" s="1176"/>
      <c r="DSV718" s="1176"/>
      <c r="DSW718" s="1176"/>
      <c r="DSX718" s="1176"/>
      <c r="DSY718" s="1176"/>
      <c r="DSZ718" s="1176"/>
      <c r="DTA718" s="1176"/>
      <c r="DTB718" s="1176"/>
      <c r="DTC718" s="1176"/>
      <c r="DTD718" s="1176"/>
      <c r="DTE718" s="1176"/>
      <c r="DTF718" s="1176"/>
      <c r="DTG718" s="1176"/>
      <c r="DTH718" s="1176"/>
      <c r="DTI718" s="1176"/>
      <c r="DTJ718" s="1176"/>
      <c r="DTK718" s="1176"/>
      <c r="DTL718" s="1176"/>
      <c r="DTM718" s="1176"/>
      <c r="DTN718" s="1176"/>
      <c r="DTO718" s="1176"/>
      <c r="DTP718" s="1176"/>
      <c r="DTQ718" s="1176"/>
      <c r="DTR718" s="1176"/>
      <c r="DTS718" s="1176"/>
      <c r="DTT718" s="1176"/>
      <c r="DTU718" s="1176"/>
      <c r="DTV718" s="1176"/>
      <c r="DTW718" s="1176"/>
      <c r="DTX718" s="1176"/>
      <c r="DTY718" s="1176"/>
      <c r="DTZ718" s="1176"/>
      <c r="DUA718" s="1176"/>
      <c r="DUB718" s="1176"/>
      <c r="DUC718" s="1176"/>
      <c r="DUD718" s="1176"/>
      <c r="DUE718" s="1176"/>
      <c r="DUF718" s="1176"/>
      <c r="DUG718" s="1176"/>
      <c r="DUH718" s="1176"/>
      <c r="DUI718" s="1176"/>
      <c r="DUJ718" s="1176"/>
      <c r="DUK718" s="1176"/>
      <c r="DUL718" s="1176"/>
      <c r="DUM718" s="1176"/>
      <c r="DUN718" s="1176"/>
      <c r="DUO718" s="1176"/>
      <c r="DUP718" s="1176"/>
      <c r="DUQ718" s="1176"/>
      <c r="DUR718" s="1176"/>
      <c r="DUS718" s="1176"/>
      <c r="DUT718" s="1176"/>
      <c r="DUU718" s="1176"/>
      <c r="DUV718" s="1176"/>
      <c r="DUW718" s="1176"/>
      <c r="DUX718" s="1176"/>
      <c r="DUY718" s="1176"/>
      <c r="DUZ718" s="1176"/>
      <c r="DVA718" s="1176"/>
      <c r="DVB718" s="1176"/>
      <c r="DVC718" s="1176"/>
      <c r="DVD718" s="1176"/>
      <c r="DVE718" s="1176"/>
      <c r="DVF718" s="1176"/>
      <c r="DVG718" s="1176"/>
      <c r="DVH718" s="1176"/>
      <c r="DVI718" s="1176"/>
      <c r="DVJ718" s="1176"/>
      <c r="DVK718" s="1176"/>
      <c r="DVL718" s="1176"/>
      <c r="DVM718" s="1176"/>
      <c r="DVN718" s="1176"/>
      <c r="DVO718" s="1176"/>
      <c r="DVP718" s="1176"/>
      <c r="DVQ718" s="1176"/>
      <c r="DVR718" s="1176"/>
      <c r="DVS718" s="1176"/>
      <c r="DVT718" s="1176"/>
      <c r="DVU718" s="1176"/>
      <c r="DVV718" s="1176"/>
      <c r="DVW718" s="1176"/>
      <c r="DVX718" s="1176"/>
      <c r="DVY718" s="1176"/>
      <c r="DVZ718" s="1176"/>
      <c r="DWA718" s="1176"/>
      <c r="DWB718" s="1176"/>
      <c r="DWC718" s="1176"/>
      <c r="DWD718" s="1176"/>
      <c r="DWE718" s="1176"/>
      <c r="DWF718" s="1176"/>
      <c r="DWG718" s="1176"/>
      <c r="DWH718" s="1176"/>
      <c r="DWI718" s="1176"/>
      <c r="DWJ718" s="1176"/>
      <c r="DWK718" s="1176"/>
      <c r="DWL718" s="1176"/>
      <c r="DWM718" s="1176"/>
      <c r="DWN718" s="1176"/>
      <c r="DWO718" s="1176"/>
      <c r="DWP718" s="1176"/>
      <c r="DWQ718" s="1176"/>
      <c r="DWR718" s="1176"/>
      <c r="DWS718" s="1176"/>
      <c r="DWT718" s="1176"/>
      <c r="DWU718" s="1176"/>
      <c r="DWV718" s="1176"/>
      <c r="DWW718" s="1176"/>
      <c r="DWX718" s="1176"/>
      <c r="DWY718" s="1176"/>
      <c r="DWZ718" s="1176"/>
      <c r="DXA718" s="1176"/>
      <c r="DXB718" s="1176"/>
      <c r="DXC718" s="1176"/>
      <c r="DXD718" s="1176"/>
      <c r="DXE718" s="1176"/>
      <c r="DXF718" s="1176"/>
      <c r="DXG718" s="1176"/>
      <c r="DXH718" s="1176"/>
      <c r="DXI718" s="1176"/>
      <c r="DXJ718" s="1176"/>
      <c r="DXK718" s="1176"/>
      <c r="DXL718" s="1176"/>
      <c r="DXM718" s="1176"/>
      <c r="DXN718" s="1176"/>
      <c r="DXO718" s="1176"/>
      <c r="DXP718" s="1176"/>
      <c r="DXQ718" s="1176"/>
      <c r="DXR718" s="1176"/>
      <c r="DXS718" s="1176"/>
      <c r="DXT718" s="1176"/>
      <c r="DXU718" s="1176"/>
      <c r="DXV718" s="1176"/>
      <c r="DXW718" s="1176"/>
      <c r="DXX718" s="1176"/>
      <c r="DXY718" s="1176"/>
      <c r="DXZ718" s="1176"/>
      <c r="DYA718" s="1176"/>
      <c r="DYB718" s="1176"/>
      <c r="DYC718" s="1176"/>
      <c r="DYD718" s="1176"/>
      <c r="DYE718" s="1176"/>
      <c r="DYF718" s="1176"/>
      <c r="DYG718" s="1176"/>
      <c r="DYH718" s="1176"/>
      <c r="DYI718" s="1176"/>
      <c r="DYJ718" s="1176"/>
      <c r="DYK718" s="1176"/>
      <c r="DYL718" s="1176"/>
      <c r="DYM718" s="1176"/>
      <c r="DYN718" s="1176"/>
      <c r="DYO718" s="1176"/>
      <c r="DYP718" s="1176"/>
      <c r="DYQ718" s="1176"/>
      <c r="DYR718" s="1176"/>
      <c r="DYS718" s="1176"/>
      <c r="DYT718" s="1176"/>
      <c r="DYU718" s="1176"/>
      <c r="DYV718" s="1176"/>
      <c r="DYW718" s="1176"/>
      <c r="DYX718" s="1176"/>
      <c r="DYY718" s="1176"/>
      <c r="DYZ718" s="1176"/>
      <c r="DZA718" s="1176"/>
      <c r="DZB718" s="1176"/>
      <c r="DZC718" s="1176"/>
      <c r="DZD718" s="1176"/>
      <c r="DZE718" s="1176"/>
      <c r="DZF718" s="1176"/>
      <c r="DZG718" s="1176"/>
      <c r="DZH718" s="1176"/>
      <c r="DZI718" s="1176"/>
      <c r="DZJ718" s="1176"/>
      <c r="DZK718" s="1176"/>
      <c r="DZL718" s="1176"/>
      <c r="DZM718" s="1176"/>
      <c r="DZN718" s="1176"/>
      <c r="DZO718" s="1176"/>
      <c r="DZP718" s="1176"/>
      <c r="DZQ718" s="1176"/>
      <c r="DZR718" s="1176"/>
      <c r="DZS718" s="1176"/>
      <c r="DZT718" s="1176"/>
      <c r="DZU718" s="1176"/>
      <c r="DZV718" s="1176"/>
      <c r="DZW718" s="1176"/>
      <c r="DZX718" s="1176"/>
      <c r="DZY718" s="1176"/>
      <c r="DZZ718" s="1176"/>
      <c r="EAA718" s="1176"/>
      <c r="EAB718" s="1176"/>
      <c r="EAC718" s="1176"/>
      <c r="EAD718" s="1176"/>
      <c r="EAE718" s="1176"/>
      <c r="EAF718" s="1176"/>
      <c r="EAG718" s="1176"/>
      <c r="EAH718" s="1176"/>
      <c r="EAI718" s="1176"/>
      <c r="EAJ718" s="1176"/>
      <c r="EAK718" s="1176"/>
      <c r="EAL718" s="1176"/>
      <c r="EAM718" s="1176"/>
      <c r="EAN718" s="1176"/>
      <c r="EAO718" s="1176"/>
      <c r="EAP718" s="1176"/>
      <c r="EAQ718" s="1176"/>
      <c r="EAR718" s="1176"/>
      <c r="EAS718" s="1176"/>
      <c r="EAT718" s="1176"/>
      <c r="EAU718" s="1176"/>
      <c r="EAV718" s="1176"/>
      <c r="EAW718" s="1176"/>
      <c r="EAX718" s="1176"/>
      <c r="EAY718" s="1176"/>
      <c r="EAZ718" s="1176"/>
      <c r="EBA718" s="1176"/>
      <c r="EBB718" s="1176"/>
      <c r="EBC718" s="1176"/>
      <c r="EBD718" s="1176"/>
      <c r="EBE718" s="1176"/>
      <c r="EBF718" s="1176"/>
      <c r="EBG718" s="1176"/>
      <c r="EBH718" s="1176"/>
      <c r="EBI718" s="1176"/>
      <c r="EBJ718" s="1176"/>
      <c r="EBK718" s="1176"/>
      <c r="EBL718" s="1176"/>
      <c r="EBM718" s="1176"/>
      <c r="EBN718" s="1176"/>
      <c r="EBO718" s="1176"/>
      <c r="EBP718" s="1176"/>
      <c r="EBQ718" s="1176"/>
      <c r="EBR718" s="1176"/>
      <c r="EBS718" s="1176"/>
      <c r="EBT718" s="1176"/>
      <c r="EBU718" s="1176"/>
      <c r="EBV718" s="1176"/>
      <c r="EBW718" s="1176"/>
      <c r="EBX718" s="1176"/>
      <c r="EBY718" s="1176"/>
      <c r="EBZ718" s="1176"/>
      <c r="ECA718" s="1176"/>
      <c r="ECB718" s="1176"/>
      <c r="ECC718" s="1176"/>
      <c r="ECD718" s="1176"/>
      <c r="ECE718" s="1176"/>
      <c r="ECF718" s="1176"/>
      <c r="ECG718" s="1176"/>
      <c r="ECH718" s="1176"/>
      <c r="ECI718" s="1176"/>
      <c r="ECJ718" s="1176"/>
      <c r="ECK718" s="1176"/>
      <c r="ECL718" s="1176"/>
      <c r="ECM718" s="1176"/>
      <c r="ECN718" s="1176"/>
      <c r="ECO718" s="1176"/>
      <c r="ECP718" s="1176"/>
      <c r="ECQ718" s="1176"/>
      <c r="ECR718" s="1176"/>
      <c r="ECS718" s="1176"/>
      <c r="ECT718" s="1176"/>
      <c r="ECU718" s="1176"/>
      <c r="ECV718" s="1176"/>
      <c r="ECW718" s="1176"/>
      <c r="ECX718" s="1176"/>
      <c r="ECY718" s="1176"/>
      <c r="ECZ718" s="1176"/>
      <c r="EDA718" s="1176"/>
      <c r="EDB718" s="1176"/>
      <c r="EDC718" s="1176"/>
      <c r="EDD718" s="1176"/>
      <c r="EDE718" s="1176"/>
      <c r="EDF718" s="1176"/>
      <c r="EDG718" s="1176"/>
      <c r="EDH718" s="1176"/>
      <c r="EDI718" s="1176"/>
      <c r="EDJ718" s="1176"/>
      <c r="EDK718" s="1176"/>
      <c r="EDL718" s="1176"/>
      <c r="EDM718" s="1176"/>
      <c r="EDN718" s="1176"/>
      <c r="EDO718" s="1176"/>
      <c r="EDP718" s="1176"/>
      <c r="EDQ718" s="1176"/>
      <c r="EDR718" s="1176"/>
      <c r="EDS718" s="1176"/>
      <c r="EDT718" s="1176"/>
      <c r="EDU718" s="1176"/>
      <c r="EDV718" s="1176"/>
      <c r="EDW718" s="1176"/>
      <c r="EDX718" s="1176"/>
      <c r="EDY718" s="1176"/>
      <c r="EDZ718" s="1176"/>
      <c r="EEA718" s="1176"/>
      <c r="EEB718" s="1176"/>
      <c r="EEC718" s="1176"/>
      <c r="EED718" s="1176"/>
      <c r="EEE718" s="1176"/>
      <c r="EEF718" s="1176"/>
      <c r="EEG718" s="1176"/>
      <c r="EEH718" s="1176"/>
      <c r="EEI718" s="1176"/>
      <c r="EEJ718" s="1176"/>
      <c r="EEK718" s="1176"/>
      <c r="EEL718" s="1176"/>
      <c r="EEM718" s="1176"/>
      <c r="EEN718" s="1176"/>
      <c r="EEO718" s="1176"/>
      <c r="EEP718" s="1176"/>
      <c r="EEQ718" s="1176"/>
      <c r="EER718" s="1176"/>
      <c r="EES718" s="1176"/>
      <c r="EET718" s="1176"/>
      <c r="EEU718" s="1176"/>
      <c r="EEV718" s="1176"/>
      <c r="EEW718" s="1176"/>
      <c r="EEX718" s="1176"/>
      <c r="EEY718" s="1176"/>
      <c r="EEZ718" s="1176"/>
      <c r="EFA718" s="1176"/>
      <c r="EFB718" s="1176"/>
      <c r="EFC718" s="1176"/>
      <c r="EFD718" s="1176"/>
      <c r="EFE718" s="1176"/>
      <c r="EFF718" s="1176"/>
      <c r="EFG718" s="1176"/>
      <c r="EFH718" s="1176"/>
      <c r="EFI718" s="1176"/>
      <c r="EFJ718" s="1176"/>
      <c r="EFK718" s="1176"/>
      <c r="EFL718" s="1176"/>
      <c r="EFM718" s="1176"/>
      <c r="EFN718" s="1176"/>
      <c r="EFO718" s="1176"/>
      <c r="EFP718" s="1176"/>
      <c r="EFQ718" s="1176"/>
      <c r="EFR718" s="1176"/>
      <c r="EFS718" s="1176"/>
      <c r="EFT718" s="1176"/>
      <c r="EFU718" s="1176"/>
      <c r="EFV718" s="1176"/>
      <c r="EFW718" s="1176"/>
      <c r="EFX718" s="1176"/>
      <c r="EFY718" s="1176"/>
      <c r="EFZ718" s="1176"/>
      <c r="EGA718" s="1176"/>
      <c r="EGB718" s="1176"/>
      <c r="EGC718" s="1176"/>
      <c r="EGD718" s="1176"/>
      <c r="EGE718" s="1176"/>
      <c r="EGF718" s="1176"/>
      <c r="EGG718" s="1176"/>
      <c r="EGH718" s="1176"/>
      <c r="EGI718" s="1176"/>
      <c r="EGJ718" s="1176"/>
      <c r="EGK718" s="1176"/>
      <c r="EGL718" s="1176"/>
      <c r="EGM718" s="1176"/>
      <c r="EGN718" s="1176"/>
      <c r="EGO718" s="1176"/>
      <c r="EGP718" s="1176"/>
      <c r="EGQ718" s="1176"/>
      <c r="EGR718" s="1176"/>
      <c r="EGS718" s="1176"/>
      <c r="EGT718" s="1176"/>
      <c r="EGU718" s="1176"/>
      <c r="EGV718" s="1176"/>
      <c r="EGW718" s="1176"/>
      <c r="EGX718" s="1176"/>
      <c r="EGY718" s="1176"/>
      <c r="EGZ718" s="1176"/>
      <c r="EHA718" s="1176"/>
      <c r="EHB718" s="1176"/>
      <c r="EHC718" s="1176"/>
      <c r="EHD718" s="1176"/>
      <c r="EHE718" s="1176"/>
      <c r="EHF718" s="1176"/>
      <c r="EHG718" s="1176"/>
      <c r="EHH718" s="1176"/>
      <c r="EHI718" s="1176"/>
      <c r="EHJ718" s="1176"/>
      <c r="EHK718" s="1176"/>
      <c r="EHL718" s="1176"/>
      <c r="EHM718" s="1176"/>
      <c r="EHN718" s="1176"/>
      <c r="EHO718" s="1176"/>
      <c r="EHP718" s="1176"/>
      <c r="EHQ718" s="1176"/>
      <c r="EHR718" s="1176"/>
      <c r="EHS718" s="1176"/>
      <c r="EHT718" s="1176"/>
      <c r="EHU718" s="1176"/>
      <c r="EHV718" s="1176"/>
      <c r="EHW718" s="1176"/>
      <c r="EHX718" s="1176"/>
      <c r="EHY718" s="1176"/>
      <c r="EHZ718" s="1176"/>
      <c r="EIA718" s="1176"/>
      <c r="EIB718" s="1176"/>
      <c r="EIC718" s="1176"/>
      <c r="EID718" s="1176"/>
      <c r="EIE718" s="1176"/>
      <c r="EIF718" s="1176"/>
      <c r="EIG718" s="1176"/>
      <c r="EIH718" s="1176"/>
      <c r="EII718" s="1176"/>
      <c r="EIJ718" s="1176"/>
      <c r="EIK718" s="1176"/>
      <c r="EIL718" s="1176"/>
      <c r="EIM718" s="1176"/>
      <c r="EIN718" s="1176"/>
      <c r="EIO718" s="1176"/>
      <c r="EIP718" s="1176"/>
      <c r="EIQ718" s="1176"/>
      <c r="EIR718" s="1176"/>
      <c r="EIS718" s="1176"/>
      <c r="EIT718" s="1176"/>
      <c r="EIU718" s="1176"/>
      <c r="EIV718" s="1176"/>
      <c r="EIW718" s="1176"/>
      <c r="EIX718" s="1176"/>
      <c r="EIY718" s="1176"/>
      <c r="EIZ718" s="1176"/>
      <c r="EJA718" s="1176"/>
      <c r="EJB718" s="1176"/>
      <c r="EJC718" s="1176"/>
      <c r="EJD718" s="1176"/>
      <c r="EJE718" s="1176"/>
      <c r="EJF718" s="1176"/>
      <c r="EJG718" s="1176"/>
      <c r="EJH718" s="1176"/>
      <c r="EJI718" s="1176"/>
      <c r="EJJ718" s="1176"/>
      <c r="EJK718" s="1176"/>
      <c r="EJL718" s="1176"/>
      <c r="EJM718" s="1176"/>
      <c r="EJN718" s="1176"/>
      <c r="EJO718" s="1176"/>
      <c r="EJP718" s="1176"/>
      <c r="EJQ718" s="1176"/>
      <c r="EJR718" s="1176"/>
      <c r="EJS718" s="1176"/>
      <c r="EJT718" s="1176"/>
      <c r="EJU718" s="1176"/>
      <c r="EJV718" s="1176"/>
      <c r="EJW718" s="1176"/>
      <c r="EJX718" s="1176"/>
      <c r="EJY718" s="1176"/>
      <c r="EJZ718" s="1176"/>
      <c r="EKA718" s="1176"/>
      <c r="EKB718" s="1176"/>
      <c r="EKC718" s="1176"/>
      <c r="EKD718" s="1176"/>
      <c r="EKE718" s="1176"/>
      <c r="EKF718" s="1176"/>
      <c r="EKG718" s="1176"/>
      <c r="EKH718" s="1176"/>
      <c r="EKI718" s="1176"/>
      <c r="EKJ718" s="1176"/>
      <c r="EKK718" s="1176"/>
      <c r="EKL718" s="1176"/>
      <c r="EKM718" s="1176"/>
      <c r="EKN718" s="1176"/>
      <c r="EKO718" s="1176"/>
      <c r="EKP718" s="1176"/>
      <c r="EKQ718" s="1176"/>
      <c r="EKR718" s="1176"/>
      <c r="EKS718" s="1176"/>
      <c r="EKT718" s="1176"/>
      <c r="EKU718" s="1176"/>
      <c r="EKV718" s="1176"/>
      <c r="EKW718" s="1176"/>
      <c r="EKX718" s="1176"/>
      <c r="EKY718" s="1176"/>
      <c r="EKZ718" s="1176"/>
      <c r="ELA718" s="1176"/>
      <c r="ELB718" s="1176"/>
      <c r="ELC718" s="1176"/>
      <c r="ELD718" s="1176"/>
      <c r="ELE718" s="1176"/>
      <c r="ELF718" s="1176"/>
      <c r="ELG718" s="1176"/>
      <c r="ELH718" s="1176"/>
      <c r="ELI718" s="1176"/>
      <c r="ELJ718" s="1176"/>
      <c r="ELK718" s="1176"/>
      <c r="ELL718" s="1176"/>
      <c r="ELM718" s="1176"/>
      <c r="ELN718" s="1176"/>
      <c r="ELO718" s="1176"/>
      <c r="ELP718" s="1176"/>
      <c r="ELQ718" s="1176"/>
      <c r="ELR718" s="1176"/>
      <c r="ELS718" s="1176"/>
      <c r="ELT718" s="1176"/>
      <c r="ELU718" s="1176"/>
      <c r="ELV718" s="1176"/>
      <c r="ELW718" s="1176"/>
      <c r="ELX718" s="1176"/>
      <c r="ELY718" s="1176"/>
      <c r="ELZ718" s="1176"/>
      <c r="EMA718" s="1176"/>
      <c r="EMB718" s="1176"/>
      <c r="EMC718" s="1176"/>
      <c r="EMD718" s="1176"/>
      <c r="EME718" s="1176"/>
      <c r="EMF718" s="1176"/>
      <c r="EMG718" s="1176"/>
      <c r="EMH718" s="1176"/>
      <c r="EMI718" s="1176"/>
      <c r="EMJ718" s="1176"/>
      <c r="EMK718" s="1176"/>
      <c r="EML718" s="1176"/>
      <c r="EMM718" s="1176"/>
      <c r="EMN718" s="1176"/>
      <c r="EMO718" s="1176"/>
      <c r="EMP718" s="1176"/>
      <c r="EMQ718" s="1176"/>
      <c r="EMR718" s="1176"/>
      <c r="EMS718" s="1176"/>
      <c r="EMT718" s="1176"/>
      <c r="EMU718" s="1176"/>
      <c r="EMV718" s="1176"/>
      <c r="EMW718" s="1176"/>
      <c r="EMX718" s="1176"/>
      <c r="EMY718" s="1176"/>
      <c r="EMZ718" s="1176"/>
      <c r="ENA718" s="1176"/>
      <c r="ENB718" s="1176"/>
      <c r="ENC718" s="1176"/>
      <c r="END718" s="1176"/>
      <c r="ENE718" s="1176"/>
      <c r="ENF718" s="1176"/>
      <c r="ENG718" s="1176"/>
      <c r="ENH718" s="1176"/>
      <c r="ENI718" s="1176"/>
      <c r="ENJ718" s="1176"/>
      <c r="ENK718" s="1176"/>
      <c r="ENL718" s="1176"/>
      <c r="ENM718" s="1176"/>
      <c r="ENN718" s="1176"/>
      <c r="ENO718" s="1176"/>
      <c r="ENP718" s="1176"/>
      <c r="ENQ718" s="1176"/>
      <c r="ENR718" s="1176"/>
      <c r="ENS718" s="1176"/>
      <c r="ENT718" s="1176"/>
      <c r="ENU718" s="1176"/>
      <c r="ENV718" s="1176"/>
      <c r="ENW718" s="1176"/>
      <c r="ENX718" s="1176"/>
      <c r="ENY718" s="1176"/>
      <c r="ENZ718" s="1176"/>
      <c r="EOA718" s="1176"/>
      <c r="EOB718" s="1176"/>
      <c r="EOC718" s="1176"/>
      <c r="EOD718" s="1176"/>
      <c r="EOE718" s="1176"/>
      <c r="EOF718" s="1176"/>
      <c r="EOG718" s="1176"/>
      <c r="EOH718" s="1176"/>
      <c r="EOI718" s="1176"/>
      <c r="EOJ718" s="1176"/>
      <c r="EOK718" s="1176"/>
      <c r="EOL718" s="1176"/>
      <c r="EOM718" s="1176"/>
      <c r="EON718" s="1176"/>
      <c r="EOO718" s="1176"/>
      <c r="EOP718" s="1176"/>
      <c r="EOQ718" s="1176"/>
      <c r="EOR718" s="1176"/>
      <c r="EOS718" s="1176"/>
      <c r="EOT718" s="1176"/>
      <c r="EOU718" s="1176"/>
      <c r="EOV718" s="1176"/>
      <c r="EOW718" s="1176"/>
      <c r="EOX718" s="1176"/>
      <c r="EOY718" s="1176"/>
      <c r="EOZ718" s="1176"/>
      <c r="EPA718" s="1176"/>
      <c r="EPB718" s="1176"/>
      <c r="EPC718" s="1176"/>
      <c r="EPD718" s="1176"/>
      <c r="EPE718" s="1176"/>
      <c r="EPF718" s="1176"/>
      <c r="EPG718" s="1176"/>
      <c r="EPH718" s="1176"/>
      <c r="EPI718" s="1176"/>
      <c r="EPJ718" s="1176"/>
      <c r="EPK718" s="1176"/>
      <c r="EPL718" s="1176"/>
      <c r="EPM718" s="1176"/>
      <c r="EPN718" s="1176"/>
      <c r="EPO718" s="1176"/>
      <c r="EPP718" s="1176"/>
      <c r="EPQ718" s="1176"/>
      <c r="EPR718" s="1176"/>
      <c r="EPS718" s="1176"/>
      <c r="EPT718" s="1176"/>
      <c r="EPU718" s="1176"/>
      <c r="EPV718" s="1176"/>
      <c r="EPW718" s="1176"/>
      <c r="EPX718" s="1176"/>
      <c r="EPY718" s="1176"/>
      <c r="EPZ718" s="1176"/>
      <c r="EQA718" s="1176"/>
      <c r="EQB718" s="1176"/>
      <c r="EQC718" s="1176"/>
      <c r="EQD718" s="1176"/>
      <c r="EQE718" s="1176"/>
      <c r="EQF718" s="1176"/>
      <c r="EQG718" s="1176"/>
      <c r="EQH718" s="1176"/>
      <c r="EQI718" s="1176"/>
      <c r="EQJ718" s="1176"/>
      <c r="EQK718" s="1176"/>
      <c r="EQL718" s="1176"/>
      <c r="EQM718" s="1176"/>
      <c r="EQN718" s="1176"/>
      <c r="EQO718" s="1176"/>
      <c r="EQP718" s="1176"/>
      <c r="EQQ718" s="1176"/>
      <c r="EQR718" s="1176"/>
      <c r="EQS718" s="1176"/>
      <c r="EQT718" s="1176"/>
      <c r="EQU718" s="1176"/>
      <c r="EQV718" s="1176"/>
      <c r="EQW718" s="1176"/>
      <c r="EQX718" s="1176"/>
      <c r="EQY718" s="1176"/>
      <c r="EQZ718" s="1176"/>
      <c r="ERA718" s="1176"/>
      <c r="ERB718" s="1176"/>
      <c r="ERC718" s="1176"/>
      <c r="ERD718" s="1176"/>
      <c r="ERE718" s="1176"/>
      <c r="ERF718" s="1176"/>
      <c r="ERG718" s="1176"/>
      <c r="ERH718" s="1176"/>
      <c r="ERI718" s="1176"/>
      <c r="ERJ718" s="1176"/>
      <c r="ERK718" s="1176"/>
      <c r="ERL718" s="1176"/>
      <c r="ERM718" s="1176"/>
      <c r="ERN718" s="1176"/>
      <c r="ERO718" s="1176"/>
      <c r="ERP718" s="1176"/>
      <c r="ERQ718" s="1176"/>
      <c r="ERR718" s="1176"/>
      <c r="ERS718" s="1176"/>
      <c r="ERT718" s="1176"/>
      <c r="ERU718" s="1176"/>
      <c r="ERV718" s="1176"/>
      <c r="ERW718" s="1176"/>
      <c r="ERX718" s="1176"/>
      <c r="ERY718" s="1176"/>
      <c r="ERZ718" s="1176"/>
      <c r="ESA718" s="1176"/>
      <c r="ESB718" s="1176"/>
      <c r="ESC718" s="1176"/>
      <c r="ESD718" s="1176"/>
      <c r="ESE718" s="1176"/>
      <c r="ESF718" s="1176"/>
      <c r="ESG718" s="1176"/>
      <c r="ESH718" s="1176"/>
      <c r="ESI718" s="1176"/>
      <c r="ESJ718" s="1176"/>
      <c r="ESK718" s="1176"/>
      <c r="ESL718" s="1176"/>
      <c r="ESM718" s="1176"/>
      <c r="ESN718" s="1176"/>
      <c r="ESO718" s="1176"/>
      <c r="ESP718" s="1176"/>
      <c r="ESQ718" s="1176"/>
      <c r="ESR718" s="1176"/>
      <c r="ESS718" s="1176"/>
      <c r="EST718" s="1176"/>
      <c r="ESU718" s="1176"/>
      <c r="ESV718" s="1176"/>
      <c r="ESW718" s="1176"/>
      <c r="ESX718" s="1176"/>
      <c r="ESY718" s="1176"/>
      <c r="ESZ718" s="1176"/>
      <c r="ETA718" s="1176"/>
      <c r="ETB718" s="1176"/>
      <c r="ETC718" s="1176"/>
      <c r="ETD718" s="1176"/>
      <c r="ETE718" s="1176"/>
      <c r="ETF718" s="1176"/>
      <c r="ETG718" s="1176"/>
      <c r="ETH718" s="1176"/>
      <c r="ETI718" s="1176"/>
      <c r="ETJ718" s="1176"/>
      <c r="ETK718" s="1176"/>
      <c r="ETL718" s="1176"/>
      <c r="ETM718" s="1176"/>
      <c r="ETN718" s="1176"/>
      <c r="ETO718" s="1176"/>
      <c r="ETP718" s="1176"/>
      <c r="ETQ718" s="1176"/>
      <c r="ETR718" s="1176"/>
      <c r="ETS718" s="1176"/>
      <c r="ETT718" s="1176"/>
      <c r="ETU718" s="1176"/>
      <c r="ETV718" s="1176"/>
      <c r="ETW718" s="1176"/>
      <c r="ETX718" s="1176"/>
      <c r="ETY718" s="1176"/>
      <c r="ETZ718" s="1176"/>
      <c r="EUA718" s="1176"/>
      <c r="EUB718" s="1176"/>
      <c r="EUC718" s="1176"/>
      <c r="EUD718" s="1176"/>
      <c r="EUE718" s="1176"/>
      <c r="EUF718" s="1176"/>
      <c r="EUG718" s="1176"/>
      <c r="EUH718" s="1176"/>
      <c r="EUI718" s="1176"/>
      <c r="EUJ718" s="1176"/>
      <c r="EUK718" s="1176"/>
      <c r="EUL718" s="1176"/>
      <c r="EUM718" s="1176"/>
      <c r="EUN718" s="1176"/>
      <c r="EUO718" s="1176"/>
      <c r="EUP718" s="1176"/>
      <c r="EUQ718" s="1176"/>
      <c r="EUR718" s="1176"/>
      <c r="EUS718" s="1176"/>
      <c r="EUT718" s="1176"/>
      <c r="EUU718" s="1176"/>
      <c r="EUV718" s="1176"/>
      <c r="EUW718" s="1176"/>
      <c r="EUX718" s="1176"/>
      <c r="EUY718" s="1176"/>
      <c r="EUZ718" s="1176"/>
      <c r="EVA718" s="1176"/>
      <c r="EVB718" s="1176"/>
      <c r="EVC718" s="1176"/>
      <c r="EVD718" s="1176"/>
      <c r="EVE718" s="1176"/>
      <c r="EVF718" s="1176"/>
      <c r="EVG718" s="1176"/>
      <c r="EVH718" s="1176"/>
      <c r="EVI718" s="1176"/>
      <c r="EVJ718" s="1176"/>
      <c r="EVK718" s="1176"/>
      <c r="EVL718" s="1176"/>
      <c r="EVM718" s="1176"/>
      <c r="EVN718" s="1176"/>
      <c r="EVO718" s="1176"/>
      <c r="EVP718" s="1176"/>
      <c r="EVQ718" s="1176"/>
      <c r="EVR718" s="1176"/>
      <c r="EVS718" s="1176"/>
      <c r="EVT718" s="1176"/>
      <c r="EVU718" s="1176"/>
      <c r="EVV718" s="1176"/>
      <c r="EVW718" s="1176"/>
      <c r="EVX718" s="1176"/>
      <c r="EVY718" s="1176"/>
      <c r="EVZ718" s="1176"/>
      <c r="EWA718" s="1176"/>
      <c r="EWB718" s="1176"/>
      <c r="EWC718" s="1176"/>
      <c r="EWD718" s="1176"/>
      <c r="EWE718" s="1176"/>
      <c r="EWF718" s="1176"/>
      <c r="EWG718" s="1176"/>
      <c r="EWH718" s="1176"/>
      <c r="EWI718" s="1176"/>
      <c r="EWJ718" s="1176"/>
      <c r="EWK718" s="1176"/>
      <c r="EWL718" s="1176"/>
      <c r="EWM718" s="1176"/>
      <c r="EWN718" s="1176"/>
      <c r="EWO718" s="1176"/>
      <c r="EWP718" s="1176"/>
      <c r="EWQ718" s="1176"/>
      <c r="EWR718" s="1176"/>
      <c r="EWS718" s="1176"/>
      <c r="EWT718" s="1176"/>
      <c r="EWU718" s="1176"/>
      <c r="EWV718" s="1176"/>
      <c r="EWW718" s="1176"/>
      <c r="EWX718" s="1176"/>
      <c r="EWY718" s="1176"/>
      <c r="EWZ718" s="1176"/>
      <c r="EXA718" s="1176"/>
      <c r="EXB718" s="1176"/>
      <c r="EXC718" s="1176"/>
      <c r="EXD718" s="1176"/>
      <c r="EXE718" s="1176"/>
      <c r="EXF718" s="1176"/>
      <c r="EXG718" s="1176"/>
      <c r="EXH718" s="1176"/>
      <c r="EXI718" s="1176"/>
      <c r="EXJ718" s="1176"/>
      <c r="EXK718" s="1176"/>
      <c r="EXL718" s="1176"/>
      <c r="EXM718" s="1176"/>
      <c r="EXN718" s="1176"/>
      <c r="EXO718" s="1176"/>
      <c r="EXP718" s="1176"/>
      <c r="EXQ718" s="1176"/>
      <c r="EXR718" s="1176"/>
      <c r="EXS718" s="1176"/>
      <c r="EXT718" s="1176"/>
      <c r="EXU718" s="1176"/>
      <c r="EXV718" s="1176"/>
      <c r="EXW718" s="1176"/>
      <c r="EXX718" s="1176"/>
      <c r="EXY718" s="1176"/>
      <c r="EXZ718" s="1176"/>
      <c r="EYA718" s="1176"/>
      <c r="EYB718" s="1176"/>
      <c r="EYC718" s="1176"/>
      <c r="EYD718" s="1176"/>
      <c r="EYE718" s="1176"/>
      <c r="EYF718" s="1176"/>
      <c r="EYG718" s="1176"/>
      <c r="EYH718" s="1176"/>
      <c r="EYI718" s="1176"/>
      <c r="EYJ718" s="1176"/>
      <c r="EYK718" s="1176"/>
      <c r="EYL718" s="1176"/>
      <c r="EYM718" s="1176"/>
      <c r="EYN718" s="1176"/>
      <c r="EYO718" s="1176"/>
      <c r="EYP718" s="1176"/>
      <c r="EYQ718" s="1176"/>
      <c r="EYR718" s="1176"/>
      <c r="EYS718" s="1176"/>
      <c r="EYT718" s="1176"/>
      <c r="EYU718" s="1176"/>
      <c r="EYV718" s="1176"/>
      <c r="EYW718" s="1176"/>
      <c r="EYX718" s="1176"/>
      <c r="EYY718" s="1176"/>
      <c r="EYZ718" s="1176"/>
      <c r="EZA718" s="1176"/>
      <c r="EZB718" s="1176"/>
      <c r="EZC718" s="1176"/>
      <c r="EZD718" s="1176"/>
      <c r="EZE718" s="1176"/>
      <c r="EZF718" s="1176"/>
      <c r="EZG718" s="1176"/>
      <c r="EZH718" s="1176"/>
      <c r="EZI718" s="1176"/>
      <c r="EZJ718" s="1176"/>
      <c r="EZK718" s="1176"/>
      <c r="EZL718" s="1176"/>
      <c r="EZM718" s="1176"/>
      <c r="EZN718" s="1176"/>
      <c r="EZO718" s="1176"/>
      <c r="EZP718" s="1176"/>
      <c r="EZQ718" s="1176"/>
      <c r="EZR718" s="1176"/>
      <c r="EZS718" s="1176"/>
      <c r="EZT718" s="1176"/>
      <c r="EZU718" s="1176"/>
      <c r="EZV718" s="1176"/>
      <c r="EZW718" s="1176"/>
      <c r="EZX718" s="1176"/>
      <c r="EZY718" s="1176"/>
      <c r="EZZ718" s="1176"/>
      <c r="FAA718" s="1176"/>
      <c r="FAB718" s="1176"/>
      <c r="FAC718" s="1176"/>
      <c r="FAD718" s="1176"/>
      <c r="FAE718" s="1176"/>
      <c r="FAF718" s="1176"/>
      <c r="FAG718" s="1176"/>
      <c r="FAH718" s="1176"/>
      <c r="FAI718" s="1176"/>
      <c r="FAJ718" s="1176"/>
      <c r="FAK718" s="1176"/>
      <c r="FAL718" s="1176"/>
      <c r="FAM718" s="1176"/>
      <c r="FAN718" s="1176"/>
      <c r="FAO718" s="1176"/>
      <c r="FAP718" s="1176"/>
      <c r="FAQ718" s="1176"/>
      <c r="FAR718" s="1176"/>
      <c r="FAS718" s="1176"/>
      <c r="FAT718" s="1176"/>
      <c r="FAU718" s="1176"/>
      <c r="FAV718" s="1176"/>
      <c r="FAW718" s="1176"/>
      <c r="FAX718" s="1176"/>
      <c r="FAY718" s="1176"/>
      <c r="FAZ718" s="1176"/>
      <c r="FBA718" s="1176"/>
      <c r="FBB718" s="1176"/>
      <c r="FBC718" s="1176"/>
      <c r="FBD718" s="1176"/>
      <c r="FBE718" s="1176"/>
      <c r="FBF718" s="1176"/>
      <c r="FBG718" s="1176"/>
      <c r="FBH718" s="1176"/>
      <c r="FBI718" s="1176"/>
      <c r="FBJ718" s="1176"/>
      <c r="FBK718" s="1176"/>
      <c r="FBL718" s="1176"/>
      <c r="FBM718" s="1176"/>
      <c r="FBN718" s="1176"/>
      <c r="FBO718" s="1176"/>
      <c r="FBP718" s="1176"/>
      <c r="FBQ718" s="1176"/>
      <c r="FBR718" s="1176"/>
      <c r="FBS718" s="1176"/>
      <c r="FBT718" s="1176"/>
      <c r="FBU718" s="1176"/>
      <c r="FBV718" s="1176"/>
      <c r="FBW718" s="1176"/>
      <c r="FBX718" s="1176"/>
      <c r="FBY718" s="1176"/>
      <c r="FBZ718" s="1176"/>
      <c r="FCA718" s="1176"/>
      <c r="FCB718" s="1176"/>
      <c r="FCC718" s="1176"/>
      <c r="FCD718" s="1176"/>
      <c r="FCE718" s="1176"/>
      <c r="FCF718" s="1176"/>
      <c r="FCG718" s="1176"/>
      <c r="FCH718" s="1176"/>
      <c r="FCI718" s="1176"/>
      <c r="FCJ718" s="1176"/>
      <c r="FCK718" s="1176"/>
      <c r="FCL718" s="1176"/>
      <c r="FCM718" s="1176"/>
      <c r="FCN718" s="1176"/>
      <c r="FCO718" s="1176"/>
      <c r="FCP718" s="1176"/>
      <c r="FCQ718" s="1176"/>
      <c r="FCR718" s="1176"/>
      <c r="FCS718" s="1176"/>
      <c r="FCT718" s="1176"/>
      <c r="FCU718" s="1176"/>
      <c r="FCV718" s="1176"/>
      <c r="FCW718" s="1176"/>
      <c r="FCX718" s="1176"/>
      <c r="FCY718" s="1176"/>
      <c r="FCZ718" s="1176"/>
      <c r="FDA718" s="1176"/>
      <c r="FDB718" s="1176"/>
      <c r="FDC718" s="1176"/>
      <c r="FDD718" s="1176"/>
      <c r="FDE718" s="1176"/>
      <c r="FDF718" s="1176"/>
      <c r="FDG718" s="1176"/>
      <c r="FDH718" s="1176"/>
      <c r="FDI718" s="1176"/>
      <c r="FDJ718" s="1176"/>
      <c r="FDK718" s="1176"/>
      <c r="FDL718" s="1176"/>
      <c r="FDM718" s="1176"/>
      <c r="FDN718" s="1176"/>
      <c r="FDO718" s="1176"/>
      <c r="FDP718" s="1176"/>
      <c r="FDQ718" s="1176"/>
      <c r="FDR718" s="1176"/>
      <c r="FDS718" s="1176"/>
      <c r="FDT718" s="1176"/>
      <c r="FDU718" s="1176"/>
      <c r="FDV718" s="1176"/>
      <c r="FDW718" s="1176"/>
      <c r="FDX718" s="1176"/>
      <c r="FDY718" s="1176"/>
      <c r="FDZ718" s="1176"/>
      <c r="FEA718" s="1176"/>
      <c r="FEB718" s="1176"/>
      <c r="FEC718" s="1176"/>
      <c r="FED718" s="1176"/>
      <c r="FEE718" s="1176"/>
      <c r="FEF718" s="1176"/>
      <c r="FEG718" s="1176"/>
      <c r="FEH718" s="1176"/>
      <c r="FEI718" s="1176"/>
      <c r="FEJ718" s="1176"/>
      <c r="FEK718" s="1176"/>
      <c r="FEL718" s="1176"/>
      <c r="FEM718" s="1176"/>
      <c r="FEN718" s="1176"/>
      <c r="FEO718" s="1176"/>
      <c r="FEP718" s="1176"/>
      <c r="FEQ718" s="1176"/>
      <c r="FER718" s="1176"/>
      <c r="FES718" s="1176"/>
      <c r="FET718" s="1176"/>
      <c r="FEU718" s="1176"/>
      <c r="FEV718" s="1176"/>
      <c r="FEW718" s="1176"/>
      <c r="FEX718" s="1176"/>
      <c r="FEY718" s="1176"/>
      <c r="FEZ718" s="1176"/>
      <c r="FFA718" s="1176"/>
      <c r="FFB718" s="1176"/>
      <c r="FFC718" s="1176"/>
      <c r="FFD718" s="1176"/>
      <c r="FFE718" s="1176"/>
      <c r="FFF718" s="1176"/>
      <c r="FFG718" s="1176"/>
      <c r="FFH718" s="1176"/>
      <c r="FFI718" s="1176"/>
      <c r="FFJ718" s="1176"/>
      <c r="FFK718" s="1176"/>
      <c r="FFL718" s="1176"/>
      <c r="FFM718" s="1176"/>
      <c r="FFN718" s="1176"/>
      <c r="FFO718" s="1176"/>
      <c r="FFP718" s="1176"/>
      <c r="FFQ718" s="1176"/>
      <c r="FFR718" s="1176"/>
      <c r="FFS718" s="1176"/>
      <c r="FFT718" s="1176"/>
      <c r="FFU718" s="1176"/>
      <c r="FFV718" s="1176"/>
      <c r="FFW718" s="1176"/>
      <c r="FFX718" s="1176"/>
      <c r="FFY718" s="1176"/>
      <c r="FFZ718" s="1176"/>
      <c r="FGA718" s="1176"/>
      <c r="FGB718" s="1176"/>
      <c r="FGC718" s="1176"/>
      <c r="FGD718" s="1176"/>
      <c r="FGE718" s="1176"/>
      <c r="FGF718" s="1176"/>
      <c r="FGG718" s="1176"/>
      <c r="FGH718" s="1176"/>
      <c r="FGI718" s="1176"/>
      <c r="FGJ718" s="1176"/>
      <c r="FGK718" s="1176"/>
      <c r="FGL718" s="1176"/>
      <c r="FGM718" s="1176"/>
      <c r="FGN718" s="1176"/>
      <c r="FGO718" s="1176"/>
      <c r="FGP718" s="1176"/>
      <c r="FGQ718" s="1176"/>
      <c r="FGR718" s="1176"/>
      <c r="FGS718" s="1176"/>
      <c r="FGT718" s="1176"/>
      <c r="FGU718" s="1176"/>
      <c r="FGV718" s="1176"/>
      <c r="FGW718" s="1176"/>
      <c r="FGX718" s="1176"/>
      <c r="FGY718" s="1176"/>
      <c r="FGZ718" s="1176"/>
      <c r="FHA718" s="1176"/>
      <c r="FHB718" s="1176"/>
      <c r="FHC718" s="1176"/>
      <c r="FHD718" s="1176"/>
      <c r="FHE718" s="1176"/>
      <c r="FHF718" s="1176"/>
      <c r="FHG718" s="1176"/>
      <c r="FHH718" s="1176"/>
      <c r="FHI718" s="1176"/>
      <c r="FHJ718" s="1176"/>
      <c r="FHK718" s="1176"/>
      <c r="FHL718" s="1176"/>
      <c r="FHM718" s="1176"/>
      <c r="FHN718" s="1176"/>
      <c r="FHO718" s="1176"/>
      <c r="FHP718" s="1176"/>
      <c r="FHQ718" s="1176"/>
      <c r="FHR718" s="1176"/>
      <c r="FHS718" s="1176"/>
      <c r="FHT718" s="1176"/>
      <c r="FHU718" s="1176"/>
      <c r="FHV718" s="1176"/>
      <c r="FHW718" s="1176"/>
      <c r="FHX718" s="1176"/>
      <c r="FHY718" s="1176"/>
      <c r="FHZ718" s="1176"/>
      <c r="FIA718" s="1176"/>
      <c r="FIB718" s="1176"/>
      <c r="FIC718" s="1176"/>
      <c r="FID718" s="1176"/>
      <c r="FIE718" s="1176"/>
      <c r="FIF718" s="1176"/>
      <c r="FIG718" s="1176"/>
      <c r="FIH718" s="1176"/>
      <c r="FII718" s="1176"/>
      <c r="FIJ718" s="1176"/>
      <c r="FIK718" s="1176"/>
      <c r="FIL718" s="1176"/>
      <c r="FIM718" s="1176"/>
      <c r="FIN718" s="1176"/>
      <c r="FIO718" s="1176"/>
      <c r="FIP718" s="1176"/>
      <c r="FIQ718" s="1176"/>
      <c r="FIR718" s="1176"/>
      <c r="FIS718" s="1176"/>
      <c r="FIT718" s="1176"/>
      <c r="FIU718" s="1176"/>
      <c r="FIV718" s="1176"/>
      <c r="FIW718" s="1176"/>
      <c r="FIX718" s="1176"/>
      <c r="FIY718" s="1176"/>
      <c r="FIZ718" s="1176"/>
      <c r="FJA718" s="1176"/>
      <c r="FJB718" s="1176"/>
      <c r="FJC718" s="1176"/>
      <c r="FJD718" s="1176"/>
      <c r="FJE718" s="1176"/>
      <c r="FJF718" s="1176"/>
      <c r="FJG718" s="1176"/>
      <c r="FJH718" s="1176"/>
      <c r="FJI718" s="1176"/>
      <c r="FJJ718" s="1176"/>
      <c r="FJK718" s="1176"/>
      <c r="FJL718" s="1176"/>
      <c r="FJM718" s="1176"/>
      <c r="FJN718" s="1176"/>
      <c r="FJO718" s="1176"/>
      <c r="FJP718" s="1176"/>
      <c r="FJQ718" s="1176"/>
      <c r="FJR718" s="1176"/>
      <c r="FJS718" s="1176"/>
      <c r="FJT718" s="1176"/>
      <c r="FJU718" s="1176"/>
      <c r="FJV718" s="1176"/>
      <c r="FJW718" s="1176"/>
      <c r="FJX718" s="1176"/>
      <c r="FJY718" s="1176"/>
      <c r="FJZ718" s="1176"/>
      <c r="FKA718" s="1176"/>
      <c r="FKB718" s="1176"/>
      <c r="FKC718" s="1176"/>
      <c r="FKD718" s="1176"/>
      <c r="FKE718" s="1176"/>
      <c r="FKF718" s="1176"/>
      <c r="FKG718" s="1176"/>
      <c r="FKH718" s="1176"/>
      <c r="FKI718" s="1176"/>
      <c r="FKJ718" s="1176"/>
      <c r="FKK718" s="1176"/>
      <c r="FKL718" s="1176"/>
      <c r="FKM718" s="1176"/>
      <c r="FKN718" s="1176"/>
      <c r="FKO718" s="1176"/>
      <c r="FKP718" s="1176"/>
      <c r="FKQ718" s="1176"/>
      <c r="FKR718" s="1176"/>
      <c r="FKS718" s="1176"/>
      <c r="FKT718" s="1176"/>
      <c r="FKU718" s="1176"/>
      <c r="FKV718" s="1176"/>
      <c r="FKW718" s="1176"/>
      <c r="FKX718" s="1176"/>
      <c r="FKY718" s="1176"/>
      <c r="FKZ718" s="1176"/>
      <c r="FLA718" s="1176"/>
      <c r="FLB718" s="1176"/>
      <c r="FLC718" s="1176"/>
      <c r="FLD718" s="1176"/>
      <c r="FLE718" s="1176"/>
      <c r="FLF718" s="1176"/>
      <c r="FLG718" s="1176"/>
      <c r="FLH718" s="1176"/>
      <c r="FLI718" s="1176"/>
      <c r="FLJ718" s="1176"/>
      <c r="FLK718" s="1176"/>
      <c r="FLL718" s="1176"/>
      <c r="FLM718" s="1176"/>
      <c r="FLN718" s="1176"/>
      <c r="FLO718" s="1176"/>
      <c r="FLP718" s="1176"/>
      <c r="FLQ718" s="1176"/>
      <c r="FLR718" s="1176"/>
      <c r="FLS718" s="1176"/>
      <c r="FLT718" s="1176"/>
      <c r="FLU718" s="1176"/>
      <c r="FLV718" s="1176"/>
      <c r="FLW718" s="1176"/>
      <c r="FLX718" s="1176"/>
      <c r="FLY718" s="1176"/>
      <c r="FLZ718" s="1176"/>
      <c r="FMA718" s="1176"/>
      <c r="FMB718" s="1176"/>
      <c r="FMC718" s="1176"/>
      <c r="FMD718" s="1176"/>
      <c r="FME718" s="1176"/>
      <c r="FMF718" s="1176"/>
      <c r="FMG718" s="1176"/>
      <c r="FMH718" s="1176"/>
      <c r="FMI718" s="1176"/>
      <c r="FMJ718" s="1176"/>
      <c r="FMK718" s="1176"/>
      <c r="FML718" s="1176"/>
      <c r="FMM718" s="1176"/>
      <c r="FMN718" s="1176"/>
      <c r="FMO718" s="1176"/>
      <c r="FMP718" s="1176"/>
      <c r="FMQ718" s="1176"/>
      <c r="FMR718" s="1176"/>
      <c r="FMS718" s="1176"/>
      <c r="FMT718" s="1176"/>
      <c r="FMU718" s="1176"/>
      <c r="FMV718" s="1176"/>
      <c r="FMW718" s="1176"/>
      <c r="FMX718" s="1176"/>
      <c r="FMY718" s="1176"/>
      <c r="FMZ718" s="1176"/>
      <c r="FNA718" s="1176"/>
      <c r="FNB718" s="1176"/>
      <c r="FNC718" s="1176"/>
      <c r="FND718" s="1176"/>
      <c r="FNE718" s="1176"/>
      <c r="FNF718" s="1176"/>
      <c r="FNG718" s="1176"/>
      <c r="FNH718" s="1176"/>
      <c r="FNI718" s="1176"/>
      <c r="FNJ718" s="1176"/>
      <c r="FNK718" s="1176"/>
      <c r="FNL718" s="1176"/>
      <c r="FNM718" s="1176"/>
      <c r="FNN718" s="1176"/>
      <c r="FNO718" s="1176"/>
      <c r="FNP718" s="1176"/>
      <c r="FNQ718" s="1176"/>
      <c r="FNR718" s="1176"/>
      <c r="FNS718" s="1176"/>
      <c r="FNT718" s="1176"/>
      <c r="FNU718" s="1176"/>
      <c r="FNV718" s="1176"/>
      <c r="FNW718" s="1176"/>
      <c r="FNX718" s="1176"/>
      <c r="FNY718" s="1176"/>
      <c r="FNZ718" s="1176"/>
      <c r="FOA718" s="1176"/>
      <c r="FOB718" s="1176"/>
      <c r="FOC718" s="1176"/>
      <c r="FOD718" s="1176"/>
      <c r="FOE718" s="1176"/>
      <c r="FOF718" s="1176"/>
      <c r="FOG718" s="1176"/>
      <c r="FOH718" s="1176"/>
      <c r="FOI718" s="1176"/>
      <c r="FOJ718" s="1176"/>
      <c r="FOK718" s="1176"/>
      <c r="FOL718" s="1176"/>
      <c r="FOM718" s="1176"/>
      <c r="FON718" s="1176"/>
      <c r="FOO718" s="1176"/>
      <c r="FOP718" s="1176"/>
      <c r="FOQ718" s="1176"/>
      <c r="FOR718" s="1176"/>
      <c r="FOS718" s="1176"/>
      <c r="FOT718" s="1176"/>
      <c r="FOU718" s="1176"/>
      <c r="FOV718" s="1176"/>
      <c r="FOW718" s="1176"/>
      <c r="FOX718" s="1176"/>
      <c r="FOY718" s="1176"/>
      <c r="FOZ718" s="1176"/>
      <c r="FPA718" s="1176"/>
      <c r="FPB718" s="1176"/>
      <c r="FPC718" s="1176"/>
      <c r="FPD718" s="1176"/>
      <c r="FPE718" s="1176"/>
      <c r="FPF718" s="1176"/>
      <c r="FPG718" s="1176"/>
      <c r="FPH718" s="1176"/>
      <c r="FPI718" s="1176"/>
      <c r="FPJ718" s="1176"/>
      <c r="FPK718" s="1176"/>
      <c r="FPL718" s="1176"/>
      <c r="FPM718" s="1176"/>
      <c r="FPN718" s="1176"/>
      <c r="FPO718" s="1176"/>
      <c r="FPP718" s="1176"/>
      <c r="FPQ718" s="1176"/>
      <c r="FPR718" s="1176"/>
      <c r="FPS718" s="1176"/>
      <c r="FPT718" s="1176"/>
      <c r="FPU718" s="1176"/>
      <c r="FPV718" s="1176"/>
      <c r="FPW718" s="1176"/>
      <c r="FPX718" s="1176"/>
      <c r="FPY718" s="1176"/>
      <c r="FPZ718" s="1176"/>
      <c r="FQA718" s="1176"/>
      <c r="FQB718" s="1176"/>
      <c r="FQC718" s="1176"/>
      <c r="FQD718" s="1176"/>
      <c r="FQE718" s="1176"/>
      <c r="FQF718" s="1176"/>
      <c r="FQG718" s="1176"/>
      <c r="FQH718" s="1176"/>
      <c r="FQI718" s="1176"/>
      <c r="FQJ718" s="1176"/>
      <c r="FQK718" s="1176"/>
      <c r="FQL718" s="1176"/>
      <c r="FQM718" s="1176"/>
      <c r="FQN718" s="1176"/>
      <c r="FQO718" s="1176"/>
      <c r="FQP718" s="1176"/>
      <c r="FQQ718" s="1176"/>
      <c r="FQR718" s="1176"/>
      <c r="FQS718" s="1176"/>
      <c r="FQT718" s="1176"/>
      <c r="FQU718" s="1176"/>
      <c r="FQV718" s="1176"/>
      <c r="FQW718" s="1176"/>
      <c r="FQX718" s="1176"/>
      <c r="FQY718" s="1176"/>
      <c r="FQZ718" s="1176"/>
      <c r="FRA718" s="1176"/>
      <c r="FRB718" s="1176"/>
      <c r="FRC718" s="1176"/>
      <c r="FRD718" s="1176"/>
      <c r="FRE718" s="1176"/>
      <c r="FRF718" s="1176"/>
      <c r="FRG718" s="1176"/>
      <c r="FRH718" s="1176"/>
      <c r="FRI718" s="1176"/>
      <c r="FRJ718" s="1176"/>
      <c r="FRK718" s="1176"/>
      <c r="FRL718" s="1176"/>
      <c r="FRM718" s="1176"/>
      <c r="FRN718" s="1176"/>
      <c r="FRO718" s="1176"/>
      <c r="FRP718" s="1176"/>
      <c r="FRQ718" s="1176"/>
      <c r="FRR718" s="1176"/>
      <c r="FRS718" s="1176"/>
      <c r="FRT718" s="1176"/>
      <c r="FRU718" s="1176"/>
      <c r="FRV718" s="1176"/>
      <c r="FRW718" s="1176"/>
      <c r="FRX718" s="1176"/>
      <c r="FRY718" s="1176"/>
      <c r="FRZ718" s="1176"/>
      <c r="FSA718" s="1176"/>
      <c r="FSB718" s="1176"/>
      <c r="FSC718" s="1176"/>
      <c r="FSD718" s="1176"/>
      <c r="FSE718" s="1176"/>
      <c r="FSF718" s="1176"/>
      <c r="FSG718" s="1176"/>
      <c r="FSH718" s="1176"/>
      <c r="FSI718" s="1176"/>
      <c r="FSJ718" s="1176"/>
      <c r="FSK718" s="1176"/>
      <c r="FSL718" s="1176"/>
      <c r="FSM718" s="1176"/>
      <c r="FSN718" s="1176"/>
      <c r="FSO718" s="1176"/>
      <c r="FSP718" s="1176"/>
      <c r="FSQ718" s="1176"/>
      <c r="FSR718" s="1176"/>
      <c r="FSS718" s="1176"/>
      <c r="FST718" s="1176"/>
      <c r="FSU718" s="1176"/>
      <c r="FSV718" s="1176"/>
      <c r="FSW718" s="1176"/>
      <c r="FSX718" s="1176"/>
      <c r="FSY718" s="1176"/>
      <c r="FSZ718" s="1176"/>
      <c r="FTA718" s="1176"/>
      <c r="FTB718" s="1176"/>
      <c r="FTC718" s="1176"/>
      <c r="FTD718" s="1176"/>
      <c r="FTE718" s="1176"/>
      <c r="FTF718" s="1176"/>
      <c r="FTG718" s="1176"/>
      <c r="FTH718" s="1176"/>
      <c r="FTI718" s="1176"/>
      <c r="FTJ718" s="1176"/>
      <c r="FTK718" s="1176"/>
      <c r="FTL718" s="1176"/>
      <c r="FTM718" s="1176"/>
      <c r="FTN718" s="1176"/>
      <c r="FTO718" s="1176"/>
      <c r="FTP718" s="1176"/>
      <c r="FTQ718" s="1176"/>
      <c r="FTR718" s="1176"/>
      <c r="FTS718" s="1176"/>
      <c r="FTT718" s="1176"/>
      <c r="FTU718" s="1176"/>
      <c r="FTV718" s="1176"/>
      <c r="FTW718" s="1176"/>
      <c r="FTX718" s="1176"/>
      <c r="FTY718" s="1176"/>
      <c r="FTZ718" s="1176"/>
      <c r="FUA718" s="1176"/>
      <c r="FUB718" s="1176"/>
      <c r="FUC718" s="1176"/>
      <c r="FUD718" s="1176"/>
      <c r="FUE718" s="1176"/>
      <c r="FUF718" s="1176"/>
      <c r="FUG718" s="1176"/>
      <c r="FUH718" s="1176"/>
      <c r="FUI718" s="1176"/>
      <c r="FUJ718" s="1176"/>
      <c r="FUK718" s="1176"/>
      <c r="FUL718" s="1176"/>
      <c r="FUM718" s="1176"/>
      <c r="FUN718" s="1176"/>
      <c r="FUO718" s="1176"/>
      <c r="FUP718" s="1176"/>
      <c r="FUQ718" s="1176"/>
      <c r="FUR718" s="1176"/>
      <c r="FUS718" s="1176"/>
      <c r="FUT718" s="1176"/>
      <c r="FUU718" s="1176"/>
      <c r="FUV718" s="1176"/>
      <c r="FUW718" s="1176"/>
      <c r="FUX718" s="1176"/>
      <c r="FUY718" s="1176"/>
      <c r="FUZ718" s="1176"/>
      <c r="FVA718" s="1176"/>
      <c r="FVB718" s="1176"/>
      <c r="FVC718" s="1176"/>
      <c r="FVD718" s="1176"/>
      <c r="FVE718" s="1176"/>
      <c r="FVF718" s="1176"/>
      <c r="FVG718" s="1176"/>
      <c r="FVH718" s="1176"/>
      <c r="FVI718" s="1176"/>
      <c r="FVJ718" s="1176"/>
      <c r="FVK718" s="1176"/>
      <c r="FVL718" s="1176"/>
      <c r="FVM718" s="1176"/>
      <c r="FVN718" s="1176"/>
      <c r="FVO718" s="1176"/>
      <c r="FVP718" s="1176"/>
      <c r="FVQ718" s="1176"/>
      <c r="FVR718" s="1176"/>
      <c r="FVS718" s="1176"/>
      <c r="FVT718" s="1176"/>
      <c r="FVU718" s="1176"/>
      <c r="FVV718" s="1176"/>
      <c r="FVW718" s="1176"/>
      <c r="FVX718" s="1176"/>
      <c r="FVY718" s="1176"/>
      <c r="FVZ718" s="1176"/>
      <c r="FWA718" s="1176"/>
      <c r="FWB718" s="1176"/>
      <c r="FWC718" s="1176"/>
      <c r="FWD718" s="1176"/>
      <c r="FWE718" s="1176"/>
      <c r="FWF718" s="1176"/>
      <c r="FWG718" s="1176"/>
      <c r="FWH718" s="1176"/>
      <c r="FWI718" s="1176"/>
      <c r="FWJ718" s="1176"/>
      <c r="FWK718" s="1176"/>
      <c r="FWL718" s="1176"/>
      <c r="FWM718" s="1176"/>
      <c r="FWN718" s="1176"/>
      <c r="FWO718" s="1176"/>
      <c r="FWP718" s="1176"/>
      <c r="FWQ718" s="1176"/>
      <c r="FWR718" s="1176"/>
      <c r="FWS718" s="1176"/>
      <c r="FWT718" s="1176"/>
      <c r="FWU718" s="1176"/>
      <c r="FWV718" s="1176"/>
      <c r="FWW718" s="1176"/>
      <c r="FWX718" s="1176"/>
      <c r="FWY718" s="1176"/>
      <c r="FWZ718" s="1176"/>
      <c r="FXA718" s="1176"/>
      <c r="FXB718" s="1176"/>
      <c r="FXC718" s="1176"/>
      <c r="FXD718" s="1176"/>
      <c r="FXE718" s="1176"/>
      <c r="FXF718" s="1176"/>
      <c r="FXG718" s="1176"/>
      <c r="FXH718" s="1176"/>
      <c r="FXI718" s="1176"/>
      <c r="FXJ718" s="1176"/>
      <c r="FXK718" s="1176"/>
      <c r="FXL718" s="1176"/>
      <c r="FXM718" s="1176"/>
      <c r="FXN718" s="1176"/>
      <c r="FXO718" s="1176"/>
      <c r="FXP718" s="1176"/>
      <c r="FXQ718" s="1176"/>
      <c r="FXR718" s="1176"/>
      <c r="FXS718" s="1176"/>
      <c r="FXT718" s="1176"/>
      <c r="FXU718" s="1176"/>
      <c r="FXV718" s="1176"/>
      <c r="FXW718" s="1176"/>
      <c r="FXX718" s="1176"/>
      <c r="FXY718" s="1176"/>
      <c r="FXZ718" s="1176"/>
      <c r="FYA718" s="1176"/>
      <c r="FYB718" s="1176"/>
      <c r="FYC718" s="1176"/>
      <c r="FYD718" s="1176"/>
      <c r="FYE718" s="1176"/>
      <c r="FYF718" s="1176"/>
      <c r="FYG718" s="1176"/>
      <c r="FYH718" s="1176"/>
      <c r="FYI718" s="1176"/>
      <c r="FYJ718" s="1176"/>
      <c r="FYK718" s="1176"/>
      <c r="FYL718" s="1176"/>
      <c r="FYM718" s="1176"/>
      <c r="FYN718" s="1176"/>
      <c r="FYO718" s="1176"/>
      <c r="FYP718" s="1176"/>
      <c r="FYQ718" s="1176"/>
      <c r="FYR718" s="1176"/>
      <c r="FYS718" s="1176"/>
      <c r="FYT718" s="1176"/>
      <c r="FYU718" s="1176"/>
      <c r="FYV718" s="1176"/>
      <c r="FYW718" s="1176"/>
      <c r="FYX718" s="1176"/>
      <c r="FYY718" s="1176"/>
      <c r="FYZ718" s="1176"/>
      <c r="FZA718" s="1176"/>
      <c r="FZB718" s="1176"/>
      <c r="FZC718" s="1176"/>
      <c r="FZD718" s="1176"/>
      <c r="FZE718" s="1176"/>
      <c r="FZF718" s="1176"/>
      <c r="FZG718" s="1176"/>
      <c r="FZH718" s="1176"/>
      <c r="FZI718" s="1176"/>
      <c r="FZJ718" s="1176"/>
      <c r="FZK718" s="1176"/>
      <c r="FZL718" s="1176"/>
      <c r="FZM718" s="1176"/>
      <c r="FZN718" s="1176"/>
      <c r="FZO718" s="1176"/>
      <c r="FZP718" s="1176"/>
      <c r="FZQ718" s="1176"/>
      <c r="FZR718" s="1176"/>
      <c r="FZS718" s="1176"/>
      <c r="FZT718" s="1176"/>
      <c r="FZU718" s="1176"/>
      <c r="FZV718" s="1176"/>
      <c r="FZW718" s="1176"/>
      <c r="FZX718" s="1176"/>
      <c r="FZY718" s="1176"/>
      <c r="FZZ718" s="1176"/>
      <c r="GAA718" s="1176"/>
      <c r="GAB718" s="1176"/>
      <c r="GAC718" s="1176"/>
      <c r="GAD718" s="1176"/>
      <c r="GAE718" s="1176"/>
      <c r="GAF718" s="1176"/>
      <c r="GAG718" s="1176"/>
      <c r="GAH718" s="1176"/>
      <c r="GAI718" s="1176"/>
      <c r="GAJ718" s="1176"/>
      <c r="GAK718" s="1176"/>
      <c r="GAL718" s="1176"/>
      <c r="GAM718" s="1176"/>
      <c r="GAN718" s="1176"/>
      <c r="GAO718" s="1176"/>
      <c r="GAP718" s="1176"/>
      <c r="GAQ718" s="1176"/>
      <c r="GAR718" s="1176"/>
      <c r="GAS718" s="1176"/>
      <c r="GAT718" s="1176"/>
      <c r="GAU718" s="1176"/>
      <c r="GAV718" s="1176"/>
      <c r="GAW718" s="1176"/>
      <c r="GAX718" s="1176"/>
      <c r="GAY718" s="1176"/>
      <c r="GAZ718" s="1176"/>
      <c r="GBA718" s="1176"/>
      <c r="GBB718" s="1176"/>
      <c r="GBC718" s="1176"/>
      <c r="GBD718" s="1176"/>
      <c r="GBE718" s="1176"/>
      <c r="GBF718" s="1176"/>
      <c r="GBG718" s="1176"/>
      <c r="GBH718" s="1176"/>
      <c r="GBI718" s="1176"/>
      <c r="GBJ718" s="1176"/>
      <c r="GBK718" s="1176"/>
      <c r="GBL718" s="1176"/>
      <c r="GBM718" s="1176"/>
      <c r="GBN718" s="1176"/>
      <c r="GBO718" s="1176"/>
      <c r="GBP718" s="1176"/>
      <c r="GBQ718" s="1176"/>
      <c r="GBR718" s="1176"/>
      <c r="GBS718" s="1176"/>
      <c r="GBT718" s="1176"/>
      <c r="GBU718" s="1176"/>
      <c r="GBV718" s="1176"/>
      <c r="GBW718" s="1176"/>
      <c r="GBX718" s="1176"/>
      <c r="GBY718" s="1176"/>
      <c r="GBZ718" s="1176"/>
      <c r="GCA718" s="1176"/>
      <c r="GCB718" s="1176"/>
      <c r="GCC718" s="1176"/>
      <c r="GCD718" s="1176"/>
      <c r="GCE718" s="1176"/>
      <c r="GCF718" s="1176"/>
      <c r="GCG718" s="1176"/>
      <c r="GCH718" s="1176"/>
      <c r="GCI718" s="1176"/>
      <c r="GCJ718" s="1176"/>
      <c r="GCK718" s="1176"/>
      <c r="GCL718" s="1176"/>
      <c r="GCM718" s="1176"/>
      <c r="GCN718" s="1176"/>
      <c r="GCO718" s="1176"/>
      <c r="GCP718" s="1176"/>
      <c r="GCQ718" s="1176"/>
      <c r="GCR718" s="1176"/>
      <c r="GCS718" s="1176"/>
      <c r="GCT718" s="1176"/>
      <c r="GCU718" s="1176"/>
      <c r="GCV718" s="1176"/>
      <c r="GCW718" s="1176"/>
      <c r="GCX718" s="1176"/>
      <c r="GCY718" s="1176"/>
      <c r="GCZ718" s="1176"/>
      <c r="GDA718" s="1176"/>
      <c r="GDB718" s="1176"/>
      <c r="GDC718" s="1176"/>
      <c r="GDD718" s="1176"/>
      <c r="GDE718" s="1176"/>
      <c r="GDF718" s="1176"/>
      <c r="GDG718" s="1176"/>
      <c r="GDH718" s="1176"/>
      <c r="GDI718" s="1176"/>
      <c r="GDJ718" s="1176"/>
      <c r="GDK718" s="1176"/>
      <c r="GDL718" s="1176"/>
      <c r="GDM718" s="1176"/>
      <c r="GDN718" s="1176"/>
      <c r="GDO718" s="1176"/>
      <c r="GDP718" s="1176"/>
      <c r="GDQ718" s="1176"/>
      <c r="GDR718" s="1176"/>
      <c r="GDS718" s="1176"/>
      <c r="GDT718" s="1176"/>
      <c r="GDU718" s="1176"/>
      <c r="GDV718" s="1176"/>
      <c r="GDW718" s="1176"/>
      <c r="GDX718" s="1176"/>
      <c r="GDY718" s="1176"/>
      <c r="GDZ718" s="1176"/>
      <c r="GEA718" s="1176"/>
      <c r="GEB718" s="1176"/>
      <c r="GEC718" s="1176"/>
      <c r="GED718" s="1176"/>
      <c r="GEE718" s="1176"/>
      <c r="GEF718" s="1176"/>
      <c r="GEG718" s="1176"/>
      <c r="GEH718" s="1176"/>
      <c r="GEI718" s="1176"/>
      <c r="GEJ718" s="1176"/>
      <c r="GEK718" s="1176"/>
      <c r="GEL718" s="1176"/>
      <c r="GEM718" s="1176"/>
      <c r="GEN718" s="1176"/>
      <c r="GEO718" s="1176"/>
      <c r="GEP718" s="1176"/>
      <c r="GEQ718" s="1176"/>
      <c r="GER718" s="1176"/>
      <c r="GES718" s="1176"/>
      <c r="GET718" s="1176"/>
      <c r="GEU718" s="1176"/>
      <c r="GEV718" s="1176"/>
      <c r="GEW718" s="1176"/>
      <c r="GEX718" s="1176"/>
      <c r="GEY718" s="1176"/>
      <c r="GEZ718" s="1176"/>
      <c r="GFA718" s="1176"/>
      <c r="GFB718" s="1176"/>
      <c r="GFC718" s="1176"/>
      <c r="GFD718" s="1176"/>
      <c r="GFE718" s="1176"/>
      <c r="GFF718" s="1176"/>
      <c r="GFG718" s="1176"/>
      <c r="GFH718" s="1176"/>
      <c r="GFI718" s="1176"/>
      <c r="GFJ718" s="1176"/>
      <c r="GFK718" s="1176"/>
      <c r="GFL718" s="1176"/>
      <c r="GFM718" s="1176"/>
      <c r="GFN718" s="1176"/>
      <c r="GFO718" s="1176"/>
      <c r="GFP718" s="1176"/>
      <c r="GFQ718" s="1176"/>
      <c r="GFR718" s="1176"/>
      <c r="GFS718" s="1176"/>
      <c r="GFT718" s="1176"/>
      <c r="GFU718" s="1176"/>
      <c r="GFV718" s="1176"/>
      <c r="GFW718" s="1176"/>
      <c r="GFX718" s="1176"/>
      <c r="GFY718" s="1176"/>
      <c r="GFZ718" s="1176"/>
      <c r="GGA718" s="1176"/>
      <c r="GGB718" s="1176"/>
      <c r="GGC718" s="1176"/>
      <c r="GGD718" s="1176"/>
      <c r="GGE718" s="1176"/>
      <c r="GGF718" s="1176"/>
      <c r="GGG718" s="1176"/>
      <c r="GGH718" s="1176"/>
      <c r="GGI718" s="1176"/>
      <c r="GGJ718" s="1176"/>
      <c r="GGK718" s="1176"/>
      <c r="GGL718" s="1176"/>
      <c r="GGM718" s="1176"/>
      <c r="GGN718" s="1176"/>
      <c r="GGO718" s="1176"/>
      <c r="GGP718" s="1176"/>
      <c r="GGQ718" s="1176"/>
      <c r="GGR718" s="1176"/>
      <c r="GGS718" s="1176"/>
      <c r="GGT718" s="1176"/>
      <c r="GGU718" s="1176"/>
      <c r="GGV718" s="1176"/>
      <c r="GGW718" s="1176"/>
      <c r="GGX718" s="1176"/>
      <c r="GGY718" s="1176"/>
      <c r="GGZ718" s="1176"/>
      <c r="GHA718" s="1176"/>
      <c r="GHB718" s="1176"/>
      <c r="GHC718" s="1176"/>
      <c r="GHD718" s="1176"/>
      <c r="GHE718" s="1176"/>
      <c r="GHF718" s="1176"/>
      <c r="GHG718" s="1176"/>
      <c r="GHH718" s="1176"/>
      <c r="GHI718" s="1176"/>
      <c r="GHJ718" s="1176"/>
      <c r="GHK718" s="1176"/>
      <c r="GHL718" s="1176"/>
      <c r="GHM718" s="1176"/>
      <c r="GHN718" s="1176"/>
      <c r="GHO718" s="1176"/>
      <c r="GHP718" s="1176"/>
      <c r="GHQ718" s="1176"/>
      <c r="GHR718" s="1176"/>
      <c r="GHS718" s="1176"/>
      <c r="GHT718" s="1176"/>
      <c r="GHU718" s="1176"/>
      <c r="GHV718" s="1176"/>
      <c r="GHW718" s="1176"/>
      <c r="GHX718" s="1176"/>
      <c r="GHY718" s="1176"/>
      <c r="GHZ718" s="1176"/>
      <c r="GIA718" s="1176"/>
      <c r="GIB718" s="1176"/>
      <c r="GIC718" s="1176"/>
      <c r="GID718" s="1176"/>
      <c r="GIE718" s="1176"/>
      <c r="GIF718" s="1176"/>
      <c r="GIG718" s="1176"/>
      <c r="GIH718" s="1176"/>
      <c r="GII718" s="1176"/>
      <c r="GIJ718" s="1176"/>
      <c r="GIK718" s="1176"/>
      <c r="GIL718" s="1176"/>
      <c r="GIM718" s="1176"/>
      <c r="GIN718" s="1176"/>
      <c r="GIO718" s="1176"/>
      <c r="GIP718" s="1176"/>
      <c r="GIQ718" s="1176"/>
      <c r="GIR718" s="1176"/>
      <c r="GIS718" s="1176"/>
      <c r="GIT718" s="1176"/>
      <c r="GIU718" s="1176"/>
      <c r="GIV718" s="1176"/>
      <c r="GIW718" s="1176"/>
      <c r="GIX718" s="1176"/>
      <c r="GIY718" s="1176"/>
      <c r="GIZ718" s="1176"/>
      <c r="GJA718" s="1176"/>
      <c r="GJB718" s="1176"/>
      <c r="GJC718" s="1176"/>
      <c r="GJD718" s="1176"/>
      <c r="GJE718" s="1176"/>
      <c r="GJF718" s="1176"/>
      <c r="GJG718" s="1176"/>
      <c r="GJH718" s="1176"/>
      <c r="GJI718" s="1176"/>
      <c r="GJJ718" s="1176"/>
      <c r="GJK718" s="1176"/>
      <c r="GJL718" s="1176"/>
      <c r="GJM718" s="1176"/>
      <c r="GJN718" s="1176"/>
      <c r="GJO718" s="1176"/>
      <c r="GJP718" s="1176"/>
      <c r="GJQ718" s="1176"/>
      <c r="GJR718" s="1176"/>
      <c r="GJS718" s="1176"/>
      <c r="GJT718" s="1176"/>
      <c r="GJU718" s="1176"/>
      <c r="GJV718" s="1176"/>
      <c r="GJW718" s="1176"/>
      <c r="GJX718" s="1176"/>
      <c r="GJY718" s="1176"/>
      <c r="GJZ718" s="1176"/>
      <c r="GKA718" s="1176"/>
      <c r="GKB718" s="1176"/>
      <c r="GKC718" s="1176"/>
      <c r="GKD718" s="1176"/>
      <c r="GKE718" s="1176"/>
      <c r="GKF718" s="1176"/>
      <c r="GKG718" s="1176"/>
      <c r="GKH718" s="1176"/>
      <c r="GKI718" s="1176"/>
      <c r="GKJ718" s="1176"/>
      <c r="GKK718" s="1176"/>
      <c r="GKL718" s="1176"/>
      <c r="GKM718" s="1176"/>
      <c r="GKN718" s="1176"/>
      <c r="GKO718" s="1176"/>
      <c r="GKP718" s="1176"/>
      <c r="GKQ718" s="1176"/>
      <c r="GKR718" s="1176"/>
      <c r="GKS718" s="1176"/>
      <c r="GKT718" s="1176"/>
      <c r="GKU718" s="1176"/>
      <c r="GKV718" s="1176"/>
      <c r="GKW718" s="1176"/>
      <c r="GKX718" s="1176"/>
      <c r="GKY718" s="1176"/>
      <c r="GKZ718" s="1176"/>
      <c r="GLA718" s="1176"/>
      <c r="GLB718" s="1176"/>
      <c r="GLC718" s="1176"/>
      <c r="GLD718" s="1176"/>
      <c r="GLE718" s="1176"/>
      <c r="GLF718" s="1176"/>
      <c r="GLG718" s="1176"/>
      <c r="GLH718" s="1176"/>
      <c r="GLI718" s="1176"/>
      <c r="GLJ718" s="1176"/>
      <c r="GLK718" s="1176"/>
      <c r="GLL718" s="1176"/>
      <c r="GLM718" s="1176"/>
      <c r="GLN718" s="1176"/>
      <c r="GLO718" s="1176"/>
      <c r="GLP718" s="1176"/>
      <c r="GLQ718" s="1176"/>
      <c r="GLR718" s="1176"/>
      <c r="GLS718" s="1176"/>
      <c r="GLT718" s="1176"/>
      <c r="GLU718" s="1176"/>
      <c r="GLV718" s="1176"/>
      <c r="GLW718" s="1176"/>
      <c r="GLX718" s="1176"/>
      <c r="GLY718" s="1176"/>
      <c r="GLZ718" s="1176"/>
      <c r="GMA718" s="1176"/>
      <c r="GMB718" s="1176"/>
      <c r="GMC718" s="1176"/>
      <c r="GMD718" s="1176"/>
      <c r="GME718" s="1176"/>
      <c r="GMF718" s="1176"/>
      <c r="GMG718" s="1176"/>
      <c r="GMH718" s="1176"/>
      <c r="GMI718" s="1176"/>
      <c r="GMJ718" s="1176"/>
      <c r="GMK718" s="1176"/>
      <c r="GML718" s="1176"/>
      <c r="GMM718" s="1176"/>
      <c r="GMN718" s="1176"/>
      <c r="GMO718" s="1176"/>
      <c r="GMP718" s="1176"/>
      <c r="GMQ718" s="1176"/>
      <c r="GMR718" s="1176"/>
      <c r="GMS718" s="1176"/>
      <c r="GMT718" s="1176"/>
      <c r="GMU718" s="1176"/>
      <c r="GMV718" s="1176"/>
      <c r="GMW718" s="1176"/>
      <c r="GMX718" s="1176"/>
      <c r="GMY718" s="1176"/>
      <c r="GMZ718" s="1176"/>
      <c r="GNA718" s="1176"/>
      <c r="GNB718" s="1176"/>
      <c r="GNC718" s="1176"/>
      <c r="GND718" s="1176"/>
      <c r="GNE718" s="1176"/>
      <c r="GNF718" s="1176"/>
      <c r="GNG718" s="1176"/>
      <c r="GNH718" s="1176"/>
      <c r="GNI718" s="1176"/>
      <c r="GNJ718" s="1176"/>
      <c r="GNK718" s="1176"/>
      <c r="GNL718" s="1176"/>
      <c r="GNM718" s="1176"/>
      <c r="GNN718" s="1176"/>
      <c r="GNO718" s="1176"/>
      <c r="GNP718" s="1176"/>
      <c r="GNQ718" s="1176"/>
      <c r="GNR718" s="1176"/>
      <c r="GNS718" s="1176"/>
      <c r="GNT718" s="1176"/>
      <c r="GNU718" s="1176"/>
      <c r="GNV718" s="1176"/>
      <c r="GNW718" s="1176"/>
      <c r="GNX718" s="1176"/>
      <c r="GNY718" s="1176"/>
      <c r="GNZ718" s="1176"/>
      <c r="GOA718" s="1176"/>
      <c r="GOB718" s="1176"/>
      <c r="GOC718" s="1176"/>
      <c r="GOD718" s="1176"/>
      <c r="GOE718" s="1176"/>
      <c r="GOF718" s="1176"/>
      <c r="GOG718" s="1176"/>
      <c r="GOH718" s="1176"/>
      <c r="GOI718" s="1176"/>
      <c r="GOJ718" s="1176"/>
      <c r="GOK718" s="1176"/>
      <c r="GOL718" s="1176"/>
      <c r="GOM718" s="1176"/>
      <c r="GON718" s="1176"/>
      <c r="GOO718" s="1176"/>
      <c r="GOP718" s="1176"/>
      <c r="GOQ718" s="1176"/>
      <c r="GOR718" s="1176"/>
      <c r="GOS718" s="1176"/>
      <c r="GOT718" s="1176"/>
      <c r="GOU718" s="1176"/>
      <c r="GOV718" s="1176"/>
      <c r="GOW718" s="1176"/>
      <c r="GOX718" s="1176"/>
      <c r="GOY718" s="1176"/>
      <c r="GOZ718" s="1176"/>
      <c r="GPA718" s="1176"/>
      <c r="GPB718" s="1176"/>
      <c r="GPC718" s="1176"/>
      <c r="GPD718" s="1176"/>
      <c r="GPE718" s="1176"/>
      <c r="GPF718" s="1176"/>
      <c r="GPG718" s="1176"/>
      <c r="GPH718" s="1176"/>
      <c r="GPI718" s="1176"/>
      <c r="GPJ718" s="1176"/>
      <c r="GPK718" s="1176"/>
      <c r="GPL718" s="1176"/>
      <c r="GPM718" s="1176"/>
      <c r="GPN718" s="1176"/>
      <c r="GPO718" s="1176"/>
      <c r="GPP718" s="1176"/>
      <c r="GPQ718" s="1176"/>
      <c r="GPR718" s="1176"/>
      <c r="GPS718" s="1176"/>
      <c r="GPT718" s="1176"/>
      <c r="GPU718" s="1176"/>
      <c r="GPV718" s="1176"/>
      <c r="GPW718" s="1176"/>
      <c r="GPX718" s="1176"/>
      <c r="GPY718" s="1176"/>
      <c r="GPZ718" s="1176"/>
      <c r="GQA718" s="1176"/>
      <c r="GQB718" s="1176"/>
      <c r="GQC718" s="1176"/>
      <c r="GQD718" s="1176"/>
      <c r="GQE718" s="1176"/>
      <c r="GQF718" s="1176"/>
      <c r="GQG718" s="1176"/>
      <c r="GQH718" s="1176"/>
      <c r="GQI718" s="1176"/>
      <c r="GQJ718" s="1176"/>
      <c r="GQK718" s="1176"/>
      <c r="GQL718" s="1176"/>
      <c r="GQM718" s="1176"/>
      <c r="GQN718" s="1176"/>
      <c r="GQO718" s="1176"/>
      <c r="GQP718" s="1176"/>
      <c r="GQQ718" s="1176"/>
      <c r="GQR718" s="1176"/>
      <c r="GQS718" s="1176"/>
      <c r="GQT718" s="1176"/>
      <c r="GQU718" s="1176"/>
      <c r="GQV718" s="1176"/>
      <c r="GQW718" s="1176"/>
      <c r="GQX718" s="1176"/>
      <c r="GQY718" s="1176"/>
      <c r="GQZ718" s="1176"/>
      <c r="GRA718" s="1176"/>
      <c r="GRB718" s="1176"/>
      <c r="GRC718" s="1176"/>
      <c r="GRD718" s="1176"/>
      <c r="GRE718" s="1176"/>
      <c r="GRF718" s="1176"/>
      <c r="GRG718" s="1176"/>
      <c r="GRH718" s="1176"/>
      <c r="GRI718" s="1176"/>
      <c r="GRJ718" s="1176"/>
      <c r="GRK718" s="1176"/>
      <c r="GRL718" s="1176"/>
      <c r="GRM718" s="1176"/>
      <c r="GRN718" s="1176"/>
      <c r="GRO718" s="1176"/>
      <c r="GRP718" s="1176"/>
      <c r="GRQ718" s="1176"/>
      <c r="GRR718" s="1176"/>
      <c r="GRS718" s="1176"/>
      <c r="GRT718" s="1176"/>
      <c r="GRU718" s="1176"/>
      <c r="GRV718" s="1176"/>
      <c r="GRW718" s="1176"/>
      <c r="GRX718" s="1176"/>
      <c r="GRY718" s="1176"/>
      <c r="GRZ718" s="1176"/>
      <c r="GSA718" s="1176"/>
      <c r="GSB718" s="1176"/>
      <c r="GSC718" s="1176"/>
      <c r="GSD718" s="1176"/>
      <c r="GSE718" s="1176"/>
      <c r="GSF718" s="1176"/>
      <c r="GSG718" s="1176"/>
      <c r="GSH718" s="1176"/>
      <c r="GSI718" s="1176"/>
      <c r="GSJ718" s="1176"/>
      <c r="GSK718" s="1176"/>
      <c r="GSL718" s="1176"/>
      <c r="GSM718" s="1176"/>
      <c r="GSN718" s="1176"/>
      <c r="GSO718" s="1176"/>
      <c r="GSP718" s="1176"/>
      <c r="GSQ718" s="1176"/>
      <c r="GSR718" s="1176"/>
      <c r="GSS718" s="1176"/>
      <c r="GST718" s="1176"/>
      <c r="GSU718" s="1176"/>
      <c r="GSV718" s="1176"/>
      <c r="GSW718" s="1176"/>
      <c r="GSX718" s="1176"/>
      <c r="GSY718" s="1176"/>
      <c r="GSZ718" s="1176"/>
      <c r="GTA718" s="1176"/>
      <c r="GTB718" s="1176"/>
      <c r="GTC718" s="1176"/>
      <c r="GTD718" s="1176"/>
      <c r="GTE718" s="1176"/>
      <c r="GTF718" s="1176"/>
      <c r="GTG718" s="1176"/>
      <c r="GTH718" s="1176"/>
      <c r="GTI718" s="1176"/>
      <c r="GTJ718" s="1176"/>
      <c r="GTK718" s="1176"/>
      <c r="GTL718" s="1176"/>
      <c r="GTM718" s="1176"/>
      <c r="GTN718" s="1176"/>
      <c r="GTO718" s="1176"/>
      <c r="GTP718" s="1176"/>
      <c r="GTQ718" s="1176"/>
      <c r="GTR718" s="1176"/>
      <c r="GTS718" s="1176"/>
      <c r="GTT718" s="1176"/>
      <c r="GTU718" s="1176"/>
      <c r="GTV718" s="1176"/>
      <c r="GTW718" s="1176"/>
      <c r="GTX718" s="1176"/>
      <c r="GTY718" s="1176"/>
      <c r="GTZ718" s="1176"/>
      <c r="GUA718" s="1176"/>
      <c r="GUB718" s="1176"/>
      <c r="GUC718" s="1176"/>
      <c r="GUD718" s="1176"/>
      <c r="GUE718" s="1176"/>
      <c r="GUF718" s="1176"/>
      <c r="GUG718" s="1176"/>
      <c r="GUH718" s="1176"/>
      <c r="GUI718" s="1176"/>
      <c r="GUJ718" s="1176"/>
      <c r="GUK718" s="1176"/>
      <c r="GUL718" s="1176"/>
      <c r="GUM718" s="1176"/>
      <c r="GUN718" s="1176"/>
      <c r="GUO718" s="1176"/>
      <c r="GUP718" s="1176"/>
      <c r="GUQ718" s="1176"/>
      <c r="GUR718" s="1176"/>
      <c r="GUS718" s="1176"/>
      <c r="GUT718" s="1176"/>
      <c r="GUU718" s="1176"/>
      <c r="GUV718" s="1176"/>
      <c r="GUW718" s="1176"/>
      <c r="GUX718" s="1176"/>
      <c r="GUY718" s="1176"/>
      <c r="GUZ718" s="1176"/>
      <c r="GVA718" s="1176"/>
      <c r="GVB718" s="1176"/>
      <c r="GVC718" s="1176"/>
      <c r="GVD718" s="1176"/>
      <c r="GVE718" s="1176"/>
      <c r="GVF718" s="1176"/>
      <c r="GVG718" s="1176"/>
      <c r="GVH718" s="1176"/>
      <c r="GVI718" s="1176"/>
      <c r="GVJ718" s="1176"/>
      <c r="GVK718" s="1176"/>
      <c r="GVL718" s="1176"/>
      <c r="GVM718" s="1176"/>
      <c r="GVN718" s="1176"/>
      <c r="GVO718" s="1176"/>
      <c r="GVP718" s="1176"/>
      <c r="GVQ718" s="1176"/>
      <c r="GVR718" s="1176"/>
      <c r="GVS718" s="1176"/>
      <c r="GVT718" s="1176"/>
      <c r="GVU718" s="1176"/>
      <c r="GVV718" s="1176"/>
      <c r="GVW718" s="1176"/>
      <c r="GVX718" s="1176"/>
      <c r="GVY718" s="1176"/>
      <c r="GVZ718" s="1176"/>
      <c r="GWA718" s="1176"/>
      <c r="GWB718" s="1176"/>
      <c r="GWC718" s="1176"/>
      <c r="GWD718" s="1176"/>
      <c r="GWE718" s="1176"/>
      <c r="GWF718" s="1176"/>
      <c r="GWG718" s="1176"/>
      <c r="GWH718" s="1176"/>
      <c r="GWI718" s="1176"/>
      <c r="GWJ718" s="1176"/>
      <c r="GWK718" s="1176"/>
      <c r="GWL718" s="1176"/>
      <c r="GWM718" s="1176"/>
      <c r="GWN718" s="1176"/>
      <c r="GWO718" s="1176"/>
      <c r="GWP718" s="1176"/>
      <c r="GWQ718" s="1176"/>
      <c r="GWR718" s="1176"/>
      <c r="GWS718" s="1176"/>
      <c r="GWT718" s="1176"/>
      <c r="GWU718" s="1176"/>
      <c r="GWV718" s="1176"/>
      <c r="GWW718" s="1176"/>
      <c r="GWX718" s="1176"/>
      <c r="GWY718" s="1176"/>
      <c r="GWZ718" s="1176"/>
      <c r="GXA718" s="1176"/>
      <c r="GXB718" s="1176"/>
      <c r="GXC718" s="1176"/>
      <c r="GXD718" s="1176"/>
      <c r="GXE718" s="1176"/>
      <c r="GXF718" s="1176"/>
      <c r="GXG718" s="1176"/>
      <c r="GXH718" s="1176"/>
      <c r="GXI718" s="1176"/>
      <c r="GXJ718" s="1176"/>
      <c r="GXK718" s="1176"/>
      <c r="GXL718" s="1176"/>
      <c r="GXM718" s="1176"/>
      <c r="GXN718" s="1176"/>
      <c r="GXO718" s="1176"/>
      <c r="GXP718" s="1176"/>
      <c r="GXQ718" s="1176"/>
      <c r="GXR718" s="1176"/>
      <c r="GXS718" s="1176"/>
      <c r="GXT718" s="1176"/>
      <c r="GXU718" s="1176"/>
      <c r="GXV718" s="1176"/>
      <c r="GXW718" s="1176"/>
      <c r="GXX718" s="1176"/>
      <c r="GXY718" s="1176"/>
      <c r="GXZ718" s="1176"/>
      <c r="GYA718" s="1176"/>
      <c r="GYB718" s="1176"/>
      <c r="GYC718" s="1176"/>
      <c r="GYD718" s="1176"/>
      <c r="GYE718" s="1176"/>
      <c r="GYF718" s="1176"/>
      <c r="GYG718" s="1176"/>
      <c r="GYH718" s="1176"/>
      <c r="GYI718" s="1176"/>
      <c r="GYJ718" s="1176"/>
      <c r="GYK718" s="1176"/>
      <c r="GYL718" s="1176"/>
      <c r="GYM718" s="1176"/>
      <c r="GYN718" s="1176"/>
      <c r="GYO718" s="1176"/>
      <c r="GYP718" s="1176"/>
      <c r="GYQ718" s="1176"/>
      <c r="GYR718" s="1176"/>
      <c r="GYS718" s="1176"/>
      <c r="GYT718" s="1176"/>
      <c r="GYU718" s="1176"/>
      <c r="GYV718" s="1176"/>
      <c r="GYW718" s="1176"/>
      <c r="GYX718" s="1176"/>
      <c r="GYY718" s="1176"/>
      <c r="GYZ718" s="1176"/>
      <c r="GZA718" s="1176"/>
      <c r="GZB718" s="1176"/>
      <c r="GZC718" s="1176"/>
      <c r="GZD718" s="1176"/>
      <c r="GZE718" s="1176"/>
      <c r="GZF718" s="1176"/>
      <c r="GZG718" s="1176"/>
      <c r="GZH718" s="1176"/>
      <c r="GZI718" s="1176"/>
      <c r="GZJ718" s="1176"/>
      <c r="GZK718" s="1176"/>
      <c r="GZL718" s="1176"/>
      <c r="GZM718" s="1176"/>
      <c r="GZN718" s="1176"/>
      <c r="GZO718" s="1176"/>
      <c r="GZP718" s="1176"/>
      <c r="GZQ718" s="1176"/>
      <c r="GZR718" s="1176"/>
      <c r="GZS718" s="1176"/>
      <c r="GZT718" s="1176"/>
      <c r="GZU718" s="1176"/>
      <c r="GZV718" s="1176"/>
      <c r="GZW718" s="1176"/>
      <c r="GZX718" s="1176"/>
      <c r="GZY718" s="1176"/>
      <c r="GZZ718" s="1176"/>
      <c r="HAA718" s="1176"/>
      <c r="HAB718" s="1176"/>
      <c r="HAC718" s="1176"/>
      <c r="HAD718" s="1176"/>
      <c r="HAE718" s="1176"/>
      <c r="HAF718" s="1176"/>
      <c r="HAG718" s="1176"/>
      <c r="HAH718" s="1176"/>
      <c r="HAI718" s="1176"/>
      <c r="HAJ718" s="1176"/>
      <c r="HAK718" s="1176"/>
      <c r="HAL718" s="1176"/>
      <c r="HAM718" s="1176"/>
      <c r="HAN718" s="1176"/>
      <c r="HAO718" s="1176"/>
      <c r="HAP718" s="1176"/>
      <c r="HAQ718" s="1176"/>
      <c r="HAR718" s="1176"/>
      <c r="HAS718" s="1176"/>
      <c r="HAT718" s="1176"/>
      <c r="HAU718" s="1176"/>
      <c r="HAV718" s="1176"/>
      <c r="HAW718" s="1176"/>
      <c r="HAX718" s="1176"/>
      <c r="HAY718" s="1176"/>
      <c r="HAZ718" s="1176"/>
      <c r="HBA718" s="1176"/>
      <c r="HBB718" s="1176"/>
      <c r="HBC718" s="1176"/>
      <c r="HBD718" s="1176"/>
      <c r="HBE718" s="1176"/>
      <c r="HBF718" s="1176"/>
      <c r="HBG718" s="1176"/>
      <c r="HBH718" s="1176"/>
      <c r="HBI718" s="1176"/>
      <c r="HBJ718" s="1176"/>
      <c r="HBK718" s="1176"/>
      <c r="HBL718" s="1176"/>
      <c r="HBM718" s="1176"/>
      <c r="HBN718" s="1176"/>
      <c r="HBO718" s="1176"/>
      <c r="HBP718" s="1176"/>
      <c r="HBQ718" s="1176"/>
      <c r="HBR718" s="1176"/>
      <c r="HBS718" s="1176"/>
      <c r="HBT718" s="1176"/>
      <c r="HBU718" s="1176"/>
      <c r="HBV718" s="1176"/>
      <c r="HBW718" s="1176"/>
      <c r="HBX718" s="1176"/>
      <c r="HBY718" s="1176"/>
      <c r="HBZ718" s="1176"/>
      <c r="HCA718" s="1176"/>
      <c r="HCB718" s="1176"/>
      <c r="HCC718" s="1176"/>
      <c r="HCD718" s="1176"/>
      <c r="HCE718" s="1176"/>
      <c r="HCF718" s="1176"/>
      <c r="HCG718" s="1176"/>
      <c r="HCH718" s="1176"/>
      <c r="HCI718" s="1176"/>
      <c r="HCJ718" s="1176"/>
      <c r="HCK718" s="1176"/>
      <c r="HCL718" s="1176"/>
      <c r="HCM718" s="1176"/>
      <c r="HCN718" s="1176"/>
      <c r="HCO718" s="1176"/>
      <c r="HCP718" s="1176"/>
      <c r="HCQ718" s="1176"/>
      <c r="HCR718" s="1176"/>
      <c r="HCS718" s="1176"/>
      <c r="HCT718" s="1176"/>
      <c r="HCU718" s="1176"/>
      <c r="HCV718" s="1176"/>
      <c r="HCW718" s="1176"/>
      <c r="HCX718" s="1176"/>
      <c r="HCY718" s="1176"/>
      <c r="HCZ718" s="1176"/>
      <c r="HDA718" s="1176"/>
      <c r="HDB718" s="1176"/>
      <c r="HDC718" s="1176"/>
      <c r="HDD718" s="1176"/>
      <c r="HDE718" s="1176"/>
      <c r="HDF718" s="1176"/>
      <c r="HDG718" s="1176"/>
      <c r="HDH718" s="1176"/>
      <c r="HDI718" s="1176"/>
      <c r="HDJ718" s="1176"/>
      <c r="HDK718" s="1176"/>
      <c r="HDL718" s="1176"/>
      <c r="HDM718" s="1176"/>
      <c r="HDN718" s="1176"/>
      <c r="HDO718" s="1176"/>
      <c r="HDP718" s="1176"/>
      <c r="HDQ718" s="1176"/>
      <c r="HDR718" s="1176"/>
      <c r="HDS718" s="1176"/>
      <c r="HDT718" s="1176"/>
      <c r="HDU718" s="1176"/>
      <c r="HDV718" s="1176"/>
      <c r="HDW718" s="1176"/>
      <c r="HDX718" s="1176"/>
      <c r="HDY718" s="1176"/>
      <c r="HDZ718" s="1176"/>
      <c r="HEA718" s="1176"/>
      <c r="HEB718" s="1176"/>
      <c r="HEC718" s="1176"/>
      <c r="HED718" s="1176"/>
      <c r="HEE718" s="1176"/>
      <c r="HEF718" s="1176"/>
      <c r="HEG718" s="1176"/>
      <c r="HEH718" s="1176"/>
      <c r="HEI718" s="1176"/>
      <c r="HEJ718" s="1176"/>
      <c r="HEK718" s="1176"/>
      <c r="HEL718" s="1176"/>
      <c r="HEM718" s="1176"/>
      <c r="HEN718" s="1176"/>
      <c r="HEO718" s="1176"/>
      <c r="HEP718" s="1176"/>
      <c r="HEQ718" s="1176"/>
      <c r="HER718" s="1176"/>
      <c r="HES718" s="1176"/>
      <c r="HET718" s="1176"/>
      <c r="HEU718" s="1176"/>
      <c r="HEV718" s="1176"/>
      <c r="HEW718" s="1176"/>
      <c r="HEX718" s="1176"/>
      <c r="HEY718" s="1176"/>
      <c r="HEZ718" s="1176"/>
      <c r="HFA718" s="1176"/>
      <c r="HFB718" s="1176"/>
      <c r="HFC718" s="1176"/>
      <c r="HFD718" s="1176"/>
      <c r="HFE718" s="1176"/>
      <c r="HFF718" s="1176"/>
      <c r="HFG718" s="1176"/>
      <c r="HFH718" s="1176"/>
      <c r="HFI718" s="1176"/>
      <c r="HFJ718" s="1176"/>
      <c r="HFK718" s="1176"/>
      <c r="HFL718" s="1176"/>
      <c r="HFM718" s="1176"/>
      <c r="HFN718" s="1176"/>
      <c r="HFO718" s="1176"/>
      <c r="HFP718" s="1176"/>
      <c r="HFQ718" s="1176"/>
      <c r="HFR718" s="1176"/>
      <c r="HFS718" s="1176"/>
      <c r="HFT718" s="1176"/>
      <c r="HFU718" s="1176"/>
      <c r="HFV718" s="1176"/>
      <c r="HFW718" s="1176"/>
      <c r="HFX718" s="1176"/>
      <c r="HFY718" s="1176"/>
      <c r="HFZ718" s="1176"/>
      <c r="HGA718" s="1176"/>
      <c r="HGB718" s="1176"/>
      <c r="HGC718" s="1176"/>
      <c r="HGD718" s="1176"/>
      <c r="HGE718" s="1176"/>
      <c r="HGF718" s="1176"/>
      <c r="HGG718" s="1176"/>
      <c r="HGH718" s="1176"/>
      <c r="HGI718" s="1176"/>
      <c r="HGJ718" s="1176"/>
      <c r="HGK718" s="1176"/>
      <c r="HGL718" s="1176"/>
      <c r="HGM718" s="1176"/>
      <c r="HGN718" s="1176"/>
      <c r="HGO718" s="1176"/>
      <c r="HGP718" s="1176"/>
      <c r="HGQ718" s="1176"/>
      <c r="HGR718" s="1176"/>
      <c r="HGS718" s="1176"/>
      <c r="HGT718" s="1176"/>
      <c r="HGU718" s="1176"/>
      <c r="HGV718" s="1176"/>
      <c r="HGW718" s="1176"/>
      <c r="HGX718" s="1176"/>
      <c r="HGY718" s="1176"/>
      <c r="HGZ718" s="1176"/>
      <c r="HHA718" s="1176"/>
      <c r="HHB718" s="1176"/>
      <c r="HHC718" s="1176"/>
      <c r="HHD718" s="1176"/>
      <c r="HHE718" s="1176"/>
      <c r="HHF718" s="1176"/>
      <c r="HHG718" s="1176"/>
      <c r="HHH718" s="1176"/>
      <c r="HHI718" s="1176"/>
      <c r="HHJ718" s="1176"/>
      <c r="HHK718" s="1176"/>
      <c r="HHL718" s="1176"/>
      <c r="HHM718" s="1176"/>
      <c r="HHN718" s="1176"/>
      <c r="HHO718" s="1176"/>
      <c r="HHP718" s="1176"/>
      <c r="HHQ718" s="1176"/>
      <c r="HHR718" s="1176"/>
      <c r="HHS718" s="1176"/>
      <c r="HHT718" s="1176"/>
      <c r="HHU718" s="1176"/>
      <c r="HHV718" s="1176"/>
      <c r="HHW718" s="1176"/>
      <c r="HHX718" s="1176"/>
      <c r="HHY718" s="1176"/>
      <c r="HHZ718" s="1176"/>
      <c r="HIA718" s="1176"/>
      <c r="HIB718" s="1176"/>
      <c r="HIC718" s="1176"/>
      <c r="HID718" s="1176"/>
      <c r="HIE718" s="1176"/>
      <c r="HIF718" s="1176"/>
      <c r="HIG718" s="1176"/>
      <c r="HIH718" s="1176"/>
      <c r="HII718" s="1176"/>
      <c r="HIJ718" s="1176"/>
      <c r="HIK718" s="1176"/>
      <c r="HIL718" s="1176"/>
      <c r="HIM718" s="1176"/>
      <c r="HIN718" s="1176"/>
      <c r="HIO718" s="1176"/>
      <c r="HIP718" s="1176"/>
      <c r="HIQ718" s="1176"/>
      <c r="HIR718" s="1176"/>
      <c r="HIS718" s="1176"/>
      <c r="HIT718" s="1176"/>
      <c r="HIU718" s="1176"/>
      <c r="HIV718" s="1176"/>
      <c r="HIW718" s="1176"/>
      <c r="HIX718" s="1176"/>
      <c r="HIY718" s="1176"/>
      <c r="HIZ718" s="1176"/>
      <c r="HJA718" s="1176"/>
      <c r="HJB718" s="1176"/>
      <c r="HJC718" s="1176"/>
      <c r="HJD718" s="1176"/>
      <c r="HJE718" s="1176"/>
      <c r="HJF718" s="1176"/>
      <c r="HJG718" s="1176"/>
      <c r="HJH718" s="1176"/>
      <c r="HJI718" s="1176"/>
      <c r="HJJ718" s="1176"/>
      <c r="HJK718" s="1176"/>
      <c r="HJL718" s="1176"/>
      <c r="HJM718" s="1176"/>
      <c r="HJN718" s="1176"/>
      <c r="HJO718" s="1176"/>
      <c r="HJP718" s="1176"/>
      <c r="HJQ718" s="1176"/>
      <c r="HJR718" s="1176"/>
      <c r="HJS718" s="1176"/>
      <c r="HJT718" s="1176"/>
      <c r="HJU718" s="1176"/>
      <c r="HJV718" s="1176"/>
      <c r="HJW718" s="1176"/>
      <c r="HJX718" s="1176"/>
      <c r="HJY718" s="1176"/>
      <c r="HJZ718" s="1176"/>
      <c r="HKA718" s="1176"/>
      <c r="HKB718" s="1176"/>
      <c r="HKC718" s="1176"/>
      <c r="HKD718" s="1176"/>
      <c r="HKE718" s="1176"/>
      <c r="HKF718" s="1176"/>
      <c r="HKG718" s="1176"/>
      <c r="HKH718" s="1176"/>
      <c r="HKI718" s="1176"/>
      <c r="HKJ718" s="1176"/>
      <c r="HKK718" s="1176"/>
      <c r="HKL718" s="1176"/>
      <c r="HKM718" s="1176"/>
      <c r="HKN718" s="1176"/>
      <c r="HKO718" s="1176"/>
      <c r="HKP718" s="1176"/>
      <c r="HKQ718" s="1176"/>
      <c r="HKR718" s="1176"/>
      <c r="HKS718" s="1176"/>
      <c r="HKT718" s="1176"/>
      <c r="HKU718" s="1176"/>
      <c r="HKV718" s="1176"/>
      <c r="HKW718" s="1176"/>
      <c r="HKX718" s="1176"/>
      <c r="HKY718" s="1176"/>
      <c r="HKZ718" s="1176"/>
      <c r="HLA718" s="1176"/>
      <c r="HLB718" s="1176"/>
      <c r="HLC718" s="1176"/>
      <c r="HLD718" s="1176"/>
      <c r="HLE718" s="1176"/>
      <c r="HLF718" s="1176"/>
      <c r="HLG718" s="1176"/>
      <c r="HLH718" s="1176"/>
      <c r="HLI718" s="1176"/>
      <c r="HLJ718" s="1176"/>
      <c r="HLK718" s="1176"/>
      <c r="HLL718" s="1176"/>
      <c r="HLM718" s="1176"/>
      <c r="HLN718" s="1176"/>
      <c r="HLO718" s="1176"/>
      <c r="HLP718" s="1176"/>
      <c r="HLQ718" s="1176"/>
      <c r="HLR718" s="1176"/>
      <c r="HLS718" s="1176"/>
      <c r="HLT718" s="1176"/>
      <c r="HLU718" s="1176"/>
      <c r="HLV718" s="1176"/>
      <c r="HLW718" s="1176"/>
      <c r="HLX718" s="1176"/>
      <c r="HLY718" s="1176"/>
      <c r="HLZ718" s="1176"/>
      <c r="HMA718" s="1176"/>
      <c r="HMB718" s="1176"/>
      <c r="HMC718" s="1176"/>
      <c r="HMD718" s="1176"/>
      <c r="HME718" s="1176"/>
      <c r="HMF718" s="1176"/>
      <c r="HMG718" s="1176"/>
      <c r="HMH718" s="1176"/>
      <c r="HMI718" s="1176"/>
      <c r="HMJ718" s="1176"/>
      <c r="HMK718" s="1176"/>
      <c r="HML718" s="1176"/>
      <c r="HMM718" s="1176"/>
      <c r="HMN718" s="1176"/>
      <c r="HMO718" s="1176"/>
      <c r="HMP718" s="1176"/>
      <c r="HMQ718" s="1176"/>
      <c r="HMR718" s="1176"/>
      <c r="HMS718" s="1176"/>
      <c r="HMT718" s="1176"/>
      <c r="HMU718" s="1176"/>
      <c r="HMV718" s="1176"/>
      <c r="HMW718" s="1176"/>
      <c r="HMX718" s="1176"/>
      <c r="HMY718" s="1176"/>
      <c r="HMZ718" s="1176"/>
      <c r="HNA718" s="1176"/>
      <c r="HNB718" s="1176"/>
      <c r="HNC718" s="1176"/>
      <c r="HND718" s="1176"/>
      <c r="HNE718" s="1176"/>
      <c r="HNF718" s="1176"/>
      <c r="HNG718" s="1176"/>
      <c r="HNH718" s="1176"/>
      <c r="HNI718" s="1176"/>
      <c r="HNJ718" s="1176"/>
      <c r="HNK718" s="1176"/>
      <c r="HNL718" s="1176"/>
      <c r="HNM718" s="1176"/>
      <c r="HNN718" s="1176"/>
      <c r="HNO718" s="1176"/>
      <c r="HNP718" s="1176"/>
      <c r="HNQ718" s="1176"/>
      <c r="HNR718" s="1176"/>
      <c r="HNS718" s="1176"/>
      <c r="HNT718" s="1176"/>
      <c r="HNU718" s="1176"/>
      <c r="HNV718" s="1176"/>
      <c r="HNW718" s="1176"/>
      <c r="HNX718" s="1176"/>
      <c r="HNY718" s="1176"/>
      <c r="HNZ718" s="1176"/>
      <c r="HOA718" s="1176"/>
      <c r="HOB718" s="1176"/>
      <c r="HOC718" s="1176"/>
      <c r="HOD718" s="1176"/>
      <c r="HOE718" s="1176"/>
      <c r="HOF718" s="1176"/>
      <c r="HOG718" s="1176"/>
      <c r="HOH718" s="1176"/>
      <c r="HOI718" s="1176"/>
      <c r="HOJ718" s="1176"/>
      <c r="HOK718" s="1176"/>
      <c r="HOL718" s="1176"/>
      <c r="HOM718" s="1176"/>
      <c r="HON718" s="1176"/>
      <c r="HOO718" s="1176"/>
      <c r="HOP718" s="1176"/>
      <c r="HOQ718" s="1176"/>
      <c r="HOR718" s="1176"/>
      <c r="HOS718" s="1176"/>
      <c r="HOT718" s="1176"/>
      <c r="HOU718" s="1176"/>
      <c r="HOV718" s="1176"/>
      <c r="HOW718" s="1176"/>
      <c r="HOX718" s="1176"/>
      <c r="HOY718" s="1176"/>
      <c r="HOZ718" s="1176"/>
      <c r="HPA718" s="1176"/>
      <c r="HPB718" s="1176"/>
      <c r="HPC718" s="1176"/>
      <c r="HPD718" s="1176"/>
      <c r="HPE718" s="1176"/>
      <c r="HPF718" s="1176"/>
      <c r="HPG718" s="1176"/>
      <c r="HPH718" s="1176"/>
      <c r="HPI718" s="1176"/>
      <c r="HPJ718" s="1176"/>
      <c r="HPK718" s="1176"/>
      <c r="HPL718" s="1176"/>
      <c r="HPM718" s="1176"/>
      <c r="HPN718" s="1176"/>
      <c r="HPO718" s="1176"/>
      <c r="HPP718" s="1176"/>
      <c r="HPQ718" s="1176"/>
      <c r="HPR718" s="1176"/>
      <c r="HPS718" s="1176"/>
      <c r="HPT718" s="1176"/>
      <c r="HPU718" s="1176"/>
      <c r="HPV718" s="1176"/>
      <c r="HPW718" s="1176"/>
      <c r="HPX718" s="1176"/>
      <c r="HPY718" s="1176"/>
      <c r="HPZ718" s="1176"/>
      <c r="HQA718" s="1176"/>
      <c r="HQB718" s="1176"/>
      <c r="HQC718" s="1176"/>
      <c r="HQD718" s="1176"/>
      <c r="HQE718" s="1176"/>
      <c r="HQF718" s="1176"/>
      <c r="HQG718" s="1176"/>
      <c r="HQH718" s="1176"/>
      <c r="HQI718" s="1176"/>
      <c r="HQJ718" s="1176"/>
      <c r="HQK718" s="1176"/>
      <c r="HQL718" s="1176"/>
      <c r="HQM718" s="1176"/>
      <c r="HQN718" s="1176"/>
      <c r="HQO718" s="1176"/>
      <c r="HQP718" s="1176"/>
      <c r="HQQ718" s="1176"/>
      <c r="HQR718" s="1176"/>
      <c r="HQS718" s="1176"/>
      <c r="HQT718" s="1176"/>
      <c r="HQU718" s="1176"/>
      <c r="HQV718" s="1176"/>
      <c r="HQW718" s="1176"/>
      <c r="HQX718" s="1176"/>
      <c r="HQY718" s="1176"/>
      <c r="HQZ718" s="1176"/>
      <c r="HRA718" s="1176"/>
      <c r="HRB718" s="1176"/>
      <c r="HRC718" s="1176"/>
      <c r="HRD718" s="1176"/>
      <c r="HRE718" s="1176"/>
      <c r="HRF718" s="1176"/>
      <c r="HRG718" s="1176"/>
      <c r="HRH718" s="1176"/>
      <c r="HRI718" s="1176"/>
      <c r="HRJ718" s="1176"/>
      <c r="HRK718" s="1176"/>
      <c r="HRL718" s="1176"/>
      <c r="HRM718" s="1176"/>
      <c r="HRN718" s="1176"/>
      <c r="HRO718" s="1176"/>
      <c r="HRP718" s="1176"/>
      <c r="HRQ718" s="1176"/>
      <c r="HRR718" s="1176"/>
      <c r="HRS718" s="1176"/>
      <c r="HRT718" s="1176"/>
      <c r="HRU718" s="1176"/>
      <c r="HRV718" s="1176"/>
      <c r="HRW718" s="1176"/>
      <c r="HRX718" s="1176"/>
      <c r="HRY718" s="1176"/>
      <c r="HRZ718" s="1176"/>
      <c r="HSA718" s="1176"/>
      <c r="HSB718" s="1176"/>
      <c r="HSC718" s="1176"/>
      <c r="HSD718" s="1176"/>
      <c r="HSE718" s="1176"/>
      <c r="HSF718" s="1176"/>
      <c r="HSG718" s="1176"/>
      <c r="HSH718" s="1176"/>
      <c r="HSI718" s="1176"/>
      <c r="HSJ718" s="1176"/>
      <c r="HSK718" s="1176"/>
      <c r="HSL718" s="1176"/>
      <c r="HSM718" s="1176"/>
      <c r="HSN718" s="1176"/>
      <c r="HSO718" s="1176"/>
      <c r="HSP718" s="1176"/>
      <c r="HSQ718" s="1176"/>
      <c r="HSR718" s="1176"/>
      <c r="HSS718" s="1176"/>
      <c r="HST718" s="1176"/>
      <c r="HSU718" s="1176"/>
      <c r="HSV718" s="1176"/>
      <c r="HSW718" s="1176"/>
      <c r="HSX718" s="1176"/>
      <c r="HSY718" s="1176"/>
      <c r="HSZ718" s="1176"/>
      <c r="HTA718" s="1176"/>
      <c r="HTB718" s="1176"/>
      <c r="HTC718" s="1176"/>
      <c r="HTD718" s="1176"/>
      <c r="HTE718" s="1176"/>
      <c r="HTF718" s="1176"/>
      <c r="HTG718" s="1176"/>
      <c r="HTH718" s="1176"/>
      <c r="HTI718" s="1176"/>
      <c r="HTJ718" s="1176"/>
      <c r="HTK718" s="1176"/>
      <c r="HTL718" s="1176"/>
      <c r="HTM718" s="1176"/>
      <c r="HTN718" s="1176"/>
      <c r="HTO718" s="1176"/>
      <c r="HTP718" s="1176"/>
      <c r="HTQ718" s="1176"/>
      <c r="HTR718" s="1176"/>
      <c r="HTS718" s="1176"/>
      <c r="HTT718" s="1176"/>
      <c r="HTU718" s="1176"/>
      <c r="HTV718" s="1176"/>
      <c r="HTW718" s="1176"/>
      <c r="HTX718" s="1176"/>
      <c r="HTY718" s="1176"/>
      <c r="HTZ718" s="1176"/>
      <c r="HUA718" s="1176"/>
      <c r="HUB718" s="1176"/>
      <c r="HUC718" s="1176"/>
      <c r="HUD718" s="1176"/>
      <c r="HUE718" s="1176"/>
      <c r="HUF718" s="1176"/>
      <c r="HUG718" s="1176"/>
      <c r="HUH718" s="1176"/>
      <c r="HUI718" s="1176"/>
      <c r="HUJ718" s="1176"/>
      <c r="HUK718" s="1176"/>
      <c r="HUL718" s="1176"/>
      <c r="HUM718" s="1176"/>
      <c r="HUN718" s="1176"/>
      <c r="HUO718" s="1176"/>
      <c r="HUP718" s="1176"/>
      <c r="HUQ718" s="1176"/>
      <c r="HUR718" s="1176"/>
      <c r="HUS718" s="1176"/>
      <c r="HUT718" s="1176"/>
      <c r="HUU718" s="1176"/>
      <c r="HUV718" s="1176"/>
      <c r="HUW718" s="1176"/>
      <c r="HUX718" s="1176"/>
      <c r="HUY718" s="1176"/>
      <c r="HUZ718" s="1176"/>
      <c r="HVA718" s="1176"/>
      <c r="HVB718" s="1176"/>
      <c r="HVC718" s="1176"/>
      <c r="HVD718" s="1176"/>
      <c r="HVE718" s="1176"/>
      <c r="HVF718" s="1176"/>
      <c r="HVG718" s="1176"/>
      <c r="HVH718" s="1176"/>
      <c r="HVI718" s="1176"/>
      <c r="HVJ718" s="1176"/>
      <c r="HVK718" s="1176"/>
      <c r="HVL718" s="1176"/>
      <c r="HVM718" s="1176"/>
      <c r="HVN718" s="1176"/>
      <c r="HVO718" s="1176"/>
      <c r="HVP718" s="1176"/>
      <c r="HVQ718" s="1176"/>
      <c r="HVR718" s="1176"/>
      <c r="HVS718" s="1176"/>
      <c r="HVT718" s="1176"/>
      <c r="HVU718" s="1176"/>
      <c r="HVV718" s="1176"/>
      <c r="HVW718" s="1176"/>
      <c r="HVX718" s="1176"/>
      <c r="HVY718" s="1176"/>
      <c r="HVZ718" s="1176"/>
      <c r="HWA718" s="1176"/>
      <c r="HWB718" s="1176"/>
      <c r="HWC718" s="1176"/>
      <c r="HWD718" s="1176"/>
      <c r="HWE718" s="1176"/>
      <c r="HWF718" s="1176"/>
      <c r="HWG718" s="1176"/>
      <c r="HWH718" s="1176"/>
      <c r="HWI718" s="1176"/>
      <c r="HWJ718" s="1176"/>
      <c r="HWK718" s="1176"/>
      <c r="HWL718" s="1176"/>
      <c r="HWM718" s="1176"/>
      <c r="HWN718" s="1176"/>
      <c r="HWO718" s="1176"/>
      <c r="HWP718" s="1176"/>
      <c r="HWQ718" s="1176"/>
      <c r="HWR718" s="1176"/>
      <c r="HWS718" s="1176"/>
      <c r="HWT718" s="1176"/>
      <c r="HWU718" s="1176"/>
      <c r="HWV718" s="1176"/>
      <c r="HWW718" s="1176"/>
      <c r="HWX718" s="1176"/>
      <c r="HWY718" s="1176"/>
      <c r="HWZ718" s="1176"/>
      <c r="HXA718" s="1176"/>
      <c r="HXB718" s="1176"/>
      <c r="HXC718" s="1176"/>
      <c r="HXD718" s="1176"/>
      <c r="HXE718" s="1176"/>
      <c r="HXF718" s="1176"/>
      <c r="HXG718" s="1176"/>
      <c r="HXH718" s="1176"/>
      <c r="HXI718" s="1176"/>
      <c r="HXJ718" s="1176"/>
      <c r="HXK718" s="1176"/>
      <c r="HXL718" s="1176"/>
      <c r="HXM718" s="1176"/>
      <c r="HXN718" s="1176"/>
      <c r="HXO718" s="1176"/>
      <c r="HXP718" s="1176"/>
      <c r="HXQ718" s="1176"/>
      <c r="HXR718" s="1176"/>
      <c r="HXS718" s="1176"/>
      <c r="HXT718" s="1176"/>
      <c r="HXU718" s="1176"/>
      <c r="HXV718" s="1176"/>
      <c r="HXW718" s="1176"/>
      <c r="HXX718" s="1176"/>
      <c r="HXY718" s="1176"/>
      <c r="HXZ718" s="1176"/>
      <c r="HYA718" s="1176"/>
      <c r="HYB718" s="1176"/>
      <c r="HYC718" s="1176"/>
      <c r="HYD718" s="1176"/>
      <c r="HYE718" s="1176"/>
      <c r="HYF718" s="1176"/>
      <c r="HYG718" s="1176"/>
      <c r="HYH718" s="1176"/>
      <c r="HYI718" s="1176"/>
      <c r="HYJ718" s="1176"/>
      <c r="HYK718" s="1176"/>
      <c r="HYL718" s="1176"/>
      <c r="HYM718" s="1176"/>
      <c r="HYN718" s="1176"/>
      <c r="HYO718" s="1176"/>
      <c r="HYP718" s="1176"/>
      <c r="HYQ718" s="1176"/>
      <c r="HYR718" s="1176"/>
      <c r="HYS718" s="1176"/>
      <c r="HYT718" s="1176"/>
      <c r="HYU718" s="1176"/>
      <c r="HYV718" s="1176"/>
      <c r="HYW718" s="1176"/>
      <c r="HYX718" s="1176"/>
      <c r="HYY718" s="1176"/>
      <c r="HYZ718" s="1176"/>
      <c r="HZA718" s="1176"/>
      <c r="HZB718" s="1176"/>
      <c r="HZC718" s="1176"/>
      <c r="HZD718" s="1176"/>
      <c r="HZE718" s="1176"/>
      <c r="HZF718" s="1176"/>
      <c r="HZG718" s="1176"/>
      <c r="HZH718" s="1176"/>
      <c r="HZI718" s="1176"/>
      <c r="HZJ718" s="1176"/>
      <c r="HZK718" s="1176"/>
      <c r="HZL718" s="1176"/>
      <c r="HZM718" s="1176"/>
      <c r="HZN718" s="1176"/>
      <c r="HZO718" s="1176"/>
      <c r="HZP718" s="1176"/>
      <c r="HZQ718" s="1176"/>
      <c r="HZR718" s="1176"/>
      <c r="HZS718" s="1176"/>
      <c r="HZT718" s="1176"/>
      <c r="HZU718" s="1176"/>
      <c r="HZV718" s="1176"/>
      <c r="HZW718" s="1176"/>
      <c r="HZX718" s="1176"/>
      <c r="HZY718" s="1176"/>
      <c r="HZZ718" s="1176"/>
      <c r="IAA718" s="1176"/>
      <c r="IAB718" s="1176"/>
      <c r="IAC718" s="1176"/>
      <c r="IAD718" s="1176"/>
      <c r="IAE718" s="1176"/>
      <c r="IAF718" s="1176"/>
      <c r="IAG718" s="1176"/>
      <c r="IAH718" s="1176"/>
      <c r="IAI718" s="1176"/>
      <c r="IAJ718" s="1176"/>
      <c r="IAK718" s="1176"/>
      <c r="IAL718" s="1176"/>
      <c r="IAM718" s="1176"/>
      <c r="IAN718" s="1176"/>
      <c r="IAO718" s="1176"/>
      <c r="IAP718" s="1176"/>
      <c r="IAQ718" s="1176"/>
      <c r="IAR718" s="1176"/>
      <c r="IAS718" s="1176"/>
      <c r="IAT718" s="1176"/>
      <c r="IAU718" s="1176"/>
      <c r="IAV718" s="1176"/>
      <c r="IAW718" s="1176"/>
      <c r="IAX718" s="1176"/>
      <c r="IAY718" s="1176"/>
      <c r="IAZ718" s="1176"/>
      <c r="IBA718" s="1176"/>
      <c r="IBB718" s="1176"/>
      <c r="IBC718" s="1176"/>
      <c r="IBD718" s="1176"/>
      <c r="IBE718" s="1176"/>
      <c r="IBF718" s="1176"/>
      <c r="IBG718" s="1176"/>
      <c r="IBH718" s="1176"/>
      <c r="IBI718" s="1176"/>
      <c r="IBJ718" s="1176"/>
      <c r="IBK718" s="1176"/>
      <c r="IBL718" s="1176"/>
      <c r="IBM718" s="1176"/>
      <c r="IBN718" s="1176"/>
      <c r="IBO718" s="1176"/>
      <c r="IBP718" s="1176"/>
      <c r="IBQ718" s="1176"/>
      <c r="IBR718" s="1176"/>
      <c r="IBS718" s="1176"/>
      <c r="IBT718" s="1176"/>
      <c r="IBU718" s="1176"/>
      <c r="IBV718" s="1176"/>
      <c r="IBW718" s="1176"/>
      <c r="IBX718" s="1176"/>
      <c r="IBY718" s="1176"/>
      <c r="IBZ718" s="1176"/>
      <c r="ICA718" s="1176"/>
      <c r="ICB718" s="1176"/>
      <c r="ICC718" s="1176"/>
      <c r="ICD718" s="1176"/>
      <c r="ICE718" s="1176"/>
      <c r="ICF718" s="1176"/>
      <c r="ICG718" s="1176"/>
      <c r="ICH718" s="1176"/>
      <c r="ICI718" s="1176"/>
      <c r="ICJ718" s="1176"/>
      <c r="ICK718" s="1176"/>
      <c r="ICL718" s="1176"/>
      <c r="ICM718" s="1176"/>
      <c r="ICN718" s="1176"/>
      <c r="ICO718" s="1176"/>
      <c r="ICP718" s="1176"/>
      <c r="ICQ718" s="1176"/>
      <c r="ICR718" s="1176"/>
      <c r="ICS718" s="1176"/>
      <c r="ICT718" s="1176"/>
      <c r="ICU718" s="1176"/>
      <c r="ICV718" s="1176"/>
      <c r="ICW718" s="1176"/>
      <c r="ICX718" s="1176"/>
      <c r="ICY718" s="1176"/>
      <c r="ICZ718" s="1176"/>
      <c r="IDA718" s="1176"/>
      <c r="IDB718" s="1176"/>
      <c r="IDC718" s="1176"/>
      <c r="IDD718" s="1176"/>
      <c r="IDE718" s="1176"/>
      <c r="IDF718" s="1176"/>
      <c r="IDG718" s="1176"/>
      <c r="IDH718" s="1176"/>
      <c r="IDI718" s="1176"/>
      <c r="IDJ718" s="1176"/>
      <c r="IDK718" s="1176"/>
      <c r="IDL718" s="1176"/>
      <c r="IDM718" s="1176"/>
      <c r="IDN718" s="1176"/>
      <c r="IDO718" s="1176"/>
      <c r="IDP718" s="1176"/>
      <c r="IDQ718" s="1176"/>
      <c r="IDR718" s="1176"/>
      <c r="IDS718" s="1176"/>
      <c r="IDT718" s="1176"/>
      <c r="IDU718" s="1176"/>
      <c r="IDV718" s="1176"/>
      <c r="IDW718" s="1176"/>
      <c r="IDX718" s="1176"/>
      <c r="IDY718" s="1176"/>
      <c r="IDZ718" s="1176"/>
      <c r="IEA718" s="1176"/>
      <c r="IEB718" s="1176"/>
      <c r="IEC718" s="1176"/>
      <c r="IED718" s="1176"/>
      <c r="IEE718" s="1176"/>
      <c r="IEF718" s="1176"/>
      <c r="IEG718" s="1176"/>
      <c r="IEH718" s="1176"/>
      <c r="IEI718" s="1176"/>
      <c r="IEJ718" s="1176"/>
      <c r="IEK718" s="1176"/>
      <c r="IEL718" s="1176"/>
      <c r="IEM718" s="1176"/>
      <c r="IEN718" s="1176"/>
      <c r="IEO718" s="1176"/>
      <c r="IEP718" s="1176"/>
      <c r="IEQ718" s="1176"/>
      <c r="IER718" s="1176"/>
      <c r="IES718" s="1176"/>
      <c r="IET718" s="1176"/>
      <c r="IEU718" s="1176"/>
      <c r="IEV718" s="1176"/>
      <c r="IEW718" s="1176"/>
      <c r="IEX718" s="1176"/>
      <c r="IEY718" s="1176"/>
      <c r="IEZ718" s="1176"/>
      <c r="IFA718" s="1176"/>
      <c r="IFB718" s="1176"/>
      <c r="IFC718" s="1176"/>
      <c r="IFD718" s="1176"/>
      <c r="IFE718" s="1176"/>
      <c r="IFF718" s="1176"/>
      <c r="IFG718" s="1176"/>
      <c r="IFH718" s="1176"/>
      <c r="IFI718" s="1176"/>
      <c r="IFJ718" s="1176"/>
      <c r="IFK718" s="1176"/>
      <c r="IFL718" s="1176"/>
      <c r="IFM718" s="1176"/>
      <c r="IFN718" s="1176"/>
      <c r="IFO718" s="1176"/>
      <c r="IFP718" s="1176"/>
      <c r="IFQ718" s="1176"/>
      <c r="IFR718" s="1176"/>
      <c r="IFS718" s="1176"/>
      <c r="IFT718" s="1176"/>
      <c r="IFU718" s="1176"/>
      <c r="IFV718" s="1176"/>
      <c r="IFW718" s="1176"/>
      <c r="IFX718" s="1176"/>
      <c r="IFY718" s="1176"/>
      <c r="IFZ718" s="1176"/>
      <c r="IGA718" s="1176"/>
      <c r="IGB718" s="1176"/>
      <c r="IGC718" s="1176"/>
      <c r="IGD718" s="1176"/>
      <c r="IGE718" s="1176"/>
      <c r="IGF718" s="1176"/>
      <c r="IGG718" s="1176"/>
      <c r="IGH718" s="1176"/>
      <c r="IGI718" s="1176"/>
      <c r="IGJ718" s="1176"/>
      <c r="IGK718" s="1176"/>
      <c r="IGL718" s="1176"/>
      <c r="IGM718" s="1176"/>
      <c r="IGN718" s="1176"/>
      <c r="IGO718" s="1176"/>
      <c r="IGP718" s="1176"/>
      <c r="IGQ718" s="1176"/>
      <c r="IGR718" s="1176"/>
      <c r="IGS718" s="1176"/>
      <c r="IGT718" s="1176"/>
      <c r="IGU718" s="1176"/>
      <c r="IGV718" s="1176"/>
      <c r="IGW718" s="1176"/>
      <c r="IGX718" s="1176"/>
      <c r="IGY718" s="1176"/>
      <c r="IGZ718" s="1176"/>
      <c r="IHA718" s="1176"/>
      <c r="IHB718" s="1176"/>
      <c r="IHC718" s="1176"/>
      <c r="IHD718" s="1176"/>
      <c r="IHE718" s="1176"/>
      <c r="IHF718" s="1176"/>
      <c r="IHG718" s="1176"/>
      <c r="IHH718" s="1176"/>
      <c r="IHI718" s="1176"/>
      <c r="IHJ718" s="1176"/>
      <c r="IHK718" s="1176"/>
      <c r="IHL718" s="1176"/>
      <c r="IHM718" s="1176"/>
      <c r="IHN718" s="1176"/>
      <c r="IHO718" s="1176"/>
      <c r="IHP718" s="1176"/>
      <c r="IHQ718" s="1176"/>
      <c r="IHR718" s="1176"/>
      <c r="IHS718" s="1176"/>
      <c r="IHT718" s="1176"/>
      <c r="IHU718" s="1176"/>
      <c r="IHV718" s="1176"/>
      <c r="IHW718" s="1176"/>
      <c r="IHX718" s="1176"/>
      <c r="IHY718" s="1176"/>
      <c r="IHZ718" s="1176"/>
      <c r="IIA718" s="1176"/>
      <c r="IIB718" s="1176"/>
      <c r="IIC718" s="1176"/>
      <c r="IID718" s="1176"/>
      <c r="IIE718" s="1176"/>
      <c r="IIF718" s="1176"/>
      <c r="IIG718" s="1176"/>
      <c r="IIH718" s="1176"/>
      <c r="III718" s="1176"/>
      <c r="IIJ718" s="1176"/>
      <c r="IIK718" s="1176"/>
      <c r="IIL718" s="1176"/>
      <c r="IIM718" s="1176"/>
      <c r="IIN718" s="1176"/>
      <c r="IIO718" s="1176"/>
      <c r="IIP718" s="1176"/>
      <c r="IIQ718" s="1176"/>
      <c r="IIR718" s="1176"/>
      <c r="IIS718" s="1176"/>
      <c r="IIT718" s="1176"/>
      <c r="IIU718" s="1176"/>
      <c r="IIV718" s="1176"/>
      <c r="IIW718" s="1176"/>
      <c r="IIX718" s="1176"/>
      <c r="IIY718" s="1176"/>
      <c r="IIZ718" s="1176"/>
      <c r="IJA718" s="1176"/>
      <c r="IJB718" s="1176"/>
      <c r="IJC718" s="1176"/>
      <c r="IJD718" s="1176"/>
      <c r="IJE718" s="1176"/>
      <c r="IJF718" s="1176"/>
      <c r="IJG718" s="1176"/>
      <c r="IJH718" s="1176"/>
      <c r="IJI718" s="1176"/>
      <c r="IJJ718" s="1176"/>
      <c r="IJK718" s="1176"/>
      <c r="IJL718" s="1176"/>
      <c r="IJM718" s="1176"/>
      <c r="IJN718" s="1176"/>
      <c r="IJO718" s="1176"/>
      <c r="IJP718" s="1176"/>
      <c r="IJQ718" s="1176"/>
      <c r="IJR718" s="1176"/>
      <c r="IJS718" s="1176"/>
      <c r="IJT718" s="1176"/>
      <c r="IJU718" s="1176"/>
      <c r="IJV718" s="1176"/>
      <c r="IJW718" s="1176"/>
      <c r="IJX718" s="1176"/>
      <c r="IJY718" s="1176"/>
      <c r="IJZ718" s="1176"/>
      <c r="IKA718" s="1176"/>
      <c r="IKB718" s="1176"/>
      <c r="IKC718" s="1176"/>
      <c r="IKD718" s="1176"/>
      <c r="IKE718" s="1176"/>
      <c r="IKF718" s="1176"/>
      <c r="IKG718" s="1176"/>
      <c r="IKH718" s="1176"/>
      <c r="IKI718" s="1176"/>
      <c r="IKJ718" s="1176"/>
      <c r="IKK718" s="1176"/>
      <c r="IKL718" s="1176"/>
      <c r="IKM718" s="1176"/>
      <c r="IKN718" s="1176"/>
      <c r="IKO718" s="1176"/>
      <c r="IKP718" s="1176"/>
      <c r="IKQ718" s="1176"/>
      <c r="IKR718" s="1176"/>
      <c r="IKS718" s="1176"/>
      <c r="IKT718" s="1176"/>
      <c r="IKU718" s="1176"/>
      <c r="IKV718" s="1176"/>
      <c r="IKW718" s="1176"/>
      <c r="IKX718" s="1176"/>
      <c r="IKY718" s="1176"/>
      <c r="IKZ718" s="1176"/>
      <c r="ILA718" s="1176"/>
      <c r="ILB718" s="1176"/>
      <c r="ILC718" s="1176"/>
      <c r="ILD718" s="1176"/>
      <c r="ILE718" s="1176"/>
      <c r="ILF718" s="1176"/>
      <c r="ILG718" s="1176"/>
      <c r="ILH718" s="1176"/>
      <c r="ILI718" s="1176"/>
      <c r="ILJ718" s="1176"/>
      <c r="ILK718" s="1176"/>
      <c r="ILL718" s="1176"/>
      <c r="ILM718" s="1176"/>
      <c r="ILN718" s="1176"/>
      <c r="ILO718" s="1176"/>
      <c r="ILP718" s="1176"/>
      <c r="ILQ718" s="1176"/>
      <c r="ILR718" s="1176"/>
      <c r="ILS718" s="1176"/>
      <c r="ILT718" s="1176"/>
      <c r="ILU718" s="1176"/>
      <c r="ILV718" s="1176"/>
      <c r="ILW718" s="1176"/>
      <c r="ILX718" s="1176"/>
      <c r="ILY718" s="1176"/>
      <c r="ILZ718" s="1176"/>
      <c r="IMA718" s="1176"/>
      <c r="IMB718" s="1176"/>
      <c r="IMC718" s="1176"/>
      <c r="IMD718" s="1176"/>
      <c r="IME718" s="1176"/>
      <c r="IMF718" s="1176"/>
      <c r="IMG718" s="1176"/>
      <c r="IMH718" s="1176"/>
      <c r="IMI718" s="1176"/>
      <c r="IMJ718" s="1176"/>
      <c r="IMK718" s="1176"/>
      <c r="IML718" s="1176"/>
      <c r="IMM718" s="1176"/>
      <c r="IMN718" s="1176"/>
      <c r="IMO718" s="1176"/>
      <c r="IMP718" s="1176"/>
      <c r="IMQ718" s="1176"/>
      <c r="IMR718" s="1176"/>
      <c r="IMS718" s="1176"/>
      <c r="IMT718" s="1176"/>
      <c r="IMU718" s="1176"/>
      <c r="IMV718" s="1176"/>
      <c r="IMW718" s="1176"/>
      <c r="IMX718" s="1176"/>
      <c r="IMY718" s="1176"/>
      <c r="IMZ718" s="1176"/>
      <c r="INA718" s="1176"/>
      <c r="INB718" s="1176"/>
      <c r="INC718" s="1176"/>
      <c r="IND718" s="1176"/>
      <c r="INE718" s="1176"/>
      <c r="INF718" s="1176"/>
      <c r="ING718" s="1176"/>
      <c r="INH718" s="1176"/>
      <c r="INI718" s="1176"/>
      <c r="INJ718" s="1176"/>
      <c r="INK718" s="1176"/>
      <c r="INL718" s="1176"/>
      <c r="INM718" s="1176"/>
      <c r="INN718" s="1176"/>
      <c r="INO718" s="1176"/>
      <c r="INP718" s="1176"/>
      <c r="INQ718" s="1176"/>
      <c r="INR718" s="1176"/>
      <c r="INS718" s="1176"/>
      <c r="INT718" s="1176"/>
      <c r="INU718" s="1176"/>
      <c r="INV718" s="1176"/>
      <c r="INW718" s="1176"/>
      <c r="INX718" s="1176"/>
      <c r="INY718" s="1176"/>
      <c r="INZ718" s="1176"/>
      <c r="IOA718" s="1176"/>
      <c r="IOB718" s="1176"/>
      <c r="IOC718" s="1176"/>
      <c r="IOD718" s="1176"/>
      <c r="IOE718" s="1176"/>
      <c r="IOF718" s="1176"/>
      <c r="IOG718" s="1176"/>
      <c r="IOH718" s="1176"/>
      <c r="IOI718" s="1176"/>
      <c r="IOJ718" s="1176"/>
      <c r="IOK718" s="1176"/>
      <c r="IOL718" s="1176"/>
      <c r="IOM718" s="1176"/>
      <c r="ION718" s="1176"/>
      <c r="IOO718" s="1176"/>
      <c r="IOP718" s="1176"/>
      <c r="IOQ718" s="1176"/>
      <c r="IOR718" s="1176"/>
      <c r="IOS718" s="1176"/>
      <c r="IOT718" s="1176"/>
      <c r="IOU718" s="1176"/>
      <c r="IOV718" s="1176"/>
      <c r="IOW718" s="1176"/>
      <c r="IOX718" s="1176"/>
      <c r="IOY718" s="1176"/>
      <c r="IOZ718" s="1176"/>
      <c r="IPA718" s="1176"/>
      <c r="IPB718" s="1176"/>
      <c r="IPC718" s="1176"/>
      <c r="IPD718" s="1176"/>
      <c r="IPE718" s="1176"/>
      <c r="IPF718" s="1176"/>
      <c r="IPG718" s="1176"/>
      <c r="IPH718" s="1176"/>
      <c r="IPI718" s="1176"/>
      <c r="IPJ718" s="1176"/>
      <c r="IPK718" s="1176"/>
      <c r="IPL718" s="1176"/>
      <c r="IPM718" s="1176"/>
      <c r="IPN718" s="1176"/>
      <c r="IPO718" s="1176"/>
      <c r="IPP718" s="1176"/>
      <c r="IPQ718" s="1176"/>
      <c r="IPR718" s="1176"/>
      <c r="IPS718" s="1176"/>
      <c r="IPT718" s="1176"/>
      <c r="IPU718" s="1176"/>
      <c r="IPV718" s="1176"/>
      <c r="IPW718" s="1176"/>
      <c r="IPX718" s="1176"/>
      <c r="IPY718" s="1176"/>
      <c r="IPZ718" s="1176"/>
      <c r="IQA718" s="1176"/>
      <c r="IQB718" s="1176"/>
      <c r="IQC718" s="1176"/>
      <c r="IQD718" s="1176"/>
      <c r="IQE718" s="1176"/>
      <c r="IQF718" s="1176"/>
      <c r="IQG718" s="1176"/>
      <c r="IQH718" s="1176"/>
      <c r="IQI718" s="1176"/>
      <c r="IQJ718" s="1176"/>
      <c r="IQK718" s="1176"/>
      <c r="IQL718" s="1176"/>
      <c r="IQM718" s="1176"/>
      <c r="IQN718" s="1176"/>
      <c r="IQO718" s="1176"/>
      <c r="IQP718" s="1176"/>
      <c r="IQQ718" s="1176"/>
      <c r="IQR718" s="1176"/>
      <c r="IQS718" s="1176"/>
      <c r="IQT718" s="1176"/>
      <c r="IQU718" s="1176"/>
      <c r="IQV718" s="1176"/>
      <c r="IQW718" s="1176"/>
      <c r="IQX718" s="1176"/>
      <c r="IQY718" s="1176"/>
      <c r="IQZ718" s="1176"/>
      <c r="IRA718" s="1176"/>
      <c r="IRB718" s="1176"/>
      <c r="IRC718" s="1176"/>
      <c r="IRD718" s="1176"/>
      <c r="IRE718" s="1176"/>
      <c r="IRF718" s="1176"/>
      <c r="IRG718" s="1176"/>
      <c r="IRH718" s="1176"/>
      <c r="IRI718" s="1176"/>
      <c r="IRJ718" s="1176"/>
      <c r="IRK718" s="1176"/>
      <c r="IRL718" s="1176"/>
      <c r="IRM718" s="1176"/>
      <c r="IRN718" s="1176"/>
      <c r="IRO718" s="1176"/>
      <c r="IRP718" s="1176"/>
      <c r="IRQ718" s="1176"/>
      <c r="IRR718" s="1176"/>
      <c r="IRS718" s="1176"/>
      <c r="IRT718" s="1176"/>
      <c r="IRU718" s="1176"/>
      <c r="IRV718" s="1176"/>
      <c r="IRW718" s="1176"/>
      <c r="IRX718" s="1176"/>
      <c r="IRY718" s="1176"/>
      <c r="IRZ718" s="1176"/>
      <c r="ISA718" s="1176"/>
      <c r="ISB718" s="1176"/>
      <c r="ISC718" s="1176"/>
      <c r="ISD718" s="1176"/>
      <c r="ISE718" s="1176"/>
      <c r="ISF718" s="1176"/>
      <c r="ISG718" s="1176"/>
      <c r="ISH718" s="1176"/>
      <c r="ISI718" s="1176"/>
      <c r="ISJ718" s="1176"/>
      <c r="ISK718" s="1176"/>
      <c r="ISL718" s="1176"/>
      <c r="ISM718" s="1176"/>
      <c r="ISN718" s="1176"/>
      <c r="ISO718" s="1176"/>
      <c r="ISP718" s="1176"/>
      <c r="ISQ718" s="1176"/>
      <c r="ISR718" s="1176"/>
      <c r="ISS718" s="1176"/>
      <c r="IST718" s="1176"/>
      <c r="ISU718" s="1176"/>
      <c r="ISV718" s="1176"/>
      <c r="ISW718" s="1176"/>
      <c r="ISX718" s="1176"/>
      <c r="ISY718" s="1176"/>
      <c r="ISZ718" s="1176"/>
      <c r="ITA718" s="1176"/>
      <c r="ITB718" s="1176"/>
      <c r="ITC718" s="1176"/>
      <c r="ITD718" s="1176"/>
      <c r="ITE718" s="1176"/>
      <c r="ITF718" s="1176"/>
      <c r="ITG718" s="1176"/>
      <c r="ITH718" s="1176"/>
      <c r="ITI718" s="1176"/>
      <c r="ITJ718" s="1176"/>
      <c r="ITK718" s="1176"/>
      <c r="ITL718" s="1176"/>
      <c r="ITM718" s="1176"/>
      <c r="ITN718" s="1176"/>
      <c r="ITO718" s="1176"/>
      <c r="ITP718" s="1176"/>
      <c r="ITQ718" s="1176"/>
      <c r="ITR718" s="1176"/>
      <c r="ITS718" s="1176"/>
      <c r="ITT718" s="1176"/>
      <c r="ITU718" s="1176"/>
      <c r="ITV718" s="1176"/>
      <c r="ITW718" s="1176"/>
      <c r="ITX718" s="1176"/>
      <c r="ITY718" s="1176"/>
      <c r="ITZ718" s="1176"/>
      <c r="IUA718" s="1176"/>
      <c r="IUB718" s="1176"/>
      <c r="IUC718" s="1176"/>
      <c r="IUD718" s="1176"/>
      <c r="IUE718" s="1176"/>
      <c r="IUF718" s="1176"/>
      <c r="IUG718" s="1176"/>
      <c r="IUH718" s="1176"/>
      <c r="IUI718" s="1176"/>
      <c r="IUJ718" s="1176"/>
      <c r="IUK718" s="1176"/>
      <c r="IUL718" s="1176"/>
      <c r="IUM718" s="1176"/>
      <c r="IUN718" s="1176"/>
      <c r="IUO718" s="1176"/>
      <c r="IUP718" s="1176"/>
      <c r="IUQ718" s="1176"/>
      <c r="IUR718" s="1176"/>
      <c r="IUS718" s="1176"/>
      <c r="IUT718" s="1176"/>
      <c r="IUU718" s="1176"/>
      <c r="IUV718" s="1176"/>
      <c r="IUW718" s="1176"/>
      <c r="IUX718" s="1176"/>
      <c r="IUY718" s="1176"/>
      <c r="IUZ718" s="1176"/>
      <c r="IVA718" s="1176"/>
      <c r="IVB718" s="1176"/>
      <c r="IVC718" s="1176"/>
      <c r="IVD718" s="1176"/>
      <c r="IVE718" s="1176"/>
      <c r="IVF718" s="1176"/>
      <c r="IVG718" s="1176"/>
      <c r="IVH718" s="1176"/>
      <c r="IVI718" s="1176"/>
      <c r="IVJ718" s="1176"/>
      <c r="IVK718" s="1176"/>
      <c r="IVL718" s="1176"/>
      <c r="IVM718" s="1176"/>
      <c r="IVN718" s="1176"/>
      <c r="IVO718" s="1176"/>
      <c r="IVP718" s="1176"/>
      <c r="IVQ718" s="1176"/>
      <c r="IVR718" s="1176"/>
      <c r="IVS718" s="1176"/>
      <c r="IVT718" s="1176"/>
      <c r="IVU718" s="1176"/>
      <c r="IVV718" s="1176"/>
      <c r="IVW718" s="1176"/>
      <c r="IVX718" s="1176"/>
      <c r="IVY718" s="1176"/>
      <c r="IVZ718" s="1176"/>
      <c r="IWA718" s="1176"/>
      <c r="IWB718" s="1176"/>
      <c r="IWC718" s="1176"/>
      <c r="IWD718" s="1176"/>
      <c r="IWE718" s="1176"/>
      <c r="IWF718" s="1176"/>
      <c r="IWG718" s="1176"/>
      <c r="IWH718" s="1176"/>
      <c r="IWI718" s="1176"/>
      <c r="IWJ718" s="1176"/>
      <c r="IWK718" s="1176"/>
      <c r="IWL718" s="1176"/>
      <c r="IWM718" s="1176"/>
      <c r="IWN718" s="1176"/>
      <c r="IWO718" s="1176"/>
      <c r="IWP718" s="1176"/>
      <c r="IWQ718" s="1176"/>
      <c r="IWR718" s="1176"/>
      <c r="IWS718" s="1176"/>
      <c r="IWT718" s="1176"/>
      <c r="IWU718" s="1176"/>
      <c r="IWV718" s="1176"/>
      <c r="IWW718" s="1176"/>
      <c r="IWX718" s="1176"/>
      <c r="IWY718" s="1176"/>
      <c r="IWZ718" s="1176"/>
      <c r="IXA718" s="1176"/>
      <c r="IXB718" s="1176"/>
      <c r="IXC718" s="1176"/>
      <c r="IXD718" s="1176"/>
      <c r="IXE718" s="1176"/>
      <c r="IXF718" s="1176"/>
      <c r="IXG718" s="1176"/>
      <c r="IXH718" s="1176"/>
      <c r="IXI718" s="1176"/>
      <c r="IXJ718" s="1176"/>
      <c r="IXK718" s="1176"/>
      <c r="IXL718" s="1176"/>
      <c r="IXM718" s="1176"/>
      <c r="IXN718" s="1176"/>
      <c r="IXO718" s="1176"/>
      <c r="IXP718" s="1176"/>
      <c r="IXQ718" s="1176"/>
      <c r="IXR718" s="1176"/>
      <c r="IXS718" s="1176"/>
      <c r="IXT718" s="1176"/>
      <c r="IXU718" s="1176"/>
      <c r="IXV718" s="1176"/>
      <c r="IXW718" s="1176"/>
      <c r="IXX718" s="1176"/>
      <c r="IXY718" s="1176"/>
      <c r="IXZ718" s="1176"/>
      <c r="IYA718" s="1176"/>
      <c r="IYB718" s="1176"/>
      <c r="IYC718" s="1176"/>
      <c r="IYD718" s="1176"/>
      <c r="IYE718" s="1176"/>
      <c r="IYF718" s="1176"/>
      <c r="IYG718" s="1176"/>
      <c r="IYH718" s="1176"/>
      <c r="IYI718" s="1176"/>
      <c r="IYJ718" s="1176"/>
      <c r="IYK718" s="1176"/>
      <c r="IYL718" s="1176"/>
      <c r="IYM718" s="1176"/>
      <c r="IYN718" s="1176"/>
      <c r="IYO718" s="1176"/>
      <c r="IYP718" s="1176"/>
      <c r="IYQ718" s="1176"/>
      <c r="IYR718" s="1176"/>
      <c r="IYS718" s="1176"/>
      <c r="IYT718" s="1176"/>
      <c r="IYU718" s="1176"/>
      <c r="IYV718" s="1176"/>
      <c r="IYW718" s="1176"/>
      <c r="IYX718" s="1176"/>
      <c r="IYY718" s="1176"/>
      <c r="IYZ718" s="1176"/>
      <c r="IZA718" s="1176"/>
      <c r="IZB718" s="1176"/>
      <c r="IZC718" s="1176"/>
      <c r="IZD718" s="1176"/>
      <c r="IZE718" s="1176"/>
      <c r="IZF718" s="1176"/>
      <c r="IZG718" s="1176"/>
      <c r="IZH718" s="1176"/>
      <c r="IZI718" s="1176"/>
      <c r="IZJ718" s="1176"/>
      <c r="IZK718" s="1176"/>
      <c r="IZL718" s="1176"/>
      <c r="IZM718" s="1176"/>
      <c r="IZN718" s="1176"/>
      <c r="IZO718" s="1176"/>
      <c r="IZP718" s="1176"/>
      <c r="IZQ718" s="1176"/>
      <c r="IZR718" s="1176"/>
      <c r="IZS718" s="1176"/>
      <c r="IZT718" s="1176"/>
      <c r="IZU718" s="1176"/>
      <c r="IZV718" s="1176"/>
      <c r="IZW718" s="1176"/>
      <c r="IZX718" s="1176"/>
      <c r="IZY718" s="1176"/>
      <c r="IZZ718" s="1176"/>
      <c r="JAA718" s="1176"/>
      <c r="JAB718" s="1176"/>
      <c r="JAC718" s="1176"/>
      <c r="JAD718" s="1176"/>
      <c r="JAE718" s="1176"/>
      <c r="JAF718" s="1176"/>
      <c r="JAG718" s="1176"/>
      <c r="JAH718" s="1176"/>
      <c r="JAI718" s="1176"/>
      <c r="JAJ718" s="1176"/>
      <c r="JAK718" s="1176"/>
      <c r="JAL718" s="1176"/>
      <c r="JAM718" s="1176"/>
      <c r="JAN718" s="1176"/>
      <c r="JAO718" s="1176"/>
      <c r="JAP718" s="1176"/>
      <c r="JAQ718" s="1176"/>
      <c r="JAR718" s="1176"/>
      <c r="JAS718" s="1176"/>
      <c r="JAT718" s="1176"/>
      <c r="JAU718" s="1176"/>
      <c r="JAV718" s="1176"/>
      <c r="JAW718" s="1176"/>
      <c r="JAX718" s="1176"/>
      <c r="JAY718" s="1176"/>
      <c r="JAZ718" s="1176"/>
      <c r="JBA718" s="1176"/>
      <c r="JBB718" s="1176"/>
      <c r="JBC718" s="1176"/>
      <c r="JBD718" s="1176"/>
      <c r="JBE718" s="1176"/>
      <c r="JBF718" s="1176"/>
      <c r="JBG718" s="1176"/>
      <c r="JBH718" s="1176"/>
      <c r="JBI718" s="1176"/>
      <c r="JBJ718" s="1176"/>
      <c r="JBK718" s="1176"/>
      <c r="JBL718" s="1176"/>
      <c r="JBM718" s="1176"/>
      <c r="JBN718" s="1176"/>
      <c r="JBO718" s="1176"/>
      <c r="JBP718" s="1176"/>
      <c r="JBQ718" s="1176"/>
      <c r="JBR718" s="1176"/>
      <c r="JBS718" s="1176"/>
      <c r="JBT718" s="1176"/>
      <c r="JBU718" s="1176"/>
      <c r="JBV718" s="1176"/>
      <c r="JBW718" s="1176"/>
      <c r="JBX718" s="1176"/>
      <c r="JBY718" s="1176"/>
      <c r="JBZ718" s="1176"/>
      <c r="JCA718" s="1176"/>
      <c r="JCB718" s="1176"/>
      <c r="JCC718" s="1176"/>
      <c r="JCD718" s="1176"/>
      <c r="JCE718" s="1176"/>
      <c r="JCF718" s="1176"/>
      <c r="JCG718" s="1176"/>
      <c r="JCH718" s="1176"/>
      <c r="JCI718" s="1176"/>
      <c r="JCJ718" s="1176"/>
      <c r="JCK718" s="1176"/>
      <c r="JCL718" s="1176"/>
      <c r="JCM718" s="1176"/>
      <c r="JCN718" s="1176"/>
      <c r="JCO718" s="1176"/>
      <c r="JCP718" s="1176"/>
      <c r="JCQ718" s="1176"/>
      <c r="JCR718" s="1176"/>
      <c r="JCS718" s="1176"/>
      <c r="JCT718" s="1176"/>
      <c r="JCU718" s="1176"/>
      <c r="JCV718" s="1176"/>
      <c r="JCW718" s="1176"/>
      <c r="JCX718" s="1176"/>
      <c r="JCY718" s="1176"/>
      <c r="JCZ718" s="1176"/>
      <c r="JDA718" s="1176"/>
      <c r="JDB718" s="1176"/>
      <c r="JDC718" s="1176"/>
      <c r="JDD718" s="1176"/>
      <c r="JDE718" s="1176"/>
      <c r="JDF718" s="1176"/>
      <c r="JDG718" s="1176"/>
      <c r="JDH718" s="1176"/>
      <c r="JDI718" s="1176"/>
      <c r="JDJ718" s="1176"/>
      <c r="JDK718" s="1176"/>
      <c r="JDL718" s="1176"/>
      <c r="JDM718" s="1176"/>
      <c r="JDN718" s="1176"/>
      <c r="JDO718" s="1176"/>
      <c r="JDP718" s="1176"/>
      <c r="JDQ718" s="1176"/>
      <c r="JDR718" s="1176"/>
      <c r="JDS718" s="1176"/>
      <c r="JDT718" s="1176"/>
      <c r="JDU718" s="1176"/>
      <c r="JDV718" s="1176"/>
      <c r="JDW718" s="1176"/>
      <c r="JDX718" s="1176"/>
      <c r="JDY718" s="1176"/>
      <c r="JDZ718" s="1176"/>
      <c r="JEA718" s="1176"/>
      <c r="JEB718" s="1176"/>
      <c r="JEC718" s="1176"/>
      <c r="JED718" s="1176"/>
      <c r="JEE718" s="1176"/>
      <c r="JEF718" s="1176"/>
      <c r="JEG718" s="1176"/>
      <c r="JEH718" s="1176"/>
      <c r="JEI718" s="1176"/>
      <c r="JEJ718" s="1176"/>
      <c r="JEK718" s="1176"/>
      <c r="JEL718" s="1176"/>
      <c r="JEM718" s="1176"/>
      <c r="JEN718" s="1176"/>
      <c r="JEO718" s="1176"/>
      <c r="JEP718" s="1176"/>
      <c r="JEQ718" s="1176"/>
      <c r="JER718" s="1176"/>
      <c r="JES718" s="1176"/>
      <c r="JET718" s="1176"/>
      <c r="JEU718" s="1176"/>
      <c r="JEV718" s="1176"/>
      <c r="JEW718" s="1176"/>
      <c r="JEX718" s="1176"/>
      <c r="JEY718" s="1176"/>
      <c r="JEZ718" s="1176"/>
      <c r="JFA718" s="1176"/>
      <c r="JFB718" s="1176"/>
      <c r="JFC718" s="1176"/>
      <c r="JFD718" s="1176"/>
      <c r="JFE718" s="1176"/>
      <c r="JFF718" s="1176"/>
      <c r="JFG718" s="1176"/>
      <c r="JFH718" s="1176"/>
      <c r="JFI718" s="1176"/>
      <c r="JFJ718" s="1176"/>
      <c r="JFK718" s="1176"/>
      <c r="JFL718" s="1176"/>
      <c r="JFM718" s="1176"/>
      <c r="JFN718" s="1176"/>
      <c r="JFO718" s="1176"/>
      <c r="JFP718" s="1176"/>
      <c r="JFQ718" s="1176"/>
      <c r="JFR718" s="1176"/>
      <c r="JFS718" s="1176"/>
      <c r="JFT718" s="1176"/>
      <c r="JFU718" s="1176"/>
      <c r="JFV718" s="1176"/>
      <c r="JFW718" s="1176"/>
      <c r="JFX718" s="1176"/>
      <c r="JFY718" s="1176"/>
      <c r="JFZ718" s="1176"/>
      <c r="JGA718" s="1176"/>
      <c r="JGB718" s="1176"/>
      <c r="JGC718" s="1176"/>
      <c r="JGD718" s="1176"/>
      <c r="JGE718" s="1176"/>
      <c r="JGF718" s="1176"/>
      <c r="JGG718" s="1176"/>
      <c r="JGH718" s="1176"/>
      <c r="JGI718" s="1176"/>
      <c r="JGJ718" s="1176"/>
      <c r="JGK718" s="1176"/>
      <c r="JGL718" s="1176"/>
      <c r="JGM718" s="1176"/>
      <c r="JGN718" s="1176"/>
      <c r="JGO718" s="1176"/>
      <c r="JGP718" s="1176"/>
      <c r="JGQ718" s="1176"/>
      <c r="JGR718" s="1176"/>
      <c r="JGS718" s="1176"/>
      <c r="JGT718" s="1176"/>
      <c r="JGU718" s="1176"/>
      <c r="JGV718" s="1176"/>
      <c r="JGW718" s="1176"/>
      <c r="JGX718" s="1176"/>
      <c r="JGY718" s="1176"/>
      <c r="JGZ718" s="1176"/>
      <c r="JHA718" s="1176"/>
      <c r="JHB718" s="1176"/>
      <c r="JHC718" s="1176"/>
      <c r="JHD718" s="1176"/>
      <c r="JHE718" s="1176"/>
      <c r="JHF718" s="1176"/>
      <c r="JHG718" s="1176"/>
      <c r="JHH718" s="1176"/>
      <c r="JHI718" s="1176"/>
      <c r="JHJ718" s="1176"/>
      <c r="JHK718" s="1176"/>
      <c r="JHL718" s="1176"/>
      <c r="JHM718" s="1176"/>
      <c r="JHN718" s="1176"/>
      <c r="JHO718" s="1176"/>
      <c r="JHP718" s="1176"/>
      <c r="JHQ718" s="1176"/>
      <c r="JHR718" s="1176"/>
      <c r="JHS718" s="1176"/>
      <c r="JHT718" s="1176"/>
      <c r="JHU718" s="1176"/>
      <c r="JHV718" s="1176"/>
      <c r="JHW718" s="1176"/>
      <c r="JHX718" s="1176"/>
      <c r="JHY718" s="1176"/>
      <c r="JHZ718" s="1176"/>
      <c r="JIA718" s="1176"/>
      <c r="JIB718" s="1176"/>
      <c r="JIC718" s="1176"/>
      <c r="JID718" s="1176"/>
      <c r="JIE718" s="1176"/>
      <c r="JIF718" s="1176"/>
      <c r="JIG718" s="1176"/>
      <c r="JIH718" s="1176"/>
      <c r="JII718" s="1176"/>
      <c r="JIJ718" s="1176"/>
      <c r="JIK718" s="1176"/>
      <c r="JIL718" s="1176"/>
      <c r="JIM718" s="1176"/>
      <c r="JIN718" s="1176"/>
      <c r="JIO718" s="1176"/>
      <c r="JIP718" s="1176"/>
      <c r="JIQ718" s="1176"/>
      <c r="JIR718" s="1176"/>
      <c r="JIS718" s="1176"/>
      <c r="JIT718" s="1176"/>
      <c r="JIU718" s="1176"/>
      <c r="JIV718" s="1176"/>
      <c r="JIW718" s="1176"/>
      <c r="JIX718" s="1176"/>
      <c r="JIY718" s="1176"/>
      <c r="JIZ718" s="1176"/>
      <c r="JJA718" s="1176"/>
      <c r="JJB718" s="1176"/>
      <c r="JJC718" s="1176"/>
      <c r="JJD718" s="1176"/>
      <c r="JJE718" s="1176"/>
      <c r="JJF718" s="1176"/>
      <c r="JJG718" s="1176"/>
      <c r="JJH718" s="1176"/>
      <c r="JJI718" s="1176"/>
      <c r="JJJ718" s="1176"/>
      <c r="JJK718" s="1176"/>
      <c r="JJL718" s="1176"/>
      <c r="JJM718" s="1176"/>
      <c r="JJN718" s="1176"/>
      <c r="JJO718" s="1176"/>
      <c r="JJP718" s="1176"/>
      <c r="JJQ718" s="1176"/>
      <c r="JJR718" s="1176"/>
      <c r="JJS718" s="1176"/>
      <c r="JJT718" s="1176"/>
      <c r="JJU718" s="1176"/>
      <c r="JJV718" s="1176"/>
      <c r="JJW718" s="1176"/>
      <c r="JJX718" s="1176"/>
      <c r="JJY718" s="1176"/>
      <c r="JJZ718" s="1176"/>
      <c r="JKA718" s="1176"/>
      <c r="JKB718" s="1176"/>
      <c r="JKC718" s="1176"/>
      <c r="JKD718" s="1176"/>
      <c r="JKE718" s="1176"/>
      <c r="JKF718" s="1176"/>
      <c r="JKG718" s="1176"/>
      <c r="JKH718" s="1176"/>
      <c r="JKI718" s="1176"/>
      <c r="JKJ718" s="1176"/>
      <c r="JKK718" s="1176"/>
      <c r="JKL718" s="1176"/>
      <c r="JKM718" s="1176"/>
      <c r="JKN718" s="1176"/>
      <c r="JKO718" s="1176"/>
      <c r="JKP718" s="1176"/>
      <c r="JKQ718" s="1176"/>
      <c r="JKR718" s="1176"/>
      <c r="JKS718" s="1176"/>
      <c r="JKT718" s="1176"/>
      <c r="JKU718" s="1176"/>
      <c r="JKV718" s="1176"/>
      <c r="JKW718" s="1176"/>
      <c r="JKX718" s="1176"/>
      <c r="JKY718" s="1176"/>
      <c r="JKZ718" s="1176"/>
      <c r="JLA718" s="1176"/>
      <c r="JLB718" s="1176"/>
      <c r="JLC718" s="1176"/>
      <c r="JLD718" s="1176"/>
      <c r="JLE718" s="1176"/>
      <c r="JLF718" s="1176"/>
      <c r="JLG718" s="1176"/>
      <c r="JLH718" s="1176"/>
      <c r="JLI718" s="1176"/>
      <c r="JLJ718" s="1176"/>
      <c r="JLK718" s="1176"/>
      <c r="JLL718" s="1176"/>
      <c r="JLM718" s="1176"/>
      <c r="JLN718" s="1176"/>
      <c r="JLO718" s="1176"/>
      <c r="JLP718" s="1176"/>
      <c r="JLQ718" s="1176"/>
      <c r="JLR718" s="1176"/>
      <c r="JLS718" s="1176"/>
      <c r="JLT718" s="1176"/>
      <c r="JLU718" s="1176"/>
      <c r="JLV718" s="1176"/>
      <c r="JLW718" s="1176"/>
      <c r="JLX718" s="1176"/>
      <c r="JLY718" s="1176"/>
      <c r="JLZ718" s="1176"/>
      <c r="JMA718" s="1176"/>
      <c r="JMB718" s="1176"/>
      <c r="JMC718" s="1176"/>
      <c r="JMD718" s="1176"/>
      <c r="JME718" s="1176"/>
      <c r="JMF718" s="1176"/>
      <c r="JMG718" s="1176"/>
      <c r="JMH718" s="1176"/>
      <c r="JMI718" s="1176"/>
      <c r="JMJ718" s="1176"/>
      <c r="JMK718" s="1176"/>
      <c r="JML718" s="1176"/>
      <c r="JMM718" s="1176"/>
      <c r="JMN718" s="1176"/>
      <c r="JMO718" s="1176"/>
      <c r="JMP718" s="1176"/>
      <c r="JMQ718" s="1176"/>
      <c r="JMR718" s="1176"/>
      <c r="JMS718" s="1176"/>
      <c r="JMT718" s="1176"/>
      <c r="JMU718" s="1176"/>
      <c r="JMV718" s="1176"/>
      <c r="JMW718" s="1176"/>
      <c r="JMX718" s="1176"/>
      <c r="JMY718" s="1176"/>
      <c r="JMZ718" s="1176"/>
      <c r="JNA718" s="1176"/>
      <c r="JNB718" s="1176"/>
      <c r="JNC718" s="1176"/>
      <c r="JND718" s="1176"/>
      <c r="JNE718" s="1176"/>
      <c r="JNF718" s="1176"/>
      <c r="JNG718" s="1176"/>
      <c r="JNH718" s="1176"/>
      <c r="JNI718" s="1176"/>
      <c r="JNJ718" s="1176"/>
      <c r="JNK718" s="1176"/>
      <c r="JNL718" s="1176"/>
      <c r="JNM718" s="1176"/>
      <c r="JNN718" s="1176"/>
      <c r="JNO718" s="1176"/>
      <c r="JNP718" s="1176"/>
      <c r="JNQ718" s="1176"/>
      <c r="JNR718" s="1176"/>
      <c r="JNS718" s="1176"/>
      <c r="JNT718" s="1176"/>
      <c r="JNU718" s="1176"/>
      <c r="JNV718" s="1176"/>
      <c r="JNW718" s="1176"/>
      <c r="JNX718" s="1176"/>
      <c r="JNY718" s="1176"/>
      <c r="JNZ718" s="1176"/>
      <c r="JOA718" s="1176"/>
      <c r="JOB718" s="1176"/>
      <c r="JOC718" s="1176"/>
      <c r="JOD718" s="1176"/>
      <c r="JOE718" s="1176"/>
      <c r="JOF718" s="1176"/>
      <c r="JOG718" s="1176"/>
      <c r="JOH718" s="1176"/>
      <c r="JOI718" s="1176"/>
      <c r="JOJ718" s="1176"/>
      <c r="JOK718" s="1176"/>
      <c r="JOL718" s="1176"/>
      <c r="JOM718" s="1176"/>
      <c r="JON718" s="1176"/>
      <c r="JOO718" s="1176"/>
      <c r="JOP718" s="1176"/>
      <c r="JOQ718" s="1176"/>
      <c r="JOR718" s="1176"/>
      <c r="JOS718" s="1176"/>
      <c r="JOT718" s="1176"/>
      <c r="JOU718" s="1176"/>
      <c r="JOV718" s="1176"/>
      <c r="JOW718" s="1176"/>
      <c r="JOX718" s="1176"/>
      <c r="JOY718" s="1176"/>
      <c r="JOZ718" s="1176"/>
      <c r="JPA718" s="1176"/>
      <c r="JPB718" s="1176"/>
      <c r="JPC718" s="1176"/>
      <c r="JPD718" s="1176"/>
      <c r="JPE718" s="1176"/>
      <c r="JPF718" s="1176"/>
      <c r="JPG718" s="1176"/>
      <c r="JPH718" s="1176"/>
      <c r="JPI718" s="1176"/>
      <c r="JPJ718" s="1176"/>
      <c r="JPK718" s="1176"/>
      <c r="JPL718" s="1176"/>
      <c r="JPM718" s="1176"/>
      <c r="JPN718" s="1176"/>
      <c r="JPO718" s="1176"/>
      <c r="JPP718" s="1176"/>
      <c r="JPQ718" s="1176"/>
      <c r="JPR718" s="1176"/>
      <c r="JPS718" s="1176"/>
      <c r="JPT718" s="1176"/>
      <c r="JPU718" s="1176"/>
      <c r="JPV718" s="1176"/>
      <c r="JPW718" s="1176"/>
      <c r="JPX718" s="1176"/>
      <c r="JPY718" s="1176"/>
      <c r="JPZ718" s="1176"/>
      <c r="JQA718" s="1176"/>
      <c r="JQB718" s="1176"/>
      <c r="JQC718" s="1176"/>
      <c r="JQD718" s="1176"/>
      <c r="JQE718" s="1176"/>
      <c r="JQF718" s="1176"/>
      <c r="JQG718" s="1176"/>
      <c r="JQH718" s="1176"/>
      <c r="JQI718" s="1176"/>
      <c r="JQJ718" s="1176"/>
      <c r="JQK718" s="1176"/>
      <c r="JQL718" s="1176"/>
      <c r="JQM718" s="1176"/>
      <c r="JQN718" s="1176"/>
      <c r="JQO718" s="1176"/>
      <c r="JQP718" s="1176"/>
      <c r="JQQ718" s="1176"/>
      <c r="JQR718" s="1176"/>
      <c r="JQS718" s="1176"/>
      <c r="JQT718" s="1176"/>
      <c r="JQU718" s="1176"/>
      <c r="JQV718" s="1176"/>
      <c r="JQW718" s="1176"/>
      <c r="JQX718" s="1176"/>
      <c r="JQY718" s="1176"/>
      <c r="JQZ718" s="1176"/>
      <c r="JRA718" s="1176"/>
      <c r="JRB718" s="1176"/>
      <c r="JRC718" s="1176"/>
      <c r="JRD718" s="1176"/>
      <c r="JRE718" s="1176"/>
      <c r="JRF718" s="1176"/>
      <c r="JRG718" s="1176"/>
      <c r="JRH718" s="1176"/>
      <c r="JRI718" s="1176"/>
      <c r="JRJ718" s="1176"/>
      <c r="JRK718" s="1176"/>
      <c r="JRL718" s="1176"/>
      <c r="JRM718" s="1176"/>
      <c r="JRN718" s="1176"/>
      <c r="JRO718" s="1176"/>
      <c r="JRP718" s="1176"/>
      <c r="JRQ718" s="1176"/>
      <c r="JRR718" s="1176"/>
      <c r="JRS718" s="1176"/>
      <c r="JRT718" s="1176"/>
      <c r="JRU718" s="1176"/>
      <c r="JRV718" s="1176"/>
      <c r="JRW718" s="1176"/>
      <c r="JRX718" s="1176"/>
      <c r="JRY718" s="1176"/>
      <c r="JRZ718" s="1176"/>
      <c r="JSA718" s="1176"/>
      <c r="JSB718" s="1176"/>
      <c r="JSC718" s="1176"/>
      <c r="JSD718" s="1176"/>
      <c r="JSE718" s="1176"/>
      <c r="JSF718" s="1176"/>
      <c r="JSG718" s="1176"/>
      <c r="JSH718" s="1176"/>
      <c r="JSI718" s="1176"/>
      <c r="JSJ718" s="1176"/>
      <c r="JSK718" s="1176"/>
      <c r="JSL718" s="1176"/>
      <c r="JSM718" s="1176"/>
      <c r="JSN718" s="1176"/>
      <c r="JSO718" s="1176"/>
      <c r="JSP718" s="1176"/>
      <c r="JSQ718" s="1176"/>
      <c r="JSR718" s="1176"/>
      <c r="JSS718" s="1176"/>
      <c r="JST718" s="1176"/>
      <c r="JSU718" s="1176"/>
      <c r="JSV718" s="1176"/>
      <c r="JSW718" s="1176"/>
      <c r="JSX718" s="1176"/>
      <c r="JSY718" s="1176"/>
      <c r="JSZ718" s="1176"/>
      <c r="JTA718" s="1176"/>
      <c r="JTB718" s="1176"/>
      <c r="JTC718" s="1176"/>
      <c r="JTD718" s="1176"/>
      <c r="JTE718" s="1176"/>
      <c r="JTF718" s="1176"/>
      <c r="JTG718" s="1176"/>
      <c r="JTH718" s="1176"/>
      <c r="JTI718" s="1176"/>
      <c r="JTJ718" s="1176"/>
      <c r="JTK718" s="1176"/>
      <c r="JTL718" s="1176"/>
      <c r="JTM718" s="1176"/>
      <c r="JTN718" s="1176"/>
      <c r="JTO718" s="1176"/>
      <c r="JTP718" s="1176"/>
      <c r="JTQ718" s="1176"/>
      <c r="JTR718" s="1176"/>
      <c r="JTS718" s="1176"/>
      <c r="JTT718" s="1176"/>
      <c r="JTU718" s="1176"/>
      <c r="JTV718" s="1176"/>
      <c r="JTW718" s="1176"/>
      <c r="JTX718" s="1176"/>
      <c r="JTY718" s="1176"/>
      <c r="JTZ718" s="1176"/>
      <c r="JUA718" s="1176"/>
      <c r="JUB718" s="1176"/>
      <c r="JUC718" s="1176"/>
      <c r="JUD718" s="1176"/>
      <c r="JUE718" s="1176"/>
      <c r="JUF718" s="1176"/>
      <c r="JUG718" s="1176"/>
      <c r="JUH718" s="1176"/>
      <c r="JUI718" s="1176"/>
      <c r="JUJ718" s="1176"/>
      <c r="JUK718" s="1176"/>
      <c r="JUL718" s="1176"/>
      <c r="JUM718" s="1176"/>
      <c r="JUN718" s="1176"/>
      <c r="JUO718" s="1176"/>
      <c r="JUP718" s="1176"/>
      <c r="JUQ718" s="1176"/>
      <c r="JUR718" s="1176"/>
      <c r="JUS718" s="1176"/>
      <c r="JUT718" s="1176"/>
      <c r="JUU718" s="1176"/>
      <c r="JUV718" s="1176"/>
      <c r="JUW718" s="1176"/>
      <c r="JUX718" s="1176"/>
      <c r="JUY718" s="1176"/>
      <c r="JUZ718" s="1176"/>
      <c r="JVA718" s="1176"/>
      <c r="JVB718" s="1176"/>
      <c r="JVC718" s="1176"/>
      <c r="JVD718" s="1176"/>
      <c r="JVE718" s="1176"/>
      <c r="JVF718" s="1176"/>
      <c r="JVG718" s="1176"/>
      <c r="JVH718" s="1176"/>
      <c r="JVI718" s="1176"/>
      <c r="JVJ718" s="1176"/>
      <c r="JVK718" s="1176"/>
      <c r="JVL718" s="1176"/>
      <c r="JVM718" s="1176"/>
      <c r="JVN718" s="1176"/>
      <c r="JVO718" s="1176"/>
      <c r="JVP718" s="1176"/>
      <c r="JVQ718" s="1176"/>
      <c r="JVR718" s="1176"/>
      <c r="JVS718" s="1176"/>
      <c r="JVT718" s="1176"/>
      <c r="JVU718" s="1176"/>
      <c r="JVV718" s="1176"/>
      <c r="JVW718" s="1176"/>
      <c r="JVX718" s="1176"/>
      <c r="JVY718" s="1176"/>
      <c r="JVZ718" s="1176"/>
      <c r="JWA718" s="1176"/>
      <c r="JWB718" s="1176"/>
      <c r="JWC718" s="1176"/>
      <c r="JWD718" s="1176"/>
      <c r="JWE718" s="1176"/>
      <c r="JWF718" s="1176"/>
      <c r="JWG718" s="1176"/>
      <c r="JWH718" s="1176"/>
      <c r="JWI718" s="1176"/>
      <c r="JWJ718" s="1176"/>
      <c r="JWK718" s="1176"/>
      <c r="JWL718" s="1176"/>
      <c r="JWM718" s="1176"/>
      <c r="JWN718" s="1176"/>
      <c r="JWO718" s="1176"/>
      <c r="JWP718" s="1176"/>
      <c r="JWQ718" s="1176"/>
      <c r="JWR718" s="1176"/>
      <c r="JWS718" s="1176"/>
      <c r="JWT718" s="1176"/>
      <c r="JWU718" s="1176"/>
      <c r="JWV718" s="1176"/>
      <c r="JWW718" s="1176"/>
      <c r="JWX718" s="1176"/>
      <c r="JWY718" s="1176"/>
      <c r="JWZ718" s="1176"/>
      <c r="JXA718" s="1176"/>
      <c r="JXB718" s="1176"/>
      <c r="JXC718" s="1176"/>
      <c r="JXD718" s="1176"/>
      <c r="JXE718" s="1176"/>
      <c r="JXF718" s="1176"/>
      <c r="JXG718" s="1176"/>
      <c r="JXH718" s="1176"/>
      <c r="JXI718" s="1176"/>
      <c r="JXJ718" s="1176"/>
      <c r="JXK718" s="1176"/>
      <c r="JXL718" s="1176"/>
      <c r="JXM718" s="1176"/>
      <c r="JXN718" s="1176"/>
      <c r="JXO718" s="1176"/>
      <c r="JXP718" s="1176"/>
      <c r="JXQ718" s="1176"/>
      <c r="JXR718" s="1176"/>
      <c r="JXS718" s="1176"/>
      <c r="JXT718" s="1176"/>
      <c r="JXU718" s="1176"/>
      <c r="JXV718" s="1176"/>
      <c r="JXW718" s="1176"/>
      <c r="JXX718" s="1176"/>
      <c r="JXY718" s="1176"/>
      <c r="JXZ718" s="1176"/>
      <c r="JYA718" s="1176"/>
      <c r="JYB718" s="1176"/>
      <c r="JYC718" s="1176"/>
      <c r="JYD718" s="1176"/>
      <c r="JYE718" s="1176"/>
      <c r="JYF718" s="1176"/>
      <c r="JYG718" s="1176"/>
      <c r="JYH718" s="1176"/>
      <c r="JYI718" s="1176"/>
      <c r="JYJ718" s="1176"/>
      <c r="JYK718" s="1176"/>
      <c r="JYL718" s="1176"/>
      <c r="JYM718" s="1176"/>
      <c r="JYN718" s="1176"/>
      <c r="JYO718" s="1176"/>
      <c r="JYP718" s="1176"/>
      <c r="JYQ718" s="1176"/>
      <c r="JYR718" s="1176"/>
      <c r="JYS718" s="1176"/>
      <c r="JYT718" s="1176"/>
      <c r="JYU718" s="1176"/>
      <c r="JYV718" s="1176"/>
      <c r="JYW718" s="1176"/>
      <c r="JYX718" s="1176"/>
      <c r="JYY718" s="1176"/>
      <c r="JYZ718" s="1176"/>
      <c r="JZA718" s="1176"/>
      <c r="JZB718" s="1176"/>
      <c r="JZC718" s="1176"/>
      <c r="JZD718" s="1176"/>
      <c r="JZE718" s="1176"/>
      <c r="JZF718" s="1176"/>
      <c r="JZG718" s="1176"/>
      <c r="JZH718" s="1176"/>
      <c r="JZI718" s="1176"/>
      <c r="JZJ718" s="1176"/>
      <c r="JZK718" s="1176"/>
      <c r="JZL718" s="1176"/>
      <c r="JZM718" s="1176"/>
      <c r="JZN718" s="1176"/>
      <c r="JZO718" s="1176"/>
      <c r="JZP718" s="1176"/>
      <c r="JZQ718" s="1176"/>
      <c r="JZR718" s="1176"/>
      <c r="JZS718" s="1176"/>
      <c r="JZT718" s="1176"/>
      <c r="JZU718" s="1176"/>
      <c r="JZV718" s="1176"/>
      <c r="JZW718" s="1176"/>
      <c r="JZX718" s="1176"/>
      <c r="JZY718" s="1176"/>
      <c r="JZZ718" s="1176"/>
      <c r="KAA718" s="1176"/>
      <c r="KAB718" s="1176"/>
      <c r="KAC718" s="1176"/>
      <c r="KAD718" s="1176"/>
      <c r="KAE718" s="1176"/>
      <c r="KAF718" s="1176"/>
      <c r="KAG718" s="1176"/>
      <c r="KAH718" s="1176"/>
      <c r="KAI718" s="1176"/>
      <c r="KAJ718" s="1176"/>
      <c r="KAK718" s="1176"/>
      <c r="KAL718" s="1176"/>
      <c r="KAM718" s="1176"/>
      <c r="KAN718" s="1176"/>
      <c r="KAO718" s="1176"/>
      <c r="KAP718" s="1176"/>
      <c r="KAQ718" s="1176"/>
      <c r="KAR718" s="1176"/>
      <c r="KAS718" s="1176"/>
      <c r="KAT718" s="1176"/>
      <c r="KAU718" s="1176"/>
      <c r="KAV718" s="1176"/>
      <c r="KAW718" s="1176"/>
      <c r="KAX718" s="1176"/>
      <c r="KAY718" s="1176"/>
      <c r="KAZ718" s="1176"/>
      <c r="KBA718" s="1176"/>
      <c r="KBB718" s="1176"/>
      <c r="KBC718" s="1176"/>
      <c r="KBD718" s="1176"/>
      <c r="KBE718" s="1176"/>
      <c r="KBF718" s="1176"/>
      <c r="KBG718" s="1176"/>
      <c r="KBH718" s="1176"/>
      <c r="KBI718" s="1176"/>
      <c r="KBJ718" s="1176"/>
      <c r="KBK718" s="1176"/>
      <c r="KBL718" s="1176"/>
      <c r="KBM718" s="1176"/>
      <c r="KBN718" s="1176"/>
      <c r="KBO718" s="1176"/>
      <c r="KBP718" s="1176"/>
      <c r="KBQ718" s="1176"/>
      <c r="KBR718" s="1176"/>
      <c r="KBS718" s="1176"/>
      <c r="KBT718" s="1176"/>
      <c r="KBU718" s="1176"/>
      <c r="KBV718" s="1176"/>
      <c r="KBW718" s="1176"/>
      <c r="KBX718" s="1176"/>
      <c r="KBY718" s="1176"/>
      <c r="KBZ718" s="1176"/>
      <c r="KCA718" s="1176"/>
      <c r="KCB718" s="1176"/>
      <c r="KCC718" s="1176"/>
      <c r="KCD718" s="1176"/>
      <c r="KCE718" s="1176"/>
      <c r="KCF718" s="1176"/>
      <c r="KCG718" s="1176"/>
      <c r="KCH718" s="1176"/>
      <c r="KCI718" s="1176"/>
      <c r="KCJ718" s="1176"/>
      <c r="KCK718" s="1176"/>
      <c r="KCL718" s="1176"/>
      <c r="KCM718" s="1176"/>
      <c r="KCN718" s="1176"/>
      <c r="KCO718" s="1176"/>
      <c r="KCP718" s="1176"/>
      <c r="KCQ718" s="1176"/>
      <c r="KCR718" s="1176"/>
      <c r="KCS718" s="1176"/>
      <c r="KCT718" s="1176"/>
      <c r="KCU718" s="1176"/>
      <c r="KCV718" s="1176"/>
      <c r="KCW718" s="1176"/>
      <c r="KCX718" s="1176"/>
      <c r="KCY718" s="1176"/>
      <c r="KCZ718" s="1176"/>
      <c r="KDA718" s="1176"/>
      <c r="KDB718" s="1176"/>
      <c r="KDC718" s="1176"/>
      <c r="KDD718" s="1176"/>
      <c r="KDE718" s="1176"/>
      <c r="KDF718" s="1176"/>
      <c r="KDG718" s="1176"/>
      <c r="KDH718" s="1176"/>
      <c r="KDI718" s="1176"/>
      <c r="KDJ718" s="1176"/>
      <c r="KDK718" s="1176"/>
      <c r="KDL718" s="1176"/>
      <c r="KDM718" s="1176"/>
      <c r="KDN718" s="1176"/>
      <c r="KDO718" s="1176"/>
      <c r="KDP718" s="1176"/>
      <c r="KDQ718" s="1176"/>
      <c r="KDR718" s="1176"/>
      <c r="KDS718" s="1176"/>
      <c r="KDT718" s="1176"/>
      <c r="KDU718" s="1176"/>
      <c r="KDV718" s="1176"/>
      <c r="KDW718" s="1176"/>
      <c r="KDX718" s="1176"/>
      <c r="KDY718" s="1176"/>
      <c r="KDZ718" s="1176"/>
      <c r="KEA718" s="1176"/>
      <c r="KEB718" s="1176"/>
      <c r="KEC718" s="1176"/>
      <c r="KED718" s="1176"/>
      <c r="KEE718" s="1176"/>
      <c r="KEF718" s="1176"/>
      <c r="KEG718" s="1176"/>
      <c r="KEH718" s="1176"/>
      <c r="KEI718" s="1176"/>
      <c r="KEJ718" s="1176"/>
      <c r="KEK718" s="1176"/>
      <c r="KEL718" s="1176"/>
      <c r="KEM718" s="1176"/>
      <c r="KEN718" s="1176"/>
      <c r="KEO718" s="1176"/>
      <c r="KEP718" s="1176"/>
      <c r="KEQ718" s="1176"/>
      <c r="KER718" s="1176"/>
      <c r="KES718" s="1176"/>
      <c r="KET718" s="1176"/>
      <c r="KEU718" s="1176"/>
      <c r="KEV718" s="1176"/>
      <c r="KEW718" s="1176"/>
      <c r="KEX718" s="1176"/>
      <c r="KEY718" s="1176"/>
      <c r="KEZ718" s="1176"/>
      <c r="KFA718" s="1176"/>
      <c r="KFB718" s="1176"/>
      <c r="KFC718" s="1176"/>
      <c r="KFD718" s="1176"/>
      <c r="KFE718" s="1176"/>
      <c r="KFF718" s="1176"/>
      <c r="KFG718" s="1176"/>
      <c r="KFH718" s="1176"/>
      <c r="KFI718" s="1176"/>
      <c r="KFJ718" s="1176"/>
      <c r="KFK718" s="1176"/>
      <c r="KFL718" s="1176"/>
      <c r="KFM718" s="1176"/>
      <c r="KFN718" s="1176"/>
      <c r="KFO718" s="1176"/>
      <c r="KFP718" s="1176"/>
      <c r="KFQ718" s="1176"/>
      <c r="KFR718" s="1176"/>
      <c r="KFS718" s="1176"/>
      <c r="KFT718" s="1176"/>
      <c r="KFU718" s="1176"/>
      <c r="KFV718" s="1176"/>
      <c r="KFW718" s="1176"/>
      <c r="KFX718" s="1176"/>
      <c r="KFY718" s="1176"/>
      <c r="KFZ718" s="1176"/>
      <c r="KGA718" s="1176"/>
      <c r="KGB718" s="1176"/>
      <c r="KGC718" s="1176"/>
      <c r="KGD718" s="1176"/>
      <c r="KGE718" s="1176"/>
      <c r="KGF718" s="1176"/>
      <c r="KGG718" s="1176"/>
      <c r="KGH718" s="1176"/>
      <c r="KGI718" s="1176"/>
      <c r="KGJ718" s="1176"/>
      <c r="KGK718" s="1176"/>
      <c r="KGL718" s="1176"/>
      <c r="KGM718" s="1176"/>
      <c r="KGN718" s="1176"/>
      <c r="KGO718" s="1176"/>
      <c r="KGP718" s="1176"/>
      <c r="KGQ718" s="1176"/>
      <c r="KGR718" s="1176"/>
      <c r="KGS718" s="1176"/>
      <c r="KGT718" s="1176"/>
      <c r="KGU718" s="1176"/>
      <c r="KGV718" s="1176"/>
      <c r="KGW718" s="1176"/>
      <c r="KGX718" s="1176"/>
      <c r="KGY718" s="1176"/>
      <c r="KGZ718" s="1176"/>
      <c r="KHA718" s="1176"/>
      <c r="KHB718" s="1176"/>
      <c r="KHC718" s="1176"/>
      <c r="KHD718" s="1176"/>
      <c r="KHE718" s="1176"/>
      <c r="KHF718" s="1176"/>
      <c r="KHG718" s="1176"/>
      <c r="KHH718" s="1176"/>
      <c r="KHI718" s="1176"/>
      <c r="KHJ718" s="1176"/>
      <c r="KHK718" s="1176"/>
      <c r="KHL718" s="1176"/>
      <c r="KHM718" s="1176"/>
      <c r="KHN718" s="1176"/>
      <c r="KHO718" s="1176"/>
      <c r="KHP718" s="1176"/>
      <c r="KHQ718" s="1176"/>
      <c r="KHR718" s="1176"/>
      <c r="KHS718" s="1176"/>
      <c r="KHT718" s="1176"/>
      <c r="KHU718" s="1176"/>
      <c r="KHV718" s="1176"/>
      <c r="KHW718" s="1176"/>
      <c r="KHX718" s="1176"/>
      <c r="KHY718" s="1176"/>
      <c r="KHZ718" s="1176"/>
      <c r="KIA718" s="1176"/>
      <c r="KIB718" s="1176"/>
      <c r="KIC718" s="1176"/>
      <c r="KID718" s="1176"/>
      <c r="KIE718" s="1176"/>
      <c r="KIF718" s="1176"/>
      <c r="KIG718" s="1176"/>
      <c r="KIH718" s="1176"/>
      <c r="KII718" s="1176"/>
      <c r="KIJ718" s="1176"/>
      <c r="KIK718" s="1176"/>
      <c r="KIL718" s="1176"/>
      <c r="KIM718" s="1176"/>
      <c r="KIN718" s="1176"/>
      <c r="KIO718" s="1176"/>
      <c r="KIP718" s="1176"/>
      <c r="KIQ718" s="1176"/>
      <c r="KIR718" s="1176"/>
      <c r="KIS718" s="1176"/>
      <c r="KIT718" s="1176"/>
      <c r="KIU718" s="1176"/>
      <c r="KIV718" s="1176"/>
      <c r="KIW718" s="1176"/>
      <c r="KIX718" s="1176"/>
      <c r="KIY718" s="1176"/>
      <c r="KIZ718" s="1176"/>
      <c r="KJA718" s="1176"/>
      <c r="KJB718" s="1176"/>
      <c r="KJC718" s="1176"/>
      <c r="KJD718" s="1176"/>
      <c r="KJE718" s="1176"/>
      <c r="KJF718" s="1176"/>
      <c r="KJG718" s="1176"/>
      <c r="KJH718" s="1176"/>
      <c r="KJI718" s="1176"/>
      <c r="KJJ718" s="1176"/>
      <c r="KJK718" s="1176"/>
      <c r="KJL718" s="1176"/>
      <c r="KJM718" s="1176"/>
      <c r="KJN718" s="1176"/>
      <c r="KJO718" s="1176"/>
      <c r="KJP718" s="1176"/>
      <c r="KJQ718" s="1176"/>
      <c r="KJR718" s="1176"/>
      <c r="KJS718" s="1176"/>
      <c r="KJT718" s="1176"/>
      <c r="KJU718" s="1176"/>
      <c r="KJV718" s="1176"/>
      <c r="KJW718" s="1176"/>
      <c r="KJX718" s="1176"/>
      <c r="KJY718" s="1176"/>
      <c r="KJZ718" s="1176"/>
      <c r="KKA718" s="1176"/>
      <c r="KKB718" s="1176"/>
      <c r="KKC718" s="1176"/>
      <c r="KKD718" s="1176"/>
      <c r="KKE718" s="1176"/>
      <c r="KKF718" s="1176"/>
      <c r="KKG718" s="1176"/>
      <c r="KKH718" s="1176"/>
      <c r="KKI718" s="1176"/>
      <c r="KKJ718" s="1176"/>
      <c r="KKK718" s="1176"/>
      <c r="KKL718" s="1176"/>
      <c r="KKM718" s="1176"/>
      <c r="KKN718" s="1176"/>
      <c r="KKO718" s="1176"/>
      <c r="KKP718" s="1176"/>
      <c r="KKQ718" s="1176"/>
      <c r="KKR718" s="1176"/>
      <c r="KKS718" s="1176"/>
      <c r="KKT718" s="1176"/>
      <c r="KKU718" s="1176"/>
      <c r="KKV718" s="1176"/>
      <c r="KKW718" s="1176"/>
      <c r="KKX718" s="1176"/>
      <c r="KKY718" s="1176"/>
      <c r="KKZ718" s="1176"/>
      <c r="KLA718" s="1176"/>
      <c r="KLB718" s="1176"/>
      <c r="KLC718" s="1176"/>
      <c r="KLD718" s="1176"/>
      <c r="KLE718" s="1176"/>
      <c r="KLF718" s="1176"/>
      <c r="KLG718" s="1176"/>
      <c r="KLH718" s="1176"/>
      <c r="KLI718" s="1176"/>
      <c r="KLJ718" s="1176"/>
      <c r="KLK718" s="1176"/>
      <c r="KLL718" s="1176"/>
      <c r="KLM718" s="1176"/>
      <c r="KLN718" s="1176"/>
      <c r="KLO718" s="1176"/>
      <c r="KLP718" s="1176"/>
      <c r="KLQ718" s="1176"/>
      <c r="KLR718" s="1176"/>
      <c r="KLS718" s="1176"/>
      <c r="KLT718" s="1176"/>
      <c r="KLU718" s="1176"/>
      <c r="KLV718" s="1176"/>
      <c r="KLW718" s="1176"/>
      <c r="KLX718" s="1176"/>
      <c r="KLY718" s="1176"/>
      <c r="KLZ718" s="1176"/>
      <c r="KMA718" s="1176"/>
      <c r="KMB718" s="1176"/>
      <c r="KMC718" s="1176"/>
      <c r="KMD718" s="1176"/>
      <c r="KME718" s="1176"/>
      <c r="KMF718" s="1176"/>
      <c r="KMG718" s="1176"/>
      <c r="KMH718" s="1176"/>
      <c r="KMI718" s="1176"/>
      <c r="KMJ718" s="1176"/>
      <c r="KMK718" s="1176"/>
      <c r="KML718" s="1176"/>
      <c r="KMM718" s="1176"/>
      <c r="KMN718" s="1176"/>
      <c r="KMO718" s="1176"/>
      <c r="KMP718" s="1176"/>
      <c r="KMQ718" s="1176"/>
      <c r="KMR718" s="1176"/>
      <c r="KMS718" s="1176"/>
      <c r="KMT718" s="1176"/>
      <c r="KMU718" s="1176"/>
      <c r="KMV718" s="1176"/>
      <c r="KMW718" s="1176"/>
      <c r="KMX718" s="1176"/>
      <c r="KMY718" s="1176"/>
      <c r="KMZ718" s="1176"/>
      <c r="KNA718" s="1176"/>
      <c r="KNB718" s="1176"/>
      <c r="KNC718" s="1176"/>
      <c r="KND718" s="1176"/>
      <c r="KNE718" s="1176"/>
      <c r="KNF718" s="1176"/>
      <c r="KNG718" s="1176"/>
      <c r="KNH718" s="1176"/>
      <c r="KNI718" s="1176"/>
      <c r="KNJ718" s="1176"/>
      <c r="KNK718" s="1176"/>
      <c r="KNL718" s="1176"/>
      <c r="KNM718" s="1176"/>
      <c r="KNN718" s="1176"/>
      <c r="KNO718" s="1176"/>
      <c r="KNP718" s="1176"/>
      <c r="KNQ718" s="1176"/>
      <c r="KNR718" s="1176"/>
      <c r="KNS718" s="1176"/>
      <c r="KNT718" s="1176"/>
      <c r="KNU718" s="1176"/>
      <c r="KNV718" s="1176"/>
      <c r="KNW718" s="1176"/>
      <c r="KNX718" s="1176"/>
      <c r="KNY718" s="1176"/>
      <c r="KNZ718" s="1176"/>
      <c r="KOA718" s="1176"/>
      <c r="KOB718" s="1176"/>
      <c r="KOC718" s="1176"/>
      <c r="KOD718" s="1176"/>
      <c r="KOE718" s="1176"/>
      <c r="KOF718" s="1176"/>
      <c r="KOG718" s="1176"/>
      <c r="KOH718" s="1176"/>
      <c r="KOI718" s="1176"/>
      <c r="KOJ718" s="1176"/>
      <c r="KOK718" s="1176"/>
      <c r="KOL718" s="1176"/>
      <c r="KOM718" s="1176"/>
      <c r="KON718" s="1176"/>
      <c r="KOO718" s="1176"/>
      <c r="KOP718" s="1176"/>
      <c r="KOQ718" s="1176"/>
      <c r="KOR718" s="1176"/>
      <c r="KOS718" s="1176"/>
      <c r="KOT718" s="1176"/>
      <c r="KOU718" s="1176"/>
      <c r="KOV718" s="1176"/>
      <c r="KOW718" s="1176"/>
      <c r="KOX718" s="1176"/>
      <c r="KOY718" s="1176"/>
      <c r="KOZ718" s="1176"/>
      <c r="KPA718" s="1176"/>
      <c r="KPB718" s="1176"/>
      <c r="KPC718" s="1176"/>
      <c r="KPD718" s="1176"/>
      <c r="KPE718" s="1176"/>
      <c r="KPF718" s="1176"/>
      <c r="KPG718" s="1176"/>
      <c r="KPH718" s="1176"/>
      <c r="KPI718" s="1176"/>
      <c r="KPJ718" s="1176"/>
      <c r="KPK718" s="1176"/>
      <c r="KPL718" s="1176"/>
      <c r="KPM718" s="1176"/>
      <c r="KPN718" s="1176"/>
      <c r="KPO718" s="1176"/>
      <c r="KPP718" s="1176"/>
      <c r="KPQ718" s="1176"/>
      <c r="KPR718" s="1176"/>
      <c r="KPS718" s="1176"/>
      <c r="KPT718" s="1176"/>
      <c r="KPU718" s="1176"/>
      <c r="KPV718" s="1176"/>
      <c r="KPW718" s="1176"/>
      <c r="KPX718" s="1176"/>
      <c r="KPY718" s="1176"/>
      <c r="KPZ718" s="1176"/>
      <c r="KQA718" s="1176"/>
      <c r="KQB718" s="1176"/>
      <c r="KQC718" s="1176"/>
      <c r="KQD718" s="1176"/>
      <c r="KQE718" s="1176"/>
      <c r="KQF718" s="1176"/>
      <c r="KQG718" s="1176"/>
      <c r="KQH718" s="1176"/>
      <c r="KQI718" s="1176"/>
      <c r="KQJ718" s="1176"/>
      <c r="KQK718" s="1176"/>
      <c r="KQL718" s="1176"/>
      <c r="KQM718" s="1176"/>
      <c r="KQN718" s="1176"/>
      <c r="KQO718" s="1176"/>
      <c r="KQP718" s="1176"/>
      <c r="KQQ718" s="1176"/>
      <c r="KQR718" s="1176"/>
      <c r="KQS718" s="1176"/>
      <c r="KQT718" s="1176"/>
      <c r="KQU718" s="1176"/>
      <c r="KQV718" s="1176"/>
      <c r="KQW718" s="1176"/>
      <c r="KQX718" s="1176"/>
      <c r="KQY718" s="1176"/>
      <c r="KQZ718" s="1176"/>
      <c r="KRA718" s="1176"/>
      <c r="KRB718" s="1176"/>
      <c r="KRC718" s="1176"/>
      <c r="KRD718" s="1176"/>
      <c r="KRE718" s="1176"/>
      <c r="KRF718" s="1176"/>
      <c r="KRG718" s="1176"/>
      <c r="KRH718" s="1176"/>
      <c r="KRI718" s="1176"/>
      <c r="KRJ718" s="1176"/>
      <c r="KRK718" s="1176"/>
      <c r="KRL718" s="1176"/>
      <c r="KRM718" s="1176"/>
      <c r="KRN718" s="1176"/>
      <c r="KRO718" s="1176"/>
      <c r="KRP718" s="1176"/>
      <c r="KRQ718" s="1176"/>
      <c r="KRR718" s="1176"/>
      <c r="KRS718" s="1176"/>
      <c r="KRT718" s="1176"/>
      <c r="KRU718" s="1176"/>
      <c r="KRV718" s="1176"/>
      <c r="KRW718" s="1176"/>
      <c r="KRX718" s="1176"/>
      <c r="KRY718" s="1176"/>
      <c r="KRZ718" s="1176"/>
      <c r="KSA718" s="1176"/>
      <c r="KSB718" s="1176"/>
      <c r="KSC718" s="1176"/>
      <c r="KSD718" s="1176"/>
      <c r="KSE718" s="1176"/>
      <c r="KSF718" s="1176"/>
      <c r="KSG718" s="1176"/>
      <c r="KSH718" s="1176"/>
      <c r="KSI718" s="1176"/>
      <c r="KSJ718" s="1176"/>
      <c r="KSK718" s="1176"/>
      <c r="KSL718" s="1176"/>
      <c r="KSM718" s="1176"/>
      <c r="KSN718" s="1176"/>
      <c r="KSO718" s="1176"/>
      <c r="KSP718" s="1176"/>
      <c r="KSQ718" s="1176"/>
      <c r="KSR718" s="1176"/>
      <c r="KSS718" s="1176"/>
      <c r="KST718" s="1176"/>
      <c r="KSU718" s="1176"/>
      <c r="KSV718" s="1176"/>
      <c r="KSW718" s="1176"/>
      <c r="KSX718" s="1176"/>
      <c r="KSY718" s="1176"/>
      <c r="KSZ718" s="1176"/>
      <c r="KTA718" s="1176"/>
      <c r="KTB718" s="1176"/>
      <c r="KTC718" s="1176"/>
      <c r="KTD718" s="1176"/>
      <c r="KTE718" s="1176"/>
      <c r="KTF718" s="1176"/>
      <c r="KTG718" s="1176"/>
      <c r="KTH718" s="1176"/>
      <c r="KTI718" s="1176"/>
      <c r="KTJ718" s="1176"/>
      <c r="KTK718" s="1176"/>
      <c r="KTL718" s="1176"/>
      <c r="KTM718" s="1176"/>
      <c r="KTN718" s="1176"/>
      <c r="KTO718" s="1176"/>
      <c r="KTP718" s="1176"/>
      <c r="KTQ718" s="1176"/>
      <c r="KTR718" s="1176"/>
      <c r="KTS718" s="1176"/>
      <c r="KTT718" s="1176"/>
      <c r="KTU718" s="1176"/>
      <c r="KTV718" s="1176"/>
      <c r="KTW718" s="1176"/>
      <c r="KTX718" s="1176"/>
      <c r="KTY718" s="1176"/>
      <c r="KTZ718" s="1176"/>
      <c r="KUA718" s="1176"/>
      <c r="KUB718" s="1176"/>
      <c r="KUC718" s="1176"/>
      <c r="KUD718" s="1176"/>
      <c r="KUE718" s="1176"/>
      <c r="KUF718" s="1176"/>
      <c r="KUG718" s="1176"/>
      <c r="KUH718" s="1176"/>
      <c r="KUI718" s="1176"/>
      <c r="KUJ718" s="1176"/>
      <c r="KUK718" s="1176"/>
      <c r="KUL718" s="1176"/>
      <c r="KUM718" s="1176"/>
      <c r="KUN718" s="1176"/>
      <c r="KUO718" s="1176"/>
      <c r="KUP718" s="1176"/>
      <c r="KUQ718" s="1176"/>
      <c r="KUR718" s="1176"/>
      <c r="KUS718" s="1176"/>
      <c r="KUT718" s="1176"/>
      <c r="KUU718" s="1176"/>
      <c r="KUV718" s="1176"/>
      <c r="KUW718" s="1176"/>
      <c r="KUX718" s="1176"/>
      <c r="KUY718" s="1176"/>
      <c r="KUZ718" s="1176"/>
      <c r="KVA718" s="1176"/>
      <c r="KVB718" s="1176"/>
      <c r="KVC718" s="1176"/>
      <c r="KVD718" s="1176"/>
      <c r="KVE718" s="1176"/>
      <c r="KVF718" s="1176"/>
      <c r="KVG718" s="1176"/>
      <c r="KVH718" s="1176"/>
      <c r="KVI718" s="1176"/>
      <c r="KVJ718" s="1176"/>
      <c r="KVK718" s="1176"/>
      <c r="KVL718" s="1176"/>
      <c r="KVM718" s="1176"/>
      <c r="KVN718" s="1176"/>
      <c r="KVO718" s="1176"/>
      <c r="KVP718" s="1176"/>
      <c r="KVQ718" s="1176"/>
      <c r="KVR718" s="1176"/>
      <c r="KVS718" s="1176"/>
      <c r="KVT718" s="1176"/>
      <c r="KVU718" s="1176"/>
      <c r="KVV718" s="1176"/>
      <c r="KVW718" s="1176"/>
      <c r="KVX718" s="1176"/>
      <c r="KVY718" s="1176"/>
      <c r="KVZ718" s="1176"/>
      <c r="KWA718" s="1176"/>
      <c r="KWB718" s="1176"/>
      <c r="KWC718" s="1176"/>
      <c r="KWD718" s="1176"/>
      <c r="KWE718" s="1176"/>
      <c r="KWF718" s="1176"/>
      <c r="KWG718" s="1176"/>
      <c r="KWH718" s="1176"/>
      <c r="KWI718" s="1176"/>
      <c r="KWJ718" s="1176"/>
      <c r="KWK718" s="1176"/>
      <c r="KWL718" s="1176"/>
      <c r="KWM718" s="1176"/>
      <c r="KWN718" s="1176"/>
      <c r="KWO718" s="1176"/>
      <c r="KWP718" s="1176"/>
      <c r="KWQ718" s="1176"/>
      <c r="KWR718" s="1176"/>
      <c r="KWS718" s="1176"/>
      <c r="KWT718" s="1176"/>
      <c r="KWU718" s="1176"/>
      <c r="KWV718" s="1176"/>
      <c r="KWW718" s="1176"/>
      <c r="KWX718" s="1176"/>
      <c r="KWY718" s="1176"/>
      <c r="KWZ718" s="1176"/>
      <c r="KXA718" s="1176"/>
      <c r="KXB718" s="1176"/>
      <c r="KXC718" s="1176"/>
      <c r="KXD718" s="1176"/>
      <c r="KXE718" s="1176"/>
      <c r="KXF718" s="1176"/>
      <c r="KXG718" s="1176"/>
      <c r="KXH718" s="1176"/>
      <c r="KXI718" s="1176"/>
      <c r="KXJ718" s="1176"/>
      <c r="KXK718" s="1176"/>
      <c r="KXL718" s="1176"/>
      <c r="KXM718" s="1176"/>
      <c r="KXN718" s="1176"/>
      <c r="KXO718" s="1176"/>
      <c r="KXP718" s="1176"/>
      <c r="KXQ718" s="1176"/>
      <c r="KXR718" s="1176"/>
      <c r="KXS718" s="1176"/>
      <c r="KXT718" s="1176"/>
      <c r="KXU718" s="1176"/>
      <c r="KXV718" s="1176"/>
      <c r="KXW718" s="1176"/>
      <c r="KXX718" s="1176"/>
      <c r="KXY718" s="1176"/>
      <c r="KXZ718" s="1176"/>
      <c r="KYA718" s="1176"/>
      <c r="KYB718" s="1176"/>
      <c r="KYC718" s="1176"/>
      <c r="KYD718" s="1176"/>
      <c r="KYE718" s="1176"/>
      <c r="KYF718" s="1176"/>
      <c r="KYG718" s="1176"/>
      <c r="KYH718" s="1176"/>
      <c r="KYI718" s="1176"/>
      <c r="KYJ718" s="1176"/>
      <c r="KYK718" s="1176"/>
      <c r="KYL718" s="1176"/>
      <c r="KYM718" s="1176"/>
      <c r="KYN718" s="1176"/>
      <c r="KYO718" s="1176"/>
      <c r="KYP718" s="1176"/>
      <c r="KYQ718" s="1176"/>
      <c r="KYR718" s="1176"/>
      <c r="KYS718" s="1176"/>
      <c r="KYT718" s="1176"/>
      <c r="KYU718" s="1176"/>
      <c r="KYV718" s="1176"/>
      <c r="KYW718" s="1176"/>
      <c r="KYX718" s="1176"/>
      <c r="KYY718" s="1176"/>
      <c r="KYZ718" s="1176"/>
      <c r="KZA718" s="1176"/>
      <c r="KZB718" s="1176"/>
      <c r="KZC718" s="1176"/>
      <c r="KZD718" s="1176"/>
      <c r="KZE718" s="1176"/>
      <c r="KZF718" s="1176"/>
      <c r="KZG718" s="1176"/>
      <c r="KZH718" s="1176"/>
      <c r="KZI718" s="1176"/>
      <c r="KZJ718" s="1176"/>
      <c r="KZK718" s="1176"/>
      <c r="KZL718" s="1176"/>
      <c r="KZM718" s="1176"/>
      <c r="KZN718" s="1176"/>
      <c r="KZO718" s="1176"/>
      <c r="KZP718" s="1176"/>
      <c r="KZQ718" s="1176"/>
      <c r="KZR718" s="1176"/>
      <c r="KZS718" s="1176"/>
      <c r="KZT718" s="1176"/>
      <c r="KZU718" s="1176"/>
      <c r="KZV718" s="1176"/>
      <c r="KZW718" s="1176"/>
      <c r="KZX718" s="1176"/>
      <c r="KZY718" s="1176"/>
      <c r="KZZ718" s="1176"/>
      <c r="LAA718" s="1176"/>
      <c r="LAB718" s="1176"/>
      <c r="LAC718" s="1176"/>
      <c r="LAD718" s="1176"/>
      <c r="LAE718" s="1176"/>
      <c r="LAF718" s="1176"/>
      <c r="LAG718" s="1176"/>
      <c r="LAH718" s="1176"/>
      <c r="LAI718" s="1176"/>
      <c r="LAJ718" s="1176"/>
      <c r="LAK718" s="1176"/>
      <c r="LAL718" s="1176"/>
      <c r="LAM718" s="1176"/>
      <c r="LAN718" s="1176"/>
      <c r="LAO718" s="1176"/>
      <c r="LAP718" s="1176"/>
      <c r="LAQ718" s="1176"/>
      <c r="LAR718" s="1176"/>
      <c r="LAS718" s="1176"/>
      <c r="LAT718" s="1176"/>
      <c r="LAU718" s="1176"/>
      <c r="LAV718" s="1176"/>
      <c r="LAW718" s="1176"/>
      <c r="LAX718" s="1176"/>
      <c r="LAY718" s="1176"/>
      <c r="LAZ718" s="1176"/>
      <c r="LBA718" s="1176"/>
      <c r="LBB718" s="1176"/>
      <c r="LBC718" s="1176"/>
      <c r="LBD718" s="1176"/>
      <c r="LBE718" s="1176"/>
      <c r="LBF718" s="1176"/>
      <c r="LBG718" s="1176"/>
      <c r="LBH718" s="1176"/>
      <c r="LBI718" s="1176"/>
      <c r="LBJ718" s="1176"/>
      <c r="LBK718" s="1176"/>
      <c r="LBL718" s="1176"/>
      <c r="LBM718" s="1176"/>
      <c r="LBN718" s="1176"/>
      <c r="LBO718" s="1176"/>
      <c r="LBP718" s="1176"/>
      <c r="LBQ718" s="1176"/>
      <c r="LBR718" s="1176"/>
      <c r="LBS718" s="1176"/>
      <c r="LBT718" s="1176"/>
      <c r="LBU718" s="1176"/>
      <c r="LBV718" s="1176"/>
      <c r="LBW718" s="1176"/>
      <c r="LBX718" s="1176"/>
      <c r="LBY718" s="1176"/>
      <c r="LBZ718" s="1176"/>
      <c r="LCA718" s="1176"/>
      <c r="LCB718" s="1176"/>
      <c r="LCC718" s="1176"/>
      <c r="LCD718" s="1176"/>
      <c r="LCE718" s="1176"/>
      <c r="LCF718" s="1176"/>
      <c r="LCG718" s="1176"/>
      <c r="LCH718" s="1176"/>
      <c r="LCI718" s="1176"/>
      <c r="LCJ718" s="1176"/>
      <c r="LCK718" s="1176"/>
      <c r="LCL718" s="1176"/>
      <c r="LCM718" s="1176"/>
      <c r="LCN718" s="1176"/>
      <c r="LCO718" s="1176"/>
      <c r="LCP718" s="1176"/>
      <c r="LCQ718" s="1176"/>
      <c r="LCR718" s="1176"/>
      <c r="LCS718" s="1176"/>
      <c r="LCT718" s="1176"/>
      <c r="LCU718" s="1176"/>
      <c r="LCV718" s="1176"/>
      <c r="LCW718" s="1176"/>
      <c r="LCX718" s="1176"/>
      <c r="LCY718" s="1176"/>
      <c r="LCZ718" s="1176"/>
      <c r="LDA718" s="1176"/>
      <c r="LDB718" s="1176"/>
      <c r="LDC718" s="1176"/>
      <c r="LDD718" s="1176"/>
      <c r="LDE718" s="1176"/>
      <c r="LDF718" s="1176"/>
      <c r="LDG718" s="1176"/>
      <c r="LDH718" s="1176"/>
      <c r="LDI718" s="1176"/>
      <c r="LDJ718" s="1176"/>
      <c r="LDK718" s="1176"/>
      <c r="LDL718" s="1176"/>
      <c r="LDM718" s="1176"/>
      <c r="LDN718" s="1176"/>
      <c r="LDO718" s="1176"/>
      <c r="LDP718" s="1176"/>
      <c r="LDQ718" s="1176"/>
      <c r="LDR718" s="1176"/>
      <c r="LDS718" s="1176"/>
      <c r="LDT718" s="1176"/>
      <c r="LDU718" s="1176"/>
      <c r="LDV718" s="1176"/>
      <c r="LDW718" s="1176"/>
      <c r="LDX718" s="1176"/>
      <c r="LDY718" s="1176"/>
      <c r="LDZ718" s="1176"/>
      <c r="LEA718" s="1176"/>
      <c r="LEB718" s="1176"/>
      <c r="LEC718" s="1176"/>
      <c r="LED718" s="1176"/>
      <c r="LEE718" s="1176"/>
      <c r="LEF718" s="1176"/>
      <c r="LEG718" s="1176"/>
      <c r="LEH718" s="1176"/>
      <c r="LEI718" s="1176"/>
      <c r="LEJ718" s="1176"/>
      <c r="LEK718" s="1176"/>
      <c r="LEL718" s="1176"/>
      <c r="LEM718" s="1176"/>
      <c r="LEN718" s="1176"/>
      <c r="LEO718" s="1176"/>
      <c r="LEP718" s="1176"/>
      <c r="LEQ718" s="1176"/>
      <c r="LER718" s="1176"/>
      <c r="LES718" s="1176"/>
      <c r="LET718" s="1176"/>
      <c r="LEU718" s="1176"/>
      <c r="LEV718" s="1176"/>
      <c r="LEW718" s="1176"/>
      <c r="LEX718" s="1176"/>
      <c r="LEY718" s="1176"/>
      <c r="LEZ718" s="1176"/>
      <c r="LFA718" s="1176"/>
      <c r="LFB718" s="1176"/>
      <c r="LFC718" s="1176"/>
      <c r="LFD718" s="1176"/>
      <c r="LFE718" s="1176"/>
      <c r="LFF718" s="1176"/>
      <c r="LFG718" s="1176"/>
      <c r="LFH718" s="1176"/>
      <c r="LFI718" s="1176"/>
      <c r="LFJ718" s="1176"/>
      <c r="LFK718" s="1176"/>
      <c r="LFL718" s="1176"/>
      <c r="LFM718" s="1176"/>
      <c r="LFN718" s="1176"/>
      <c r="LFO718" s="1176"/>
      <c r="LFP718" s="1176"/>
      <c r="LFQ718" s="1176"/>
      <c r="LFR718" s="1176"/>
      <c r="LFS718" s="1176"/>
      <c r="LFT718" s="1176"/>
      <c r="LFU718" s="1176"/>
      <c r="LFV718" s="1176"/>
      <c r="LFW718" s="1176"/>
      <c r="LFX718" s="1176"/>
      <c r="LFY718" s="1176"/>
      <c r="LFZ718" s="1176"/>
      <c r="LGA718" s="1176"/>
      <c r="LGB718" s="1176"/>
      <c r="LGC718" s="1176"/>
      <c r="LGD718" s="1176"/>
      <c r="LGE718" s="1176"/>
      <c r="LGF718" s="1176"/>
      <c r="LGG718" s="1176"/>
      <c r="LGH718" s="1176"/>
      <c r="LGI718" s="1176"/>
      <c r="LGJ718" s="1176"/>
      <c r="LGK718" s="1176"/>
      <c r="LGL718" s="1176"/>
      <c r="LGM718" s="1176"/>
      <c r="LGN718" s="1176"/>
      <c r="LGO718" s="1176"/>
      <c r="LGP718" s="1176"/>
      <c r="LGQ718" s="1176"/>
      <c r="LGR718" s="1176"/>
      <c r="LGS718" s="1176"/>
      <c r="LGT718" s="1176"/>
      <c r="LGU718" s="1176"/>
      <c r="LGV718" s="1176"/>
      <c r="LGW718" s="1176"/>
      <c r="LGX718" s="1176"/>
      <c r="LGY718" s="1176"/>
      <c r="LGZ718" s="1176"/>
      <c r="LHA718" s="1176"/>
      <c r="LHB718" s="1176"/>
      <c r="LHC718" s="1176"/>
      <c r="LHD718" s="1176"/>
      <c r="LHE718" s="1176"/>
      <c r="LHF718" s="1176"/>
      <c r="LHG718" s="1176"/>
      <c r="LHH718" s="1176"/>
      <c r="LHI718" s="1176"/>
      <c r="LHJ718" s="1176"/>
      <c r="LHK718" s="1176"/>
      <c r="LHL718" s="1176"/>
      <c r="LHM718" s="1176"/>
      <c r="LHN718" s="1176"/>
      <c r="LHO718" s="1176"/>
      <c r="LHP718" s="1176"/>
      <c r="LHQ718" s="1176"/>
      <c r="LHR718" s="1176"/>
      <c r="LHS718" s="1176"/>
      <c r="LHT718" s="1176"/>
      <c r="LHU718" s="1176"/>
      <c r="LHV718" s="1176"/>
      <c r="LHW718" s="1176"/>
      <c r="LHX718" s="1176"/>
      <c r="LHY718" s="1176"/>
      <c r="LHZ718" s="1176"/>
      <c r="LIA718" s="1176"/>
      <c r="LIB718" s="1176"/>
      <c r="LIC718" s="1176"/>
      <c r="LID718" s="1176"/>
      <c r="LIE718" s="1176"/>
      <c r="LIF718" s="1176"/>
      <c r="LIG718" s="1176"/>
      <c r="LIH718" s="1176"/>
      <c r="LII718" s="1176"/>
      <c r="LIJ718" s="1176"/>
      <c r="LIK718" s="1176"/>
      <c r="LIL718" s="1176"/>
      <c r="LIM718" s="1176"/>
      <c r="LIN718" s="1176"/>
      <c r="LIO718" s="1176"/>
      <c r="LIP718" s="1176"/>
      <c r="LIQ718" s="1176"/>
      <c r="LIR718" s="1176"/>
      <c r="LIS718" s="1176"/>
      <c r="LIT718" s="1176"/>
      <c r="LIU718" s="1176"/>
      <c r="LIV718" s="1176"/>
      <c r="LIW718" s="1176"/>
      <c r="LIX718" s="1176"/>
      <c r="LIY718" s="1176"/>
      <c r="LIZ718" s="1176"/>
      <c r="LJA718" s="1176"/>
      <c r="LJB718" s="1176"/>
      <c r="LJC718" s="1176"/>
      <c r="LJD718" s="1176"/>
      <c r="LJE718" s="1176"/>
      <c r="LJF718" s="1176"/>
      <c r="LJG718" s="1176"/>
      <c r="LJH718" s="1176"/>
      <c r="LJI718" s="1176"/>
      <c r="LJJ718" s="1176"/>
      <c r="LJK718" s="1176"/>
      <c r="LJL718" s="1176"/>
      <c r="LJM718" s="1176"/>
      <c r="LJN718" s="1176"/>
      <c r="LJO718" s="1176"/>
      <c r="LJP718" s="1176"/>
      <c r="LJQ718" s="1176"/>
      <c r="LJR718" s="1176"/>
      <c r="LJS718" s="1176"/>
      <c r="LJT718" s="1176"/>
      <c r="LJU718" s="1176"/>
      <c r="LJV718" s="1176"/>
      <c r="LJW718" s="1176"/>
      <c r="LJX718" s="1176"/>
      <c r="LJY718" s="1176"/>
      <c r="LJZ718" s="1176"/>
      <c r="LKA718" s="1176"/>
      <c r="LKB718" s="1176"/>
      <c r="LKC718" s="1176"/>
      <c r="LKD718" s="1176"/>
      <c r="LKE718" s="1176"/>
      <c r="LKF718" s="1176"/>
      <c r="LKG718" s="1176"/>
      <c r="LKH718" s="1176"/>
      <c r="LKI718" s="1176"/>
      <c r="LKJ718" s="1176"/>
      <c r="LKK718" s="1176"/>
      <c r="LKL718" s="1176"/>
      <c r="LKM718" s="1176"/>
      <c r="LKN718" s="1176"/>
      <c r="LKO718" s="1176"/>
      <c r="LKP718" s="1176"/>
      <c r="LKQ718" s="1176"/>
      <c r="LKR718" s="1176"/>
      <c r="LKS718" s="1176"/>
      <c r="LKT718" s="1176"/>
      <c r="LKU718" s="1176"/>
      <c r="LKV718" s="1176"/>
      <c r="LKW718" s="1176"/>
      <c r="LKX718" s="1176"/>
      <c r="LKY718" s="1176"/>
      <c r="LKZ718" s="1176"/>
      <c r="LLA718" s="1176"/>
      <c r="LLB718" s="1176"/>
      <c r="LLC718" s="1176"/>
      <c r="LLD718" s="1176"/>
      <c r="LLE718" s="1176"/>
      <c r="LLF718" s="1176"/>
      <c r="LLG718" s="1176"/>
      <c r="LLH718" s="1176"/>
      <c r="LLI718" s="1176"/>
      <c r="LLJ718" s="1176"/>
      <c r="LLK718" s="1176"/>
      <c r="LLL718" s="1176"/>
      <c r="LLM718" s="1176"/>
      <c r="LLN718" s="1176"/>
      <c r="LLO718" s="1176"/>
      <c r="LLP718" s="1176"/>
      <c r="LLQ718" s="1176"/>
      <c r="LLR718" s="1176"/>
      <c r="LLS718" s="1176"/>
      <c r="LLT718" s="1176"/>
      <c r="LLU718" s="1176"/>
      <c r="LLV718" s="1176"/>
      <c r="LLW718" s="1176"/>
      <c r="LLX718" s="1176"/>
      <c r="LLY718" s="1176"/>
      <c r="LLZ718" s="1176"/>
      <c r="LMA718" s="1176"/>
      <c r="LMB718" s="1176"/>
      <c r="LMC718" s="1176"/>
      <c r="LMD718" s="1176"/>
      <c r="LME718" s="1176"/>
      <c r="LMF718" s="1176"/>
      <c r="LMG718" s="1176"/>
      <c r="LMH718" s="1176"/>
      <c r="LMI718" s="1176"/>
      <c r="LMJ718" s="1176"/>
      <c r="LMK718" s="1176"/>
      <c r="LML718" s="1176"/>
      <c r="LMM718" s="1176"/>
      <c r="LMN718" s="1176"/>
      <c r="LMO718" s="1176"/>
      <c r="LMP718" s="1176"/>
      <c r="LMQ718" s="1176"/>
      <c r="LMR718" s="1176"/>
      <c r="LMS718" s="1176"/>
      <c r="LMT718" s="1176"/>
      <c r="LMU718" s="1176"/>
      <c r="LMV718" s="1176"/>
      <c r="LMW718" s="1176"/>
      <c r="LMX718" s="1176"/>
      <c r="LMY718" s="1176"/>
      <c r="LMZ718" s="1176"/>
      <c r="LNA718" s="1176"/>
      <c r="LNB718" s="1176"/>
      <c r="LNC718" s="1176"/>
      <c r="LND718" s="1176"/>
      <c r="LNE718" s="1176"/>
      <c r="LNF718" s="1176"/>
      <c r="LNG718" s="1176"/>
      <c r="LNH718" s="1176"/>
      <c r="LNI718" s="1176"/>
      <c r="LNJ718" s="1176"/>
      <c r="LNK718" s="1176"/>
      <c r="LNL718" s="1176"/>
      <c r="LNM718" s="1176"/>
      <c r="LNN718" s="1176"/>
      <c r="LNO718" s="1176"/>
      <c r="LNP718" s="1176"/>
      <c r="LNQ718" s="1176"/>
      <c r="LNR718" s="1176"/>
      <c r="LNS718" s="1176"/>
      <c r="LNT718" s="1176"/>
      <c r="LNU718" s="1176"/>
      <c r="LNV718" s="1176"/>
      <c r="LNW718" s="1176"/>
      <c r="LNX718" s="1176"/>
      <c r="LNY718" s="1176"/>
      <c r="LNZ718" s="1176"/>
      <c r="LOA718" s="1176"/>
      <c r="LOB718" s="1176"/>
      <c r="LOC718" s="1176"/>
      <c r="LOD718" s="1176"/>
      <c r="LOE718" s="1176"/>
      <c r="LOF718" s="1176"/>
      <c r="LOG718" s="1176"/>
      <c r="LOH718" s="1176"/>
      <c r="LOI718" s="1176"/>
      <c r="LOJ718" s="1176"/>
      <c r="LOK718" s="1176"/>
      <c r="LOL718" s="1176"/>
      <c r="LOM718" s="1176"/>
      <c r="LON718" s="1176"/>
      <c r="LOO718" s="1176"/>
      <c r="LOP718" s="1176"/>
      <c r="LOQ718" s="1176"/>
      <c r="LOR718" s="1176"/>
      <c r="LOS718" s="1176"/>
      <c r="LOT718" s="1176"/>
      <c r="LOU718" s="1176"/>
      <c r="LOV718" s="1176"/>
      <c r="LOW718" s="1176"/>
      <c r="LOX718" s="1176"/>
      <c r="LOY718" s="1176"/>
      <c r="LOZ718" s="1176"/>
      <c r="LPA718" s="1176"/>
      <c r="LPB718" s="1176"/>
      <c r="LPC718" s="1176"/>
      <c r="LPD718" s="1176"/>
      <c r="LPE718" s="1176"/>
      <c r="LPF718" s="1176"/>
      <c r="LPG718" s="1176"/>
      <c r="LPH718" s="1176"/>
      <c r="LPI718" s="1176"/>
      <c r="LPJ718" s="1176"/>
      <c r="LPK718" s="1176"/>
      <c r="LPL718" s="1176"/>
      <c r="LPM718" s="1176"/>
      <c r="LPN718" s="1176"/>
      <c r="LPO718" s="1176"/>
      <c r="LPP718" s="1176"/>
      <c r="LPQ718" s="1176"/>
      <c r="LPR718" s="1176"/>
      <c r="LPS718" s="1176"/>
      <c r="LPT718" s="1176"/>
      <c r="LPU718" s="1176"/>
      <c r="LPV718" s="1176"/>
      <c r="LPW718" s="1176"/>
      <c r="LPX718" s="1176"/>
      <c r="LPY718" s="1176"/>
      <c r="LPZ718" s="1176"/>
      <c r="LQA718" s="1176"/>
      <c r="LQB718" s="1176"/>
      <c r="LQC718" s="1176"/>
      <c r="LQD718" s="1176"/>
      <c r="LQE718" s="1176"/>
      <c r="LQF718" s="1176"/>
      <c r="LQG718" s="1176"/>
      <c r="LQH718" s="1176"/>
      <c r="LQI718" s="1176"/>
      <c r="LQJ718" s="1176"/>
      <c r="LQK718" s="1176"/>
      <c r="LQL718" s="1176"/>
      <c r="LQM718" s="1176"/>
      <c r="LQN718" s="1176"/>
      <c r="LQO718" s="1176"/>
      <c r="LQP718" s="1176"/>
      <c r="LQQ718" s="1176"/>
      <c r="LQR718" s="1176"/>
      <c r="LQS718" s="1176"/>
      <c r="LQT718" s="1176"/>
      <c r="LQU718" s="1176"/>
      <c r="LQV718" s="1176"/>
      <c r="LQW718" s="1176"/>
      <c r="LQX718" s="1176"/>
      <c r="LQY718" s="1176"/>
      <c r="LQZ718" s="1176"/>
      <c r="LRA718" s="1176"/>
      <c r="LRB718" s="1176"/>
      <c r="LRC718" s="1176"/>
      <c r="LRD718" s="1176"/>
      <c r="LRE718" s="1176"/>
      <c r="LRF718" s="1176"/>
      <c r="LRG718" s="1176"/>
      <c r="LRH718" s="1176"/>
      <c r="LRI718" s="1176"/>
      <c r="LRJ718" s="1176"/>
      <c r="LRK718" s="1176"/>
      <c r="LRL718" s="1176"/>
      <c r="LRM718" s="1176"/>
      <c r="LRN718" s="1176"/>
      <c r="LRO718" s="1176"/>
      <c r="LRP718" s="1176"/>
      <c r="LRQ718" s="1176"/>
      <c r="LRR718" s="1176"/>
      <c r="LRS718" s="1176"/>
      <c r="LRT718" s="1176"/>
      <c r="LRU718" s="1176"/>
      <c r="LRV718" s="1176"/>
      <c r="LRW718" s="1176"/>
      <c r="LRX718" s="1176"/>
      <c r="LRY718" s="1176"/>
      <c r="LRZ718" s="1176"/>
      <c r="LSA718" s="1176"/>
      <c r="LSB718" s="1176"/>
      <c r="LSC718" s="1176"/>
      <c r="LSD718" s="1176"/>
      <c r="LSE718" s="1176"/>
      <c r="LSF718" s="1176"/>
      <c r="LSG718" s="1176"/>
      <c r="LSH718" s="1176"/>
      <c r="LSI718" s="1176"/>
      <c r="LSJ718" s="1176"/>
      <c r="LSK718" s="1176"/>
      <c r="LSL718" s="1176"/>
      <c r="LSM718" s="1176"/>
      <c r="LSN718" s="1176"/>
      <c r="LSO718" s="1176"/>
      <c r="LSP718" s="1176"/>
      <c r="LSQ718" s="1176"/>
      <c r="LSR718" s="1176"/>
      <c r="LSS718" s="1176"/>
      <c r="LST718" s="1176"/>
      <c r="LSU718" s="1176"/>
      <c r="LSV718" s="1176"/>
      <c r="LSW718" s="1176"/>
      <c r="LSX718" s="1176"/>
      <c r="LSY718" s="1176"/>
      <c r="LSZ718" s="1176"/>
      <c r="LTA718" s="1176"/>
      <c r="LTB718" s="1176"/>
      <c r="LTC718" s="1176"/>
      <c r="LTD718" s="1176"/>
      <c r="LTE718" s="1176"/>
      <c r="LTF718" s="1176"/>
      <c r="LTG718" s="1176"/>
      <c r="LTH718" s="1176"/>
      <c r="LTI718" s="1176"/>
      <c r="LTJ718" s="1176"/>
      <c r="LTK718" s="1176"/>
      <c r="LTL718" s="1176"/>
      <c r="LTM718" s="1176"/>
      <c r="LTN718" s="1176"/>
      <c r="LTO718" s="1176"/>
      <c r="LTP718" s="1176"/>
      <c r="LTQ718" s="1176"/>
      <c r="LTR718" s="1176"/>
      <c r="LTS718" s="1176"/>
      <c r="LTT718" s="1176"/>
      <c r="LTU718" s="1176"/>
      <c r="LTV718" s="1176"/>
      <c r="LTW718" s="1176"/>
      <c r="LTX718" s="1176"/>
      <c r="LTY718" s="1176"/>
      <c r="LTZ718" s="1176"/>
      <c r="LUA718" s="1176"/>
      <c r="LUB718" s="1176"/>
      <c r="LUC718" s="1176"/>
      <c r="LUD718" s="1176"/>
      <c r="LUE718" s="1176"/>
      <c r="LUF718" s="1176"/>
      <c r="LUG718" s="1176"/>
      <c r="LUH718" s="1176"/>
      <c r="LUI718" s="1176"/>
      <c r="LUJ718" s="1176"/>
      <c r="LUK718" s="1176"/>
      <c r="LUL718" s="1176"/>
      <c r="LUM718" s="1176"/>
      <c r="LUN718" s="1176"/>
      <c r="LUO718" s="1176"/>
      <c r="LUP718" s="1176"/>
      <c r="LUQ718" s="1176"/>
      <c r="LUR718" s="1176"/>
      <c r="LUS718" s="1176"/>
      <c r="LUT718" s="1176"/>
      <c r="LUU718" s="1176"/>
      <c r="LUV718" s="1176"/>
      <c r="LUW718" s="1176"/>
      <c r="LUX718" s="1176"/>
      <c r="LUY718" s="1176"/>
      <c r="LUZ718" s="1176"/>
      <c r="LVA718" s="1176"/>
      <c r="LVB718" s="1176"/>
      <c r="LVC718" s="1176"/>
      <c r="LVD718" s="1176"/>
      <c r="LVE718" s="1176"/>
      <c r="LVF718" s="1176"/>
      <c r="LVG718" s="1176"/>
      <c r="LVH718" s="1176"/>
      <c r="LVI718" s="1176"/>
      <c r="LVJ718" s="1176"/>
      <c r="LVK718" s="1176"/>
      <c r="LVL718" s="1176"/>
      <c r="LVM718" s="1176"/>
      <c r="LVN718" s="1176"/>
      <c r="LVO718" s="1176"/>
      <c r="LVP718" s="1176"/>
      <c r="LVQ718" s="1176"/>
      <c r="LVR718" s="1176"/>
      <c r="LVS718" s="1176"/>
      <c r="LVT718" s="1176"/>
      <c r="LVU718" s="1176"/>
      <c r="LVV718" s="1176"/>
      <c r="LVW718" s="1176"/>
      <c r="LVX718" s="1176"/>
      <c r="LVY718" s="1176"/>
      <c r="LVZ718" s="1176"/>
      <c r="LWA718" s="1176"/>
      <c r="LWB718" s="1176"/>
      <c r="LWC718" s="1176"/>
      <c r="LWD718" s="1176"/>
      <c r="LWE718" s="1176"/>
      <c r="LWF718" s="1176"/>
      <c r="LWG718" s="1176"/>
      <c r="LWH718" s="1176"/>
      <c r="LWI718" s="1176"/>
      <c r="LWJ718" s="1176"/>
      <c r="LWK718" s="1176"/>
      <c r="LWL718" s="1176"/>
      <c r="LWM718" s="1176"/>
      <c r="LWN718" s="1176"/>
      <c r="LWO718" s="1176"/>
      <c r="LWP718" s="1176"/>
      <c r="LWQ718" s="1176"/>
      <c r="LWR718" s="1176"/>
      <c r="LWS718" s="1176"/>
      <c r="LWT718" s="1176"/>
      <c r="LWU718" s="1176"/>
      <c r="LWV718" s="1176"/>
      <c r="LWW718" s="1176"/>
      <c r="LWX718" s="1176"/>
      <c r="LWY718" s="1176"/>
      <c r="LWZ718" s="1176"/>
      <c r="LXA718" s="1176"/>
      <c r="LXB718" s="1176"/>
      <c r="LXC718" s="1176"/>
      <c r="LXD718" s="1176"/>
      <c r="LXE718" s="1176"/>
      <c r="LXF718" s="1176"/>
      <c r="LXG718" s="1176"/>
      <c r="LXH718" s="1176"/>
      <c r="LXI718" s="1176"/>
      <c r="LXJ718" s="1176"/>
      <c r="LXK718" s="1176"/>
      <c r="LXL718" s="1176"/>
      <c r="LXM718" s="1176"/>
      <c r="LXN718" s="1176"/>
      <c r="LXO718" s="1176"/>
      <c r="LXP718" s="1176"/>
      <c r="LXQ718" s="1176"/>
      <c r="LXR718" s="1176"/>
      <c r="LXS718" s="1176"/>
      <c r="LXT718" s="1176"/>
      <c r="LXU718" s="1176"/>
      <c r="LXV718" s="1176"/>
      <c r="LXW718" s="1176"/>
      <c r="LXX718" s="1176"/>
      <c r="LXY718" s="1176"/>
      <c r="LXZ718" s="1176"/>
      <c r="LYA718" s="1176"/>
      <c r="LYB718" s="1176"/>
      <c r="LYC718" s="1176"/>
      <c r="LYD718" s="1176"/>
      <c r="LYE718" s="1176"/>
      <c r="LYF718" s="1176"/>
      <c r="LYG718" s="1176"/>
      <c r="LYH718" s="1176"/>
      <c r="LYI718" s="1176"/>
      <c r="LYJ718" s="1176"/>
      <c r="LYK718" s="1176"/>
      <c r="LYL718" s="1176"/>
      <c r="LYM718" s="1176"/>
      <c r="LYN718" s="1176"/>
      <c r="LYO718" s="1176"/>
      <c r="LYP718" s="1176"/>
      <c r="LYQ718" s="1176"/>
      <c r="LYR718" s="1176"/>
      <c r="LYS718" s="1176"/>
      <c r="LYT718" s="1176"/>
      <c r="LYU718" s="1176"/>
      <c r="LYV718" s="1176"/>
      <c r="LYW718" s="1176"/>
      <c r="LYX718" s="1176"/>
      <c r="LYY718" s="1176"/>
      <c r="LYZ718" s="1176"/>
      <c r="LZA718" s="1176"/>
      <c r="LZB718" s="1176"/>
      <c r="LZC718" s="1176"/>
      <c r="LZD718" s="1176"/>
      <c r="LZE718" s="1176"/>
      <c r="LZF718" s="1176"/>
      <c r="LZG718" s="1176"/>
      <c r="LZH718" s="1176"/>
      <c r="LZI718" s="1176"/>
      <c r="LZJ718" s="1176"/>
      <c r="LZK718" s="1176"/>
      <c r="LZL718" s="1176"/>
      <c r="LZM718" s="1176"/>
      <c r="LZN718" s="1176"/>
      <c r="LZO718" s="1176"/>
      <c r="LZP718" s="1176"/>
      <c r="LZQ718" s="1176"/>
      <c r="LZR718" s="1176"/>
      <c r="LZS718" s="1176"/>
      <c r="LZT718" s="1176"/>
      <c r="LZU718" s="1176"/>
      <c r="LZV718" s="1176"/>
      <c r="LZW718" s="1176"/>
      <c r="LZX718" s="1176"/>
      <c r="LZY718" s="1176"/>
      <c r="LZZ718" s="1176"/>
      <c r="MAA718" s="1176"/>
      <c r="MAB718" s="1176"/>
      <c r="MAC718" s="1176"/>
      <c r="MAD718" s="1176"/>
      <c r="MAE718" s="1176"/>
      <c r="MAF718" s="1176"/>
      <c r="MAG718" s="1176"/>
      <c r="MAH718" s="1176"/>
      <c r="MAI718" s="1176"/>
      <c r="MAJ718" s="1176"/>
      <c r="MAK718" s="1176"/>
      <c r="MAL718" s="1176"/>
      <c r="MAM718" s="1176"/>
      <c r="MAN718" s="1176"/>
      <c r="MAO718" s="1176"/>
      <c r="MAP718" s="1176"/>
      <c r="MAQ718" s="1176"/>
      <c r="MAR718" s="1176"/>
      <c r="MAS718" s="1176"/>
      <c r="MAT718" s="1176"/>
      <c r="MAU718" s="1176"/>
      <c r="MAV718" s="1176"/>
      <c r="MAW718" s="1176"/>
      <c r="MAX718" s="1176"/>
      <c r="MAY718" s="1176"/>
      <c r="MAZ718" s="1176"/>
      <c r="MBA718" s="1176"/>
      <c r="MBB718" s="1176"/>
      <c r="MBC718" s="1176"/>
      <c r="MBD718" s="1176"/>
      <c r="MBE718" s="1176"/>
      <c r="MBF718" s="1176"/>
      <c r="MBG718" s="1176"/>
      <c r="MBH718" s="1176"/>
      <c r="MBI718" s="1176"/>
      <c r="MBJ718" s="1176"/>
      <c r="MBK718" s="1176"/>
      <c r="MBL718" s="1176"/>
      <c r="MBM718" s="1176"/>
      <c r="MBN718" s="1176"/>
      <c r="MBO718" s="1176"/>
      <c r="MBP718" s="1176"/>
      <c r="MBQ718" s="1176"/>
      <c r="MBR718" s="1176"/>
      <c r="MBS718" s="1176"/>
      <c r="MBT718" s="1176"/>
      <c r="MBU718" s="1176"/>
      <c r="MBV718" s="1176"/>
      <c r="MBW718" s="1176"/>
      <c r="MBX718" s="1176"/>
      <c r="MBY718" s="1176"/>
      <c r="MBZ718" s="1176"/>
      <c r="MCA718" s="1176"/>
      <c r="MCB718" s="1176"/>
      <c r="MCC718" s="1176"/>
      <c r="MCD718" s="1176"/>
      <c r="MCE718" s="1176"/>
      <c r="MCF718" s="1176"/>
      <c r="MCG718" s="1176"/>
      <c r="MCH718" s="1176"/>
      <c r="MCI718" s="1176"/>
      <c r="MCJ718" s="1176"/>
      <c r="MCK718" s="1176"/>
      <c r="MCL718" s="1176"/>
      <c r="MCM718" s="1176"/>
      <c r="MCN718" s="1176"/>
      <c r="MCO718" s="1176"/>
      <c r="MCP718" s="1176"/>
      <c r="MCQ718" s="1176"/>
      <c r="MCR718" s="1176"/>
      <c r="MCS718" s="1176"/>
      <c r="MCT718" s="1176"/>
      <c r="MCU718" s="1176"/>
      <c r="MCV718" s="1176"/>
      <c r="MCW718" s="1176"/>
      <c r="MCX718" s="1176"/>
      <c r="MCY718" s="1176"/>
      <c r="MCZ718" s="1176"/>
      <c r="MDA718" s="1176"/>
      <c r="MDB718" s="1176"/>
      <c r="MDC718" s="1176"/>
      <c r="MDD718" s="1176"/>
      <c r="MDE718" s="1176"/>
      <c r="MDF718" s="1176"/>
      <c r="MDG718" s="1176"/>
      <c r="MDH718" s="1176"/>
      <c r="MDI718" s="1176"/>
      <c r="MDJ718" s="1176"/>
      <c r="MDK718" s="1176"/>
      <c r="MDL718" s="1176"/>
      <c r="MDM718" s="1176"/>
      <c r="MDN718" s="1176"/>
      <c r="MDO718" s="1176"/>
      <c r="MDP718" s="1176"/>
      <c r="MDQ718" s="1176"/>
      <c r="MDR718" s="1176"/>
      <c r="MDS718" s="1176"/>
      <c r="MDT718" s="1176"/>
      <c r="MDU718" s="1176"/>
      <c r="MDV718" s="1176"/>
      <c r="MDW718" s="1176"/>
      <c r="MDX718" s="1176"/>
      <c r="MDY718" s="1176"/>
      <c r="MDZ718" s="1176"/>
      <c r="MEA718" s="1176"/>
      <c r="MEB718" s="1176"/>
      <c r="MEC718" s="1176"/>
      <c r="MED718" s="1176"/>
      <c r="MEE718" s="1176"/>
      <c r="MEF718" s="1176"/>
      <c r="MEG718" s="1176"/>
      <c r="MEH718" s="1176"/>
      <c r="MEI718" s="1176"/>
      <c r="MEJ718" s="1176"/>
      <c r="MEK718" s="1176"/>
      <c r="MEL718" s="1176"/>
      <c r="MEM718" s="1176"/>
      <c r="MEN718" s="1176"/>
      <c r="MEO718" s="1176"/>
      <c r="MEP718" s="1176"/>
      <c r="MEQ718" s="1176"/>
      <c r="MER718" s="1176"/>
      <c r="MES718" s="1176"/>
      <c r="MET718" s="1176"/>
      <c r="MEU718" s="1176"/>
      <c r="MEV718" s="1176"/>
      <c r="MEW718" s="1176"/>
      <c r="MEX718" s="1176"/>
      <c r="MEY718" s="1176"/>
      <c r="MEZ718" s="1176"/>
      <c r="MFA718" s="1176"/>
      <c r="MFB718" s="1176"/>
      <c r="MFC718" s="1176"/>
      <c r="MFD718" s="1176"/>
      <c r="MFE718" s="1176"/>
      <c r="MFF718" s="1176"/>
      <c r="MFG718" s="1176"/>
      <c r="MFH718" s="1176"/>
      <c r="MFI718" s="1176"/>
      <c r="MFJ718" s="1176"/>
      <c r="MFK718" s="1176"/>
      <c r="MFL718" s="1176"/>
      <c r="MFM718" s="1176"/>
      <c r="MFN718" s="1176"/>
      <c r="MFO718" s="1176"/>
      <c r="MFP718" s="1176"/>
      <c r="MFQ718" s="1176"/>
      <c r="MFR718" s="1176"/>
      <c r="MFS718" s="1176"/>
      <c r="MFT718" s="1176"/>
      <c r="MFU718" s="1176"/>
      <c r="MFV718" s="1176"/>
      <c r="MFW718" s="1176"/>
      <c r="MFX718" s="1176"/>
      <c r="MFY718" s="1176"/>
      <c r="MFZ718" s="1176"/>
      <c r="MGA718" s="1176"/>
      <c r="MGB718" s="1176"/>
      <c r="MGC718" s="1176"/>
      <c r="MGD718" s="1176"/>
      <c r="MGE718" s="1176"/>
      <c r="MGF718" s="1176"/>
      <c r="MGG718" s="1176"/>
      <c r="MGH718" s="1176"/>
      <c r="MGI718" s="1176"/>
      <c r="MGJ718" s="1176"/>
      <c r="MGK718" s="1176"/>
      <c r="MGL718" s="1176"/>
      <c r="MGM718" s="1176"/>
      <c r="MGN718" s="1176"/>
      <c r="MGO718" s="1176"/>
      <c r="MGP718" s="1176"/>
      <c r="MGQ718" s="1176"/>
      <c r="MGR718" s="1176"/>
      <c r="MGS718" s="1176"/>
      <c r="MGT718" s="1176"/>
      <c r="MGU718" s="1176"/>
      <c r="MGV718" s="1176"/>
      <c r="MGW718" s="1176"/>
      <c r="MGX718" s="1176"/>
      <c r="MGY718" s="1176"/>
      <c r="MGZ718" s="1176"/>
      <c r="MHA718" s="1176"/>
      <c r="MHB718" s="1176"/>
      <c r="MHC718" s="1176"/>
      <c r="MHD718" s="1176"/>
      <c r="MHE718" s="1176"/>
      <c r="MHF718" s="1176"/>
      <c r="MHG718" s="1176"/>
      <c r="MHH718" s="1176"/>
      <c r="MHI718" s="1176"/>
      <c r="MHJ718" s="1176"/>
      <c r="MHK718" s="1176"/>
      <c r="MHL718" s="1176"/>
      <c r="MHM718" s="1176"/>
      <c r="MHN718" s="1176"/>
      <c r="MHO718" s="1176"/>
      <c r="MHP718" s="1176"/>
      <c r="MHQ718" s="1176"/>
      <c r="MHR718" s="1176"/>
      <c r="MHS718" s="1176"/>
      <c r="MHT718" s="1176"/>
      <c r="MHU718" s="1176"/>
      <c r="MHV718" s="1176"/>
      <c r="MHW718" s="1176"/>
      <c r="MHX718" s="1176"/>
      <c r="MHY718" s="1176"/>
      <c r="MHZ718" s="1176"/>
      <c r="MIA718" s="1176"/>
      <c r="MIB718" s="1176"/>
      <c r="MIC718" s="1176"/>
      <c r="MID718" s="1176"/>
      <c r="MIE718" s="1176"/>
      <c r="MIF718" s="1176"/>
      <c r="MIG718" s="1176"/>
      <c r="MIH718" s="1176"/>
      <c r="MII718" s="1176"/>
      <c r="MIJ718" s="1176"/>
      <c r="MIK718" s="1176"/>
      <c r="MIL718" s="1176"/>
      <c r="MIM718" s="1176"/>
      <c r="MIN718" s="1176"/>
      <c r="MIO718" s="1176"/>
      <c r="MIP718" s="1176"/>
      <c r="MIQ718" s="1176"/>
      <c r="MIR718" s="1176"/>
      <c r="MIS718" s="1176"/>
      <c r="MIT718" s="1176"/>
      <c r="MIU718" s="1176"/>
      <c r="MIV718" s="1176"/>
      <c r="MIW718" s="1176"/>
      <c r="MIX718" s="1176"/>
      <c r="MIY718" s="1176"/>
      <c r="MIZ718" s="1176"/>
      <c r="MJA718" s="1176"/>
      <c r="MJB718" s="1176"/>
      <c r="MJC718" s="1176"/>
      <c r="MJD718" s="1176"/>
      <c r="MJE718" s="1176"/>
      <c r="MJF718" s="1176"/>
      <c r="MJG718" s="1176"/>
      <c r="MJH718" s="1176"/>
      <c r="MJI718" s="1176"/>
      <c r="MJJ718" s="1176"/>
      <c r="MJK718" s="1176"/>
      <c r="MJL718" s="1176"/>
      <c r="MJM718" s="1176"/>
      <c r="MJN718" s="1176"/>
      <c r="MJO718" s="1176"/>
      <c r="MJP718" s="1176"/>
      <c r="MJQ718" s="1176"/>
      <c r="MJR718" s="1176"/>
      <c r="MJS718" s="1176"/>
      <c r="MJT718" s="1176"/>
      <c r="MJU718" s="1176"/>
      <c r="MJV718" s="1176"/>
      <c r="MJW718" s="1176"/>
      <c r="MJX718" s="1176"/>
      <c r="MJY718" s="1176"/>
      <c r="MJZ718" s="1176"/>
      <c r="MKA718" s="1176"/>
      <c r="MKB718" s="1176"/>
      <c r="MKC718" s="1176"/>
      <c r="MKD718" s="1176"/>
      <c r="MKE718" s="1176"/>
      <c r="MKF718" s="1176"/>
      <c r="MKG718" s="1176"/>
      <c r="MKH718" s="1176"/>
      <c r="MKI718" s="1176"/>
      <c r="MKJ718" s="1176"/>
      <c r="MKK718" s="1176"/>
      <c r="MKL718" s="1176"/>
      <c r="MKM718" s="1176"/>
      <c r="MKN718" s="1176"/>
      <c r="MKO718" s="1176"/>
      <c r="MKP718" s="1176"/>
      <c r="MKQ718" s="1176"/>
      <c r="MKR718" s="1176"/>
      <c r="MKS718" s="1176"/>
      <c r="MKT718" s="1176"/>
      <c r="MKU718" s="1176"/>
      <c r="MKV718" s="1176"/>
      <c r="MKW718" s="1176"/>
      <c r="MKX718" s="1176"/>
      <c r="MKY718" s="1176"/>
      <c r="MKZ718" s="1176"/>
      <c r="MLA718" s="1176"/>
      <c r="MLB718" s="1176"/>
      <c r="MLC718" s="1176"/>
      <c r="MLD718" s="1176"/>
      <c r="MLE718" s="1176"/>
      <c r="MLF718" s="1176"/>
      <c r="MLG718" s="1176"/>
      <c r="MLH718" s="1176"/>
      <c r="MLI718" s="1176"/>
      <c r="MLJ718" s="1176"/>
      <c r="MLK718" s="1176"/>
      <c r="MLL718" s="1176"/>
      <c r="MLM718" s="1176"/>
      <c r="MLN718" s="1176"/>
      <c r="MLO718" s="1176"/>
      <c r="MLP718" s="1176"/>
      <c r="MLQ718" s="1176"/>
      <c r="MLR718" s="1176"/>
      <c r="MLS718" s="1176"/>
      <c r="MLT718" s="1176"/>
      <c r="MLU718" s="1176"/>
      <c r="MLV718" s="1176"/>
      <c r="MLW718" s="1176"/>
      <c r="MLX718" s="1176"/>
      <c r="MLY718" s="1176"/>
      <c r="MLZ718" s="1176"/>
      <c r="MMA718" s="1176"/>
      <c r="MMB718" s="1176"/>
      <c r="MMC718" s="1176"/>
      <c r="MMD718" s="1176"/>
      <c r="MME718" s="1176"/>
      <c r="MMF718" s="1176"/>
      <c r="MMG718" s="1176"/>
      <c r="MMH718" s="1176"/>
      <c r="MMI718" s="1176"/>
      <c r="MMJ718" s="1176"/>
      <c r="MMK718" s="1176"/>
      <c r="MML718" s="1176"/>
      <c r="MMM718" s="1176"/>
      <c r="MMN718" s="1176"/>
      <c r="MMO718" s="1176"/>
      <c r="MMP718" s="1176"/>
      <c r="MMQ718" s="1176"/>
      <c r="MMR718" s="1176"/>
      <c r="MMS718" s="1176"/>
      <c r="MMT718" s="1176"/>
      <c r="MMU718" s="1176"/>
      <c r="MMV718" s="1176"/>
      <c r="MMW718" s="1176"/>
      <c r="MMX718" s="1176"/>
      <c r="MMY718" s="1176"/>
      <c r="MMZ718" s="1176"/>
      <c r="MNA718" s="1176"/>
      <c r="MNB718" s="1176"/>
      <c r="MNC718" s="1176"/>
      <c r="MND718" s="1176"/>
      <c r="MNE718" s="1176"/>
      <c r="MNF718" s="1176"/>
      <c r="MNG718" s="1176"/>
      <c r="MNH718" s="1176"/>
      <c r="MNI718" s="1176"/>
      <c r="MNJ718" s="1176"/>
      <c r="MNK718" s="1176"/>
      <c r="MNL718" s="1176"/>
      <c r="MNM718" s="1176"/>
      <c r="MNN718" s="1176"/>
      <c r="MNO718" s="1176"/>
      <c r="MNP718" s="1176"/>
      <c r="MNQ718" s="1176"/>
      <c r="MNR718" s="1176"/>
      <c r="MNS718" s="1176"/>
      <c r="MNT718" s="1176"/>
      <c r="MNU718" s="1176"/>
      <c r="MNV718" s="1176"/>
      <c r="MNW718" s="1176"/>
      <c r="MNX718" s="1176"/>
      <c r="MNY718" s="1176"/>
      <c r="MNZ718" s="1176"/>
      <c r="MOA718" s="1176"/>
      <c r="MOB718" s="1176"/>
      <c r="MOC718" s="1176"/>
      <c r="MOD718" s="1176"/>
      <c r="MOE718" s="1176"/>
      <c r="MOF718" s="1176"/>
      <c r="MOG718" s="1176"/>
      <c r="MOH718" s="1176"/>
      <c r="MOI718" s="1176"/>
      <c r="MOJ718" s="1176"/>
      <c r="MOK718" s="1176"/>
      <c r="MOL718" s="1176"/>
      <c r="MOM718" s="1176"/>
      <c r="MON718" s="1176"/>
      <c r="MOO718" s="1176"/>
      <c r="MOP718" s="1176"/>
      <c r="MOQ718" s="1176"/>
      <c r="MOR718" s="1176"/>
      <c r="MOS718" s="1176"/>
      <c r="MOT718" s="1176"/>
      <c r="MOU718" s="1176"/>
      <c r="MOV718" s="1176"/>
      <c r="MOW718" s="1176"/>
      <c r="MOX718" s="1176"/>
      <c r="MOY718" s="1176"/>
      <c r="MOZ718" s="1176"/>
      <c r="MPA718" s="1176"/>
      <c r="MPB718" s="1176"/>
      <c r="MPC718" s="1176"/>
      <c r="MPD718" s="1176"/>
      <c r="MPE718" s="1176"/>
      <c r="MPF718" s="1176"/>
      <c r="MPG718" s="1176"/>
      <c r="MPH718" s="1176"/>
      <c r="MPI718" s="1176"/>
      <c r="MPJ718" s="1176"/>
      <c r="MPK718" s="1176"/>
      <c r="MPL718" s="1176"/>
      <c r="MPM718" s="1176"/>
      <c r="MPN718" s="1176"/>
      <c r="MPO718" s="1176"/>
      <c r="MPP718" s="1176"/>
      <c r="MPQ718" s="1176"/>
      <c r="MPR718" s="1176"/>
      <c r="MPS718" s="1176"/>
      <c r="MPT718" s="1176"/>
      <c r="MPU718" s="1176"/>
      <c r="MPV718" s="1176"/>
      <c r="MPW718" s="1176"/>
      <c r="MPX718" s="1176"/>
      <c r="MPY718" s="1176"/>
      <c r="MPZ718" s="1176"/>
      <c r="MQA718" s="1176"/>
      <c r="MQB718" s="1176"/>
      <c r="MQC718" s="1176"/>
      <c r="MQD718" s="1176"/>
      <c r="MQE718" s="1176"/>
      <c r="MQF718" s="1176"/>
      <c r="MQG718" s="1176"/>
      <c r="MQH718" s="1176"/>
      <c r="MQI718" s="1176"/>
      <c r="MQJ718" s="1176"/>
      <c r="MQK718" s="1176"/>
      <c r="MQL718" s="1176"/>
      <c r="MQM718" s="1176"/>
      <c r="MQN718" s="1176"/>
      <c r="MQO718" s="1176"/>
      <c r="MQP718" s="1176"/>
      <c r="MQQ718" s="1176"/>
      <c r="MQR718" s="1176"/>
      <c r="MQS718" s="1176"/>
      <c r="MQT718" s="1176"/>
      <c r="MQU718" s="1176"/>
      <c r="MQV718" s="1176"/>
      <c r="MQW718" s="1176"/>
      <c r="MQX718" s="1176"/>
      <c r="MQY718" s="1176"/>
      <c r="MQZ718" s="1176"/>
      <c r="MRA718" s="1176"/>
      <c r="MRB718" s="1176"/>
      <c r="MRC718" s="1176"/>
      <c r="MRD718" s="1176"/>
      <c r="MRE718" s="1176"/>
      <c r="MRF718" s="1176"/>
      <c r="MRG718" s="1176"/>
      <c r="MRH718" s="1176"/>
      <c r="MRI718" s="1176"/>
      <c r="MRJ718" s="1176"/>
      <c r="MRK718" s="1176"/>
      <c r="MRL718" s="1176"/>
      <c r="MRM718" s="1176"/>
      <c r="MRN718" s="1176"/>
      <c r="MRO718" s="1176"/>
      <c r="MRP718" s="1176"/>
      <c r="MRQ718" s="1176"/>
      <c r="MRR718" s="1176"/>
      <c r="MRS718" s="1176"/>
      <c r="MRT718" s="1176"/>
      <c r="MRU718" s="1176"/>
      <c r="MRV718" s="1176"/>
      <c r="MRW718" s="1176"/>
      <c r="MRX718" s="1176"/>
      <c r="MRY718" s="1176"/>
      <c r="MRZ718" s="1176"/>
      <c r="MSA718" s="1176"/>
      <c r="MSB718" s="1176"/>
      <c r="MSC718" s="1176"/>
      <c r="MSD718" s="1176"/>
      <c r="MSE718" s="1176"/>
      <c r="MSF718" s="1176"/>
      <c r="MSG718" s="1176"/>
      <c r="MSH718" s="1176"/>
      <c r="MSI718" s="1176"/>
      <c r="MSJ718" s="1176"/>
      <c r="MSK718" s="1176"/>
      <c r="MSL718" s="1176"/>
      <c r="MSM718" s="1176"/>
      <c r="MSN718" s="1176"/>
      <c r="MSO718" s="1176"/>
      <c r="MSP718" s="1176"/>
      <c r="MSQ718" s="1176"/>
      <c r="MSR718" s="1176"/>
      <c r="MSS718" s="1176"/>
      <c r="MST718" s="1176"/>
      <c r="MSU718" s="1176"/>
      <c r="MSV718" s="1176"/>
      <c r="MSW718" s="1176"/>
      <c r="MSX718" s="1176"/>
      <c r="MSY718" s="1176"/>
      <c r="MSZ718" s="1176"/>
      <c r="MTA718" s="1176"/>
      <c r="MTB718" s="1176"/>
      <c r="MTC718" s="1176"/>
      <c r="MTD718" s="1176"/>
      <c r="MTE718" s="1176"/>
      <c r="MTF718" s="1176"/>
      <c r="MTG718" s="1176"/>
      <c r="MTH718" s="1176"/>
      <c r="MTI718" s="1176"/>
      <c r="MTJ718" s="1176"/>
      <c r="MTK718" s="1176"/>
      <c r="MTL718" s="1176"/>
      <c r="MTM718" s="1176"/>
      <c r="MTN718" s="1176"/>
      <c r="MTO718" s="1176"/>
      <c r="MTP718" s="1176"/>
      <c r="MTQ718" s="1176"/>
      <c r="MTR718" s="1176"/>
      <c r="MTS718" s="1176"/>
      <c r="MTT718" s="1176"/>
      <c r="MTU718" s="1176"/>
      <c r="MTV718" s="1176"/>
      <c r="MTW718" s="1176"/>
      <c r="MTX718" s="1176"/>
      <c r="MTY718" s="1176"/>
      <c r="MTZ718" s="1176"/>
      <c r="MUA718" s="1176"/>
      <c r="MUB718" s="1176"/>
      <c r="MUC718" s="1176"/>
      <c r="MUD718" s="1176"/>
      <c r="MUE718" s="1176"/>
      <c r="MUF718" s="1176"/>
      <c r="MUG718" s="1176"/>
      <c r="MUH718" s="1176"/>
      <c r="MUI718" s="1176"/>
      <c r="MUJ718" s="1176"/>
      <c r="MUK718" s="1176"/>
      <c r="MUL718" s="1176"/>
      <c r="MUM718" s="1176"/>
      <c r="MUN718" s="1176"/>
      <c r="MUO718" s="1176"/>
      <c r="MUP718" s="1176"/>
      <c r="MUQ718" s="1176"/>
      <c r="MUR718" s="1176"/>
      <c r="MUS718" s="1176"/>
      <c r="MUT718" s="1176"/>
      <c r="MUU718" s="1176"/>
      <c r="MUV718" s="1176"/>
      <c r="MUW718" s="1176"/>
      <c r="MUX718" s="1176"/>
      <c r="MUY718" s="1176"/>
      <c r="MUZ718" s="1176"/>
      <c r="MVA718" s="1176"/>
      <c r="MVB718" s="1176"/>
      <c r="MVC718" s="1176"/>
      <c r="MVD718" s="1176"/>
      <c r="MVE718" s="1176"/>
      <c r="MVF718" s="1176"/>
      <c r="MVG718" s="1176"/>
      <c r="MVH718" s="1176"/>
      <c r="MVI718" s="1176"/>
      <c r="MVJ718" s="1176"/>
      <c r="MVK718" s="1176"/>
      <c r="MVL718" s="1176"/>
      <c r="MVM718" s="1176"/>
      <c r="MVN718" s="1176"/>
      <c r="MVO718" s="1176"/>
      <c r="MVP718" s="1176"/>
      <c r="MVQ718" s="1176"/>
      <c r="MVR718" s="1176"/>
      <c r="MVS718" s="1176"/>
      <c r="MVT718" s="1176"/>
      <c r="MVU718" s="1176"/>
      <c r="MVV718" s="1176"/>
      <c r="MVW718" s="1176"/>
      <c r="MVX718" s="1176"/>
      <c r="MVY718" s="1176"/>
      <c r="MVZ718" s="1176"/>
      <c r="MWA718" s="1176"/>
      <c r="MWB718" s="1176"/>
      <c r="MWC718" s="1176"/>
      <c r="MWD718" s="1176"/>
      <c r="MWE718" s="1176"/>
      <c r="MWF718" s="1176"/>
      <c r="MWG718" s="1176"/>
      <c r="MWH718" s="1176"/>
      <c r="MWI718" s="1176"/>
      <c r="MWJ718" s="1176"/>
      <c r="MWK718" s="1176"/>
      <c r="MWL718" s="1176"/>
      <c r="MWM718" s="1176"/>
      <c r="MWN718" s="1176"/>
      <c r="MWO718" s="1176"/>
      <c r="MWP718" s="1176"/>
      <c r="MWQ718" s="1176"/>
      <c r="MWR718" s="1176"/>
      <c r="MWS718" s="1176"/>
      <c r="MWT718" s="1176"/>
      <c r="MWU718" s="1176"/>
      <c r="MWV718" s="1176"/>
      <c r="MWW718" s="1176"/>
      <c r="MWX718" s="1176"/>
      <c r="MWY718" s="1176"/>
      <c r="MWZ718" s="1176"/>
      <c r="MXA718" s="1176"/>
      <c r="MXB718" s="1176"/>
      <c r="MXC718" s="1176"/>
      <c r="MXD718" s="1176"/>
      <c r="MXE718" s="1176"/>
      <c r="MXF718" s="1176"/>
      <c r="MXG718" s="1176"/>
      <c r="MXH718" s="1176"/>
      <c r="MXI718" s="1176"/>
      <c r="MXJ718" s="1176"/>
      <c r="MXK718" s="1176"/>
      <c r="MXL718" s="1176"/>
      <c r="MXM718" s="1176"/>
      <c r="MXN718" s="1176"/>
      <c r="MXO718" s="1176"/>
      <c r="MXP718" s="1176"/>
      <c r="MXQ718" s="1176"/>
      <c r="MXR718" s="1176"/>
      <c r="MXS718" s="1176"/>
      <c r="MXT718" s="1176"/>
      <c r="MXU718" s="1176"/>
      <c r="MXV718" s="1176"/>
      <c r="MXW718" s="1176"/>
      <c r="MXX718" s="1176"/>
      <c r="MXY718" s="1176"/>
      <c r="MXZ718" s="1176"/>
      <c r="MYA718" s="1176"/>
      <c r="MYB718" s="1176"/>
      <c r="MYC718" s="1176"/>
      <c r="MYD718" s="1176"/>
      <c r="MYE718" s="1176"/>
      <c r="MYF718" s="1176"/>
      <c r="MYG718" s="1176"/>
      <c r="MYH718" s="1176"/>
      <c r="MYI718" s="1176"/>
      <c r="MYJ718" s="1176"/>
      <c r="MYK718" s="1176"/>
      <c r="MYL718" s="1176"/>
      <c r="MYM718" s="1176"/>
      <c r="MYN718" s="1176"/>
      <c r="MYO718" s="1176"/>
      <c r="MYP718" s="1176"/>
      <c r="MYQ718" s="1176"/>
      <c r="MYR718" s="1176"/>
      <c r="MYS718" s="1176"/>
      <c r="MYT718" s="1176"/>
      <c r="MYU718" s="1176"/>
      <c r="MYV718" s="1176"/>
      <c r="MYW718" s="1176"/>
      <c r="MYX718" s="1176"/>
      <c r="MYY718" s="1176"/>
      <c r="MYZ718" s="1176"/>
      <c r="MZA718" s="1176"/>
      <c r="MZB718" s="1176"/>
      <c r="MZC718" s="1176"/>
      <c r="MZD718" s="1176"/>
      <c r="MZE718" s="1176"/>
      <c r="MZF718" s="1176"/>
      <c r="MZG718" s="1176"/>
      <c r="MZH718" s="1176"/>
      <c r="MZI718" s="1176"/>
      <c r="MZJ718" s="1176"/>
      <c r="MZK718" s="1176"/>
      <c r="MZL718" s="1176"/>
      <c r="MZM718" s="1176"/>
      <c r="MZN718" s="1176"/>
      <c r="MZO718" s="1176"/>
      <c r="MZP718" s="1176"/>
      <c r="MZQ718" s="1176"/>
      <c r="MZR718" s="1176"/>
      <c r="MZS718" s="1176"/>
      <c r="MZT718" s="1176"/>
      <c r="MZU718" s="1176"/>
      <c r="MZV718" s="1176"/>
      <c r="MZW718" s="1176"/>
      <c r="MZX718" s="1176"/>
      <c r="MZY718" s="1176"/>
      <c r="MZZ718" s="1176"/>
      <c r="NAA718" s="1176"/>
      <c r="NAB718" s="1176"/>
      <c r="NAC718" s="1176"/>
      <c r="NAD718" s="1176"/>
      <c r="NAE718" s="1176"/>
      <c r="NAF718" s="1176"/>
      <c r="NAG718" s="1176"/>
      <c r="NAH718" s="1176"/>
      <c r="NAI718" s="1176"/>
      <c r="NAJ718" s="1176"/>
      <c r="NAK718" s="1176"/>
      <c r="NAL718" s="1176"/>
      <c r="NAM718" s="1176"/>
      <c r="NAN718" s="1176"/>
      <c r="NAO718" s="1176"/>
      <c r="NAP718" s="1176"/>
      <c r="NAQ718" s="1176"/>
      <c r="NAR718" s="1176"/>
      <c r="NAS718" s="1176"/>
      <c r="NAT718" s="1176"/>
      <c r="NAU718" s="1176"/>
      <c r="NAV718" s="1176"/>
      <c r="NAW718" s="1176"/>
      <c r="NAX718" s="1176"/>
      <c r="NAY718" s="1176"/>
      <c r="NAZ718" s="1176"/>
      <c r="NBA718" s="1176"/>
      <c r="NBB718" s="1176"/>
      <c r="NBC718" s="1176"/>
      <c r="NBD718" s="1176"/>
      <c r="NBE718" s="1176"/>
      <c r="NBF718" s="1176"/>
      <c r="NBG718" s="1176"/>
      <c r="NBH718" s="1176"/>
      <c r="NBI718" s="1176"/>
      <c r="NBJ718" s="1176"/>
      <c r="NBK718" s="1176"/>
      <c r="NBL718" s="1176"/>
      <c r="NBM718" s="1176"/>
      <c r="NBN718" s="1176"/>
      <c r="NBO718" s="1176"/>
      <c r="NBP718" s="1176"/>
      <c r="NBQ718" s="1176"/>
      <c r="NBR718" s="1176"/>
      <c r="NBS718" s="1176"/>
      <c r="NBT718" s="1176"/>
      <c r="NBU718" s="1176"/>
      <c r="NBV718" s="1176"/>
      <c r="NBW718" s="1176"/>
      <c r="NBX718" s="1176"/>
      <c r="NBY718" s="1176"/>
      <c r="NBZ718" s="1176"/>
      <c r="NCA718" s="1176"/>
      <c r="NCB718" s="1176"/>
      <c r="NCC718" s="1176"/>
      <c r="NCD718" s="1176"/>
      <c r="NCE718" s="1176"/>
      <c r="NCF718" s="1176"/>
      <c r="NCG718" s="1176"/>
      <c r="NCH718" s="1176"/>
      <c r="NCI718" s="1176"/>
      <c r="NCJ718" s="1176"/>
      <c r="NCK718" s="1176"/>
      <c r="NCL718" s="1176"/>
      <c r="NCM718" s="1176"/>
      <c r="NCN718" s="1176"/>
      <c r="NCO718" s="1176"/>
      <c r="NCP718" s="1176"/>
      <c r="NCQ718" s="1176"/>
      <c r="NCR718" s="1176"/>
      <c r="NCS718" s="1176"/>
      <c r="NCT718" s="1176"/>
      <c r="NCU718" s="1176"/>
      <c r="NCV718" s="1176"/>
      <c r="NCW718" s="1176"/>
      <c r="NCX718" s="1176"/>
      <c r="NCY718" s="1176"/>
      <c r="NCZ718" s="1176"/>
      <c r="NDA718" s="1176"/>
      <c r="NDB718" s="1176"/>
      <c r="NDC718" s="1176"/>
      <c r="NDD718" s="1176"/>
      <c r="NDE718" s="1176"/>
      <c r="NDF718" s="1176"/>
      <c r="NDG718" s="1176"/>
      <c r="NDH718" s="1176"/>
      <c r="NDI718" s="1176"/>
      <c r="NDJ718" s="1176"/>
      <c r="NDK718" s="1176"/>
      <c r="NDL718" s="1176"/>
      <c r="NDM718" s="1176"/>
      <c r="NDN718" s="1176"/>
      <c r="NDO718" s="1176"/>
      <c r="NDP718" s="1176"/>
      <c r="NDQ718" s="1176"/>
      <c r="NDR718" s="1176"/>
      <c r="NDS718" s="1176"/>
      <c r="NDT718" s="1176"/>
      <c r="NDU718" s="1176"/>
      <c r="NDV718" s="1176"/>
      <c r="NDW718" s="1176"/>
      <c r="NDX718" s="1176"/>
      <c r="NDY718" s="1176"/>
      <c r="NDZ718" s="1176"/>
      <c r="NEA718" s="1176"/>
      <c r="NEB718" s="1176"/>
      <c r="NEC718" s="1176"/>
      <c r="NED718" s="1176"/>
      <c r="NEE718" s="1176"/>
      <c r="NEF718" s="1176"/>
      <c r="NEG718" s="1176"/>
      <c r="NEH718" s="1176"/>
      <c r="NEI718" s="1176"/>
      <c r="NEJ718" s="1176"/>
      <c r="NEK718" s="1176"/>
      <c r="NEL718" s="1176"/>
      <c r="NEM718" s="1176"/>
      <c r="NEN718" s="1176"/>
      <c r="NEO718" s="1176"/>
      <c r="NEP718" s="1176"/>
      <c r="NEQ718" s="1176"/>
      <c r="NER718" s="1176"/>
      <c r="NES718" s="1176"/>
      <c r="NET718" s="1176"/>
      <c r="NEU718" s="1176"/>
      <c r="NEV718" s="1176"/>
      <c r="NEW718" s="1176"/>
      <c r="NEX718" s="1176"/>
      <c r="NEY718" s="1176"/>
      <c r="NEZ718" s="1176"/>
      <c r="NFA718" s="1176"/>
      <c r="NFB718" s="1176"/>
      <c r="NFC718" s="1176"/>
      <c r="NFD718" s="1176"/>
      <c r="NFE718" s="1176"/>
      <c r="NFF718" s="1176"/>
      <c r="NFG718" s="1176"/>
      <c r="NFH718" s="1176"/>
      <c r="NFI718" s="1176"/>
      <c r="NFJ718" s="1176"/>
      <c r="NFK718" s="1176"/>
      <c r="NFL718" s="1176"/>
      <c r="NFM718" s="1176"/>
      <c r="NFN718" s="1176"/>
      <c r="NFO718" s="1176"/>
      <c r="NFP718" s="1176"/>
      <c r="NFQ718" s="1176"/>
      <c r="NFR718" s="1176"/>
      <c r="NFS718" s="1176"/>
      <c r="NFT718" s="1176"/>
      <c r="NFU718" s="1176"/>
      <c r="NFV718" s="1176"/>
      <c r="NFW718" s="1176"/>
      <c r="NFX718" s="1176"/>
      <c r="NFY718" s="1176"/>
      <c r="NFZ718" s="1176"/>
      <c r="NGA718" s="1176"/>
      <c r="NGB718" s="1176"/>
      <c r="NGC718" s="1176"/>
      <c r="NGD718" s="1176"/>
      <c r="NGE718" s="1176"/>
      <c r="NGF718" s="1176"/>
      <c r="NGG718" s="1176"/>
      <c r="NGH718" s="1176"/>
      <c r="NGI718" s="1176"/>
      <c r="NGJ718" s="1176"/>
      <c r="NGK718" s="1176"/>
      <c r="NGL718" s="1176"/>
      <c r="NGM718" s="1176"/>
      <c r="NGN718" s="1176"/>
      <c r="NGO718" s="1176"/>
      <c r="NGP718" s="1176"/>
      <c r="NGQ718" s="1176"/>
      <c r="NGR718" s="1176"/>
      <c r="NGS718" s="1176"/>
      <c r="NGT718" s="1176"/>
      <c r="NGU718" s="1176"/>
      <c r="NGV718" s="1176"/>
      <c r="NGW718" s="1176"/>
      <c r="NGX718" s="1176"/>
      <c r="NGY718" s="1176"/>
      <c r="NGZ718" s="1176"/>
      <c r="NHA718" s="1176"/>
      <c r="NHB718" s="1176"/>
      <c r="NHC718" s="1176"/>
      <c r="NHD718" s="1176"/>
      <c r="NHE718" s="1176"/>
      <c r="NHF718" s="1176"/>
      <c r="NHG718" s="1176"/>
      <c r="NHH718" s="1176"/>
      <c r="NHI718" s="1176"/>
      <c r="NHJ718" s="1176"/>
      <c r="NHK718" s="1176"/>
      <c r="NHL718" s="1176"/>
      <c r="NHM718" s="1176"/>
      <c r="NHN718" s="1176"/>
      <c r="NHO718" s="1176"/>
      <c r="NHP718" s="1176"/>
      <c r="NHQ718" s="1176"/>
      <c r="NHR718" s="1176"/>
      <c r="NHS718" s="1176"/>
      <c r="NHT718" s="1176"/>
      <c r="NHU718" s="1176"/>
      <c r="NHV718" s="1176"/>
      <c r="NHW718" s="1176"/>
      <c r="NHX718" s="1176"/>
      <c r="NHY718" s="1176"/>
      <c r="NHZ718" s="1176"/>
      <c r="NIA718" s="1176"/>
      <c r="NIB718" s="1176"/>
      <c r="NIC718" s="1176"/>
      <c r="NID718" s="1176"/>
      <c r="NIE718" s="1176"/>
      <c r="NIF718" s="1176"/>
      <c r="NIG718" s="1176"/>
      <c r="NIH718" s="1176"/>
      <c r="NII718" s="1176"/>
      <c r="NIJ718" s="1176"/>
      <c r="NIK718" s="1176"/>
      <c r="NIL718" s="1176"/>
      <c r="NIM718" s="1176"/>
      <c r="NIN718" s="1176"/>
      <c r="NIO718" s="1176"/>
      <c r="NIP718" s="1176"/>
      <c r="NIQ718" s="1176"/>
      <c r="NIR718" s="1176"/>
      <c r="NIS718" s="1176"/>
      <c r="NIT718" s="1176"/>
      <c r="NIU718" s="1176"/>
      <c r="NIV718" s="1176"/>
      <c r="NIW718" s="1176"/>
      <c r="NIX718" s="1176"/>
      <c r="NIY718" s="1176"/>
      <c r="NIZ718" s="1176"/>
      <c r="NJA718" s="1176"/>
      <c r="NJB718" s="1176"/>
      <c r="NJC718" s="1176"/>
      <c r="NJD718" s="1176"/>
      <c r="NJE718" s="1176"/>
      <c r="NJF718" s="1176"/>
      <c r="NJG718" s="1176"/>
      <c r="NJH718" s="1176"/>
      <c r="NJI718" s="1176"/>
      <c r="NJJ718" s="1176"/>
      <c r="NJK718" s="1176"/>
      <c r="NJL718" s="1176"/>
      <c r="NJM718" s="1176"/>
      <c r="NJN718" s="1176"/>
      <c r="NJO718" s="1176"/>
      <c r="NJP718" s="1176"/>
      <c r="NJQ718" s="1176"/>
      <c r="NJR718" s="1176"/>
      <c r="NJS718" s="1176"/>
      <c r="NJT718" s="1176"/>
      <c r="NJU718" s="1176"/>
      <c r="NJV718" s="1176"/>
      <c r="NJW718" s="1176"/>
      <c r="NJX718" s="1176"/>
      <c r="NJY718" s="1176"/>
      <c r="NJZ718" s="1176"/>
      <c r="NKA718" s="1176"/>
      <c r="NKB718" s="1176"/>
      <c r="NKC718" s="1176"/>
      <c r="NKD718" s="1176"/>
      <c r="NKE718" s="1176"/>
      <c r="NKF718" s="1176"/>
      <c r="NKG718" s="1176"/>
      <c r="NKH718" s="1176"/>
      <c r="NKI718" s="1176"/>
      <c r="NKJ718" s="1176"/>
      <c r="NKK718" s="1176"/>
      <c r="NKL718" s="1176"/>
      <c r="NKM718" s="1176"/>
      <c r="NKN718" s="1176"/>
      <c r="NKO718" s="1176"/>
      <c r="NKP718" s="1176"/>
      <c r="NKQ718" s="1176"/>
      <c r="NKR718" s="1176"/>
      <c r="NKS718" s="1176"/>
      <c r="NKT718" s="1176"/>
      <c r="NKU718" s="1176"/>
      <c r="NKV718" s="1176"/>
      <c r="NKW718" s="1176"/>
      <c r="NKX718" s="1176"/>
      <c r="NKY718" s="1176"/>
      <c r="NKZ718" s="1176"/>
      <c r="NLA718" s="1176"/>
      <c r="NLB718" s="1176"/>
      <c r="NLC718" s="1176"/>
      <c r="NLD718" s="1176"/>
      <c r="NLE718" s="1176"/>
      <c r="NLF718" s="1176"/>
      <c r="NLG718" s="1176"/>
      <c r="NLH718" s="1176"/>
      <c r="NLI718" s="1176"/>
      <c r="NLJ718" s="1176"/>
      <c r="NLK718" s="1176"/>
      <c r="NLL718" s="1176"/>
      <c r="NLM718" s="1176"/>
      <c r="NLN718" s="1176"/>
      <c r="NLO718" s="1176"/>
      <c r="NLP718" s="1176"/>
      <c r="NLQ718" s="1176"/>
      <c r="NLR718" s="1176"/>
      <c r="NLS718" s="1176"/>
      <c r="NLT718" s="1176"/>
      <c r="NLU718" s="1176"/>
      <c r="NLV718" s="1176"/>
      <c r="NLW718" s="1176"/>
      <c r="NLX718" s="1176"/>
      <c r="NLY718" s="1176"/>
      <c r="NLZ718" s="1176"/>
      <c r="NMA718" s="1176"/>
      <c r="NMB718" s="1176"/>
      <c r="NMC718" s="1176"/>
      <c r="NMD718" s="1176"/>
      <c r="NME718" s="1176"/>
      <c r="NMF718" s="1176"/>
      <c r="NMG718" s="1176"/>
      <c r="NMH718" s="1176"/>
      <c r="NMI718" s="1176"/>
      <c r="NMJ718" s="1176"/>
      <c r="NMK718" s="1176"/>
      <c r="NML718" s="1176"/>
      <c r="NMM718" s="1176"/>
      <c r="NMN718" s="1176"/>
      <c r="NMO718" s="1176"/>
      <c r="NMP718" s="1176"/>
      <c r="NMQ718" s="1176"/>
      <c r="NMR718" s="1176"/>
      <c r="NMS718" s="1176"/>
      <c r="NMT718" s="1176"/>
      <c r="NMU718" s="1176"/>
      <c r="NMV718" s="1176"/>
      <c r="NMW718" s="1176"/>
      <c r="NMX718" s="1176"/>
      <c r="NMY718" s="1176"/>
      <c r="NMZ718" s="1176"/>
      <c r="NNA718" s="1176"/>
      <c r="NNB718" s="1176"/>
      <c r="NNC718" s="1176"/>
      <c r="NND718" s="1176"/>
      <c r="NNE718" s="1176"/>
      <c r="NNF718" s="1176"/>
      <c r="NNG718" s="1176"/>
      <c r="NNH718" s="1176"/>
      <c r="NNI718" s="1176"/>
      <c r="NNJ718" s="1176"/>
      <c r="NNK718" s="1176"/>
      <c r="NNL718" s="1176"/>
      <c r="NNM718" s="1176"/>
      <c r="NNN718" s="1176"/>
      <c r="NNO718" s="1176"/>
      <c r="NNP718" s="1176"/>
      <c r="NNQ718" s="1176"/>
      <c r="NNR718" s="1176"/>
      <c r="NNS718" s="1176"/>
      <c r="NNT718" s="1176"/>
      <c r="NNU718" s="1176"/>
      <c r="NNV718" s="1176"/>
      <c r="NNW718" s="1176"/>
      <c r="NNX718" s="1176"/>
      <c r="NNY718" s="1176"/>
      <c r="NNZ718" s="1176"/>
      <c r="NOA718" s="1176"/>
      <c r="NOB718" s="1176"/>
      <c r="NOC718" s="1176"/>
      <c r="NOD718" s="1176"/>
      <c r="NOE718" s="1176"/>
      <c r="NOF718" s="1176"/>
      <c r="NOG718" s="1176"/>
      <c r="NOH718" s="1176"/>
      <c r="NOI718" s="1176"/>
      <c r="NOJ718" s="1176"/>
      <c r="NOK718" s="1176"/>
      <c r="NOL718" s="1176"/>
      <c r="NOM718" s="1176"/>
      <c r="NON718" s="1176"/>
      <c r="NOO718" s="1176"/>
      <c r="NOP718" s="1176"/>
      <c r="NOQ718" s="1176"/>
      <c r="NOR718" s="1176"/>
      <c r="NOS718" s="1176"/>
      <c r="NOT718" s="1176"/>
      <c r="NOU718" s="1176"/>
      <c r="NOV718" s="1176"/>
      <c r="NOW718" s="1176"/>
      <c r="NOX718" s="1176"/>
      <c r="NOY718" s="1176"/>
      <c r="NOZ718" s="1176"/>
      <c r="NPA718" s="1176"/>
      <c r="NPB718" s="1176"/>
      <c r="NPC718" s="1176"/>
      <c r="NPD718" s="1176"/>
      <c r="NPE718" s="1176"/>
      <c r="NPF718" s="1176"/>
      <c r="NPG718" s="1176"/>
      <c r="NPH718" s="1176"/>
      <c r="NPI718" s="1176"/>
      <c r="NPJ718" s="1176"/>
      <c r="NPK718" s="1176"/>
      <c r="NPL718" s="1176"/>
      <c r="NPM718" s="1176"/>
      <c r="NPN718" s="1176"/>
      <c r="NPO718" s="1176"/>
      <c r="NPP718" s="1176"/>
      <c r="NPQ718" s="1176"/>
      <c r="NPR718" s="1176"/>
      <c r="NPS718" s="1176"/>
      <c r="NPT718" s="1176"/>
      <c r="NPU718" s="1176"/>
      <c r="NPV718" s="1176"/>
      <c r="NPW718" s="1176"/>
      <c r="NPX718" s="1176"/>
      <c r="NPY718" s="1176"/>
      <c r="NPZ718" s="1176"/>
      <c r="NQA718" s="1176"/>
      <c r="NQB718" s="1176"/>
      <c r="NQC718" s="1176"/>
      <c r="NQD718" s="1176"/>
      <c r="NQE718" s="1176"/>
      <c r="NQF718" s="1176"/>
      <c r="NQG718" s="1176"/>
      <c r="NQH718" s="1176"/>
      <c r="NQI718" s="1176"/>
      <c r="NQJ718" s="1176"/>
      <c r="NQK718" s="1176"/>
      <c r="NQL718" s="1176"/>
      <c r="NQM718" s="1176"/>
      <c r="NQN718" s="1176"/>
      <c r="NQO718" s="1176"/>
      <c r="NQP718" s="1176"/>
      <c r="NQQ718" s="1176"/>
      <c r="NQR718" s="1176"/>
      <c r="NQS718" s="1176"/>
      <c r="NQT718" s="1176"/>
      <c r="NQU718" s="1176"/>
      <c r="NQV718" s="1176"/>
      <c r="NQW718" s="1176"/>
      <c r="NQX718" s="1176"/>
      <c r="NQY718" s="1176"/>
      <c r="NQZ718" s="1176"/>
      <c r="NRA718" s="1176"/>
      <c r="NRB718" s="1176"/>
      <c r="NRC718" s="1176"/>
      <c r="NRD718" s="1176"/>
      <c r="NRE718" s="1176"/>
      <c r="NRF718" s="1176"/>
      <c r="NRG718" s="1176"/>
      <c r="NRH718" s="1176"/>
      <c r="NRI718" s="1176"/>
      <c r="NRJ718" s="1176"/>
      <c r="NRK718" s="1176"/>
      <c r="NRL718" s="1176"/>
      <c r="NRM718" s="1176"/>
      <c r="NRN718" s="1176"/>
      <c r="NRO718" s="1176"/>
      <c r="NRP718" s="1176"/>
      <c r="NRQ718" s="1176"/>
      <c r="NRR718" s="1176"/>
      <c r="NRS718" s="1176"/>
      <c r="NRT718" s="1176"/>
      <c r="NRU718" s="1176"/>
      <c r="NRV718" s="1176"/>
      <c r="NRW718" s="1176"/>
      <c r="NRX718" s="1176"/>
      <c r="NRY718" s="1176"/>
      <c r="NRZ718" s="1176"/>
      <c r="NSA718" s="1176"/>
      <c r="NSB718" s="1176"/>
      <c r="NSC718" s="1176"/>
      <c r="NSD718" s="1176"/>
      <c r="NSE718" s="1176"/>
      <c r="NSF718" s="1176"/>
      <c r="NSG718" s="1176"/>
      <c r="NSH718" s="1176"/>
      <c r="NSI718" s="1176"/>
      <c r="NSJ718" s="1176"/>
      <c r="NSK718" s="1176"/>
      <c r="NSL718" s="1176"/>
      <c r="NSM718" s="1176"/>
      <c r="NSN718" s="1176"/>
      <c r="NSO718" s="1176"/>
      <c r="NSP718" s="1176"/>
      <c r="NSQ718" s="1176"/>
      <c r="NSR718" s="1176"/>
      <c r="NSS718" s="1176"/>
      <c r="NST718" s="1176"/>
      <c r="NSU718" s="1176"/>
      <c r="NSV718" s="1176"/>
      <c r="NSW718" s="1176"/>
      <c r="NSX718" s="1176"/>
      <c r="NSY718" s="1176"/>
      <c r="NSZ718" s="1176"/>
      <c r="NTA718" s="1176"/>
      <c r="NTB718" s="1176"/>
      <c r="NTC718" s="1176"/>
      <c r="NTD718" s="1176"/>
      <c r="NTE718" s="1176"/>
      <c r="NTF718" s="1176"/>
      <c r="NTG718" s="1176"/>
      <c r="NTH718" s="1176"/>
      <c r="NTI718" s="1176"/>
      <c r="NTJ718" s="1176"/>
      <c r="NTK718" s="1176"/>
      <c r="NTL718" s="1176"/>
      <c r="NTM718" s="1176"/>
      <c r="NTN718" s="1176"/>
      <c r="NTO718" s="1176"/>
      <c r="NTP718" s="1176"/>
      <c r="NTQ718" s="1176"/>
      <c r="NTR718" s="1176"/>
      <c r="NTS718" s="1176"/>
      <c r="NTT718" s="1176"/>
      <c r="NTU718" s="1176"/>
      <c r="NTV718" s="1176"/>
      <c r="NTW718" s="1176"/>
      <c r="NTX718" s="1176"/>
      <c r="NTY718" s="1176"/>
      <c r="NTZ718" s="1176"/>
      <c r="NUA718" s="1176"/>
      <c r="NUB718" s="1176"/>
      <c r="NUC718" s="1176"/>
      <c r="NUD718" s="1176"/>
      <c r="NUE718" s="1176"/>
      <c r="NUF718" s="1176"/>
      <c r="NUG718" s="1176"/>
      <c r="NUH718" s="1176"/>
      <c r="NUI718" s="1176"/>
      <c r="NUJ718" s="1176"/>
      <c r="NUK718" s="1176"/>
      <c r="NUL718" s="1176"/>
      <c r="NUM718" s="1176"/>
      <c r="NUN718" s="1176"/>
      <c r="NUO718" s="1176"/>
      <c r="NUP718" s="1176"/>
      <c r="NUQ718" s="1176"/>
      <c r="NUR718" s="1176"/>
      <c r="NUS718" s="1176"/>
      <c r="NUT718" s="1176"/>
      <c r="NUU718" s="1176"/>
      <c r="NUV718" s="1176"/>
      <c r="NUW718" s="1176"/>
      <c r="NUX718" s="1176"/>
      <c r="NUY718" s="1176"/>
      <c r="NUZ718" s="1176"/>
      <c r="NVA718" s="1176"/>
      <c r="NVB718" s="1176"/>
      <c r="NVC718" s="1176"/>
      <c r="NVD718" s="1176"/>
      <c r="NVE718" s="1176"/>
      <c r="NVF718" s="1176"/>
      <c r="NVG718" s="1176"/>
      <c r="NVH718" s="1176"/>
      <c r="NVI718" s="1176"/>
      <c r="NVJ718" s="1176"/>
      <c r="NVK718" s="1176"/>
      <c r="NVL718" s="1176"/>
      <c r="NVM718" s="1176"/>
      <c r="NVN718" s="1176"/>
      <c r="NVO718" s="1176"/>
      <c r="NVP718" s="1176"/>
      <c r="NVQ718" s="1176"/>
      <c r="NVR718" s="1176"/>
      <c r="NVS718" s="1176"/>
      <c r="NVT718" s="1176"/>
      <c r="NVU718" s="1176"/>
      <c r="NVV718" s="1176"/>
      <c r="NVW718" s="1176"/>
      <c r="NVX718" s="1176"/>
      <c r="NVY718" s="1176"/>
      <c r="NVZ718" s="1176"/>
      <c r="NWA718" s="1176"/>
      <c r="NWB718" s="1176"/>
      <c r="NWC718" s="1176"/>
      <c r="NWD718" s="1176"/>
      <c r="NWE718" s="1176"/>
      <c r="NWF718" s="1176"/>
      <c r="NWG718" s="1176"/>
      <c r="NWH718" s="1176"/>
      <c r="NWI718" s="1176"/>
      <c r="NWJ718" s="1176"/>
      <c r="NWK718" s="1176"/>
      <c r="NWL718" s="1176"/>
      <c r="NWM718" s="1176"/>
      <c r="NWN718" s="1176"/>
      <c r="NWO718" s="1176"/>
      <c r="NWP718" s="1176"/>
      <c r="NWQ718" s="1176"/>
      <c r="NWR718" s="1176"/>
      <c r="NWS718" s="1176"/>
      <c r="NWT718" s="1176"/>
      <c r="NWU718" s="1176"/>
      <c r="NWV718" s="1176"/>
      <c r="NWW718" s="1176"/>
      <c r="NWX718" s="1176"/>
      <c r="NWY718" s="1176"/>
      <c r="NWZ718" s="1176"/>
      <c r="NXA718" s="1176"/>
      <c r="NXB718" s="1176"/>
      <c r="NXC718" s="1176"/>
      <c r="NXD718" s="1176"/>
      <c r="NXE718" s="1176"/>
      <c r="NXF718" s="1176"/>
      <c r="NXG718" s="1176"/>
      <c r="NXH718" s="1176"/>
      <c r="NXI718" s="1176"/>
      <c r="NXJ718" s="1176"/>
      <c r="NXK718" s="1176"/>
      <c r="NXL718" s="1176"/>
      <c r="NXM718" s="1176"/>
      <c r="NXN718" s="1176"/>
      <c r="NXO718" s="1176"/>
      <c r="NXP718" s="1176"/>
      <c r="NXQ718" s="1176"/>
      <c r="NXR718" s="1176"/>
      <c r="NXS718" s="1176"/>
      <c r="NXT718" s="1176"/>
      <c r="NXU718" s="1176"/>
      <c r="NXV718" s="1176"/>
      <c r="NXW718" s="1176"/>
      <c r="NXX718" s="1176"/>
      <c r="NXY718" s="1176"/>
      <c r="NXZ718" s="1176"/>
      <c r="NYA718" s="1176"/>
      <c r="NYB718" s="1176"/>
      <c r="NYC718" s="1176"/>
      <c r="NYD718" s="1176"/>
      <c r="NYE718" s="1176"/>
      <c r="NYF718" s="1176"/>
      <c r="NYG718" s="1176"/>
      <c r="NYH718" s="1176"/>
      <c r="NYI718" s="1176"/>
      <c r="NYJ718" s="1176"/>
      <c r="NYK718" s="1176"/>
      <c r="NYL718" s="1176"/>
      <c r="NYM718" s="1176"/>
      <c r="NYN718" s="1176"/>
      <c r="NYO718" s="1176"/>
      <c r="NYP718" s="1176"/>
      <c r="NYQ718" s="1176"/>
      <c r="NYR718" s="1176"/>
      <c r="NYS718" s="1176"/>
      <c r="NYT718" s="1176"/>
      <c r="NYU718" s="1176"/>
      <c r="NYV718" s="1176"/>
      <c r="NYW718" s="1176"/>
      <c r="NYX718" s="1176"/>
      <c r="NYY718" s="1176"/>
      <c r="NYZ718" s="1176"/>
      <c r="NZA718" s="1176"/>
      <c r="NZB718" s="1176"/>
      <c r="NZC718" s="1176"/>
      <c r="NZD718" s="1176"/>
      <c r="NZE718" s="1176"/>
      <c r="NZF718" s="1176"/>
      <c r="NZG718" s="1176"/>
      <c r="NZH718" s="1176"/>
      <c r="NZI718" s="1176"/>
      <c r="NZJ718" s="1176"/>
      <c r="NZK718" s="1176"/>
      <c r="NZL718" s="1176"/>
      <c r="NZM718" s="1176"/>
      <c r="NZN718" s="1176"/>
      <c r="NZO718" s="1176"/>
      <c r="NZP718" s="1176"/>
      <c r="NZQ718" s="1176"/>
      <c r="NZR718" s="1176"/>
      <c r="NZS718" s="1176"/>
      <c r="NZT718" s="1176"/>
      <c r="NZU718" s="1176"/>
      <c r="NZV718" s="1176"/>
      <c r="NZW718" s="1176"/>
      <c r="NZX718" s="1176"/>
      <c r="NZY718" s="1176"/>
      <c r="NZZ718" s="1176"/>
      <c r="OAA718" s="1176"/>
      <c r="OAB718" s="1176"/>
      <c r="OAC718" s="1176"/>
      <c r="OAD718" s="1176"/>
      <c r="OAE718" s="1176"/>
      <c r="OAF718" s="1176"/>
      <c r="OAG718" s="1176"/>
      <c r="OAH718" s="1176"/>
      <c r="OAI718" s="1176"/>
      <c r="OAJ718" s="1176"/>
      <c r="OAK718" s="1176"/>
      <c r="OAL718" s="1176"/>
      <c r="OAM718" s="1176"/>
      <c r="OAN718" s="1176"/>
      <c r="OAO718" s="1176"/>
      <c r="OAP718" s="1176"/>
      <c r="OAQ718" s="1176"/>
      <c r="OAR718" s="1176"/>
      <c r="OAS718" s="1176"/>
      <c r="OAT718" s="1176"/>
      <c r="OAU718" s="1176"/>
      <c r="OAV718" s="1176"/>
      <c r="OAW718" s="1176"/>
      <c r="OAX718" s="1176"/>
      <c r="OAY718" s="1176"/>
      <c r="OAZ718" s="1176"/>
      <c r="OBA718" s="1176"/>
      <c r="OBB718" s="1176"/>
      <c r="OBC718" s="1176"/>
      <c r="OBD718" s="1176"/>
      <c r="OBE718" s="1176"/>
      <c r="OBF718" s="1176"/>
      <c r="OBG718" s="1176"/>
      <c r="OBH718" s="1176"/>
      <c r="OBI718" s="1176"/>
      <c r="OBJ718" s="1176"/>
      <c r="OBK718" s="1176"/>
      <c r="OBL718" s="1176"/>
      <c r="OBM718" s="1176"/>
      <c r="OBN718" s="1176"/>
      <c r="OBO718" s="1176"/>
      <c r="OBP718" s="1176"/>
      <c r="OBQ718" s="1176"/>
      <c r="OBR718" s="1176"/>
      <c r="OBS718" s="1176"/>
      <c r="OBT718" s="1176"/>
      <c r="OBU718" s="1176"/>
      <c r="OBV718" s="1176"/>
      <c r="OBW718" s="1176"/>
      <c r="OBX718" s="1176"/>
      <c r="OBY718" s="1176"/>
      <c r="OBZ718" s="1176"/>
      <c r="OCA718" s="1176"/>
      <c r="OCB718" s="1176"/>
      <c r="OCC718" s="1176"/>
      <c r="OCD718" s="1176"/>
      <c r="OCE718" s="1176"/>
      <c r="OCF718" s="1176"/>
      <c r="OCG718" s="1176"/>
      <c r="OCH718" s="1176"/>
      <c r="OCI718" s="1176"/>
      <c r="OCJ718" s="1176"/>
      <c r="OCK718" s="1176"/>
      <c r="OCL718" s="1176"/>
      <c r="OCM718" s="1176"/>
      <c r="OCN718" s="1176"/>
      <c r="OCO718" s="1176"/>
      <c r="OCP718" s="1176"/>
      <c r="OCQ718" s="1176"/>
      <c r="OCR718" s="1176"/>
      <c r="OCS718" s="1176"/>
      <c r="OCT718" s="1176"/>
      <c r="OCU718" s="1176"/>
      <c r="OCV718" s="1176"/>
      <c r="OCW718" s="1176"/>
      <c r="OCX718" s="1176"/>
      <c r="OCY718" s="1176"/>
      <c r="OCZ718" s="1176"/>
      <c r="ODA718" s="1176"/>
      <c r="ODB718" s="1176"/>
      <c r="ODC718" s="1176"/>
      <c r="ODD718" s="1176"/>
      <c r="ODE718" s="1176"/>
      <c r="ODF718" s="1176"/>
      <c r="ODG718" s="1176"/>
      <c r="ODH718" s="1176"/>
      <c r="ODI718" s="1176"/>
      <c r="ODJ718" s="1176"/>
      <c r="ODK718" s="1176"/>
      <c r="ODL718" s="1176"/>
      <c r="ODM718" s="1176"/>
      <c r="ODN718" s="1176"/>
      <c r="ODO718" s="1176"/>
      <c r="ODP718" s="1176"/>
      <c r="ODQ718" s="1176"/>
      <c r="ODR718" s="1176"/>
      <c r="ODS718" s="1176"/>
      <c r="ODT718" s="1176"/>
      <c r="ODU718" s="1176"/>
      <c r="ODV718" s="1176"/>
      <c r="ODW718" s="1176"/>
      <c r="ODX718" s="1176"/>
      <c r="ODY718" s="1176"/>
      <c r="ODZ718" s="1176"/>
      <c r="OEA718" s="1176"/>
      <c r="OEB718" s="1176"/>
      <c r="OEC718" s="1176"/>
      <c r="OED718" s="1176"/>
      <c r="OEE718" s="1176"/>
      <c r="OEF718" s="1176"/>
      <c r="OEG718" s="1176"/>
      <c r="OEH718" s="1176"/>
      <c r="OEI718" s="1176"/>
      <c r="OEJ718" s="1176"/>
      <c r="OEK718" s="1176"/>
      <c r="OEL718" s="1176"/>
      <c r="OEM718" s="1176"/>
      <c r="OEN718" s="1176"/>
      <c r="OEO718" s="1176"/>
      <c r="OEP718" s="1176"/>
      <c r="OEQ718" s="1176"/>
      <c r="OER718" s="1176"/>
      <c r="OES718" s="1176"/>
      <c r="OET718" s="1176"/>
      <c r="OEU718" s="1176"/>
      <c r="OEV718" s="1176"/>
      <c r="OEW718" s="1176"/>
      <c r="OEX718" s="1176"/>
      <c r="OEY718" s="1176"/>
      <c r="OEZ718" s="1176"/>
      <c r="OFA718" s="1176"/>
      <c r="OFB718" s="1176"/>
      <c r="OFC718" s="1176"/>
      <c r="OFD718" s="1176"/>
      <c r="OFE718" s="1176"/>
      <c r="OFF718" s="1176"/>
      <c r="OFG718" s="1176"/>
      <c r="OFH718" s="1176"/>
      <c r="OFI718" s="1176"/>
      <c r="OFJ718" s="1176"/>
      <c r="OFK718" s="1176"/>
      <c r="OFL718" s="1176"/>
      <c r="OFM718" s="1176"/>
      <c r="OFN718" s="1176"/>
      <c r="OFO718" s="1176"/>
      <c r="OFP718" s="1176"/>
      <c r="OFQ718" s="1176"/>
      <c r="OFR718" s="1176"/>
      <c r="OFS718" s="1176"/>
      <c r="OFT718" s="1176"/>
      <c r="OFU718" s="1176"/>
      <c r="OFV718" s="1176"/>
      <c r="OFW718" s="1176"/>
      <c r="OFX718" s="1176"/>
      <c r="OFY718" s="1176"/>
      <c r="OFZ718" s="1176"/>
      <c r="OGA718" s="1176"/>
      <c r="OGB718" s="1176"/>
      <c r="OGC718" s="1176"/>
      <c r="OGD718" s="1176"/>
      <c r="OGE718" s="1176"/>
      <c r="OGF718" s="1176"/>
      <c r="OGG718" s="1176"/>
      <c r="OGH718" s="1176"/>
      <c r="OGI718" s="1176"/>
      <c r="OGJ718" s="1176"/>
      <c r="OGK718" s="1176"/>
      <c r="OGL718" s="1176"/>
      <c r="OGM718" s="1176"/>
      <c r="OGN718" s="1176"/>
      <c r="OGO718" s="1176"/>
      <c r="OGP718" s="1176"/>
      <c r="OGQ718" s="1176"/>
      <c r="OGR718" s="1176"/>
      <c r="OGS718" s="1176"/>
      <c r="OGT718" s="1176"/>
      <c r="OGU718" s="1176"/>
      <c r="OGV718" s="1176"/>
      <c r="OGW718" s="1176"/>
      <c r="OGX718" s="1176"/>
      <c r="OGY718" s="1176"/>
      <c r="OGZ718" s="1176"/>
      <c r="OHA718" s="1176"/>
      <c r="OHB718" s="1176"/>
      <c r="OHC718" s="1176"/>
      <c r="OHD718" s="1176"/>
      <c r="OHE718" s="1176"/>
      <c r="OHF718" s="1176"/>
      <c r="OHG718" s="1176"/>
      <c r="OHH718" s="1176"/>
      <c r="OHI718" s="1176"/>
      <c r="OHJ718" s="1176"/>
      <c r="OHK718" s="1176"/>
      <c r="OHL718" s="1176"/>
      <c r="OHM718" s="1176"/>
      <c r="OHN718" s="1176"/>
      <c r="OHO718" s="1176"/>
      <c r="OHP718" s="1176"/>
      <c r="OHQ718" s="1176"/>
      <c r="OHR718" s="1176"/>
      <c r="OHS718" s="1176"/>
      <c r="OHT718" s="1176"/>
      <c r="OHU718" s="1176"/>
      <c r="OHV718" s="1176"/>
      <c r="OHW718" s="1176"/>
      <c r="OHX718" s="1176"/>
      <c r="OHY718" s="1176"/>
      <c r="OHZ718" s="1176"/>
      <c r="OIA718" s="1176"/>
      <c r="OIB718" s="1176"/>
      <c r="OIC718" s="1176"/>
      <c r="OID718" s="1176"/>
      <c r="OIE718" s="1176"/>
      <c r="OIF718" s="1176"/>
      <c r="OIG718" s="1176"/>
      <c r="OIH718" s="1176"/>
      <c r="OII718" s="1176"/>
      <c r="OIJ718" s="1176"/>
      <c r="OIK718" s="1176"/>
      <c r="OIL718" s="1176"/>
      <c r="OIM718" s="1176"/>
      <c r="OIN718" s="1176"/>
      <c r="OIO718" s="1176"/>
      <c r="OIP718" s="1176"/>
      <c r="OIQ718" s="1176"/>
      <c r="OIR718" s="1176"/>
      <c r="OIS718" s="1176"/>
      <c r="OIT718" s="1176"/>
      <c r="OIU718" s="1176"/>
      <c r="OIV718" s="1176"/>
      <c r="OIW718" s="1176"/>
      <c r="OIX718" s="1176"/>
      <c r="OIY718" s="1176"/>
      <c r="OIZ718" s="1176"/>
      <c r="OJA718" s="1176"/>
      <c r="OJB718" s="1176"/>
      <c r="OJC718" s="1176"/>
      <c r="OJD718" s="1176"/>
      <c r="OJE718" s="1176"/>
      <c r="OJF718" s="1176"/>
      <c r="OJG718" s="1176"/>
      <c r="OJH718" s="1176"/>
      <c r="OJI718" s="1176"/>
      <c r="OJJ718" s="1176"/>
      <c r="OJK718" s="1176"/>
      <c r="OJL718" s="1176"/>
      <c r="OJM718" s="1176"/>
      <c r="OJN718" s="1176"/>
      <c r="OJO718" s="1176"/>
      <c r="OJP718" s="1176"/>
      <c r="OJQ718" s="1176"/>
      <c r="OJR718" s="1176"/>
      <c r="OJS718" s="1176"/>
      <c r="OJT718" s="1176"/>
      <c r="OJU718" s="1176"/>
      <c r="OJV718" s="1176"/>
      <c r="OJW718" s="1176"/>
      <c r="OJX718" s="1176"/>
      <c r="OJY718" s="1176"/>
      <c r="OJZ718" s="1176"/>
      <c r="OKA718" s="1176"/>
      <c r="OKB718" s="1176"/>
      <c r="OKC718" s="1176"/>
      <c r="OKD718" s="1176"/>
      <c r="OKE718" s="1176"/>
      <c r="OKF718" s="1176"/>
      <c r="OKG718" s="1176"/>
      <c r="OKH718" s="1176"/>
      <c r="OKI718" s="1176"/>
      <c r="OKJ718" s="1176"/>
      <c r="OKK718" s="1176"/>
      <c r="OKL718" s="1176"/>
      <c r="OKM718" s="1176"/>
      <c r="OKN718" s="1176"/>
      <c r="OKO718" s="1176"/>
      <c r="OKP718" s="1176"/>
      <c r="OKQ718" s="1176"/>
      <c r="OKR718" s="1176"/>
      <c r="OKS718" s="1176"/>
      <c r="OKT718" s="1176"/>
      <c r="OKU718" s="1176"/>
      <c r="OKV718" s="1176"/>
      <c r="OKW718" s="1176"/>
      <c r="OKX718" s="1176"/>
      <c r="OKY718" s="1176"/>
      <c r="OKZ718" s="1176"/>
      <c r="OLA718" s="1176"/>
      <c r="OLB718" s="1176"/>
      <c r="OLC718" s="1176"/>
      <c r="OLD718" s="1176"/>
      <c r="OLE718" s="1176"/>
      <c r="OLF718" s="1176"/>
      <c r="OLG718" s="1176"/>
      <c r="OLH718" s="1176"/>
      <c r="OLI718" s="1176"/>
      <c r="OLJ718" s="1176"/>
      <c r="OLK718" s="1176"/>
      <c r="OLL718" s="1176"/>
      <c r="OLM718" s="1176"/>
      <c r="OLN718" s="1176"/>
      <c r="OLO718" s="1176"/>
      <c r="OLP718" s="1176"/>
      <c r="OLQ718" s="1176"/>
      <c r="OLR718" s="1176"/>
      <c r="OLS718" s="1176"/>
      <c r="OLT718" s="1176"/>
      <c r="OLU718" s="1176"/>
      <c r="OLV718" s="1176"/>
      <c r="OLW718" s="1176"/>
      <c r="OLX718" s="1176"/>
      <c r="OLY718" s="1176"/>
      <c r="OLZ718" s="1176"/>
      <c r="OMA718" s="1176"/>
      <c r="OMB718" s="1176"/>
      <c r="OMC718" s="1176"/>
      <c r="OMD718" s="1176"/>
      <c r="OME718" s="1176"/>
      <c r="OMF718" s="1176"/>
      <c r="OMG718" s="1176"/>
      <c r="OMH718" s="1176"/>
      <c r="OMI718" s="1176"/>
      <c r="OMJ718" s="1176"/>
      <c r="OMK718" s="1176"/>
      <c r="OML718" s="1176"/>
      <c r="OMM718" s="1176"/>
      <c r="OMN718" s="1176"/>
      <c r="OMO718" s="1176"/>
      <c r="OMP718" s="1176"/>
      <c r="OMQ718" s="1176"/>
      <c r="OMR718" s="1176"/>
      <c r="OMS718" s="1176"/>
      <c r="OMT718" s="1176"/>
      <c r="OMU718" s="1176"/>
      <c r="OMV718" s="1176"/>
      <c r="OMW718" s="1176"/>
      <c r="OMX718" s="1176"/>
      <c r="OMY718" s="1176"/>
      <c r="OMZ718" s="1176"/>
      <c r="ONA718" s="1176"/>
      <c r="ONB718" s="1176"/>
      <c r="ONC718" s="1176"/>
      <c r="OND718" s="1176"/>
      <c r="ONE718" s="1176"/>
      <c r="ONF718" s="1176"/>
      <c r="ONG718" s="1176"/>
      <c r="ONH718" s="1176"/>
      <c r="ONI718" s="1176"/>
      <c r="ONJ718" s="1176"/>
      <c r="ONK718" s="1176"/>
      <c r="ONL718" s="1176"/>
      <c r="ONM718" s="1176"/>
      <c r="ONN718" s="1176"/>
      <c r="ONO718" s="1176"/>
      <c r="ONP718" s="1176"/>
      <c r="ONQ718" s="1176"/>
      <c r="ONR718" s="1176"/>
      <c r="ONS718" s="1176"/>
      <c r="ONT718" s="1176"/>
      <c r="ONU718" s="1176"/>
      <c r="ONV718" s="1176"/>
      <c r="ONW718" s="1176"/>
      <c r="ONX718" s="1176"/>
      <c r="ONY718" s="1176"/>
      <c r="ONZ718" s="1176"/>
      <c r="OOA718" s="1176"/>
      <c r="OOB718" s="1176"/>
      <c r="OOC718" s="1176"/>
      <c r="OOD718" s="1176"/>
      <c r="OOE718" s="1176"/>
      <c r="OOF718" s="1176"/>
      <c r="OOG718" s="1176"/>
      <c r="OOH718" s="1176"/>
      <c r="OOI718" s="1176"/>
      <c r="OOJ718" s="1176"/>
      <c r="OOK718" s="1176"/>
      <c r="OOL718" s="1176"/>
      <c r="OOM718" s="1176"/>
      <c r="OON718" s="1176"/>
      <c r="OOO718" s="1176"/>
      <c r="OOP718" s="1176"/>
      <c r="OOQ718" s="1176"/>
      <c r="OOR718" s="1176"/>
      <c r="OOS718" s="1176"/>
      <c r="OOT718" s="1176"/>
      <c r="OOU718" s="1176"/>
      <c r="OOV718" s="1176"/>
      <c r="OOW718" s="1176"/>
      <c r="OOX718" s="1176"/>
      <c r="OOY718" s="1176"/>
      <c r="OOZ718" s="1176"/>
      <c r="OPA718" s="1176"/>
      <c r="OPB718" s="1176"/>
      <c r="OPC718" s="1176"/>
      <c r="OPD718" s="1176"/>
      <c r="OPE718" s="1176"/>
      <c r="OPF718" s="1176"/>
      <c r="OPG718" s="1176"/>
      <c r="OPH718" s="1176"/>
      <c r="OPI718" s="1176"/>
      <c r="OPJ718" s="1176"/>
      <c r="OPK718" s="1176"/>
      <c r="OPL718" s="1176"/>
      <c r="OPM718" s="1176"/>
      <c r="OPN718" s="1176"/>
      <c r="OPO718" s="1176"/>
      <c r="OPP718" s="1176"/>
      <c r="OPQ718" s="1176"/>
      <c r="OPR718" s="1176"/>
      <c r="OPS718" s="1176"/>
      <c r="OPT718" s="1176"/>
      <c r="OPU718" s="1176"/>
      <c r="OPV718" s="1176"/>
      <c r="OPW718" s="1176"/>
      <c r="OPX718" s="1176"/>
      <c r="OPY718" s="1176"/>
      <c r="OPZ718" s="1176"/>
      <c r="OQA718" s="1176"/>
      <c r="OQB718" s="1176"/>
      <c r="OQC718" s="1176"/>
      <c r="OQD718" s="1176"/>
      <c r="OQE718" s="1176"/>
      <c r="OQF718" s="1176"/>
      <c r="OQG718" s="1176"/>
      <c r="OQH718" s="1176"/>
      <c r="OQI718" s="1176"/>
      <c r="OQJ718" s="1176"/>
      <c r="OQK718" s="1176"/>
      <c r="OQL718" s="1176"/>
      <c r="OQM718" s="1176"/>
      <c r="OQN718" s="1176"/>
      <c r="OQO718" s="1176"/>
      <c r="OQP718" s="1176"/>
      <c r="OQQ718" s="1176"/>
      <c r="OQR718" s="1176"/>
      <c r="OQS718" s="1176"/>
      <c r="OQT718" s="1176"/>
      <c r="OQU718" s="1176"/>
      <c r="OQV718" s="1176"/>
      <c r="OQW718" s="1176"/>
      <c r="OQX718" s="1176"/>
      <c r="OQY718" s="1176"/>
      <c r="OQZ718" s="1176"/>
      <c r="ORA718" s="1176"/>
      <c r="ORB718" s="1176"/>
      <c r="ORC718" s="1176"/>
      <c r="ORD718" s="1176"/>
      <c r="ORE718" s="1176"/>
      <c r="ORF718" s="1176"/>
      <c r="ORG718" s="1176"/>
      <c r="ORH718" s="1176"/>
      <c r="ORI718" s="1176"/>
      <c r="ORJ718" s="1176"/>
      <c r="ORK718" s="1176"/>
      <c r="ORL718" s="1176"/>
      <c r="ORM718" s="1176"/>
      <c r="ORN718" s="1176"/>
      <c r="ORO718" s="1176"/>
      <c r="ORP718" s="1176"/>
      <c r="ORQ718" s="1176"/>
      <c r="ORR718" s="1176"/>
      <c r="ORS718" s="1176"/>
      <c r="ORT718" s="1176"/>
      <c r="ORU718" s="1176"/>
      <c r="ORV718" s="1176"/>
      <c r="ORW718" s="1176"/>
      <c r="ORX718" s="1176"/>
      <c r="ORY718" s="1176"/>
      <c r="ORZ718" s="1176"/>
      <c r="OSA718" s="1176"/>
      <c r="OSB718" s="1176"/>
      <c r="OSC718" s="1176"/>
      <c r="OSD718" s="1176"/>
      <c r="OSE718" s="1176"/>
      <c r="OSF718" s="1176"/>
      <c r="OSG718" s="1176"/>
      <c r="OSH718" s="1176"/>
      <c r="OSI718" s="1176"/>
      <c r="OSJ718" s="1176"/>
      <c r="OSK718" s="1176"/>
      <c r="OSL718" s="1176"/>
      <c r="OSM718" s="1176"/>
      <c r="OSN718" s="1176"/>
      <c r="OSO718" s="1176"/>
      <c r="OSP718" s="1176"/>
      <c r="OSQ718" s="1176"/>
      <c r="OSR718" s="1176"/>
      <c r="OSS718" s="1176"/>
      <c r="OST718" s="1176"/>
      <c r="OSU718" s="1176"/>
      <c r="OSV718" s="1176"/>
      <c r="OSW718" s="1176"/>
      <c r="OSX718" s="1176"/>
      <c r="OSY718" s="1176"/>
      <c r="OSZ718" s="1176"/>
      <c r="OTA718" s="1176"/>
      <c r="OTB718" s="1176"/>
      <c r="OTC718" s="1176"/>
      <c r="OTD718" s="1176"/>
      <c r="OTE718" s="1176"/>
      <c r="OTF718" s="1176"/>
      <c r="OTG718" s="1176"/>
      <c r="OTH718" s="1176"/>
      <c r="OTI718" s="1176"/>
      <c r="OTJ718" s="1176"/>
      <c r="OTK718" s="1176"/>
      <c r="OTL718" s="1176"/>
      <c r="OTM718" s="1176"/>
      <c r="OTN718" s="1176"/>
      <c r="OTO718" s="1176"/>
      <c r="OTP718" s="1176"/>
      <c r="OTQ718" s="1176"/>
      <c r="OTR718" s="1176"/>
      <c r="OTS718" s="1176"/>
      <c r="OTT718" s="1176"/>
      <c r="OTU718" s="1176"/>
      <c r="OTV718" s="1176"/>
      <c r="OTW718" s="1176"/>
      <c r="OTX718" s="1176"/>
      <c r="OTY718" s="1176"/>
      <c r="OTZ718" s="1176"/>
      <c r="OUA718" s="1176"/>
      <c r="OUB718" s="1176"/>
      <c r="OUC718" s="1176"/>
      <c r="OUD718" s="1176"/>
      <c r="OUE718" s="1176"/>
      <c r="OUF718" s="1176"/>
      <c r="OUG718" s="1176"/>
      <c r="OUH718" s="1176"/>
      <c r="OUI718" s="1176"/>
      <c r="OUJ718" s="1176"/>
      <c r="OUK718" s="1176"/>
      <c r="OUL718" s="1176"/>
      <c r="OUM718" s="1176"/>
      <c r="OUN718" s="1176"/>
      <c r="OUO718" s="1176"/>
      <c r="OUP718" s="1176"/>
      <c r="OUQ718" s="1176"/>
      <c r="OUR718" s="1176"/>
      <c r="OUS718" s="1176"/>
      <c r="OUT718" s="1176"/>
      <c r="OUU718" s="1176"/>
      <c r="OUV718" s="1176"/>
      <c r="OUW718" s="1176"/>
      <c r="OUX718" s="1176"/>
      <c r="OUY718" s="1176"/>
      <c r="OUZ718" s="1176"/>
      <c r="OVA718" s="1176"/>
      <c r="OVB718" s="1176"/>
      <c r="OVC718" s="1176"/>
      <c r="OVD718" s="1176"/>
      <c r="OVE718" s="1176"/>
      <c r="OVF718" s="1176"/>
      <c r="OVG718" s="1176"/>
      <c r="OVH718" s="1176"/>
      <c r="OVI718" s="1176"/>
      <c r="OVJ718" s="1176"/>
      <c r="OVK718" s="1176"/>
      <c r="OVL718" s="1176"/>
      <c r="OVM718" s="1176"/>
      <c r="OVN718" s="1176"/>
      <c r="OVO718" s="1176"/>
      <c r="OVP718" s="1176"/>
      <c r="OVQ718" s="1176"/>
      <c r="OVR718" s="1176"/>
      <c r="OVS718" s="1176"/>
      <c r="OVT718" s="1176"/>
      <c r="OVU718" s="1176"/>
      <c r="OVV718" s="1176"/>
      <c r="OVW718" s="1176"/>
      <c r="OVX718" s="1176"/>
      <c r="OVY718" s="1176"/>
      <c r="OVZ718" s="1176"/>
      <c r="OWA718" s="1176"/>
      <c r="OWB718" s="1176"/>
      <c r="OWC718" s="1176"/>
      <c r="OWD718" s="1176"/>
      <c r="OWE718" s="1176"/>
      <c r="OWF718" s="1176"/>
      <c r="OWG718" s="1176"/>
      <c r="OWH718" s="1176"/>
      <c r="OWI718" s="1176"/>
      <c r="OWJ718" s="1176"/>
      <c r="OWK718" s="1176"/>
      <c r="OWL718" s="1176"/>
      <c r="OWM718" s="1176"/>
      <c r="OWN718" s="1176"/>
      <c r="OWO718" s="1176"/>
      <c r="OWP718" s="1176"/>
      <c r="OWQ718" s="1176"/>
      <c r="OWR718" s="1176"/>
      <c r="OWS718" s="1176"/>
      <c r="OWT718" s="1176"/>
      <c r="OWU718" s="1176"/>
      <c r="OWV718" s="1176"/>
      <c r="OWW718" s="1176"/>
      <c r="OWX718" s="1176"/>
      <c r="OWY718" s="1176"/>
      <c r="OWZ718" s="1176"/>
      <c r="OXA718" s="1176"/>
      <c r="OXB718" s="1176"/>
      <c r="OXC718" s="1176"/>
      <c r="OXD718" s="1176"/>
      <c r="OXE718" s="1176"/>
      <c r="OXF718" s="1176"/>
      <c r="OXG718" s="1176"/>
      <c r="OXH718" s="1176"/>
      <c r="OXI718" s="1176"/>
      <c r="OXJ718" s="1176"/>
      <c r="OXK718" s="1176"/>
      <c r="OXL718" s="1176"/>
      <c r="OXM718" s="1176"/>
      <c r="OXN718" s="1176"/>
      <c r="OXO718" s="1176"/>
      <c r="OXP718" s="1176"/>
      <c r="OXQ718" s="1176"/>
      <c r="OXR718" s="1176"/>
      <c r="OXS718" s="1176"/>
      <c r="OXT718" s="1176"/>
      <c r="OXU718" s="1176"/>
      <c r="OXV718" s="1176"/>
      <c r="OXW718" s="1176"/>
      <c r="OXX718" s="1176"/>
      <c r="OXY718" s="1176"/>
      <c r="OXZ718" s="1176"/>
      <c r="OYA718" s="1176"/>
      <c r="OYB718" s="1176"/>
      <c r="OYC718" s="1176"/>
      <c r="OYD718" s="1176"/>
      <c r="OYE718" s="1176"/>
      <c r="OYF718" s="1176"/>
      <c r="OYG718" s="1176"/>
      <c r="OYH718" s="1176"/>
      <c r="OYI718" s="1176"/>
      <c r="OYJ718" s="1176"/>
      <c r="OYK718" s="1176"/>
      <c r="OYL718" s="1176"/>
      <c r="OYM718" s="1176"/>
      <c r="OYN718" s="1176"/>
      <c r="OYO718" s="1176"/>
      <c r="OYP718" s="1176"/>
      <c r="OYQ718" s="1176"/>
      <c r="OYR718" s="1176"/>
      <c r="OYS718" s="1176"/>
      <c r="OYT718" s="1176"/>
      <c r="OYU718" s="1176"/>
      <c r="OYV718" s="1176"/>
      <c r="OYW718" s="1176"/>
      <c r="OYX718" s="1176"/>
      <c r="OYY718" s="1176"/>
      <c r="OYZ718" s="1176"/>
      <c r="OZA718" s="1176"/>
      <c r="OZB718" s="1176"/>
      <c r="OZC718" s="1176"/>
      <c r="OZD718" s="1176"/>
      <c r="OZE718" s="1176"/>
      <c r="OZF718" s="1176"/>
      <c r="OZG718" s="1176"/>
      <c r="OZH718" s="1176"/>
      <c r="OZI718" s="1176"/>
      <c r="OZJ718" s="1176"/>
      <c r="OZK718" s="1176"/>
      <c r="OZL718" s="1176"/>
      <c r="OZM718" s="1176"/>
      <c r="OZN718" s="1176"/>
      <c r="OZO718" s="1176"/>
      <c r="OZP718" s="1176"/>
      <c r="OZQ718" s="1176"/>
      <c r="OZR718" s="1176"/>
      <c r="OZS718" s="1176"/>
      <c r="OZT718" s="1176"/>
      <c r="OZU718" s="1176"/>
      <c r="OZV718" s="1176"/>
      <c r="OZW718" s="1176"/>
      <c r="OZX718" s="1176"/>
      <c r="OZY718" s="1176"/>
      <c r="OZZ718" s="1176"/>
      <c r="PAA718" s="1176"/>
      <c r="PAB718" s="1176"/>
      <c r="PAC718" s="1176"/>
      <c r="PAD718" s="1176"/>
      <c r="PAE718" s="1176"/>
      <c r="PAF718" s="1176"/>
      <c r="PAG718" s="1176"/>
      <c r="PAH718" s="1176"/>
      <c r="PAI718" s="1176"/>
      <c r="PAJ718" s="1176"/>
      <c r="PAK718" s="1176"/>
      <c r="PAL718" s="1176"/>
      <c r="PAM718" s="1176"/>
      <c r="PAN718" s="1176"/>
      <c r="PAO718" s="1176"/>
      <c r="PAP718" s="1176"/>
      <c r="PAQ718" s="1176"/>
      <c r="PAR718" s="1176"/>
      <c r="PAS718" s="1176"/>
      <c r="PAT718" s="1176"/>
      <c r="PAU718" s="1176"/>
      <c r="PAV718" s="1176"/>
      <c r="PAW718" s="1176"/>
      <c r="PAX718" s="1176"/>
      <c r="PAY718" s="1176"/>
      <c r="PAZ718" s="1176"/>
      <c r="PBA718" s="1176"/>
      <c r="PBB718" s="1176"/>
      <c r="PBC718" s="1176"/>
      <c r="PBD718" s="1176"/>
      <c r="PBE718" s="1176"/>
      <c r="PBF718" s="1176"/>
      <c r="PBG718" s="1176"/>
      <c r="PBH718" s="1176"/>
      <c r="PBI718" s="1176"/>
      <c r="PBJ718" s="1176"/>
      <c r="PBK718" s="1176"/>
      <c r="PBL718" s="1176"/>
      <c r="PBM718" s="1176"/>
      <c r="PBN718" s="1176"/>
      <c r="PBO718" s="1176"/>
      <c r="PBP718" s="1176"/>
      <c r="PBQ718" s="1176"/>
      <c r="PBR718" s="1176"/>
      <c r="PBS718" s="1176"/>
      <c r="PBT718" s="1176"/>
      <c r="PBU718" s="1176"/>
      <c r="PBV718" s="1176"/>
      <c r="PBW718" s="1176"/>
      <c r="PBX718" s="1176"/>
      <c r="PBY718" s="1176"/>
      <c r="PBZ718" s="1176"/>
      <c r="PCA718" s="1176"/>
      <c r="PCB718" s="1176"/>
      <c r="PCC718" s="1176"/>
      <c r="PCD718" s="1176"/>
      <c r="PCE718" s="1176"/>
      <c r="PCF718" s="1176"/>
      <c r="PCG718" s="1176"/>
      <c r="PCH718" s="1176"/>
      <c r="PCI718" s="1176"/>
      <c r="PCJ718" s="1176"/>
      <c r="PCK718" s="1176"/>
      <c r="PCL718" s="1176"/>
      <c r="PCM718" s="1176"/>
      <c r="PCN718" s="1176"/>
      <c r="PCO718" s="1176"/>
      <c r="PCP718" s="1176"/>
      <c r="PCQ718" s="1176"/>
      <c r="PCR718" s="1176"/>
      <c r="PCS718" s="1176"/>
      <c r="PCT718" s="1176"/>
      <c r="PCU718" s="1176"/>
      <c r="PCV718" s="1176"/>
      <c r="PCW718" s="1176"/>
      <c r="PCX718" s="1176"/>
      <c r="PCY718" s="1176"/>
      <c r="PCZ718" s="1176"/>
      <c r="PDA718" s="1176"/>
      <c r="PDB718" s="1176"/>
      <c r="PDC718" s="1176"/>
      <c r="PDD718" s="1176"/>
      <c r="PDE718" s="1176"/>
      <c r="PDF718" s="1176"/>
      <c r="PDG718" s="1176"/>
      <c r="PDH718" s="1176"/>
      <c r="PDI718" s="1176"/>
      <c r="PDJ718" s="1176"/>
      <c r="PDK718" s="1176"/>
      <c r="PDL718" s="1176"/>
      <c r="PDM718" s="1176"/>
      <c r="PDN718" s="1176"/>
      <c r="PDO718" s="1176"/>
      <c r="PDP718" s="1176"/>
      <c r="PDQ718" s="1176"/>
      <c r="PDR718" s="1176"/>
      <c r="PDS718" s="1176"/>
      <c r="PDT718" s="1176"/>
      <c r="PDU718" s="1176"/>
      <c r="PDV718" s="1176"/>
      <c r="PDW718" s="1176"/>
      <c r="PDX718" s="1176"/>
      <c r="PDY718" s="1176"/>
      <c r="PDZ718" s="1176"/>
      <c r="PEA718" s="1176"/>
      <c r="PEB718" s="1176"/>
      <c r="PEC718" s="1176"/>
      <c r="PED718" s="1176"/>
      <c r="PEE718" s="1176"/>
      <c r="PEF718" s="1176"/>
      <c r="PEG718" s="1176"/>
      <c r="PEH718" s="1176"/>
      <c r="PEI718" s="1176"/>
      <c r="PEJ718" s="1176"/>
      <c r="PEK718" s="1176"/>
      <c r="PEL718" s="1176"/>
      <c r="PEM718" s="1176"/>
      <c r="PEN718" s="1176"/>
      <c r="PEO718" s="1176"/>
      <c r="PEP718" s="1176"/>
      <c r="PEQ718" s="1176"/>
      <c r="PER718" s="1176"/>
      <c r="PES718" s="1176"/>
      <c r="PET718" s="1176"/>
      <c r="PEU718" s="1176"/>
      <c r="PEV718" s="1176"/>
      <c r="PEW718" s="1176"/>
      <c r="PEX718" s="1176"/>
      <c r="PEY718" s="1176"/>
      <c r="PEZ718" s="1176"/>
      <c r="PFA718" s="1176"/>
      <c r="PFB718" s="1176"/>
      <c r="PFC718" s="1176"/>
      <c r="PFD718" s="1176"/>
      <c r="PFE718" s="1176"/>
      <c r="PFF718" s="1176"/>
      <c r="PFG718" s="1176"/>
      <c r="PFH718" s="1176"/>
      <c r="PFI718" s="1176"/>
      <c r="PFJ718" s="1176"/>
      <c r="PFK718" s="1176"/>
      <c r="PFL718" s="1176"/>
      <c r="PFM718" s="1176"/>
      <c r="PFN718" s="1176"/>
      <c r="PFO718" s="1176"/>
      <c r="PFP718" s="1176"/>
      <c r="PFQ718" s="1176"/>
      <c r="PFR718" s="1176"/>
      <c r="PFS718" s="1176"/>
      <c r="PFT718" s="1176"/>
      <c r="PFU718" s="1176"/>
      <c r="PFV718" s="1176"/>
      <c r="PFW718" s="1176"/>
      <c r="PFX718" s="1176"/>
      <c r="PFY718" s="1176"/>
      <c r="PFZ718" s="1176"/>
      <c r="PGA718" s="1176"/>
      <c r="PGB718" s="1176"/>
      <c r="PGC718" s="1176"/>
      <c r="PGD718" s="1176"/>
      <c r="PGE718" s="1176"/>
      <c r="PGF718" s="1176"/>
      <c r="PGG718" s="1176"/>
      <c r="PGH718" s="1176"/>
      <c r="PGI718" s="1176"/>
      <c r="PGJ718" s="1176"/>
      <c r="PGK718" s="1176"/>
      <c r="PGL718" s="1176"/>
      <c r="PGM718" s="1176"/>
      <c r="PGN718" s="1176"/>
      <c r="PGO718" s="1176"/>
      <c r="PGP718" s="1176"/>
      <c r="PGQ718" s="1176"/>
      <c r="PGR718" s="1176"/>
      <c r="PGS718" s="1176"/>
      <c r="PGT718" s="1176"/>
      <c r="PGU718" s="1176"/>
      <c r="PGV718" s="1176"/>
      <c r="PGW718" s="1176"/>
      <c r="PGX718" s="1176"/>
      <c r="PGY718" s="1176"/>
      <c r="PGZ718" s="1176"/>
      <c r="PHA718" s="1176"/>
      <c r="PHB718" s="1176"/>
      <c r="PHC718" s="1176"/>
      <c r="PHD718" s="1176"/>
      <c r="PHE718" s="1176"/>
      <c r="PHF718" s="1176"/>
      <c r="PHG718" s="1176"/>
      <c r="PHH718" s="1176"/>
      <c r="PHI718" s="1176"/>
      <c r="PHJ718" s="1176"/>
      <c r="PHK718" s="1176"/>
      <c r="PHL718" s="1176"/>
      <c r="PHM718" s="1176"/>
      <c r="PHN718" s="1176"/>
      <c r="PHO718" s="1176"/>
      <c r="PHP718" s="1176"/>
      <c r="PHQ718" s="1176"/>
      <c r="PHR718" s="1176"/>
      <c r="PHS718" s="1176"/>
      <c r="PHT718" s="1176"/>
      <c r="PHU718" s="1176"/>
      <c r="PHV718" s="1176"/>
      <c r="PHW718" s="1176"/>
      <c r="PHX718" s="1176"/>
      <c r="PHY718" s="1176"/>
      <c r="PHZ718" s="1176"/>
      <c r="PIA718" s="1176"/>
      <c r="PIB718" s="1176"/>
      <c r="PIC718" s="1176"/>
      <c r="PID718" s="1176"/>
      <c r="PIE718" s="1176"/>
      <c r="PIF718" s="1176"/>
      <c r="PIG718" s="1176"/>
      <c r="PIH718" s="1176"/>
      <c r="PII718" s="1176"/>
      <c r="PIJ718" s="1176"/>
      <c r="PIK718" s="1176"/>
      <c r="PIL718" s="1176"/>
      <c r="PIM718" s="1176"/>
      <c r="PIN718" s="1176"/>
      <c r="PIO718" s="1176"/>
      <c r="PIP718" s="1176"/>
      <c r="PIQ718" s="1176"/>
      <c r="PIR718" s="1176"/>
      <c r="PIS718" s="1176"/>
      <c r="PIT718" s="1176"/>
      <c r="PIU718" s="1176"/>
      <c r="PIV718" s="1176"/>
      <c r="PIW718" s="1176"/>
      <c r="PIX718" s="1176"/>
      <c r="PIY718" s="1176"/>
      <c r="PIZ718" s="1176"/>
      <c r="PJA718" s="1176"/>
      <c r="PJB718" s="1176"/>
      <c r="PJC718" s="1176"/>
      <c r="PJD718" s="1176"/>
      <c r="PJE718" s="1176"/>
      <c r="PJF718" s="1176"/>
      <c r="PJG718" s="1176"/>
      <c r="PJH718" s="1176"/>
      <c r="PJI718" s="1176"/>
      <c r="PJJ718" s="1176"/>
      <c r="PJK718" s="1176"/>
      <c r="PJL718" s="1176"/>
      <c r="PJM718" s="1176"/>
      <c r="PJN718" s="1176"/>
      <c r="PJO718" s="1176"/>
      <c r="PJP718" s="1176"/>
      <c r="PJQ718" s="1176"/>
      <c r="PJR718" s="1176"/>
      <c r="PJS718" s="1176"/>
      <c r="PJT718" s="1176"/>
      <c r="PJU718" s="1176"/>
      <c r="PJV718" s="1176"/>
      <c r="PJW718" s="1176"/>
      <c r="PJX718" s="1176"/>
      <c r="PJY718" s="1176"/>
      <c r="PJZ718" s="1176"/>
      <c r="PKA718" s="1176"/>
      <c r="PKB718" s="1176"/>
      <c r="PKC718" s="1176"/>
      <c r="PKD718" s="1176"/>
      <c r="PKE718" s="1176"/>
      <c r="PKF718" s="1176"/>
      <c r="PKG718" s="1176"/>
      <c r="PKH718" s="1176"/>
      <c r="PKI718" s="1176"/>
      <c r="PKJ718" s="1176"/>
      <c r="PKK718" s="1176"/>
      <c r="PKL718" s="1176"/>
      <c r="PKM718" s="1176"/>
      <c r="PKN718" s="1176"/>
      <c r="PKO718" s="1176"/>
      <c r="PKP718" s="1176"/>
      <c r="PKQ718" s="1176"/>
      <c r="PKR718" s="1176"/>
      <c r="PKS718" s="1176"/>
      <c r="PKT718" s="1176"/>
      <c r="PKU718" s="1176"/>
      <c r="PKV718" s="1176"/>
      <c r="PKW718" s="1176"/>
      <c r="PKX718" s="1176"/>
      <c r="PKY718" s="1176"/>
      <c r="PKZ718" s="1176"/>
      <c r="PLA718" s="1176"/>
      <c r="PLB718" s="1176"/>
      <c r="PLC718" s="1176"/>
      <c r="PLD718" s="1176"/>
      <c r="PLE718" s="1176"/>
      <c r="PLF718" s="1176"/>
      <c r="PLG718" s="1176"/>
      <c r="PLH718" s="1176"/>
      <c r="PLI718" s="1176"/>
      <c r="PLJ718" s="1176"/>
      <c r="PLK718" s="1176"/>
      <c r="PLL718" s="1176"/>
      <c r="PLM718" s="1176"/>
      <c r="PLN718" s="1176"/>
      <c r="PLO718" s="1176"/>
      <c r="PLP718" s="1176"/>
      <c r="PLQ718" s="1176"/>
      <c r="PLR718" s="1176"/>
      <c r="PLS718" s="1176"/>
      <c r="PLT718" s="1176"/>
      <c r="PLU718" s="1176"/>
      <c r="PLV718" s="1176"/>
      <c r="PLW718" s="1176"/>
      <c r="PLX718" s="1176"/>
      <c r="PLY718" s="1176"/>
      <c r="PLZ718" s="1176"/>
      <c r="PMA718" s="1176"/>
      <c r="PMB718" s="1176"/>
      <c r="PMC718" s="1176"/>
      <c r="PMD718" s="1176"/>
      <c r="PME718" s="1176"/>
      <c r="PMF718" s="1176"/>
      <c r="PMG718" s="1176"/>
      <c r="PMH718" s="1176"/>
      <c r="PMI718" s="1176"/>
      <c r="PMJ718" s="1176"/>
      <c r="PMK718" s="1176"/>
      <c r="PML718" s="1176"/>
      <c r="PMM718" s="1176"/>
      <c r="PMN718" s="1176"/>
      <c r="PMO718" s="1176"/>
      <c r="PMP718" s="1176"/>
      <c r="PMQ718" s="1176"/>
      <c r="PMR718" s="1176"/>
      <c r="PMS718" s="1176"/>
      <c r="PMT718" s="1176"/>
      <c r="PMU718" s="1176"/>
      <c r="PMV718" s="1176"/>
      <c r="PMW718" s="1176"/>
      <c r="PMX718" s="1176"/>
      <c r="PMY718" s="1176"/>
      <c r="PMZ718" s="1176"/>
      <c r="PNA718" s="1176"/>
      <c r="PNB718" s="1176"/>
      <c r="PNC718" s="1176"/>
      <c r="PND718" s="1176"/>
      <c r="PNE718" s="1176"/>
      <c r="PNF718" s="1176"/>
      <c r="PNG718" s="1176"/>
      <c r="PNH718" s="1176"/>
      <c r="PNI718" s="1176"/>
      <c r="PNJ718" s="1176"/>
      <c r="PNK718" s="1176"/>
      <c r="PNL718" s="1176"/>
      <c r="PNM718" s="1176"/>
      <c r="PNN718" s="1176"/>
      <c r="PNO718" s="1176"/>
      <c r="PNP718" s="1176"/>
      <c r="PNQ718" s="1176"/>
      <c r="PNR718" s="1176"/>
      <c r="PNS718" s="1176"/>
      <c r="PNT718" s="1176"/>
      <c r="PNU718" s="1176"/>
      <c r="PNV718" s="1176"/>
      <c r="PNW718" s="1176"/>
      <c r="PNX718" s="1176"/>
      <c r="PNY718" s="1176"/>
      <c r="PNZ718" s="1176"/>
      <c r="POA718" s="1176"/>
      <c r="POB718" s="1176"/>
      <c r="POC718" s="1176"/>
      <c r="POD718" s="1176"/>
      <c r="POE718" s="1176"/>
      <c r="POF718" s="1176"/>
      <c r="POG718" s="1176"/>
      <c r="POH718" s="1176"/>
      <c r="POI718" s="1176"/>
      <c r="POJ718" s="1176"/>
      <c r="POK718" s="1176"/>
      <c r="POL718" s="1176"/>
      <c r="POM718" s="1176"/>
      <c r="PON718" s="1176"/>
      <c r="POO718" s="1176"/>
      <c r="POP718" s="1176"/>
      <c r="POQ718" s="1176"/>
      <c r="POR718" s="1176"/>
      <c r="POS718" s="1176"/>
      <c r="POT718" s="1176"/>
      <c r="POU718" s="1176"/>
      <c r="POV718" s="1176"/>
      <c r="POW718" s="1176"/>
      <c r="POX718" s="1176"/>
      <c r="POY718" s="1176"/>
      <c r="POZ718" s="1176"/>
      <c r="PPA718" s="1176"/>
      <c r="PPB718" s="1176"/>
      <c r="PPC718" s="1176"/>
      <c r="PPD718" s="1176"/>
      <c r="PPE718" s="1176"/>
      <c r="PPF718" s="1176"/>
      <c r="PPG718" s="1176"/>
      <c r="PPH718" s="1176"/>
      <c r="PPI718" s="1176"/>
      <c r="PPJ718" s="1176"/>
      <c r="PPK718" s="1176"/>
      <c r="PPL718" s="1176"/>
      <c r="PPM718" s="1176"/>
      <c r="PPN718" s="1176"/>
      <c r="PPO718" s="1176"/>
      <c r="PPP718" s="1176"/>
      <c r="PPQ718" s="1176"/>
      <c r="PPR718" s="1176"/>
      <c r="PPS718" s="1176"/>
      <c r="PPT718" s="1176"/>
      <c r="PPU718" s="1176"/>
      <c r="PPV718" s="1176"/>
      <c r="PPW718" s="1176"/>
      <c r="PPX718" s="1176"/>
      <c r="PPY718" s="1176"/>
      <c r="PPZ718" s="1176"/>
      <c r="PQA718" s="1176"/>
      <c r="PQB718" s="1176"/>
      <c r="PQC718" s="1176"/>
      <c r="PQD718" s="1176"/>
      <c r="PQE718" s="1176"/>
      <c r="PQF718" s="1176"/>
      <c r="PQG718" s="1176"/>
      <c r="PQH718" s="1176"/>
      <c r="PQI718" s="1176"/>
      <c r="PQJ718" s="1176"/>
      <c r="PQK718" s="1176"/>
      <c r="PQL718" s="1176"/>
      <c r="PQM718" s="1176"/>
      <c r="PQN718" s="1176"/>
      <c r="PQO718" s="1176"/>
      <c r="PQP718" s="1176"/>
      <c r="PQQ718" s="1176"/>
      <c r="PQR718" s="1176"/>
      <c r="PQS718" s="1176"/>
      <c r="PQT718" s="1176"/>
      <c r="PQU718" s="1176"/>
      <c r="PQV718" s="1176"/>
      <c r="PQW718" s="1176"/>
      <c r="PQX718" s="1176"/>
      <c r="PQY718" s="1176"/>
      <c r="PQZ718" s="1176"/>
      <c r="PRA718" s="1176"/>
      <c r="PRB718" s="1176"/>
      <c r="PRC718" s="1176"/>
      <c r="PRD718" s="1176"/>
      <c r="PRE718" s="1176"/>
      <c r="PRF718" s="1176"/>
      <c r="PRG718" s="1176"/>
      <c r="PRH718" s="1176"/>
      <c r="PRI718" s="1176"/>
      <c r="PRJ718" s="1176"/>
      <c r="PRK718" s="1176"/>
      <c r="PRL718" s="1176"/>
      <c r="PRM718" s="1176"/>
      <c r="PRN718" s="1176"/>
      <c r="PRO718" s="1176"/>
      <c r="PRP718" s="1176"/>
      <c r="PRQ718" s="1176"/>
      <c r="PRR718" s="1176"/>
      <c r="PRS718" s="1176"/>
      <c r="PRT718" s="1176"/>
      <c r="PRU718" s="1176"/>
      <c r="PRV718" s="1176"/>
      <c r="PRW718" s="1176"/>
      <c r="PRX718" s="1176"/>
      <c r="PRY718" s="1176"/>
      <c r="PRZ718" s="1176"/>
      <c r="PSA718" s="1176"/>
      <c r="PSB718" s="1176"/>
      <c r="PSC718" s="1176"/>
      <c r="PSD718" s="1176"/>
      <c r="PSE718" s="1176"/>
      <c r="PSF718" s="1176"/>
      <c r="PSG718" s="1176"/>
      <c r="PSH718" s="1176"/>
      <c r="PSI718" s="1176"/>
      <c r="PSJ718" s="1176"/>
      <c r="PSK718" s="1176"/>
      <c r="PSL718" s="1176"/>
      <c r="PSM718" s="1176"/>
      <c r="PSN718" s="1176"/>
      <c r="PSO718" s="1176"/>
      <c r="PSP718" s="1176"/>
      <c r="PSQ718" s="1176"/>
      <c r="PSR718" s="1176"/>
      <c r="PSS718" s="1176"/>
      <c r="PST718" s="1176"/>
      <c r="PSU718" s="1176"/>
      <c r="PSV718" s="1176"/>
      <c r="PSW718" s="1176"/>
      <c r="PSX718" s="1176"/>
      <c r="PSY718" s="1176"/>
      <c r="PSZ718" s="1176"/>
      <c r="PTA718" s="1176"/>
      <c r="PTB718" s="1176"/>
      <c r="PTC718" s="1176"/>
      <c r="PTD718" s="1176"/>
      <c r="PTE718" s="1176"/>
      <c r="PTF718" s="1176"/>
      <c r="PTG718" s="1176"/>
      <c r="PTH718" s="1176"/>
      <c r="PTI718" s="1176"/>
      <c r="PTJ718" s="1176"/>
      <c r="PTK718" s="1176"/>
      <c r="PTL718" s="1176"/>
      <c r="PTM718" s="1176"/>
      <c r="PTN718" s="1176"/>
      <c r="PTO718" s="1176"/>
      <c r="PTP718" s="1176"/>
      <c r="PTQ718" s="1176"/>
      <c r="PTR718" s="1176"/>
      <c r="PTS718" s="1176"/>
      <c r="PTT718" s="1176"/>
      <c r="PTU718" s="1176"/>
      <c r="PTV718" s="1176"/>
      <c r="PTW718" s="1176"/>
      <c r="PTX718" s="1176"/>
      <c r="PTY718" s="1176"/>
      <c r="PTZ718" s="1176"/>
      <c r="PUA718" s="1176"/>
      <c r="PUB718" s="1176"/>
      <c r="PUC718" s="1176"/>
      <c r="PUD718" s="1176"/>
      <c r="PUE718" s="1176"/>
      <c r="PUF718" s="1176"/>
      <c r="PUG718" s="1176"/>
      <c r="PUH718" s="1176"/>
      <c r="PUI718" s="1176"/>
      <c r="PUJ718" s="1176"/>
      <c r="PUK718" s="1176"/>
      <c r="PUL718" s="1176"/>
      <c r="PUM718" s="1176"/>
      <c r="PUN718" s="1176"/>
      <c r="PUO718" s="1176"/>
      <c r="PUP718" s="1176"/>
      <c r="PUQ718" s="1176"/>
      <c r="PUR718" s="1176"/>
      <c r="PUS718" s="1176"/>
      <c r="PUT718" s="1176"/>
      <c r="PUU718" s="1176"/>
      <c r="PUV718" s="1176"/>
      <c r="PUW718" s="1176"/>
      <c r="PUX718" s="1176"/>
      <c r="PUY718" s="1176"/>
      <c r="PUZ718" s="1176"/>
      <c r="PVA718" s="1176"/>
      <c r="PVB718" s="1176"/>
      <c r="PVC718" s="1176"/>
      <c r="PVD718" s="1176"/>
      <c r="PVE718" s="1176"/>
      <c r="PVF718" s="1176"/>
      <c r="PVG718" s="1176"/>
      <c r="PVH718" s="1176"/>
      <c r="PVI718" s="1176"/>
      <c r="PVJ718" s="1176"/>
      <c r="PVK718" s="1176"/>
      <c r="PVL718" s="1176"/>
      <c r="PVM718" s="1176"/>
      <c r="PVN718" s="1176"/>
      <c r="PVO718" s="1176"/>
      <c r="PVP718" s="1176"/>
      <c r="PVQ718" s="1176"/>
      <c r="PVR718" s="1176"/>
      <c r="PVS718" s="1176"/>
      <c r="PVT718" s="1176"/>
      <c r="PVU718" s="1176"/>
      <c r="PVV718" s="1176"/>
      <c r="PVW718" s="1176"/>
      <c r="PVX718" s="1176"/>
      <c r="PVY718" s="1176"/>
      <c r="PVZ718" s="1176"/>
      <c r="PWA718" s="1176"/>
      <c r="PWB718" s="1176"/>
      <c r="PWC718" s="1176"/>
      <c r="PWD718" s="1176"/>
      <c r="PWE718" s="1176"/>
      <c r="PWF718" s="1176"/>
      <c r="PWG718" s="1176"/>
      <c r="PWH718" s="1176"/>
      <c r="PWI718" s="1176"/>
      <c r="PWJ718" s="1176"/>
      <c r="PWK718" s="1176"/>
      <c r="PWL718" s="1176"/>
      <c r="PWM718" s="1176"/>
      <c r="PWN718" s="1176"/>
      <c r="PWO718" s="1176"/>
      <c r="PWP718" s="1176"/>
      <c r="PWQ718" s="1176"/>
      <c r="PWR718" s="1176"/>
      <c r="PWS718" s="1176"/>
      <c r="PWT718" s="1176"/>
      <c r="PWU718" s="1176"/>
      <c r="PWV718" s="1176"/>
      <c r="PWW718" s="1176"/>
      <c r="PWX718" s="1176"/>
      <c r="PWY718" s="1176"/>
      <c r="PWZ718" s="1176"/>
      <c r="PXA718" s="1176"/>
      <c r="PXB718" s="1176"/>
      <c r="PXC718" s="1176"/>
      <c r="PXD718" s="1176"/>
      <c r="PXE718" s="1176"/>
      <c r="PXF718" s="1176"/>
      <c r="PXG718" s="1176"/>
      <c r="PXH718" s="1176"/>
      <c r="PXI718" s="1176"/>
      <c r="PXJ718" s="1176"/>
      <c r="PXK718" s="1176"/>
      <c r="PXL718" s="1176"/>
      <c r="PXM718" s="1176"/>
      <c r="PXN718" s="1176"/>
      <c r="PXO718" s="1176"/>
      <c r="PXP718" s="1176"/>
      <c r="PXQ718" s="1176"/>
      <c r="PXR718" s="1176"/>
      <c r="PXS718" s="1176"/>
      <c r="PXT718" s="1176"/>
      <c r="PXU718" s="1176"/>
      <c r="PXV718" s="1176"/>
      <c r="PXW718" s="1176"/>
      <c r="PXX718" s="1176"/>
      <c r="PXY718" s="1176"/>
      <c r="PXZ718" s="1176"/>
      <c r="PYA718" s="1176"/>
      <c r="PYB718" s="1176"/>
      <c r="PYC718" s="1176"/>
      <c r="PYD718" s="1176"/>
      <c r="PYE718" s="1176"/>
      <c r="PYF718" s="1176"/>
      <c r="PYG718" s="1176"/>
      <c r="PYH718" s="1176"/>
      <c r="PYI718" s="1176"/>
      <c r="PYJ718" s="1176"/>
      <c r="PYK718" s="1176"/>
      <c r="PYL718" s="1176"/>
      <c r="PYM718" s="1176"/>
      <c r="PYN718" s="1176"/>
      <c r="PYO718" s="1176"/>
      <c r="PYP718" s="1176"/>
      <c r="PYQ718" s="1176"/>
      <c r="PYR718" s="1176"/>
      <c r="PYS718" s="1176"/>
      <c r="PYT718" s="1176"/>
      <c r="PYU718" s="1176"/>
      <c r="PYV718" s="1176"/>
      <c r="PYW718" s="1176"/>
      <c r="PYX718" s="1176"/>
      <c r="PYY718" s="1176"/>
      <c r="PYZ718" s="1176"/>
      <c r="PZA718" s="1176"/>
      <c r="PZB718" s="1176"/>
      <c r="PZC718" s="1176"/>
      <c r="PZD718" s="1176"/>
      <c r="PZE718" s="1176"/>
      <c r="PZF718" s="1176"/>
      <c r="PZG718" s="1176"/>
      <c r="PZH718" s="1176"/>
      <c r="PZI718" s="1176"/>
      <c r="PZJ718" s="1176"/>
      <c r="PZK718" s="1176"/>
      <c r="PZL718" s="1176"/>
      <c r="PZM718" s="1176"/>
      <c r="PZN718" s="1176"/>
      <c r="PZO718" s="1176"/>
      <c r="PZP718" s="1176"/>
      <c r="PZQ718" s="1176"/>
      <c r="PZR718" s="1176"/>
      <c r="PZS718" s="1176"/>
      <c r="PZT718" s="1176"/>
      <c r="PZU718" s="1176"/>
      <c r="PZV718" s="1176"/>
      <c r="PZW718" s="1176"/>
      <c r="PZX718" s="1176"/>
      <c r="PZY718" s="1176"/>
      <c r="PZZ718" s="1176"/>
      <c r="QAA718" s="1176"/>
      <c r="QAB718" s="1176"/>
      <c r="QAC718" s="1176"/>
      <c r="QAD718" s="1176"/>
      <c r="QAE718" s="1176"/>
      <c r="QAF718" s="1176"/>
      <c r="QAG718" s="1176"/>
      <c r="QAH718" s="1176"/>
      <c r="QAI718" s="1176"/>
      <c r="QAJ718" s="1176"/>
      <c r="QAK718" s="1176"/>
      <c r="QAL718" s="1176"/>
      <c r="QAM718" s="1176"/>
      <c r="QAN718" s="1176"/>
      <c r="QAO718" s="1176"/>
      <c r="QAP718" s="1176"/>
      <c r="QAQ718" s="1176"/>
      <c r="QAR718" s="1176"/>
      <c r="QAS718" s="1176"/>
      <c r="QAT718" s="1176"/>
      <c r="QAU718" s="1176"/>
      <c r="QAV718" s="1176"/>
      <c r="QAW718" s="1176"/>
      <c r="QAX718" s="1176"/>
      <c r="QAY718" s="1176"/>
      <c r="QAZ718" s="1176"/>
      <c r="QBA718" s="1176"/>
      <c r="QBB718" s="1176"/>
      <c r="QBC718" s="1176"/>
      <c r="QBD718" s="1176"/>
      <c r="QBE718" s="1176"/>
      <c r="QBF718" s="1176"/>
      <c r="QBG718" s="1176"/>
      <c r="QBH718" s="1176"/>
      <c r="QBI718" s="1176"/>
      <c r="QBJ718" s="1176"/>
      <c r="QBK718" s="1176"/>
      <c r="QBL718" s="1176"/>
      <c r="QBM718" s="1176"/>
      <c r="QBN718" s="1176"/>
      <c r="QBO718" s="1176"/>
      <c r="QBP718" s="1176"/>
      <c r="QBQ718" s="1176"/>
      <c r="QBR718" s="1176"/>
      <c r="QBS718" s="1176"/>
      <c r="QBT718" s="1176"/>
      <c r="QBU718" s="1176"/>
      <c r="QBV718" s="1176"/>
      <c r="QBW718" s="1176"/>
      <c r="QBX718" s="1176"/>
      <c r="QBY718" s="1176"/>
      <c r="QBZ718" s="1176"/>
      <c r="QCA718" s="1176"/>
      <c r="QCB718" s="1176"/>
      <c r="QCC718" s="1176"/>
      <c r="QCD718" s="1176"/>
      <c r="QCE718" s="1176"/>
      <c r="QCF718" s="1176"/>
      <c r="QCG718" s="1176"/>
      <c r="QCH718" s="1176"/>
      <c r="QCI718" s="1176"/>
      <c r="QCJ718" s="1176"/>
      <c r="QCK718" s="1176"/>
      <c r="QCL718" s="1176"/>
      <c r="QCM718" s="1176"/>
      <c r="QCN718" s="1176"/>
      <c r="QCO718" s="1176"/>
      <c r="QCP718" s="1176"/>
      <c r="QCQ718" s="1176"/>
      <c r="QCR718" s="1176"/>
      <c r="QCS718" s="1176"/>
      <c r="QCT718" s="1176"/>
      <c r="QCU718" s="1176"/>
      <c r="QCV718" s="1176"/>
      <c r="QCW718" s="1176"/>
      <c r="QCX718" s="1176"/>
      <c r="QCY718" s="1176"/>
      <c r="QCZ718" s="1176"/>
      <c r="QDA718" s="1176"/>
      <c r="QDB718" s="1176"/>
      <c r="QDC718" s="1176"/>
      <c r="QDD718" s="1176"/>
      <c r="QDE718" s="1176"/>
      <c r="QDF718" s="1176"/>
      <c r="QDG718" s="1176"/>
      <c r="QDH718" s="1176"/>
      <c r="QDI718" s="1176"/>
      <c r="QDJ718" s="1176"/>
      <c r="QDK718" s="1176"/>
      <c r="QDL718" s="1176"/>
      <c r="QDM718" s="1176"/>
      <c r="QDN718" s="1176"/>
      <c r="QDO718" s="1176"/>
      <c r="QDP718" s="1176"/>
      <c r="QDQ718" s="1176"/>
      <c r="QDR718" s="1176"/>
      <c r="QDS718" s="1176"/>
      <c r="QDT718" s="1176"/>
      <c r="QDU718" s="1176"/>
      <c r="QDV718" s="1176"/>
      <c r="QDW718" s="1176"/>
      <c r="QDX718" s="1176"/>
      <c r="QDY718" s="1176"/>
      <c r="QDZ718" s="1176"/>
      <c r="QEA718" s="1176"/>
      <c r="QEB718" s="1176"/>
      <c r="QEC718" s="1176"/>
      <c r="QED718" s="1176"/>
      <c r="QEE718" s="1176"/>
      <c r="QEF718" s="1176"/>
      <c r="QEG718" s="1176"/>
      <c r="QEH718" s="1176"/>
      <c r="QEI718" s="1176"/>
      <c r="QEJ718" s="1176"/>
      <c r="QEK718" s="1176"/>
      <c r="QEL718" s="1176"/>
      <c r="QEM718" s="1176"/>
      <c r="QEN718" s="1176"/>
      <c r="QEO718" s="1176"/>
      <c r="QEP718" s="1176"/>
      <c r="QEQ718" s="1176"/>
      <c r="QER718" s="1176"/>
      <c r="QES718" s="1176"/>
      <c r="QET718" s="1176"/>
      <c r="QEU718" s="1176"/>
      <c r="QEV718" s="1176"/>
      <c r="QEW718" s="1176"/>
      <c r="QEX718" s="1176"/>
      <c r="QEY718" s="1176"/>
      <c r="QEZ718" s="1176"/>
      <c r="QFA718" s="1176"/>
      <c r="QFB718" s="1176"/>
      <c r="QFC718" s="1176"/>
      <c r="QFD718" s="1176"/>
      <c r="QFE718" s="1176"/>
      <c r="QFF718" s="1176"/>
      <c r="QFG718" s="1176"/>
      <c r="QFH718" s="1176"/>
      <c r="QFI718" s="1176"/>
      <c r="QFJ718" s="1176"/>
      <c r="QFK718" s="1176"/>
      <c r="QFL718" s="1176"/>
      <c r="QFM718" s="1176"/>
      <c r="QFN718" s="1176"/>
      <c r="QFO718" s="1176"/>
      <c r="QFP718" s="1176"/>
      <c r="QFQ718" s="1176"/>
      <c r="QFR718" s="1176"/>
      <c r="QFS718" s="1176"/>
      <c r="QFT718" s="1176"/>
      <c r="QFU718" s="1176"/>
      <c r="QFV718" s="1176"/>
      <c r="QFW718" s="1176"/>
      <c r="QFX718" s="1176"/>
      <c r="QFY718" s="1176"/>
      <c r="QFZ718" s="1176"/>
      <c r="QGA718" s="1176"/>
      <c r="QGB718" s="1176"/>
      <c r="QGC718" s="1176"/>
      <c r="QGD718" s="1176"/>
      <c r="QGE718" s="1176"/>
      <c r="QGF718" s="1176"/>
      <c r="QGG718" s="1176"/>
      <c r="QGH718" s="1176"/>
      <c r="QGI718" s="1176"/>
      <c r="QGJ718" s="1176"/>
      <c r="QGK718" s="1176"/>
      <c r="QGL718" s="1176"/>
      <c r="QGM718" s="1176"/>
      <c r="QGN718" s="1176"/>
      <c r="QGO718" s="1176"/>
      <c r="QGP718" s="1176"/>
      <c r="QGQ718" s="1176"/>
      <c r="QGR718" s="1176"/>
      <c r="QGS718" s="1176"/>
      <c r="QGT718" s="1176"/>
      <c r="QGU718" s="1176"/>
      <c r="QGV718" s="1176"/>
      <c r="QGW718" s="1176"/>
      <c r="QGX718" s="1176"/>
      <c r="QGY718" s="1176"/>
      <c r="QGZ718" s="1176"/>
      <c r="QHA718" s="1176"/>
      <c r="QHB718" s="1176"/>
      <c r="QHC718" s="1176"/>
      <c r="QHD718" s="1176"/>
      <c r="QHE718" s="1176"/>
      <c r="QHF718" s="1176"/>
      <c r="QHG718" s="1176"/>
      <c r="QHH718" s="1176"/>
      <c r="QHI718" s="1176"/>
      <c r="QHJ718" s="1176"/>
      <c r="QHK718" s="1176"/>
      <c r="QHL718" s="1176"/>
      <c r="QHM718" s="1176"/>
      <c r="QHN718" s="1176"/>
      <c r="QHO718" s="1176"/>
      <c r="QHP718" s="1176"/>
      <c r="QHQ718" s="1176"/>
      <c r="QHR718" s="1176"/>
      <c r="QHS718" s="1176"/>
      <c r="QHT718" s="1176"/>
      <c r="QHU718" s="1176"/>
      <c r="QHV718" s="1176"/>
      <c r="QHW718" s="1176"/>
      <c r="QHX718" s="1176"/>
      <c r="QHY718" s="1176"/>
      <c r="QHZ718" s="1176"/>
      <c r="QIA718" s="1176"/>
      <c r="QIB718" s="1176"/>
      <c r="QIC718" s="1176"/>
      <c r="QID718" s="1176"/>
      <c r="QIE718" s="1176"/>
      <c r="QIF718" s="1176"/>
      <c r="QIG718" s="1176"/>
      <c r="QIH718" s="1176"/>
      <c r="QII718" s="1176"/>
      <c r="QIJ718" s="1176"/>
      <c r="QIK718" s="1176"/>
      <c r="QIL718" s="1176"/>
      <c r="QIM718" s="1176"/>
      <c r="QIN718" s="1176"/>
      <c r="QIO718" s="1176"/>
      <c r="QIP718" s="1176"/>
      <c r="QIQ718" s="1176"/>
      <c r="QIR718" s="1176"/>
      <c r="QIS718" s="1176"/>
      <c r="QIT718" s="1176"/>
      <c r="QIU718" s="1176"/>
      <c r="QIV718" s="1176"/>
      <c r="QIW718" s="1176"/>
      <c r="QIX718" s="1176"/>
      <c r="QIY718" s="1176"/>
      <c r="QIZ718" s="1176"/>
      <c r="QJA718" s="1176"/>
      <c r="QJB718" s="1176"/>
      <c r="QJC718" s="1176"/>
      <c r="QJD718" s="1176"/>
      <c r="QJE718" s="1176"/>
      <c r="QJF718" s="1176"/>
      <c r="QJG718" s="1176"/>
      <c r="QJH718" s="1176"/>
      <c r="QJI718" s="1176"/>
      <c r="QJJ718" s="1176"/>
      <c r="QJK718" s="1176"/>
      <c r="QJL718" s="1176"/>
      <c r="QJM718" s="1176"/>
      <c r="QJN718" s="1176"/>
      <c r="QJO718" s="1176"/>
      <c r="QJP718" s="1176"/>
      <c r="QJQ718" s="1176"/>
      <c r="QJR718" s="1176"/>
      <c r="QJS718" s="1176"/>
      <c r="QJT718" s="1176"/>
      <c r="QJU718" s="1176"/>
      <c r="QJV718" s="1176"/>
      <c r="QJW718" s="1176"/>
      <c r="QJX718" s="1176"/>
      <c r="QJY718" s="1176"/>
      <c r="QJZ718" s="1176"/>
      <c r="QKA718" s="1176"/>
      <c r="QKB718" s="1176"/>
      <c r="QKC718" s="1176"/>
      <c r="QKD718" s="1176"/>
      <c r="QKE718" s="1176"/>
      <c r="QKF718" s="1176"/>
      <c r="QKG718" s="1176"/>
      <c r="QKH718" s="1176"/>
      <c r="QKI718" s="1176"/>
      <c r="QKJ718" s="1176"/>
      <c r="QKK718" s="1176"/>
      <c r="QKL718" s="1176"/>
      <c r="QKM718" s="1176"/>
      <c r="QKN718" s="1176"/>
      <c r="QKO718" s="1176"/>
      <c r="QKP718" s="1176"/>
      <c r="QKQ718" s="1176"/>
      <c r="QKR718" s="1176"/>
      <c r="QKS718" s="1176"/>
      <c r="QKT718" s="1176"/>
      <c r="QKU718" s="1176"/>
      <c r="QKV718" s="1176"/>
      <c r="QKW718" s="1176"/>
      <c r="QKX718" s="1176"/>
      <c r="QKY718" s="1176"/>
      <c r="QKZ718" s="1176"/>
      <c r="QLA718" s="1176"/>
      <c r="QLB718" s="1176"/>
      <c r="QLC718" s="1176"/>
      <c r="QLD718" s="1176"/>
      <c r="QLE718" s="1176"/>
      <c r="QLF718" s="1176"/>
      <c r="QLG718" s="1176"/>
      <c r="QLH718" s="1176"/>
      <c r="QLI718" s="1176"/>
      <c r="QLJ718" s="1176"/>
      <c r="QLK718" s="1176"/>
      <c r="QLL718" s="1176"/>
      <c r="QLM718" s="1176"/>
      <c r="QLN718" s="1176"/>
      <c r="QLO718" s="1176"/>
      <c r="QLP718" s="1176"/>
      <c r="QLQ718" s="1176"/>
      <c r="QLR718" s="1176"/>
      <c r="QLS718" s="1176"/>
      <c r="QLT718" s="1176"/>
      <c r="QLU718" s="1176"/>
      <c r="QLV718" s="1176"/>
      <c r="QLW718" s="1176"/>
      <c r="QLX718" s="1176"/>
      <c r="QLY718" s="1176"/>
      <c r="QLZ718" s="1176"/>
      <c r="QMA718" s="1176"/>
      <c r="QMB718" s="1176"/>
      <c r="QMC718" s="1176"/>
      <c r="QMD718" s="1176"/>
      <c r="QME718" s="1176"/>
      <c r="QMF718" s="1176"/>
      <c r="QMG718" s="1176"/>
      <c r="QMH718" s="1176"/>
      <c r="QMI718" s="1176"/>
      <c r="QMJ718" s="1176"/>
      <c r="QMK718" s="1176"/>
      <c r="QML718" s="1176"/>
      <c r="QMM718" s="1176"/>
      <c r="QMN718" s="1176"/>
      <c r="QMO718" s="1176"/>
      <c r="QMP718" s="1176"/>
      <c r="QMQ718" s="1176"/>
      <c r="QMR718" s="1176"/>
      <c r="QMS718" s="1176"/>
      <c r="QMT718" s="1176"/>
      <c r="QMU718" s="1176"/>
      <c r="QMV718" s="1176"/>
      <c r="QMW718" s="1176"/>
      <c r="QMX718" s="1176"/>
      <c r="QMY718" s="1176"/>
      <c r="QMZ718" s="1176"/>
      <c r="QNA718" s="1176"/>
      <c r="QNB718" s="1176"/>
      <c r="QNC718" s="1176"/>
      <c r="QND718" s="1176"/>
      <c r="QNE718" s="1176"/>
      <c r="QNF718" s="1176"/>
      <c r="QNG718" s="1176"/>
      <c r="QNH718" s="1176"/>
      <c r="QNI718" s="1176"/>
      <c r="QNJ718" s="1176"/>
      <c r="QNK718" s="1176"/>
      <c r="QNL718" s="1176"/>
      <c r="QNM718" s="1176"/>
      <c r="QNN718" s="1176"/>
      <c r="QNO718" s="1176"/>
      <c r="QNP718" s="1176"/>
      <c r="QNQ718" s="1176"/>
      <c r="QNR718" s="1176"/>
      <c r="QNS718" s="1176"/>
      <c r="QNT718" s="1176"/>
      <c r="QNU718" s="1176"/>
      <c r="QNV718" s="1176"/>
      <c r="QNW718" s="1176"/>
      <c r="QNX718" s="1176"/>
      <c r="QNY718" s="1176"/>
      <c r="QNZ718" s="1176"/>
      <c r="QOA718" s="1176"/>
      <c r="QOB718" s="1176"/>
      <c r="QOC718" s="1176"/>
      <c r="QOD718" s="1176"/>
      <c r="QOE718" s="1176"/>
      <c r="QOF718" s="1176"/>
      <c r="QOG718" s="1176"/>
      <c r="QOH718" s="1176"/>
      <c r="QOI718" s="1176"/>
      <c r="QOJ718" s="1176"/>
      <c r="QOK718" s="1176"/>
      <c r="QOL718" s="1176"/>
      <c r="QOM718" s="1176"/>
      <c r="QON718" s="1176"/>
      <c r="QOO718" s="1176"/>
      <c r="QOP718" s="1176"/>
      <c r="QOQ718" s="1176"/>
      <c r="QOR718" s="1176"/>
      <c r="QOS718" s="1176"/>
      <c r="QOT718" s="1176"/>
      <c r="QOU718" s="1176"/>
      <c r="QOV718" s="1176"/>
      <c r="QOW718" s="1176"/>
      <c r="QOX718" s="1176"/>
      <c r="QOY718" s="1176"/>
      <c r="QOZ718" s="1176"/>
      <c r="QPA718" s="1176"/>
      <c r="QPB718" s="1176"/>
      <c r="QPC718" s="1176"/>
      <c r="QPD718" s="1176"/>
      <c r="QPE718" s="1176"/>
      <c r="QPF718" s="1176"/>
      <c r="QPG718" s="1176"/>
      <c r="QPH718" s="1176"/>
      <c r="QPI718" s="1176"/>
      <c r="QPJ718" s="1176"/>
      <c r="QPK718" s="1176"/>
      <c r="QPL718" s="1176"/>
      <c r="QPM718" s="1176"/>
      <c r="QPN718" s="1176"/>
      <c r="QPO718" s="1176"/>
      <c r="QPP718" s="1176"/>
      <c r="QPQ718" s="1176"/>
      <c r="QPR718" s="1176"/>
      <c r="QPS718" s="1176"/>
      <c r="QPT718" s="1176"/>
      <c r="QPU718" s="1176"/>
      <c r="QPV718" s="1176"/>
      <c r="QPW718" s="1176"/>
      <c r="QPX718" s="1176"/>
      <c r="QPY718" s="1176"/>
      <c r="QPZ718" s="1176"/>
      <c r="QQA718" s="1176"/>
      <c r="QQB718" s="1176"/>
      <c r="QQC718" s="1176"/>
      <c r="QQD718" s="1176"/>
      <c r="QQE718" s="1176"/>
      <c r="QQF718" s="1176"/>
      <c r="QQG718" s="1176"/>
      <c r="QQH718" s="1176"/>
      <c r="QQI718" s="1176"/>
      <c r="QQJ718" s="1176"/>
      <c r="QQK718" s="1176"/>
      <c r="QQL718" s="1176"/>
      <c r="QQM718" s="1176"/>
      <c r="QQN718" s="1176"/>
      <c r="QQO718" s="1176"/>
      <c r="QQP718" s="1176"/>
      <c r="QQQ718" s="1176"/>
      <c r="QQR718" s="1176"/>
      <c r="QQS718" s="1176"/>
      <c r="QQT718" s="1176"/>
      <c r="QQU718" s="1176"/>
      <c r="QQV718" s="1176"/>
      <c r="QQW718" s="1176"/>
      <c r="QQX718" s="1176"/>
      <c r="QQY718" s="1176"/>
      <c r="QQZ718" s="1176"/>
      <c r="QRA718" s="1176"/>
      <c r="QRB718" s="1176"/>
      <c r="QRC718" s="1176"/>
      <c r="QRD718" s="1176"/>
      <c r="QRE718" s="1176"/>
      <c r="QRF718" s="1176"/>
      <c r="QRG718" s="1176"/>
      <c r="QRH718" s="1176"/>
      <c r="QRI718" s="1176"/>
      <c r="QRJ718" s="1176"/>
      <c r="QRK718" s="1176"/>
      <c r="QRL718" s="1176"/>
      <c r="QRM718" s="1176"/>
      <c r="QRN718" s="1176"/>
      <c r="QRO718" s="1176"/>
      <c r="QRP718" s="1176"/>
      <c r="QRQ718" s="1176"/>
      <c r="QRR718" s="1176"/>
      <c r="QRS718" s="1176"/>
      <c r="QRT718" s="1176"/>
      <c r="QRU718" s="1176"/>
      <c r="QRV718" s="1176"/>
      <c r="QRW718" s="1176"/>
      <c r="QRX718" s="1176"/>
      <c r="QRY718" s="1176"/>
      <c r="QRZ718" s="1176"/>
      <c r="QSA718" s="1176"/>
      <c r="QSB718" s="1176"/>
      <c r="QSC718" s="1176"/>
      <c r="QSD718" s="1176"/>
      <c r="QSE718" s="1176"/>
      <c r="QSF718" s="1176"/>
      <c r="QSG718" s="1176"/>
      <c r="QSH718" s="1176"/>
      <c r="QSI718" s="1176"/>
      <c r="QSJ718" s="1176"/>
      <c r="QSK718" s="1176"/>
      <c r="QSL718" s="1176"/>
      <c r="QSM718" s="1176"/>
      <c r="QSN718" s="1176"/>
      <c r="QSO718" s="1176"/>
      <c r="QSP718" s="1176"/>
      <c r="QSQ718" s="1176"/>
      <c r="QSR718" s="1176"/>
      <c r="QSS718" s="1176"/>
      <c r="QST718" s="1176"/>
      <c r="QSU718" s="1176"/>
      <c r="QSV718" s="1176"/>
      <c r="QSW718" s="1176"/>
      <c r="QSX718" s="1176"/>
      <c r="QSY718" s="1176"/>
      <c r="QSZ718" s="1176"/>
      <c r="QTA718" s="1176"/>
      <c r="QTB718" s="1176"/>
      <c r="QTC718" s="1176"/>
      <c r="QTD718" s="1176"/>
      <c r="QTE718" s="1176"/>
      <c r="QTF718" s="1176"/>
      <c r="QTG718" s="1176"/>
      <c r="QTH718" s="1176"/>
      <c r="QTI718" s="1176"/>
      <c r="QTJ718" s="1176"/>
      <c r="QTK718" s="1176"/>
      <c r="QTL718" s="1176"/>
      <c r="QTM718" s="1176"/>
      <c r="QTN718" s="1176"/>
      <c r="QTO718" s="1176"/>
      <c r="QTP718" s="1176"/>
      <c r="QTQ718" s="1176"/>
      <c r="QTR718" s="1176"/>
      <c r="QTS718" s="1176"/>
      <c r="QTT718" s="1176"/>
      <c r="QTU718" s="1176"/>
      <c r="QTV718" s="1176"/>
      <c r="QTW718" s="1176"/>
      <c r="QTX718" s="1176"/>
      <c r="QTY718" s="1176"/>
      <c r="QTZ718" s="1176"/>
      <c r="QUA718" s="1176"/>
      <c r="QUB718" s="1176"/>
      <c r="QUC718" s="1176"/>
      <c r="QUD718" s="1176"/>
      <c r="QUE718" s="1176"/>
      <c r="QUF718" s="1176"/>
      <c r="QUG718" s="1176"/>
      <c r="QUH718" s="1176"/>
      <c r="QUI718" s="1176"/>
      <c r="QUJ718" s="1176"/>
      <c r="QUK718" s="1176"/>
      <c r="QUL718" s="1176"/>
      <c r="QUM718" s="1176"/>
      <c r="QUN718" s="1176"/>
      <c r="QUO718" s="1176"/>
      <c r="QUP718" s="1176"/>
      <c r="QUQ718" s="1176"/>
      <c r="QUR718" s="1176"/>
      <c r="QUS718" s="1176"/>
      <c r="QUT718" s="1176"/>
      <c r="QUU718" s="1176"/>
      <c r="QUV718" s="1176"/>
      <c r="QUW718" s="1176"/>
      <c r="QUX718" s="1176"/>
      <c r="QUY718" s="1176"/>
      <c r="QUZ718" s="1176"/>
      <c r="QVA718" s="1176"/>
      <c r="QVB718" s="1176"/>
      <c r="QVC718" s="1176"/>
      <c r="QVD718" s="1176"/>
      <c r="QVE718" s="1176"/>
      <c r="QVF718" s="1176"/>
      <c r="QVG718" s="1176"/>
      <c r="QVH718" s="1176"/>
      <c r="QVI718" s="1176"/>
      <c r="QVJ718" s="1176"/>
      <c r="QVK718" s="1176"/>
      <c r="QVL718" s="1176"/>
      <c r="QVM718" s="1176"/>
      <c r="QVN718" s="1176"/>
      <c r="QVO718" s="1176"/>
      <c r="QVP718" s="1176"/>
      <c r="QVQ718" s="1176"/>
      <c r="QVR718" s="1176"/>
      <c r="QVS718" s="1176"/>
      <c r="QVT718" s="1176"/>
      <c r="QVU718" s="1176"/>
      <c r="QVV718" s="1176"/>
      <c r="QVW718" s="1176"/>
      <c r="QVX718" s="1176"/>
      <c r="QVY718" s="1176"/>
      <c r="QVZ718" s="1176"/>
      <c r="QWA718" s="1176"/>
      <c r="QWB718" s="1176"/>
      <c r="QWC718" s="1176"/>
      <c r="QWD718" s="1176"/>
      <c r="QWE718" s="1176"/>
      <c r="QWF718" s="1176"/>
      <c r="QWG718" s="1176"/>
      <c r="QWH718" s="1176"/>
      <c r="QWI718" s="1176"/>
      <c r="QWJ718" s="1176"/>
      <c r="QWK718" s="1176"/>
      <c r="QWL718" s="1176"/>
      <c r="QWM718" s="1176"/>
      <c r="QWN718" s="1176"/>
      <c r="QWO718" s="1176"/>
      <c r="QWP718" s="1176"/>
      <c r="QWQ718" s="1176"/>
      <c r="QWR718" s="1176"/>
      <c r="QWS718" s="1176"/>
      <c r="QWT718" s="1176"/>
      <c r="QWU718" s="1176"/>
      <c r="QWV718" s="1176"/>
      <c r="QWW718" s="1176"/>
      <c r="QWX718" s="1176"/>
      <c r="QWY718" s="1176"/>
      <c r="QWZ718" s="1176"/>
      <c r="QXA718" s="1176"/>
      <c r="QXB718" s="1176"/>
      <c r="QXC718" s="1176"/>
      <c r="QXD718" s="1176"/>
      <c r="QXE718" s="1176"/>
      <c r="QXF718" s="1176"/>
      <c r="QXG718" s="1176"/>
      <c r="QXH718" s="1176"/>
      <c r="QXI718" s="1176"/>
      <c r="QXJ718" s="1176"/>
      <c r="QXK718" s="1176"/>
      <c r="QXL718" s="1176"/>
      <c r="QXM718" s="1176"/>
      <c r="QXN718" s="1176"/>
      <c r="QXO718" s="1176"/>
      <c r="QXP718" s="1176"/>
      <c r="QXQ718" s="1176"/>
      <c r="QXR718" s="1176"/>
      <c r="QXS718" s="1176"/>
      <c r="QXT718" s="1176"/>
      <c r="QXU718" s="1176"/>
      <c r="QXV718" s="1176"/>
      <c r="QXW718" s="1176"/>
      <c r="QXX718" s="1176"/>
      <c r="QXY718" s="1176"/>
      <c r="QXZ718" s="1176"/>
      <c r="QYA718" s="1176"/>
      <c r="QYB718" s="1176"/>
      <c r="QYC718" s="1176"/>
      <c r="QYD718" s="1176"/>
      <c r="QYE718" s="1176"/>
      <c r="QYF718" s="1176"/>
      <c r="QYG718" s="1176"/>
      <c r="QYH718" s="1176"/>
      <c r="QYI718" s="1176"/>
      <c r="QYJ718" s="1176"/>
      <c r="QYK718" s="1176"/>
      <c r="QYL718" s="1176"/>
      <c r="QYM718" s="1176"/>
      <c r="QYN718" s="1176"/>
      <c r="QYO718" s="1176"/>
      <c r="QYP718" s="1176"/>
      <c r="QYQ718" s="1176"/>
      <c r="QYR718" s="1176"/>
      <c r="QYS718" s="1176"/>
      <c r="QYT718" s="1176"/>
      <c r="QYU718" s="1176"/>
      <c r="QYV718" s="1176"/>
      <c r="QYW718" s="1176"/>
      <c r="QYX718" s="1176"/>
      <c r="QYY718" s="1176"/>
      <c r="QYZ718" s="1176"/>
      <c r="QZA718" s="1176"/>
      <c r="QZB718" s="1176"/>
      <c r="QZC718" s="1176"/>
      <c r="QZD718" s="1176"/>
      <c r="QZE718" s="1176"/>
      <c r="QZF718" s="1176"/>
      <c r="QZG718" s="1176"/>
      <c r="QZH718" s="1176"/>
      <c r="QZI718" s="1176"/>
      <c r="QZJ718" s="1176"/>
      <c r="QZK718" s="1176"/>
      <c r="QZL718" s="1176"/>
      <c r="QZM718" s="1176"/>
      <c r="QZN718" s="1176"/>
      <c r="QZO718" s="1176"/>
      <c r="QZP718" s="1176"/>
      <c r="QZQ718" s="1176"/>
      <c r="QZR718" s="1176"/>
      <c r="QZS718" s="1176"/>
      <c r="QZT718" s="1176"/>
      <c r="QZU718" s="1176"/>
      <c r="QZV718" s="1176"/>
      <c r="QZW718" s="1176"/>
      <c r="QZX718" s="1176"/>
      <c r="QZY718" s="1176"/>
      <c r="QZZ718" s="1176"/>
      <c r="RAA718" s="1176"/>
      <c r="RAB718" s="1176"/>
      <c r="RAC718" s="1176"/>
      <c r="RAD718" s="1176"/>
      <c r="RAE718" s="1176"/>
      <c r="RAF718" s="1176"/>
      <c r="RAG718" s="1176"/>
      <c r="RAH718" s="1176"/>
      <c r="RAI718" s="1176"/>
      <c r="RAJ718" s="1176"/>
      <c r="RAK718" s="1176"/>
      <c r="RAL718" s="1176"/>
      <c r="RAM718" s="1176"/>
      <c r="RAN718" s="1176"/>
      <c r="RAO718" s="1176"/>
      <c r="RAP718" s="1176"/>
      <c r="RAQ718" s="1176"/>
      <c r="RAR718" s="1176"/>
      <c r="RAS718" s="1176"/>
      <c r="RAT718" s="1176"/>
      <c r="RAU718" s="1176"/>
      <c r="RAV718" s="1176"/>
      <c r="RAW718" s="1176"/>
      <c r="RAX718" s="1176"/>
      <c r="RAY718" s="1176"/>
      <c r="RAZ718" s="1176"/>
      <c r="RBA718" s="1176"/>
      <c r="RBB718" s="1176"/>
      <c r="RBC718" s="1176"/>
      <c r="RBD718" s="1176"/>
      <c r="RBE718" s="1176"/>
      <c r="RBF718" s="1176"/>
      <c r="RBG718" s="1176"/>
      <c r="RBH718" s="1176"/>
      <c r="RBI718" s="1176"/>
      <c r="RBJ718" s="1176"/>
      <c r="RBK718" s="1176"/>
      <c r="RBL718" s="1176"/>
      <c r="RBM718" s="1176"/>
      <c r="RBN718" s="1176"/>
      <c r="RBO718" s="1176"/>
      <c r="RBP718" s="1176"/>
      <c r="RBQ718" s="1176"/>
      <c r="RBR718" s="1176"/>
      <c r="RBS718" s="1176"/>
      <c r="RBT718" s="1176"/>
      <c r="RBU718" s="1176"/>
      <c r="RBV718" s="1176"/>
      <c r="RBW718" s="1176"/>
      <c r="RBX718" s="1176"/>
      <c r="RBY718" s="1176"/>
      <c r="RBZ718" s="1176"/>
      <c r="RCA718" s="1176"/>
      <c r="RCB718" s="1176"/>
      <c r="RCC718" s="1176"/>
      <c r="RCD718" s="1176"/>
      <c r="RCE718" s="1176"/>
      <c r="RCF718" s="1176"/>
      <c r="RCG718" s="1176"/>
      <c r="RCH718" s="1176"/>
      <c r="RCI718" s="1176"/>
      <c r="RCJ718" s="1176"/>
      <c r="RCK718" s="1176"/>
      <c r="RCL718" s="1176"/>
      <c r="RCM718" s="1176"/>
      <c r="RCN718" s="1176"/>
      <c r="RCO718" s="1176"/>
      <c r="RCP718" s="1176"/>
      <c r="RCQ718" s="1176"/>
      <c r="RCR718" s="1176"/>
      <c r="RCS718" s="1176"/>
      <c r="RCT718" s="1176"/>
      <c r="RCU718" s="1176"/>
      <c r="RCV718" s="1176"/>
      <c r="RCW718" s="1176"/>
      <c r="RCX718" s="1176"/>
      <c r="RCY718" s="1176"/>
      <c r="RCZ718" s="1176"/>
      <c r="RDA718" s="1176"/>
      <c r="RDB718" s="1176"/>
      <c r="RDC718" s="1176"/>
      <c r="RDD718" s="1176"/>
      <c r="RDE718" s="1176"/>
      <c r="RDF718" s="1176"/>
      <c r="RDG718" s="1176"/>
      <c r="RDH718" s="1176"/>
      <c r="RDI718" s="1176"/>
      <c r="RDJ718" s="1176"/>
      <c r="RDK718" s="1176"/>
      <c r="RDL718" s="1176"/>
      <c r="RDM718" s="1176"/>
      <c r="RDN718" s="1176"/>
      <c r="RDO718" s="1176"/>
      <c r="RDP718" s="1176"/>
      <c r="RDQ718" s="1176"/>
      <c r="RDR718" s="1176"/>
      <c r="RDS718" s="1176"/>
      <c r="RDT718" s="1176"/>
      <c r="RDU718" s="1176"/>
      <c r="RDV718" s="1176"/>
      <c r="RDW718" s="1176"/>
      <c r="RDX718" s="1176"/>
      <c r="RDY718" s="1176"/>
      <c r="RDZ718" s="1176"/>
      <c r="REA718" s="1176"/>
      <c r="REB718" s="1176"/>
      <c r="REC718" s="1176"/>
      <c r="RED718" s="1176"/>
      <c r="REE718" s="1176"/>
      <c r="REF718" s="1176"/>
      <c r="REG718" s="1176"/>
      <c r="REH718" s="1176"/>
      <c r="REI718" s="1176"/>
      <c r="REJ718" s="1176"/>
      <c r="REK718" s="1176"/>
      <c r="REL718" s="1176"/>
      <c r="REM718" s="1176"/>
      <c r="REN718" s="1176"/>
      <c r="REO718" s="1176"/>
      <c r="REP718" s="1176"/>
      <c r="REQ718" s="1176"/>
      <c r="RER718" s="1176"/>
      <c r="RES718" s="1176"/>
      <c r="RET718" s="1176"/>
      <c r="REU718" s="1176"/>
      <c r="REV718" s="1176"/>
      <c r="REW718" s="1176"/>
      <c r="REX718" s="1176"/>
      <c r="REY718" s="1176"/>
      <c r="REZ718" s="1176"/>
      <c r="RFA718" s="1176"/>
      <c r="RFB718" s="1176"/>
      <c r="RFC718" s="1176"/>
      <c r="RFD718" s="1176"/>
      <c r="RFE718" s="1176"/>
      <c r="RFF718" s="1176"/>
      <c r="RFG718" s="1176"/>
      <c r="RFH718" s="1176"/>
      <c r="RFI718" s="1176"/>
      <c r="RFJ718" s="1176"/>
      <c r="RFK718" s="1176"/>
      <c r="RFL718" s="1176"/>
      <c r="RFM718" s="1176"/>
      <c r="RFN718" s="1176"/>
      <c r="RFO718" s="1176"/>
      <c r="RFP718" s="1176"/>
      <c r="RFQ718" s="1176"/>
      <c r="RFR718" s="1176"/>
      <c r="RFS718" s="1176"/>
      <c r="RFT718" s="1176"/>
      <c r="RFU718" s="1176"/>
      <c r="RFV718" s="1176"/>
      <c r="RFW718" s="1176"/>
      <c r="RFX718" s="1176"/>
      <c r="RFY718" s="1176"/>
      <c r="RFZ718" s="1176"/>
      <c r="RGA718" s="1176"/>
      <c r="RGB718" s="1176"/>
      <c r="RGC718" s="1176"/>
      <c r="RGD718" s="1176"/>
      <c r="RGE718" s="1176"/>
      <c r="RGF718" s="1176"/>
      <c r="RGG718" s="1176"/>
      <c r="RGH718" s="1176"/>
      <c r="RGI718" s="1176"/>
      <c r="RGJ718" s="1176"/>
      <c r="RGK718" s="1176"/>
      <c r="RGL718" s="1176"/>
      <c r="RGM718" s="1176"/>
      <c r="RGN718" s="1176"/>
      <c r="RGO718" s="1176"/>
      <c r="RGP718" s="1176"/>
      <c r="RGQ718" s="1176"/>
      <c r="RGR718" s="1176"/>
      <c r="RGS718" s="1176"/>
      <c r="RGT718" s="1176"/>
      <c r="RGU718" s="1176"/>
      <c r="RGV718" s="1176"/>
      <c r="RGW718" s="1176"/>
      <c r="RGX718" s="1176"/>
      <c r="RGY718" s="1176"/>
      <c r="RGZ718" s="1176"/>
      <c r="RHA718" s="1176"/>
      <c r="RHB718" s="1176"/>
      <c r="RHC718" s="1176"/>
      <c r="RHD718" s="1176"/>
      <c r="RHE718" s="1176"/>
      <c r="RHF718" s="1176"/>
      <c r="RHG718" s="1176"/>
      <c r="RHH718" s="1176"/>
      <c r="RHI718" s="1176"/>
      <c r="RHJ718" s="1176"/>
      <c r="RHK718" s="1176"/>
      <c r="RHL718" s="1176"/>
      <c r="RHM718" s="1176"/>
      <c r="RHN718" s="1176"/>
      <c r="RHO718" s="1176"/>
      <c r="RHP718" s="1176"/>
      <c r="RHQ718" s="1176"/>
      <c r="RHR718" s="1176"/>
      <c r="RHS718" s="1176"/>
      <c r="RHT718" s="1176"/>
      <c r="RHU718" s="1176"/>
      <c r="RHV718" s="1176"/>
      <c r="RHW718" s="1176"/>
      <c r="RHX718" s="1176"/>
      <c r="RHY718" s="1176"/>
      <c r="RHZ718" s="1176"/>
      <c r="RIA718" s="1176"/>
      <c r="RIB718" s="1176"/>
      <c r="RIC718" s="1176"/>
      <c r="RID718" s="1176"/>
      <c r="RIE718" s="1176"/>
      <c r="RIF718" s="1176"/>
      <c r="RIG718" s="1176"/>
      <c r="RIH718" s="1176"/>
      <c r="RII718" s="1176"/>
      <c r="RIJ718" s="1176"/>
      <c r="RIK718" s="1176"/>
      <c r="RIL718" s="1176"/>
      <c r="RIM718" s="1176"/>
      <c r="RIN718" s="1176"/>
      <c r="RIO718" s="1176"/>
      <c r="RIP718" s="1176"/>
      <c r="RIQ718" s="1176"/>
      <c r="RIR718" s="1176"/>
      <c r="RIS718" s="1176"/>
      <c r="RIT718" s="1176"/>
      <c r="RIU718" s="1176"/>
      <c r="RIV718" s="1176"/>
      <c r="RIW718" s="1176"/>
      <c r="RIX718" s="1176"/>
      <c r="RIY718" s="1176"/>
      <c r="RIZ718" s="1176"/>
      <c r="RJA718" s="1176"/>
      <c r="RJB718" s="1176"/>
      <c r="RJC718" s="1176"/>
      <c r="RJD718" s="1176"/>
      <c r="RJE718" s="1176"/>
      <c r="RJF718" s="1176"/>
      <c r="RJG718" s="1176"/>
      <c r="RJH718" s="1176"/>
      <c r="RJI718" s="1176"/>
      <c r="RJJ718" s="1176"/>
      <c r="RJK718" s="1176"/>
      <c r="RJL718" s="1176"/>
      <c r="RJM718" s="1176"/>
      <c r="RJN718" s="1176"/>
      <c r="RJO718" s="1176"/>
      <c r="RJP718" s="1176"/>
      <c r="RJQ718" s="1176"/>
      <c r="RJR718" s="1176"/>
      <c r="RJS718" s="1176"/>
      <c r="RJT718" s="1176"/>
      <c r="RJU718" s="1176"/>
      <c r="RJV718" s="1176"/>
      <c r="RJW718" s="1176"/>
      <c r="RJX718" s="1176"/>
      <c r="RJY718" s="1176"/>
      <c r="RJZ718" s="1176"/>
      <c r="RKA718" s="1176"/>
      <c r="RKB718" s="1176"/>
      <c r="RKC718" s="1176"/>
      <c r="RKD718" s="1176"/>
      <c r="RKE718" s="1176"/>
      <c r="RKF718" s="1176"/>
      <c r="RKG718" s="1176"/>
      <c r="RKH718" s="1176"/>
      <c r="RKI718" s="1176"/>
      <c r="RKJ718" s="1176"/>
      <c r="RKK718" s="1176"/>
      <c r="RKL718" s="1176"/>
      <c r="RKM718" s="1176"/>
      <c r="RKN718" s="1176"/>
      <c r="RKO718" s="1176"/>
      <c r="RKP718" s="1176"/>
      <c r="RKQ718" s="1176"/>
      <c r="RKR718" s="1176"/>
      <c r="RKS718" s="1176"/>
      <c r="RKT718" s="1176"/>
      <c r="RKU718" s="1176"/>
      <c r="RKV718" s="1176"/>
      <c r="RKW718" s="1176"/>
      <c r="RKX718" s="1176"/>
      <c r="RKY718" s="1176"/>
      <c r="RKZ718" s="1176"/>
      <c r="RLA718" s="1176"/>
      <c r="RLB718" s="1176"/>
      <c r="RLC718" s="1176"/>
      <c r="RLD718" s="1176"/>
      <c r="RLE718" s="1176"/>
      <c r="RLF718" s="1176"/>
      <c r="RLG718" s="1176"/>
      <c r="RLH718" s="1176"/>
      <c r="RLI718" s="1176"/>
      <c r="RLJ718" s="1176"/>
      <c r="RLK718" s="1176"/>
      <c r="RLL718" s="1176"/>
      <c r="RLM718" s="1176"/>
      <c r="RLN718" s="1176"/>
      <c r="RLO718" s="1176"/>
      <c r="RLP718" s="1176"/>
      <c r="RLQ718" s="1176"/>
      <c r="RLR718" s="1176"/>
      <c r="RLS718" s="1176"/>
      <c r="RLT718" s="1176"/>
      <c r="RLU718" s="1176"/>
      <c r="RLV718" s="1176"/>
      <c r="RLW718" s="1176"/>
      <c r="RLX718" s="1176"/>
      <c r="RLY718" s="1176"/>
      <c r="RLZ718" s="1176"/>
      <c r="RMA718" s="1176"/>
      <c r="RMB718" s="1176"/>
      <c r="RMC718" s="1176"/>
      <c r="RMD718" s="1176"/>
      <c r="RME718" s="1176"/>
      <c r="RMF718" s="1176"/>
      <c r="RMG718" s="1176"/>
      <c r="RMH718" s="1176"/>
      <c r="RMI718" s="1176"/>
      <c r="RMJ718" s="1176"/>
      <c r="RMK718" s="1176"/>
      <c r="RML718" s="1176"/>
      <c r="RMM718" s="1176"/>
      <c r="RMN718" s="1176"/>
      <c r="RMO718" s="1176"/>
      <c r="RMP718" s="1176"/>
      <c r="RMQ718" s="1176"/>
      <c r="RMR718" s="1176"/>
      <c r="RMS718" s="1176"/>
      <c r="RMT718" s="1176"/>
      <c r="RMU718" s="1176"/>
      <c r="RMV718" s="1176"/>
      <c r="RMW718" s="1176"/>
      <c r="RMX718" s="1176"/>
      <c r="RMY718" s="1176"/>
      <c r="RMZ718" s="1176"/>
      <c r="RNA718" s="1176"/>
      <c r="RNB718" s="1176"/>
      <c r="RNC718" s="1176"/>
      <c r="RND718" s="1176"/>
      <c r="RNE718" s="1176"/>
      <c r="RNF718" s="1176"/>
      <c r="RNG718" s="1176"/>
      <c r="RNH718" s="1176"/>
      <c r="RNI718" s="1176"/>
      <c r="RNJ718" s="1176"/>
      <c r="RNK718" s="1176"/>
      <c r="RNL718" s="1176"/>
      <c r="RNM718" s="1176"/>
      <c r="RNN718" s="1176"/>
      <c r="RNO718" s="1176"/>
      <c r="RNP718" s="1176"/>
      <c r="RNQ718" s="1176"/>
      <c r="RNR718" s="1176"/>
      <c r="RNS718" s="1176"/>
      <c r="RNT718" s="1176"/>
      <c r="RNU718" s="1176"/>
      <c r="RNV718" s="1176"/>
      <c r="RNW718" s="1176"/>
      <c r="RNX718" s="1176"/>
      <c r="RNY718" s="1176"/>
      <c r="RNZ718" s="1176"/>
      <c r="ROA718" s="1176"/>
      <c r="ROB718" s="1176"/>
      <c r="ROC718" s="1176"/>
      <c r="ROD718" s="1176"/>
      <c r="ROE718" s="1176"/>
      <c r="ROF718" s="1176"/>
      <c r="ROG718" s="1176"/>
      <c r="ROH718" s="1176"/>
      <c r="ROI718" s="1176"/>
      <c r="ROJ718" s="1176"/>
      <c r="ROK718" s="1176"/>
      <c r="ROL718" s="1176"/>
      <c r="ROM718" s="1176"/>
      <c r="RON718" s="1176"/>
      <c r="ROO718" s="1176"/>
      <c r="ROP718" s="1176"/>
      <c r="ROQ718" s="1176"/>
      <c r="ROR718" s="1176"/>
      <c r="ROS718" s="1176"/>
      <c r="ROT718" s="1176"/>
      <c r="ROU718" s="1176"/>
      <c r="ROV718" s="1176"/>
      <c r="ROW718" s="1176"/>
      <c r="ROX718" s="1176"/>
      <c r="ROY718" s="1176"/>
      <c r="ROZ718" s="1176"/>
      <c r="RPA718" s="1176"/>
      <c r="RPB718" s="1176"/>
      <c r="RPC718" s="1176"/>
      <c r="RPD718" s="1176"/>
      <c r="RPE718" s="1176"/>
      <c r="RPF718" s="1176"/>
      <c r="RPG718" s="1176"/>
      <c r="RPH718" s="1176"/>
      <c r="RPI718" s="1176"/>
      <c r="RPJ718" s="1176"/>
      <c r="RPK718" s="1176"/>
      <c r="RPL718" s="1176"/>
      <c r="RPM718" s="1176"/>
      <c r="RPN718" s="1176"/>
      <c r="RPO718" s="1176"/>
      <c r="RPP718" s="1176"/>
      <c r="RPQ718" s="1176"/>
      <c r="RPR718" s="1176"/>
      <c r="RPS718" s="1176"/>
      <c r="RPT718" s="1176"/>
      <c r="RPU718" s="1176"/>
      <c r="RPV718" s="1176"/>
      <c r="RPW718" s="1176"/>
      <c r="RPX718" s="1176"/>
      <c r="RPY718" s="1176"/>
      <c r="RPZ718" s="1176"/>
      <c r="RQA718" s="1176"/>
      <c r="RQB718" s="1176"/>
      <c r="RQC718" s="1176"/>
      <c r="RQD718" s="1176"/>
      <c r="RQE718" s="1176"/>
      <c r="RQF718" s="1176"/>
      <c r="RQG718" s="1176"/>
      <c r="RQH718" s="1176"/>
      <c r="RQI718" s="1176"/>
      <c r="RQJ718" s="1176"/>
      <c r="RQK718" s="1176"/>
      <c r="RQL718" s="1176"/>
      <c r="RQM718" s="1176"/>
      <c r="RQN718" s="1176"/>
      <c r="RQO718" s="1176"/>
      <c r="RQP718" s="1176"/>
      <c r="RQQ718" s="1176"/>
      <c r="RQR718" s="1176"/>
      <c r="RQS718" s="1176"/>
      <c r="RQT718" s="1176"/>
      <c r="RQU718" s="1176"/>
      <c r="RQV718" s="1176"/>
      <c r="RQW718" s="1176"/>
      <c r="RQX718" s="1176"/>
      <c r="RQY718" s="1176"/>
      <c r="RQZ718" s="1176"/>
      <c r="RRA718" s="1176"/>
      <c r="RRB718" s="1176"/>
      <c r="RRC718" s="1176"/>
      <c r="RRD718" s="1176"/>
      <c r="RRE718" s="1176"/>
      <c r="RRF718" s="1176"/>
      <c r="RRG718" s="1176"/>
      <c r="RRH718" s="1176"/>
      <c r="RRI718" s="1176"/>
      <c r="RRJ718" s="1176"/>
      <c r="RRK718" s="1176"/>
      <c r="RRL718" s="1176"/>
      <c r="RRM718" s="1176"/>
      <c r="RRN718" s="1176"/>
      <c r="RRO718" s="1176"/>
      <c r="RRP718" s="1176"/>
      <c r="RRQ718" s="1176"/>
      <c r="RRR718" s="1176"/>
      <c r="RRS718" s="1176"/>
      <c r="RRT718" s="1176"/>
      <c r="RRU718" s="1176"/>
      <c r="RRV718" s="1176"/>
      <c r="RRW718" s="1176"/>
      <c r="RRX718" s="1176"/>
      <c r="RRY718" s="1176"/>
      <c r="RRZ718" s="1176"/>
      <c r="RSA718" s="1176"/>
      <c r="RSB718" s="1176"/>
      <c r="RSC718" s="1176"/>
      <c r="RSD718" s="1176"/>
      <c r="RSE718" s="1176"/>
      <c r="RSF718" s="1176"/>
      <c r="RSG718" s="1176"/>
      <c r="RSH718" s="1176"/>
      <c r="RSI718" s="1176"/>
      <c r="RSJ718" s="1176"/>
      <c r="RSK718" s="1176"/>
      <c r="RSL718" s="1176"/>
      <c r="RSM718" s="1176"/>
      <c r="RSN718" s="1176"/>
      <c r="RSO718" s="1176"/>
      <c r="RSP718" s="1176"/>
      <c r="RSQ718" s="1176"/>
      <c r="RSR718" s="1176"/>
      <c r="RSS718" s="1176"/>
      <c r="RST718" s="1176"/>
      <c r="RSU718" s="1176"/>
      <c r="RSV718" s="1176"/>
      <c r="RSW718" s="1176"/>
      <c r="RSX718" s="1176"/>
      <c r="RSY718" s="1176"/>
      <c r="RSZ718" s="1176"/>
      <c r="RTA718" s="1176"/>
      <c r="RTB718" s="1176"/>
      <c r="RTC718" s="1176"/>
      <c r="RTD718" s="1176"/>
      <c r="RTE718" s="1176"/>
      <c r="RTF718" s="1176"/>
      <c r="RTG718" s="1176"/>
      <c r="RTH718" s="1176"/>
      <c r="RTI718" s="1176"/>
      <c r="RTJ718" s="1176"/>
      <c r="RTK718" s="1176"/>
      <c r="RTL718" s="1176"/>
      <c r="RTM718" s="1176"/>
      <c r="RTN718" s="1176"/>
      <c r="RTO718" s="1176"/>
      <c r="RTP718" s="1176"/>
      <c r="RTQ718" s="1176"/>
      <c r="RTR718" s="1176"/>
      <c r="RTS718" s="1176"/>
      <c r="RTT718" s="1176"/>
      <c r="RTU718" s="1176"/>
      <c r="RTV718" s="1176"/>
      <c r="RTW718" s="1176"/>
      <c r="RTX718" s="1176"/>
      <c r="RTY718" s="1176"/>
      <c r="RTZ718" s="1176"/>
      <c r="RUA718" s="1176"/>
      <c r="RUB718" s="1176"/>
      <c r="RUC718" s="1176"/>
      <c r="RUD718" s="1176"/>
      <c r="RUE718" s="1176"/>
      <c r="RUF718" s="1176"/>
      <c r="RUG718" s="1176"/>
      <c r="RUH718" s="1176"/>
      <c r="RUI718" s="1176"/>
      <c r="RUJ718" s="1176"/>
      <c r="RUK718" s="1176"/>
      <c r="RUL718" s="1176"/>
      <c r="RUM718" s="1176"/>
      <c r="RUN718" s="1176"/>
      <c r="RUO718" s="1176"/>
      <c r="RUP718" s="1176"/>
      <c r="RUQ718" s="1176"/>
      <c r="RUR718" s="1176"/>
      <c r="RUS718" s="1176"/>
      <c r="RUT718" s="1176"/>
      <c r="RUU718" s="1176"/>
      <c r="RUV718" s="1176"/>
      <c r="RUW718" s="1176"/>
      <c r="RUX718" s="1176"/>
      <c r="RUY718" s="1176"/>
      <c r="RUZ718" s="1176"/>
      <c r="RVA718" s="1176"/>
      <c r="RVB718" s="1176"/>
      <c r="RVC718" s="1176"/>
      <c r="RVD718" s="1176"/>
      <c r="RVE718" s="1176"/>
      <c r="RVF718" s="1176"/>
      <c r="RVG718" s="1176"/>
      <c r="RVH718" s="1176"/>
      <c r="RVI718" s="1176"/>
      <c r="RVJ718" s="1176"/>
      <c r="RVK718" s="1176"/>
      <c r="RVL718" s="1176"/>
      <c r="RVM718" s="1176"/>
      <c r="RVN718" s="1176"/>
      <c r="RVO718" s="1176"/>
      <c r="RVP718" s="1176"/>
      <c r="RVQ718" s="1176"/>
      <c r="RVR718" s="1176"/>
      <c r="RVS718" s="1176"/>
      <c r="RVT718" s="1176"/>
      <c r="RVU718" s="1176"/>
      <c r="RVV718" s="1176"/>
      <c r="RVW718" s="1176"/>
      <c r="RVX718" s="1176"/>
      <c r="RVY718" s="1176"/>
      <c r="RVZ718" s="1176"/>
      <c r="RWA718" s="1176"/>
      <c r="RWB718" s="1176"/>
      <c r="RWC718" s="1176"/>
      <c r="RWD718" s="1176"/>
      <c r="RWE718" s="1176"/>
      <c r="RWF718" s="1176"/>
      <c r="RWG718" s="1176"/>
      <c r="RWH718" s="1176"/>
      <c r="RWI718" s="1176"/>
      <c r="RWJ718" s="1176"/>
      <c r="RWK718" s="1176"/>
      <c r="RWL718" s="1176"/>
      <c r="RWM718" s="1176"/>
      <c r="RWN718" s="1176"/>
      <c r="RWO718" s="1176"/>
      <c r="RWP718" s="1176"/>
      <c r="RWQ718" s="1176"/>
      <c r="RWR718" s="1176"/>
      <c r="RWS718" s="1176"/>
      <c r="RWT718" s="1176"/>
      <c r="RWU718" s="1176"/>
      <c r="RWV718" s="1176"/>
      <c r="RWW718" s="1176"/>
      <c r="RWX718" s="1176"/>
      <c r="RWY718" s="1176"/>
      <c r="RWZ718" s="1176"/>
      <c r="RXA718" s="1176"/>
      <c r="RXB718" s="1176"/>
      <c r="RXC718" s="1176"/>
      <c r="RXD718" s="1176"/>
      <c r="RXE718" s="1176"/>
      <c r="RXF718" s="1176"/>
      <c r="RXG718" s="1176"/>
      <c r="RXH718" s="1176"/>
      <c r="RXI718" s="1176"/>
      <c r="RXJ718" s="1176"/>
      <c r="RXK718" s="1176"/>
      <c r="RXL718" s="1176"/>
      <c r="RXM718" s="1176"/>
      <c r="RXN718" s="1176"/>
      <c r="RXO718" s="1176"/>
      <c r="RXP718" s="1176"/>
      <c r="RXQ718" s="1176"/>
      <c r="RXR718" s="1176"/>
      <c r="RXS718" s="1176"/>
      <c r="RXT718" s="1176"/>
      <c r="RXU718" s="1176"/>
      <c r="RXV718" s="1176"/>
      <c r="RXW718" s="1176"/>
      <c r="RXX718" s="1176"/>
      <c r="RXY718" s="1176"/>
      <c r="RXZ718" s="1176"/>
      <c r="RYA718" s="1176"/>
      <c r="RYB718" s="1176"/>
      <c r="RYC718" s="1176"/>
      <c r="RYD718" s="1176"/>
      <c r="RYE718" s="1176"/>
      <c r="RYF718" s="1176"/>
      <c r="RYG718" s="1176"/>
      <c r="RYH718" s="1176"/>
      <c r="RYI718" s="1176"/>
      <c r="RYJ718" s="1176"/>
      <c r="RYK718" s="1176"/>
      <c r="RYL718" s="1176"/>
      <c r="RYM718" s="1176"/>
      <c r="RYN718" s="1176"/>
      <c r="RYO718" s="1176"/>
      <c r="RYP718" s="1176"/>
      <c r="RYQ718" s="1176"/>
      <c r="RYR718" s="1176"/>
      <c r="RYS718" s="1176"/>
      <c r="RYT718" s="1176"/>
      <c r="RYU718" s="1176"/>
      <c r="RYV718" s="1176"/>
      <c r="RYW718" s="1176"/>
      <c r="RYX718" s="1176"/>
      <c r="RYY718" s="1176"/>
      <c r="RYZ718" s="1176"/>
      <c r="RZA718" s="1176"/>
      <c r="RZB718" s="1176"/>
      <c r="RZC718" s="1176"/>
      <c r="RZD718" s="1176"/>
      <c r="RZE718" s="1176"/>
      <c r="RZF718" s="1176"/>
      <c r="RZG718" s="1176"/>
      <c r="RZH718" s="1176"/>
      <c r="RZI718" s="1176"/>
      <c r="RZJ718" s="1176"/>
      <c r="RZK718" s="1176"/>
      <c r="RZL718" s="1176"/>
      <c r="RZM718" s="1176"/>
      <c r="RZN718" s="1176"/>
      <c r="RZO718" s="1176"/>
      <c r="RZP718" s="1176"/>
      <c r="RZQ718" s="1176"/>
      <c r="RZR718" s="1176"/>
      <c r="RZS718" s="1176"/>
      <c r="RZT718" s="1176"/>
      <c r="RZU718" s="1176"/>
      <c r="RZV718" s="1176"/>
      <c r="RZW718" s="1176"/>
      <c r="RZX718" s="1176"/>
      <c r="RZY718" s="1176"/>
      <c r="RZZ718" s="1176"/>
      <c r="SAA718" s="1176"/>
      <c r="SAB718" s="1176"/>
      <c r="SAC718" s="1176"/>
      <c r="SAD718" s="1176"/>
      <c r="SAE718" s="1176"/>
      <c r="SAF718" s="1176"/>
      <c r="SAG718" s="1176"/>
      <c r="SAH718" s="1176"/>
      <c r="SAI718" s="1176"/>
      <c r="SAJ718" s="1176"/>
      <c r="SAK718" s="1176"/>
      <c r="SAL718" s="1176"/>
      <c r="SAM718" s="1176"/>
      <c r="SAN718" s="1176"/>
      <c r="SAO718" s="1176"/>
      <c r="SAP718" s="1176"/>
      <c r="SAQ718" s="1176"/>
      <c r="SAR718" s="1176"/>
      <c r="SAS718" s="1176"/>
      <c r="SAT718" s="1176"/>
      <c r="SAU718" s="1176"/>
      <c r="SAV718" s="1176"/>
      <c r="SAW718" s="1176"/>
      <c r="SAX718" s="1176"/>
      <c r="SAY718" s="1176"/>
      <c r="SAZ718" s="1176"/>
      <c r="SBA718" s="1176"/>
      <c r="SBB718" s="1176"/>
      <c r="SBC718" s="1176"/>
      <c r="SBD718" s="1176"/>
      <c r="SBE718" s="1176"/>
      <c r="SBF718" s="1176"/>
      <c r="SBG718" s="1176"/>
      <c r="SBH718" s="1176"/>
      <c r="SBI718" s="1176"/>
      <c r="SBJ718" s="1176"/>
      <c r="SBK718" s="1176"/>
      <c r="SBL718" s="1176"/>
      <c r="SBM718" s="1176"/>
      <c r="SBN718" s="1176"/>
      <c r="SBO718" s="1176"/>
      <c r="SBP718" s="1176"/>
      <c r="SBQ718" s="1176"/>
      <c r="SBR718" s="1176"/>
      <c r="SBS718" s="1176"/>
      <c r="SBT718" s="1176"/>
      <c r="SBU718" s="1176"/>
      <c r="SBV718" s="1176"/>
      <c r="SBW718" s="1176"/>
      <c r="SBX718" s="1176"/>
      <c r="SBY718" s="1176"/>
      <c r="SBZ718" s="1176"/>
      <c r="SCA718" s="1176"/>
      <c r="SCB718" s="1176"/>
      <c r="SCC718" s="1176"/>
      <c r="SCD718" s="1176"/>
      <c r="SCE718" s="1176"/>
      <c r="SCF718" s="1176"/>
      <c r="SCG718" s="1176"/>
      <c r="SCH718" s="1176"/>
      <c r="SCI718" s="1176"/>
      <c r="SCJ718" s="1176"/>
      <c r="SCK718" s="1176"/>
      <c r="SCL718" s="1176"/>
      <c r="SCM718" s="1176"/>
      <c r="SCN718" s="1176"/>
      <c r="SCO718" s="1176"/>
      <c r="SCP718" s="1176"/>
      <c r="SCQ718" s="1176"/>
      <c r="SCR718" s="1176"/>
      <c r="SCS718" s="1176"/>
      <c r="SCT718" s="1176"/>
      <c r="SCU718" s="1176"/>
      <c r="SCV718" s="1176"/>
      <c r="SCW718" s="1176"/>
      <c r="SCX718" s="1176"/>
      <c r="SCY718" s="1176"/>
      <c r="SCZ718" s="1176"/>
      <c r="SDA718" s="1176"/>
      <c r="SDB718" s="1176"/>
      <c r="SDC718" s="1176"/>
      <c r="SDD718" s="1176"/>
      <c r="SDE718" s="1176"/>
      <c r="SDF718" s="1176"/>
      <c r="SDG718" s="1176"/>
      <c r="SDH718" s="1176"/>
      <c r="SDI718" s="1176"/>
      <c r="SDJ718" s="1176"/>
      <c r="SDK718" s="1176"/>
      <c r="SDL718" s="1176"/>
      <c r="SDM718" s="1176"/>
      <c r="SDN718" s="1176"/>
      <c r="SDO718" s="1176"/>
      <c r="SDP718" s="1176"/>
      <c r="SDQ718" s="1176"/>
      <c r="SDR718" s="1176"/>
      <c r="SDS718" s="1176"/>
      <c r="SDT718" s="1176"/>
      <c r="SDU718" s="1176"/>
      <c r="SDV718" s="1176"/>
      <c r="SDW718" s="1176"/>
      <c r="SDX718" s="1176"/>
      <c r="SDY718" s="1176"/>
      <c r="SDZ718" s="1176"/>
      <c r="SEA718" s="1176"/>
      <c r="SEB718" s="1176"/>
      <c r="SEC718" s="1176"/>
      <c r="SED718" s="1176"/>
      <c r="SEE718" s="1176"/>
      <c r="SEF718" s="1176"/>
      <c r="SEG718" s="1176"/>
      <c r="SEH718" s="1176"/>
      <c r="SEI718" s="1176"/>
      <c r="SEJ718" s="1176"/>
      <c r="SEK718" s="1176"/>
      <c r="SEL718" s="1176"/>
      <c r="SEM718" s="1176"/>
      <c r="SEN718" s="1176"/>
      <c r="SEO718" s="1176"/>
      <c r="SEP718" s="1176"/>
      <c r="SEQ718" s="1176"/>
      <c r="SER718" s="1176"/>
      <c r="SES718" s="1176"/>
      <c r="SET718" s="1176"/>
      <c r="SEU718" s="1176"/>
      <c r="SEV718" s="1176"/>
      <c r="SEW718" s="1176"/>
      <c r="SEX718" s="1176"/>
      <c r="SEY718" s="1176"/>
      <c r="SEZ718" s="1176"/>
      <c r="SFA718" s="1176"/>
      <c r="SFB718" s="1176"/>
      <c r="SFC718" s="1176"/>
      <c r="SFD718" s="1176"/>
      <c r="SFE718" s="1176"/>
      <c r="SFF718" s="1176"/>
      <c r="SFG718" s="1176"/>
      <c r="SFH718" s="1176"/>
      <c r="SFI718" s="1176"/>
      <c r="SFJ718" s="1176"/>
      <c r="SFK718" s="1176"/>
      <c r="SFL718" s="1176"/>
      <c r="SFM718" s="1176"/>
      <c r="SFN718" s="1176"/>
      <c r="SFO718" s="1176"/>
      <c r="SFP718" s="1176"/>
      <c r="SFQ718" s="1176"/>
      <c r="SFR718" s="1176"/>
      <c r="SFS718" s="1176"/>
      <c r="SFT718" s="1176"/>
      <c r="SFU718" s="1176"/>
      <c r="SFV718" s="1176"/>
      <c r="SFW718" s="1176"/>
      <c r="SFX718" s="1176"/>
      <c r="SFY718" s="1176"/>
      <c r="SFZ718" s="1176"/>
      <c r="SGA718" s="1176"/>
      <c r="SGB718" s="1176"/>
      <c r="SGC718" s="1176"/>
      <c r="SGD718" s="1176"/>
      <c r="SGE718" s="1176"/>
      <c r="SGF718" s="1176"/>
      <c r="SGG718" s="1176"/>
      <c r="SGH718" s="1176"/>
      <c r="SGI718" s="1176"/>
      <c r="SGJ718" s="1176"/>
      <c r="SGK718" s="1176"/>
      <c r="SGL718" s="1176"/>
      <c r="SGM718" s="1176"/>
      <c r="SGN718" s="1176"/>
      <c r="SGO718" s="1176"/>
      <c r="SGP718" s="1176"/>
      <c r="SGQ718" s="1176"/>
      <c r="SGR718" s="1176"/>
      <c r="SGS718" s="1176"/>
      <c r="SGT718" s="1176"/>
      <c r="SGU718" s="1176"/>
      <c r="SGV718" s="1176"/>
      <c r="SGW718" s="1176"/>
      <c r="SGX718" s="1176"/>
      <c r="SGY718" s="1176"/>
      <c r="SGZ718" s="1176"/>
      <c r="SHA718" s="1176"/>
      <c r="SHB718" s="1176"/>
      <c r="SHC718" s="1176"/>
      <c r="SHD718" s="1176"/>
      <c r="SHE718" s="1176"/>
      <c r="SHF718" s="1176"/>
      <c r="SHG718" s="1176"/>
      <c r="SHH718" s="1176"/>
      <c r="SHI718" s="1176"/>
      <c r="SHJ718" s="1176"/>
      <c r="SHK718" s="1176"/>
      <c r="SHL718" s="1176"/>
      <c r="SHM718" s="1176"/>
      <c r="SHN718" s="1176"/>
      <c r="SHO718" s="1176"/>
      <c r="SHP718" s="1176"/>
      <c r="SHQ718" s="1176"/>
      <c r="SHR718" s="1176"/>
      <c r="SHS718" s="1176"/>
      <c r="SHT718" s="1176"/>
      <c r="SHU718" s="1176"/>
      <c r="SHV718" s="1176"/>
      <c r="SHW718" s="1176"/>
      <c r="SHX718" s="1176"/>
      <c r="SHY718" s="1176"/>
      <c r="SHZ718" s="1176"/>
      <c r="SIA718" s="1176"/>
      <c r="SIB718" s="1176"/>
      <c r="SIC718" s="1176"/>
      <c r="SID718" s="1176"/>
      <c r="SIE718" s="1176"/>
      <c r="SIF718" s="1176"/>
      <c r="SIG718" s="1176"/>
      <c r="SIH718" s="1176"/>
      <c r="SII718" s="1176"/>
      <c r="SIJ718" s="1176"/>
      <c r="SIK718" s="1176"/>
      <c r="SIL718" s="1176"/>
      <c r="SIM718" s="1176"/>
      <c r="SIN718" s="1176"/>
      <c r="SIO718" s="1176"/>
      <c r="SIP718" s="1176"/>
      <c r="SIQ718" s="1176"/>
      <c r="SIR718" s="1176"/>
      <c r="SIS718" s="1176"/>
      <c r="SIT718" s="1176"/>
      <c r="SIU718" s="1176"/>
      <c r="SIV718" s="1176"/>
      <c r="SIW718" s="1176"/>
      <c r="SIX718" s="1176"/>
      <c r="SIY718" s="1176"/>
      <c r="SIZ718" s="1176"/>
      <c r="SJA718" s="1176"/>
      <c r="SJB718" s="1176"/>
      <c r="SJC718" s="1176"/>
      <c r="SJD718" s="1176"/>
      <c r="SJE718" s="1176"/>
      <c r="SJF718" s="1176"/>
      <c r="SJG718" s="1176"/>
      <c r="SJH718" s="1176"/>
      <c r="SJI718" s="1176"/>
      <c r="SJJ718" s="1176"/>
      <c r="SJK718" s="1176"/>
      <c r="SJL718" s="1176"/>
      <c r="SJM718" s="1176"/>
      <c r="SJN718" s="1176"/>
      <c r="SJO718" s="1176"/>
      <c r="SJP718" s="1176"/>
      <c r="SJQ718" s="1176"/>
      <c r="SJR718" s="1176"/>
      <c r="SJS718" s="1176"/>
      <c r="SJT718" s="1176"/>
      <c r="SJU718" s="1176"/>
      <c r="SJV718" s="1176"/>
      <c r="SJW718" s="1176"/>
      <c r="SJX718" s="1176"/>
      <c r="SJY718" s="1176"/>
      <c r="SJZ718" s="1176"/>
      <c r="SKA718" s="1176"/>
      <c r="SKB718" s="1176"/>
      <c r="SKC718" s="1176"/>
      <c r="SKD718" s="1176"/>
      <c r="SKE718" s="1176"/>
      <c r="SKF718" s="1176"/>
      <c r="SKG718" s="1176"/>
      <c r="SKH718" s="1176"/>
      <c r="SKI718" s="1176"/>
      <c r="SKJ718" s="1176"/>
      <c r="SKK718" s="1176"/>
      <c r="SKL718" s="1176"/>
      <c r="SKM718" s="1176"/>
      <c r="SKN718" s="1176"/>
      <c r="SKO718" s="1176"/>
      <c r="SKP718" s="1176"/>
      <c r="SKQ718" s="1176"/>
      <c r="SKR718" s="1176"/>
      <c r="SKS718" s="1176"/>
      <c r="SKT718" s="1176"/>
      <c r="SKU718" s="1176"/>
      <c r="SKV718" s="1176"/>
      <c r="SKW718" s="1176"/>
      <c r="SKX718" s="1176"/>
      <c r="SKY718" s="1176"/>
      <c r="SKZ718" s="1176"/>
      <c r="SLA718" s="1176"/>
      <c r="SLB718" s="1176"/>
      <c r="SLC718" s="1176"/>
      <c r="SLD718" s="1176"/>
      <c r="SLE718" s="1176"/>
      <c r="SLF718" s="1176"/>
      <c r="SLG718" s="1176"/>
      <c r="SLH718" s="1176"/>
      <c r="SLI718" s="1176"/>
      <c r="SLJ718" s="1176"/>
      <c r="SLK718" s="1176"/>
      <c r="SLL718" s="1176"/>
      <c r="SLM718" s="1176"/>
      <c r="SLN718" s="1176"/>
      <c r="SLO718" s="1176"/>
      <c r="SLP718" s="1176"/>
      <c r="SLQ718" s="1176"/>
      <c r="SLR718" s="1176"/>
      <c r="SLS718" s="1176"/>
      <c r="SLT718" s="1176"/>
      <c r="SLU718" s="1176"/>
      <c r="SLV718" s="1176"/>
      <c r="SLW718" s="1176"/>
      <c r="SLX718" s="1176"/>
      <c r="SLY718" s="1176"/>
      <c r="SLZ718" s="1176"/>
      <c r="SMA718" s="1176"/>
      <c r="SMB718" s="1176"/>
      <c r="SMC718" s="1176"/>
      <c r="SMD718" s="1176"/>
      <c r="SME718" s="1176"/>
      <c r="SMF718" s="1176"/>
      <c r="SMG718" s="1176"/>
      <c r="SMH718" s="1176"/>
      <c r="SMI718" s="1176"/>
      <c r="SMJ718" s="1176"/>
      <c r="SMK718" s="1176"/>
      <c r="SML718" s="1176"/>
      <c r="SMM718" s="1176"/>
      <c r="SMN718" s="1176"/>
      <c r="SMO718" s="1176"/>
      <c r="SMP718" s="1176"/>
      <c r="SMQ718" s="1176"/>
      <c r="SMR718" s="1176"/>
      <c r="SMS718" s="1176"/>
      <c r="SMT718" s="1176"/>
      <c r="SMU718" s="1176"/>
      <c r="SMV718" s="1176"/>
      <c r="SMW718" s="1176"/>
      <c r="SMX718" s="1176"/>
      <c r="SMY718" s="1176"/>
      <c r="SMZ718" s="1176"/>
      <c r="SNA718" s="1176"/>
      <c r="SNB718" s="1176"/>
      <c r="SNC718" s="1176"/>
      <c r="SND718" s="1176"/>
      <c r="SNE718" s="1176"/>
      <c r="SNF718" s="1176"/>
      <c r="SNG718" s="1176"/>
      <c r="SNH718" s="1176"/>
      <c r="SNI718" s="1176"/>
      <c r="SNJ718" s="1176"/>
      <c r="SNK718" s="1176"/>
      <c r="SNL718" s="1176"/>
      <c r="SNM718" s="1176"/>
      <c r="SNN718" s="1176"/>
      <c r="SNO718" s="1176"/>
      <c r="SNP718" s="1176"/>
      <c r="SNQ718" s="1176"/>
      <c r="SNR718" s="1176"/>
      <c r="SNS718" s="1176"/>
      <c r="SNT718" s="1176"/>
      <c r="SNU718" s="1176"/>
      <c r="SNV718" s="1176"/>
      <c r="SNW718" s="1176"/>
      <c r="SNX718" s="1176"/>
      <c r="SNY718" s="1176"/>
      <c r="SNZ718" s="1176"/>
      <c r="SOA718" s="1176"/>
      <c r="SOB718" s="1176"/>
      <c r="SOC718" s="1176"/>
      <c r="SOD718" s="1176"/>
      <c r="SOE718" s="1176"/>
      <c r="SOF718" s="1176"/>
      <c r="SOG718" s="1176"/>
      <c r="SOH718" s="1176"/>
      <c r="SOI718" s="1176"/>
      <c r="SOJ718" s="1176"/>
      <c r="SOK718" s="1176"/>
      <c r="SOL718" s="1176"/>
      <c r="SOM718" s="1176"/>
      <c r="SON718" s="1176"/>
      <c r="SOO718" s="1176"/>
      <c r="SOP718" s="1176"/>
      <c r="SOQ718" s="1176"/>
      <c r="SOR718" s="1176"/>
      <c r="SOS718" s="1176"/>
      <c r="SOT718" s="1176"/>
      <c r="SOU718" s="1176"/>
      <c r="SOV718" s="1176"/>
      <c r="SOW718" s="1176"/>
      <c r="SOX718" s="1176"/>
      <c r="SOY718" s="1176"/>
      <c r="SOZ718" s="1176"/>
      <c r="SPA718" s="1176"/>
      <c r="SPB718" s="1176"/>
      <c r="SPC718" s="1176"/>
      <c r="SPD718" s="1176"/>
      <c r="SPE718" s="1176"/>
      <c r="SPF718" s="1176"/>
      <c r="SPG718" s="1176"/>
      <c r="SPH718" s="1176"/>
      <c r="SPI718" s="1176"/>
      <c r="SPJ718" s="1176"/>
      <c r="SPK718" s="1176"/>
      <c r="SPL718" s="1176"/>
      <c r="SPM718" s="1176"/>
      <c r="SPN718" s="1176"/>
      <c r="SPO718" s="1176"/>
      <c r="SPP718" s="1176"/>
      <c r="SPQ718" s="1176"/>
      <c r="SPR718" s="1176"/>
      <c r="SPS718" s="1176"/>
      <c r="SPT718" s="1176"/>
      <c r="SPU718" s="1176"/>
      <c r="SPV718" s="1176"/>
      <c r="SPW718" s="1176"/>
      <c r="SPX718" s="1176"/>
      <c r="SPY718" s="1176"/>
      <c r="SPZ718" s="1176"/>
      <c r="SQA718" s="1176"/>
      <c r="SQB718" s="1176"/>
      <c r="SQC718" s="1176"/>
      <c r="SQD718" s="1176"/>
      <c r="SQE718" s="1176"/>
      <c r="SQF718" s="1176"/>
      <c r="SQG718" s="1176"/>
      <c r="SQH718" s="1176"/>
      <c r="SQI718" s="1176"/>
      <c r="SQJ718" s="1176"/>
      <c r="SQK718" s="1176"/>
      <c r="SQL718" s="1176"/>
      <c r="SQM718" s="1176"/>
      <c r="SQN718" s="1176"/>
      <c r="SQO718" s="1176"/>
      <c r="SQP718" s="1176"/>
      <c r="SQQ718" s="1176"/>
      <c r="SQR718" s="1176"/>
      <c r="SQS718" s="1176"/>
      <c r="SQT718" s="1176"/>
      <c r="SQU718" s="1176"/>
      <c r="SQV718" s="1176"/>
      <c r="SQW718" s="1176"/>
      <c r="SQX718" s="1176"/>
      <c r="SQY718" s="1176"/>
      <c r="SQZ718" s="1176"/>
      <c r="SRA718" s="1176"/>
      <c r="SRB718" s="1176"/>
      <c r="SRC718" s="1176"/>
      <c r="SRD718" s="1176"/>
      <c r="SRE718" s="1176"/>
      <c r="SRF718" s="1176"/>
      <c r="SRG718" s="1176"/>
      <c r="SRH718" s="1176"/>
      <c r="SRI718" s="1176"/>
      <c r="SRJ718" s="1176"/>
      <c r="SRK718" s="1176"/>
      <c r="SRL718" s="1176"/>
      <c r="SRM718" s="1176"/>
      <c r="SRN718" s="1176"/>
      <c r="SRO718" s="1176"/>
      <c r="SRP718" s="1176"/>
      <c r="SRQ718" s="1176"/>
      <c r="SRR718" s="1176"/>
      <c r="SRS718" s="1176"/>
      <c r="SRT718" s="1176"/>
      <c r="SRU718" s="1176"/>
      <c r="SRV718" s="1176"/>
      <c r="SRW718" s="1176"/>
      <c r="SRX718" s="1176"/>
      <c r="SRY718" s="1176"/>
      <c r="SRZ718" s="1176"/>
      <c r="SSA718" s="1176"/>
      <c r="SSB718" s="1176"/>
      <c r="SSC718" s="1176"/>
      <c r="SSD718" s="1176"/>
      <c r="SSE718" s="1176"/>
      <c r="SSF718" s="1176"/>
      <c r="SSG718" s="1176"/>
      <c r="SSH718" s="1176"/>
      <c r="SSI718" s="1176"/>
      <c r="SSJ718" s="1176"/>
      <c r="SSK718" s="1176"/>
      <c r="SSL718" s="1176"/>
      <c r="SSM718" s="1176"/>
      <c r="SSN718" s="1176"/>
      <c r="SSO718" s="1176"/>
      <c r="SSP718" s="1176"/>
      <c r="SSQ718" s="1176"/>
      <c r="SSR718" s="1176"/>
      <c r="SSS718" s="1176"/>
      <c r="SST718" s="1176"/>
      <c r="SSU718" s="1176"/>
      <c r="SSV718" s="1176"/>
      <c r="SSW718" s="1176"/>
      <c r="SSX718" s="1176"/>
      <c r="SSY718" s="1176"/>
      <c r="SSZ718" s="1176"/>
      <c r="STA718" s="1176"/>
      <c r="STB718" s="1176"/>
      <c r="STC718" s="1176"/>
      <c r="STD718" s="1176"/>
      <c r="STE718" s="1176"/>
      <c r="STF718" s="1176"/>
      <c r="STG718" s="1176"/>
      <c r="STH718" s="1176"/>
      <c r="STI718" s="1176"/>
      <c r="STJ718" s="1176"/>
      <c r="STK718" s="1176"/>
      <c r="STL718" s="1176"/>
      <c r="STM718" s="1176"/>
      <c r="STN718" s="1176"/>
      <c r="STO718" s="1176"/>
      <c r="STP718" s="1176"/>
      <c r="STQ718" s="1176"/>
      <c r="STR718" s="1176"/>
      <c r="STS718" s="1176"/>
      <c r="STT718" s="1176"/>
      <c r="STU718" s="1176"/>
      <c r="STV718" s="1176"/>
      <c r="STW718" s="1176"/>
      <c r="STX718" s="1176"/>
      <c r="STY718" s="1176"/>
      <c r="STZ718" s="1176"/>
      <c r="SUA718" s="1176"/>
      <c r="SUB718" s="1176"/>
      <c r="SUC718" s="1176"/>
      <c r="SUD718" s="1176"/>
      <c r="SUE718" s="1176"/>
      <c r="SUF718" s="1176"/>
      <c r="SUG718" s="1176"/>
      <c r="SUH718" s="1176"/>
      <c r="SUI718" s="1176"/>
      <c r="SUJ718" s="1176"/>
      <c r="SUK718" s="1176"/>
      <c r="SUL718" s="1176"/>
      <c r="SUM718" s="1176"/>
      <c r="SUN718" s="1176"/>
      <c r="SUO718" s="1176"/>
      <c r="SUP718" s="1176"/>
      <c r="SUQ718" s="1176"/>
      <c r="SUR718" s="1176"/>
      <c r="SUS718" s="1176"/>
      <c r="SUT718" s="1176"/>
      <c r="SUU718" s="1176"/>
      <c r="SUV718" s="1176"/>
      <c r="SUW718" s="1176"/>
      <c r="SUX718" s="1176"/>
      <c r="SUY718" s="1176"/>
      <c r="SUZ718" s="1176"/>
      <c r="SVA718" s="1176"/>
      <c r="SVB718" s="1176"/>
      <c r="SVC718" s="1176"/>
      <c r="SVD718" s="1176"/>
      <c r="SVE718" s="1176"/>
      <c r="SVF718" s="1176"/>
      <c r="SVG718" s="1176"/>
      <c r="SVH718" s="1176"/>
      <c r="SVI718" s="1176"/>
      <c r="SVJ718" s="1176"/>
      <c r="SVK718" s="1176"/>
      <c r="SVL718" s="1176"/>
      <c r="SVM718" s="1176"/>
      <c r="SVN718" s="1176"/>
      <c r="SVO718" s="1176"/>
      <c r="SVP718" s="1176"/>
      <c r="SVQ718" s="1176"/>
      <c r="SVR718" s="1176"/>
      <c r="SVS718" s="1176"/>
      <c r="SVT718" s="1176"/>
      <c r="SVU718" s="1176"/>
      <c r="SVV718" s="1176"/>
      <c r="SVW718" s="1176"/>
      <c r="SVX718" s="1176"/>
      <c r="SVY718" s="1176"/>
      <c r="SVZ718" s="1176"/>
      <c r="SWA718" s="1176"/>
      <c r="SWB718" s="1176"/>
      <c r="SWC718" s="1176"/>
      <c r="SWD718" s="1176"/>
      <c r="SWE718" s="1176"/>
      <c r="SWF718" s="1176"/>
      <c r="SWG718" s="1176"/>
      <c r="SWH718" s="1176"/>
      <c r="SWI718" s="1176"/>
      <c r="SWJ718" s="1176"/>
      <c r="SWK718" s="1176"/>
      <c r="SWL718" s="1176"/>
      <c r="SWM718" s="1176"/>
      <c r="SWN718" s="1176"/>
      <c r="SWO718" s="1176"/>
      <c r="SWP718" s="1176"/>
      <c r="SWQ718" s="1176"/>
      <c r="SWR718" s="1176"/>
      <c r="SWS718" s="1176"/>
      <c r="SWT718" s="1176"/>
      <c r="SWU718" s="1176"/>
      <c r="SWV718" s="1176"/>
      <c r="SWW718" s="1176"/>
      <c r="SWX718" s="1176"/>
      <c r="SWY718" s="1176"/>
      <c r="SWZ718" s="1176"/>
      <c r="SXA718" s="1176"/>
      <c r="SXB718" s="1176"/>
      <c r="SXC718" s="1176"/>
      <c r="SXD718" s="1176"/>
      <c r="SXE718" s="1176"/>
      <c r="SXF718" s="1176"/>
      <c r="SXG718" s="1176"/>
      <c r="SXH718" s="1176"/>
      <c r="SXI718" s="1176"/>
      <c r="SXJ718" s="1176"/>
      <c r="SXK718" s="1176"/>
      <c r="SXL718" s="1176"/>
      <c r="SXM718" s="1176"/>
      <c r="SXN718" s="1176"/>
      <c r="SXO718" s="1176"/>
      <c r="SXP718" s="1176"/>
      <c r="SXQ718" s="1176"/>
      <c r="SXR718" s="1176"/>
      <c r="SXS718" s="1176"/>
      <c r="SXT718" s="1176"/>
      <c r="SXU718" s="1176"/>
      <c r="SXV718" s="1176"/>
      <c r="SXW718" s="1176"/>
      <c r="SXX718" s="1176"/>
      <c r="SXY718" s="1176"/>
      <c r="SXZ718" s="1176"/>
      <c r="SYA718" s="1176"/>
      <c r="SYB718" s="1176"/>
      <c r="SYC718" s="1176"/>
      <c r="SYD718" s="1176"/>
      <c r="SYE718" s="1176"/>
      <c r="SYF718" s="1176"/>
      <c r="SYG718" s="1176"/>
      <c r="SYH718" s="1176"/>
      <c r="SYI718" s="1176"/>
      <c r="SYJ718" s="1176"/>
      <c r="SYK718" s="1176"/>
      <c r="SYL718" s="1176"/>
      <c r="SYM718" s="1176"/>
      <c r="SYN718" s="1176"/>
      <c r="SYO718" s="1176"/>
      <c r="SYP718" s="1176"/>
      <c r="SYQ718" s="1176"/>
      <c r="SYR718" s="1176"/>
      <c r="SYS718" s="1176"/>
      <c r="SYT718" s="1176"/>
      <c r="SYU718" s="1176"/>
      <c r="SYV718" s="1176"/>
      <c r="SYW718" s="1176"/>
      <c r="SYX718" s="1176"/>
      <c r="SYY718" s="1176"/>
      <c r="SYZ718" s="1176"/>
      <c r="SZA718" s="1176"/>
      <c r="SZB718" s="1176"/>
      <c r="SZC718" s="1176"/>
      <c r="SZD718" s="1176"/>
      <c r="SZE718" s="1176"/>
      <c r="SZF718" s="1176"/>
      <c r="SZG718" s="1176"/>
      <c r="SZH718" s="1176"/>
      <c r="SZI718" s="1176"/>
      <c r="SZJ718" s="1176"/>
      <c r="SZK718" s="1176"/>
      <c r="SZL718" s="1176"/>
      <c r="SZM718" s="1176"/>
      <c r="SZN718" s="1176"/>
      <c r="SZO718" s="1176"/>
      <c r="SZP718" s="1176"/>
      <c r="SZQ718" s="1176"/>
      <c r="SZR718" s="1176"/>
      <c r="SZS718" s="1176"/>
      <c r="SZT718" s="1176"/>
      <c r="SZU718" s="1176"/>
      <c r="SZV718" s="1176"/>
      <c r="SZW718" s="1176"/>
      <c r="SZX718" s="1176"/>
      <c r="SZY718" s="1176"/>
      <c r="SZZ718" s="1176"/>
      <c r="TAA718" s="1176"/>
      <c r="TAB718" s="1176"/>
      <c r="TAC718" s="1176"/>
      <c r="TAD718" s="1176"/>
      <c r="TAE718" s="1176"/>
      <c r="TAF718" s="1176"/>
      <c r="TAG718" s="1176"/>
      <c r="TAH718" s="1176"/>
      <c r="TAI718" s="1176"/>
      <c r="TAJ718" s="1176"/>
      <c r="TAK718" s="1176"/>
      <c r="TAL718" s="1176"/>
      <c r="TAM718" s="1176"/>
      <c r="TAN718" s="1176"/>
      <c r="TAO718" s="1176"/>
      <c r="TAP718" s="1176"/>
      <c r="TAQ718" s="1176"/>
      <c r="TAR718" s="1176"/>
      <c r="TAS718" s="1176"/>
      <c r="TAT718" s="1176"/>
      <c r="TAU718" s="1176"/>
      <c r="TAV718" s="1176"/>
      <c r="TAW718" s="1176"/>
      <c r="TAX718" s="1176"/>
      <c r="TAY718" s="1176"/>
      <c r="TAZ718" s="1176"/>
      <c r="TBA718" s="1176"/>
      <c r="TBB718" s="1176"/>
      <c r="TBC718" s="1176"/>
      <c r="TBD718" s="1176"/>
      <c r="TBE718" s="1176"/>
      <c r="TBF718" s="1176"/>
      <c r="TBG718" s="1176"/>
      <c r="TBH718" s="1176"/>
      <c r="TBI718" s="1176"/>
      <c r="TBJ718" s="1176"/>
      <c r="TBK718" s="1176"/>
      <c r="TBL718" s="1176"/>
      <c r="TBM718" s="1176"/>
      <c r="TBN718" s="1176"/>
      <c r="TBO718" s="1176"/>
      <c r="TBP718" s="1176"/>
      <c r="TBQ718" s="1176"/>
      <c r="TBR718" s="1176"/>
      <c r="TBS718" s="1176"/>
      <c r="TBT718" s="1176"/>
      <c r="TBU718" s="1176"/>
      <c r="TBV718" s="1176"/>
      <c r="TBW718" s="1176"/>
      <c r="TBX718" s="1176"/>
      <c r="TBY718" s="1176"/>
      <c r="TBZ718" s="1176"/>
      <c r="TCA718" s="1176"/>
      <c r="TCB718" s="1176"/>
      <c r="TCC718" s="1176"/>
      <c r="TCD718" s="1176"/>
      <c r="TCE718" s="1176"/>
      <c r="TCF718" s="1176"/>
      <c r="TCG718" s="1176"/>
      <c r="TCH718" s="1176"/>
      <c r="TCI718" s="1176"/>
      <c r="TCJ718" s="1176"/>
      <c r="TCK718" s="1176"/>
      <c r="TCL718" s="1176"/>
      <c r="TCM718" s="1176"/>
      <c r="TCN718" s="1176"/>
      <c r="TCO718" s="1176"/>
      <c r="TCP718" s="1176"/>
      <c r="TCQ718" s="1176"/>
      <c r="TCR718" s="1176"/>
      <c r="TCS718" s="1176"/>
      <c r="TCT718" s="1176"/>
      <c r="TCU718" s="1176"/>
      <c r="TCV718" s="1176"/>
      <c r="TCW718" s="1176"/>
      <c r="TCX718" s="1176"/>
      <c r="TCY718" s="1176"/>
      <c r="TCZ718" s="1176"/>
      <c r="TDA718" s="1176"/>
      <c r="TDB718" s="1176"/>
      <c r="TDC718" s="1176"/>
      <c r="TDD718" s="1176"/>
      <c r="TDE718" s="1176"/>
      <c r="TDF718" s="1176"/>
      <c r="TDG718" s="1176"/>
      <c r="TDH718" s="1176"/>
      <c r="TDI718" s="1176"/>
      <c r="TDJ718" s="1176"/>
      <c r="TDK718" s="1176"/>
      <c r="TDL718" s="1176"/>
      <c r="TDM718" s="1176"/>
      <c r="TDN718" s="1176"/>
      <c r="TDO718" s="1176"/>
      <c r="TDP718" s="1176"/>
      <c r="TDQ718" s="1176"/>
      <c r="TDR718" s="1176"/>
      <c r="TDS718" s="1176"/>
      <c r="TDT718" s="1176"/>
      <c r="TDU718" s="1176"/>
      <c r="TDV718" s="1176"/>
      <c r="TDW718" s="1176"/>
      <c r="TDX718" s="1176"/>
      <c r="TDY718" s="1176"/>
      <c r="TDZ718" s="1176"/>
      <c r="TEA718" s="1176"/>
      <c r="TEB718" s="1176"/>
      <c r="TEC718" s="1176"/>
      <c r="TED718" s="1176"/>
      <c r="TEE718" s="1176"/>
      <c r="TEF718" s="1176"/>
      <c r="TEG718" s="1176"/>
      <c r="TEH718" s="1176"/>
      <c r="TEI718" s="1176"/>
      <c r="TEJ718" s="1176"/>
      <c r="TEK718" s="1176"/>
      <c r="TEL718" s="1176"/>
      <c r="TEM718" s="1176"/>
      <c r="TEN718" s="1176"/>
      <c r="TEO718" s="1176"/>
      <c r="TEP718" s="1176"/>
      <c r="TEQ718" s="1176"/>
      <c r="TER718" s="1176"/>
      <c r="TES718" s="1176"/>
      <c r="TET718" s="1176"/>
      <c r="TEU718" s="1176"/>
      <c r="TEV718" s="1176"/>
      <c r="TEW718" s="1176"/>
      <c r="TEX718" s="1176"/>
      <c r="TEY718" s="1176"/>
      <c r="TEZ718" s="1176"/>
      <c r="TFA718" s="1176"/>
      <c r="TFB718" s="1176"/>
      <c r="TFC718" s="1176"/>
      <c r="TFD718" s="1176"/>
      <c r="TFE718" s="1176"/>
      <c r="TFF718" s="1176"/>
      <c r="TFG718" s="1176"/>
      <c r="TFH718" s="1176"/>
      <c r="TFI718" s="1176"/>
      <c r="TFJ718" s="1176"/>
      <c r="TFK718" s="1176"/>
      <c r="TFL718" s="1176"/>
      <c r="TFM718" s="1176"/>
      <c r="TFN718" s="1176"/>
      <c r="TFO718" s="1176"/>
      <c r="TFP718" s="1176"/>
      <c r="TFQ718" s="1176"/>
      <c r="TFR718" s="1176"/>
      <c r="TFS718" s="1176"/>
      <c r="TFT718" s="1176"/>
      <c r="TFU718" s="1176"/>
      <c r="TFV718" s="1176"/>
      <c r="TFW718" s="1176"/>
      <c r="TFX718" s="1176"/>
      <c r="TFY718" s="1176"/>
      <c r="TFZ718" s="1176"/>
      <c r="TGA718" s="1176"/>
      <c r="TGB718" s="1176"/>
      <c r="TGC718" s="1176"/>
      <c r="TGD718" s="1176"/>
      <c r="TGE718" s="1176"/>
      <c r="TGF718" s="1176"/>
      <c r="TGG718" s="1176"/>
      <c r="TGH718" s="1176"/>
      <c r="TGI718" s="1176"/>
      <c r="TGJ718" s="1176"/>
      <c r="TGK718" s="1176"/>
      <c r="TGL718" s="1176"/>
      <c r="TGM718" s="1176"/>
      <c r="TGN718" s="1176"/>
      <c r="TGO718" s="1176"/>
      <c r="TGP718" s="1176"/>
      <c r="TGQ718" s="1176"/>
      <c r="TGR718" s="1176"/>
      <c r="TGS718" s="1176"/>
      <c r="TGT718" s="1176"/>
      <c r="TGU718" s="1176"/>
      <c r="TGV718" s="1176"/>
      <c r="TGW718" s="1176"/>
      <c r="TGX718" s="1176"/>
      <c r="TGY718" s="1176"/>
      <c r="TGZ718" s="1176"/>
      <c r="THA718" s="1176"/>
      <c r="THB718" s="1176"/>
      <c r="THC718" s="1176"/>
      <c r="THD718" s="1176"/>
      <c r="THE718" s="1176"/>
      <c r="THF718" s="1176"/>
      <c r="THG718" s="1176"/>
      <c r="THH718" s="1176"/>
      <c r="THI718" s="1176"/>
      <c r="THJ718" s="1176"/>
      <c r="THK718" s="1176"/>
      <c r="THL718" s="1176"/>
      <c r="THM718" s="1176"/>
      <c r="THN718" s="1176"/>
      <c r="THO718" s="1176"/>
      <c r="THP718" s="1176"/>
      <c r="THQ718" s="1176"/>
      <c r="THR718" s="1176"/>
      <c r="THS718" s="1176"/>
      <c r="THT718" s="1176"/>
      <c r="THU718" s="1176"/>
      <c r="THV718" s="1176"/>
      <c r="THW718" s="1176"/>
      <c r="THX718" s="1176"/>
      <c r="THY718" s="1176"/>
      <c r="THZ718" s="1176"/>
      <c r="TIA718" s="1176"/>
      <c r="TIB718" s="1176"/>
      <c r="TIC718" s="1176"/>
      <c r="TID718" s="1176"/>
      <c r="TIE718" s="1176"/>
      <c r="TIF718" s="1176"/>
      <c r="TIG718" s="1176"/>
      <c r="TIH718" s="1176"/>
      <c r="TII718" s="1176"/>
      <c r="TIJ718" s="1176"/>
      <c r="TIK718" s="1176"/>
      <c r="TIL718" s="1176"/>
      <c r="TIM718" s="1176"/>
      <c r="TIN718" s="1176"/>
      <c r="TIO718" s="1176"/>
      <c r="TIP718" s="1176"/>
      <c r="TIQ718" s="1176"/>
      <c r="TIR718" s="1176"/>
      <c r="TIS718" s="1176"/>
      <c r="TIT718" s="1176"/>
      <c r="TIU718" s="1176"/>
      <c r="TIV718" s="1176"/>
      <c r="TIW718" s="1176"/>
      <c r="TIX718" s="1176"/>
      <c r="TIY718" s="1176"/>
      <c r="TIZ718" s="1176"/>
      <c r="TJA718" s="1176"/>
      <c r="TJB718" s="1176"/>
      <c r="TJC718" s="1176"/>
      <c r="TJD718" s="1176"/>
      <c r="TJE718" s="1176"/>
      <c r="TJF718" s="1176"/>
      <c r="TJG718" s="1176"/>
      <c r="TJH718" s="1176"/>
      <c r="TJI718" s="1176"/>
      <c r="TJJ718" s="1176"/>
      <c r="TJK718" s="1176"/>
      <c r="TJL718" s="1176"/>
      <c r="TJM718" s="1176"/>
      <c r="TJN718" s="1176"/>
      <c r="TJO718" s="1176"/>
      <c r="TJP718" s="1176"/>
      <c r="TJQ718" s="1176"/>
      <c r="TJR718" s="1176"/>
      <c r="TJS718" s="1176"/>
      <c r="TJT718" s="1176"/>
      <c r="TJU718" s="1176"/>
      <c r="TJV718" s="1176"/>
      <c r="TJW718" s="1176"/>
      <c r="TJX718" s="1176"/>
      <c r="TJY718" s="1176"/>
      <c r="TJZ718" s="1176"/>
      <c r="TKA718" s="1176"/>
      <c r="TKB718" s="1176"/>
      <c r="TKC718" s="1176"/>
      <c r="TKD718" s="1176"/>
      <c r="TKE718" s="1176"/>
      <c r="TKF718" s="1176"/>
      <c r="TKG718" s="1176"/>
      <c r="TKH718" s="1176"/>
      <c r="TKI718" s="1176"/>
      <c r="TKJ718" s="1176"/>
      <c r="TKK718" s="1176"/>
      <c r="TKL718" s="1176"/>
      <c r="TKM718" s="1176"/>
      <c r="TKN718" s="1176"/>
      <c r="TKO718" s="1176"/>
      <c r="TKP718" s="1176"/>
      <c r="TKQ718" s="1176"/>
      <c r="TKR718" s="1176"/>
      <c r="TKS718" s="1176"/>
      <c r="TKT718" s="1176"/>
      <c r="TKU718" s="1176"/>
      <c r="TKV718" s="1176"/>
      <c r="TKW718" s="1176"/>
      <c r="TKX718" s="1176"/>
      <c r="TKY718" s="1176"/>
      <c r="TKZ718" s="1176"/>
      <c r="TLA718" s="1176"/>
      <c r="TLB718" s="1176"/>
      <c r="TLC718" s="1176"/>
      <c r="TLD718" s="1176"/>
      <c r="TLE718" s="1176"/>
      <c r="TLF718" s="1176"/>
      <c r="TLG718" s="1176"/>
      <c r="TLH718" s="1176"/>
      <c r="TLI718" s="1176"/>
      <c r="TLJ718" s="1176"/>
      <c r="TLK718" s="1176"/>
      <c r="TLL718" s="1176"/>
      <c r="TLM718" s="1176"/>
      <c r="TLN718" s="1176"/>
      <c r="TLO718" s="1176"/>
      <c r="TLP718" s="1176"/>
      <c r="TLQ718" s="1176"/>
      <c r="TLR718" s="1176"/>
      <c r="TLS718" s="1176"/>
      <c r="TLT718" s="1176"/>
      <c r="TLU718" s="1176"/>
      <c r="TLV718" s="1176"/>
      <c r="TLW718" s="1176"/>
      <c r="TLX718" s="1176"/>
      <c r="TLY718" s="1176"/>
      <c r="TLZ718" s="1176"/>
      <c r="TMA718" s="1176"/>
      <c r="TMB718" s="1176"/>
      <c r="TMC718" s="1176"/>
      <c r="TMD718" s="1176"/>
      <c r="TME718" s="1176"/>
      <c r="TMF718" s="1176"/>
      <c r="TMG718" s="1176"/>
      <c r="TMH718" s="1176"/>
      <c r="TMI718" s="1176"/>
      <c r="TMJ718" s="1176"/>
      <c r="TMK718" s="1176"/>
      <c r="TML718" s="1176"/>
      <c r="TMM718" s="1176"/>
      <c r="TMN718" s="1176"/>
      <c r="TMO718" s="1176"/>
      <c r="TMP718" s="1176"/>
      <c r="TMQ718" s="1176"/>
      <c r="TMR718" s="1176"/>
      <c r="TMS718" s="1176"/>
      <c r="TMT718" s="1176"/>
      <c r="TMU718" s="1176"/>
      <c r="TMV718" s="1176"/>
      <c r="TMW718" s="1176"/>
      <c r="TMX718" s="1176"/>
      <c r="TMY718" s="1176"/>
      <c r="TMZ718" s="1176"/>
      <c r="TNA718" s="1176"/>
      <c r="TNB718" s="1176"/>
      <c r="TNC718" s="1176"/>
      <c r="TND718" s="1176"/>
      <c r="TNE718" s="1176"/>
      <c r="TNF718" s="1176"/>
      <c r="TNG718" s="1176"/>
      <c r="TNH718" s="1176"/>
      <c r="TNI718" s="1176"/>
      <c r="TNJ718" s="1176"/>
      <c r="TNK718" s="1176"/>
      <c r="TNL718" s="1176"/>
      <c r="TNM718" s="1176"/>
      <c r="TNN718" s="1176"/>
      <c r="TNO718" s="1176"/>
      <c r="TNP718" s="1176"/>
      <c r="TNQ718" s="1176"/>
      <c r="TNR718" s="1176"/>
      <c r="TNS718" s="1176"/>
      <c r="TNT718" s="1176"/>
      <c r="TNU718" s="1176"/>
      <c r="TNV718" s="1176"/>
      <c r="TNW718" s="1176"/>
      <c r="TNX718" s="1176"/>
      <c r="TNY718" s="1176"/>
      <c r="TNZ718" s="1176"/>
      <c r="TOA718" s="1176"/>
      <c r="TOB718" s="1176"/>
      <c r="TOC718" s="1176"/>
      <c r="TOD718" s="1176"/>
      <c r="TOE718" s="1176"/>
      <c r="TOF718" s="1176"/>
      <c r="TOG718" s="1176"/>
      <c r="TOH718" s="1176"/>
      <c r="TOI718" s="1176"/>
      <c r="TOJ718" s="1176"/>
      <c r="TOK718" s="1176"/>
      <c r="TOL718" s="1176"/>
      <c r="TOM718" s="1176"/>
      <c r="TON718" s="1176"/>
      <c r="TOO718" s="1176"/>
      <c r="TOP718" s="1176"/>
      <c r="TOQ718" s="1176"/>
      <c r="TOR718" s="1176"/>
      <c r="TOS718" s="1176"/>
      <c r="TOT718" s="1176"/>
      <c r="TOU718" s="1176"/>
      <c r="TOV718" s="1176"/>
      <c r="TOW718" s="1176"/>
      <c r="TOX718" s="1176"/>
      <c r="TOY718" s="1176"/>
      <c r="TOZ718" s="1176"/>
      <c r="TPA718" s="1176"/>
      <c r="TPB718" s="1176"/>
      <c r="TPC718" s="1176"/>
      <c r="TPD718" s="1176"/>
      <c r="TPE718" s="1176"/>
      <c r="TPF718" s="1176"/>
      <c r="TPG718" s="1176"/>
      <c r="TPH718" s="1176"/>
      <c r="TPI718" s="1176"/>
      <c r="TPJ718" s="1176"/>
      <c r="TPK718" s="1176"/>
      <c r="TPL718" s="1176"/>
      <c r="TPM718" s="1176"/>
      <c r="TPN718" s="1176"/>
      <c r="TPO718" s="1176"/>
      <c r="TPP718" s="1176"/>
      <c r="TPQ718" s="1176"/>
      <c r="TPR718" s="1176"/>
      <c r="TPS718" s="1176"/>
      <c r="TPT718" s="1176"/>
      <c r="TPU718" s="1176"/>
      <c r="TPV718" s="1176"/>
      <c r="TPW718" s="1176"/>
      <c r="TPX718" s="1176"/>
      <c r="TPY718" s="1176"/>
      <c r="TPZ718" s="1176"/>
      <c r="TQA718" s="1176"/>
      <c r="TQB718" s="1176"/>
      <c r="TQC718" s="1176"/>
      <c r="TQD718" s="1176"/>
      <c r="TQE718" s="1176"/>
      <c r="TQF718" s="1176"/>
      <c r="TQG718" s="1176"/>
      <c r="TQH718" s="1176"/>
      <c r="TQI718" s="1176"/>
      <c r="TQJ718" s="1176"/>
      <c r="TQK718" s="1176"/>
      <c r="TQL718" s="1176"/>
      <c r="TQM718" s="1176"/>
      <c r="TQN718" s="1176"/>
      <c r="TQO718" s="1176"/>
      <c r="TQP718" s="1176"/>
      <c r="TQQ718" s="1176"/>
      <c r="TQR718" s="1176"/>
      <c r="TQS718" s="1176"/>
      <c r="TQT718" s="1176"/>
      <c r="TQU718" s="1176"/>
      <c r="TQV718" s="1176"/>
      <c r="TQW718" s="1176"/>
      <c r="TQX718" s="1176"/>
      <c r="TQY718" s="1176"/>
      <c r="TQZ718" s="1176"/>
      <c r="TRA718" s="1176"/>
      <c r="TRB718" s="1176"/>
      <c r="TRC718" s="1176"/>
      <c r="TRD718" s="1176"/>
      <c r="TRE718" s="1176"/>
      <c r="TRF718" s="1176"/>
      <c r="TRG718" s="1176"/>
      <c r="TRH718" s="1176"/>
      <c r="TRI718" s="1176"/>
      <c r="TRJ718" s="1176"/>
      <c r="TRK718" s="1176"/>
      <c r="TRL718" s="1176"/>
      <c r="TRM718" s="1176"/>
      <c r="TRN718" s="1176"/>
      <c r="TRO718" s="1176"/>
      <c r="TRP718" s="1176"/>
      <c r="TRQ718" s="1176"/>
      <c r="TRR718" s="1176"/>
      <c r="TRS718" s="1176"/>
      <c r="TRT718" s="1176"/>
      <c r="TRU718" s="1176"/>
      <c r="TRV718" s="1176"/>
      <c r="TRW718" s="1176"/>
      <c r="TRX718" s="1176"/>
      <c r="TRY718" s="1176"/>
      <c r="TRZ718" s="1176"/>
      <c r="TSA718" s="1176"/>
      <c r="TSB718" s="1176"/>
      <c r="TSC718" s="1176"/>
      <c r="TSD718" s="1176"/>
      <c r="TSE718" s="1176"/>
      <c r="TSF718" s="1176"/>
      <c r="TSG718" s="1176"/>
      <c r="TSH718" s="1176"/>
      <c r="TSI718" s="1176"/>
      <c r="TSJ718" s="1176"/>
      <c r="TSK718" s="1176"/>
      <c r="TSL718" s="1176"/>
      <c r="TSM718" s="1176"/>
      <c r="TSN718" s="1176"/>
      <c r="TSO718" s="1176"/>
      <c r="TSP718" s="1176"/>
      <c r="TSQ718" s="1176"/>
      <c r="TSR718" s="1176"/>
      <c r="TSS718" s="1176"/>
      <c r="TST718" s="1176"/>
      <c r="TSU718" s="1176"/>
      <c r="TSV718" s="1176"/>
      <c r="TSW718" s="1176"/>
      <c r="TSX718" s="1176"/>
      <c r="TSY718" s="1176"/>
      <c r="TSZ718" s="1176"/>
      <c r="TTA718" s="1176"/>
      <c r="TTB718" s="1176"/>
      <c r="TTC718" s="1176"/>
      <c r="TTD718" s="1176"/>
      <c r="TTE718" s="1176"/>
      <c r="TTF718" s="1176"/>
      <c r="TTG718" s="1176"/>
      <c r="TTH718" s="1176"/>
      <c r="TTI718" s="1176"/>
      <c r="TTJ718" s="1176"/>
      <c r="TTK718" s="1176"/>
      <c r="TTL718" s="1176"/>
      <c r="TTM718" s="1176"/>
      <c r="TTN718" s="1176"/>
      <c r="TTO718" s="1176"/>
      <c r="TTP718" s="1176"/>
      <c r="TTQ718" s="1176"/>
      <c r="TTR718" s="1176"/>
      <c r="TTS718" s="1176"/>
      <c r="TTT718" s="1176"/>
      <c r="TTU718" s="1176"/>
      <c r="TTV718" s="1176"/>
      <c r="TTW718" s="1176"/>
      <c r="TTX718" s="1176"/>
      <c r="TTY718" s="1176"/>
      <c r="TTZ718" s="1176"/>
      <c r="TUA718" s="1176"/>
      <c r="TUB718" s="1176"/>
      <c r="TUC718" s="1176"/>
      <c r="TUD718" s="1176"/>
      <c r="TUE718" s="1176"/>
      <c r="TUF718" s="1176"/>
      <c r="TUG718" s="1176"/>
      <c r="TUH718" s="1176"/>
      <c r="TUI718" s="1176"/>
      <c r="TUJ718" s="1176"/>
      <c r="TUK718" s="1176"/>
      <c r="TUL718" s="1176"/>
      <c r="TUM718" s="1176"/>
      <c r="TUN718" s="1176"/>
      <c r="TUO718" s="1176"/>
      <c r="TUP718" s="1176"/>
      <c r="TUQ718" s="1176"/>
      <c r="TUR718" s="1176"/>
      <c r="TUS718" s="1176"/>
      <c r="TUT718" s="1176"/>
      <c r="TUU718" s="1176"/>
      <c r="TUV718" s="1176"/>
      <c r="TUW718" s="1176"/>
      <c r="TUX718" s="1176"/>
      <c r="TUY718" s="1176"/>
      <c r="TUZ718" s="1176"/>
      <c r="TVA718" s="1176"/>
      <c r="TVB718" s="1176"/>
      <c r="TVC718" s="1176"/>
      <c r="TVD718" s="1176"/>
      <c r="TVE718" s="1176"/>
      <c r="TVF718" s="1176"/>
      <c r="TVG718" s="1176"/>
      <c r="TVH718" s="1176"/>
      <c r="TVI718" s="1176"/>
      <c r="TVJ718" s="1176"/>
      <c r="TVK718" s="1176"/>
      <c r="TVL718" s="1176"/>
      <c r="TVM718" s="1176"/>
      <c r="TVN718" s="1176"/>
      <c r="TVO718" s="1176"/>
      <c r="TVP718" s="1176"/>
      <c r="TVQ718" s="1176"/>
      <c r="TVR718" s="1176"/>
      <c r="TVS718" s="1176"/>
      <c r="TVT718" s="1176"/>
      <c r="TVU718" s="1176"/>
      <c r="TVV718" s="1176"/>
      <c r="TVW718" s="1176"/>
      <c r="TVX718" s="1176"/>
      <c r="TVY718" s="1176"/>
      <c r="TVZ718" s="1176"/>
      <c r="TWA718" s="1176"/>
      <c r="TWB718" s="1176"/>
      <c r="TWC718" s="1176"/>
      <c r="TWD718" s="1176"/>
      <c r="TWE718" s="1176"/>
      <c r="TWF718" s="1176"/>
      <c r="TWG718" s="1176"/>
      <c r="TWH718" s="1176"/>
      <c r="TWI718" s="1176"/>
      <c r="TWJ718" s="1176"/>
      <c r="TWK718" s="1176"/>
      <c r="TWL718" s="1176"/>
      <c r="TWM718" s="1176"/>
      <c r="TWN718" s="1176"/>
      <c r="TWO718" s="1176"/>
      <c r="TWP718" s="1176"/>
      <c r="TWQ718" s="1176"/>
      <c r="TWR718" s="1176"/>
      <c r="TWS718" s="1176"/>
      <c r="TWT718" s="1176"/>
      <c r="TWU718" s="1176"/>
      <c r="TWV718" s="1176"/>
      <c r="TWW718" s="1176"/>
      <c r="TWX718" s="1176"/>
      <c r="TWY718" s="1176"/>
      <c r="TWZ718" s="1176"/>
      <c r="TXA718" s="1176"/>
      <c r="TXB718" s="1176"/>
      <c r="TXC718" s="1176"/>
      <c r="TXD718" s="1176"/>
      <c r="TXE718" s="1176"/>
      <c r="TXF718" s="1176"/>
      <c r="TXG718" s="1176"/>
      <c r="TXH718" s="1176"/>
      <c r="TXI718" s="1176"/>
      <c r="TXJ718" s="1176"/>
      <c r="TXK718" s="1176"/>
      <c r="TXL718" s="1176"/>
      <c r="TXM718" s="1176"/>
      <c r="TXN718" s="1176"/>
      <c r="TXO718" s="1176"/>
      <c r="TXP718" s="1176"/>
      <c r="TXQ718" s="1176"/>
      <c r="TXR718" s="1176"/>
      <c r="TXS718" s="1176"/>
      <c r="TXT718" s="1176"/>
      <c r="TXU718" s="1176"/>
      <c r="TXV718" s="1176"/>
      <c r="TXW718" s="1176"/>
      <c r="TXX718" s="1176"/>
      <c r="TXY718" s="1176"/>
      <c r="TXZ718" s="1176"/>
      <c r="TYA718" s="1176"/>
      <c r="TYB718" s="1176"/>
      <c r="TYC718" s="1176"/>
      <c r="TYD718" s="1176"/>
      <c r="TYE718" s="1176"/>
      <c r="TYF718" s="1176"/>
      <c r="TYG718" s="1176"/>
      <c r="TYH718" s="1176"/>
      <c r="TYI718" s="1176"/>
      <c r="TYJ718" s="1176"/>
      <c r="TYK718" s="1176"/>
      <c r="TYL718" s="1176"/>
      <c r="TYM718" s="1176"/>
      <c r="TYN718" s="1176"/>
      <c r="TYO718" s="1176"/>
      <c r="TYP718" s="1176"/>
      <c r="TYQ718" s="1176"/>
      <c r="TYR718" s="1176"/>
      <c r="TYS718" s="1176"/>
      <c r="TYT718" s="1176"/>
      <c r="TYU718" s="1176"/>
      <c r="TYV718" s="1176"/>
      <c r="TYW718" s="1176"/>
      <c r="TYX718" s="1176"/>
      <c r="TYY718" s="1176"/>
      <c r="TYZ718" s="1176"/>
      <c r="TZA718" s="1176"/>
      <c r="TZB718" s="1176"/>
      <c r="TZC718" s="1176"/>
      <c r="TZD718" s="1176"/>
      <c r="TZE718" s="1176"/>
      <c r="TZF718" s="1176"/>
      <c r="TZG718" s="1176"/>
      <c r="TZH718" s="1176"/>
      <c r="TZI718" s="1176"/>
      <c r="TZJ718" s="1176"/>
      <c r="TZK718" s="1176"/>
      <c r="TZL718" s="1176"/>
      <c r="TZM718" s="1176"/>
      <c r="TZN718" s="1176"/>
      <c r="TZO718" s="1176"/>
      <c r="TZP718" s="1176"/>
      <c r="TZQ718" s="1176"/>
      <c r="TZR718" s="1176"/>
      <c r="TZS718" s="1176"/>
      <c r="TZT718" s="1176"/>
      <c r="TZU718" s="1176"/>
      <c r="TZV718" s="1176"/>
      <c r="TZW718" s="1176"/>
      <c r="TZX718" s="1176"/>
      <c r="TZY718" s="1176"/>
      <c r="TZZ718" s="1176"/>
      <c r="UAA718" s="1176"/>
      <c r="UAB718" s="1176"/>
      <c r="UAC718" s="1176"/>
      <c r="UAD718" s="1176"/>
      <c r="UAE718" s="1176"/>
      <c r="UAF718" s="1176"/>
      <c r="UAG718" s="1176"/>
      <c r="UAH718" s="1176"/>
      <c r="UAI718" s="1176"/>
      <c r="UAJ718" s="1176"/>
      <c r="UAK718" s="1176"/>
      <c r="UAL718" s="1176"/>
      <c r="UAM718" s="1176"/>
      <c r="UAN718" s="1176"/>
      <c r="UAO718" s="1176"/>
      <c r="UAP718" s="1176"/>
      <c r="UAQ718" s="1176"/>
      <c r="UAR718" s="1176"/>
      <c r="UAS718" s="1176"/>
      <c r="UAT718" s="1176"/>
      <c r="UAU718" s="1176"/>
      <c r="UAV718" s="1176"/>
      <c r="UAW718" s="1176"/>
      <c r="UAX718" s="1176"/>
      <c r="UAY718" s="1176"/>
      <c r="UAZ718" s="1176"/>
      <c r="UBA718" s="1176"/>
      <c r="UBB718" s="1176"/>
      <c r="UBC718" s="1176"/>
      <c r="UBD718" s="1176"/>
      <c r="UBE718" s="1176"/>
      <c r="UBF718" s="1176"/>
      <c r="UBG718" s="1176"/>
      <c r="UBH718" s="1176"/>
      <c r="UBI718" s="1176"/>
      <c r="UBJ718" s="1176"/>
      <c r="UBK718" s="1176"/>
      <c r="UBL718" s="1176"/>
      <c r="UBM718" s="1176"/>
      <c r="UBN718" s="1176"/>
      <c r="UBO718" s="1176"/>
      <c r="UBP718" s="1176"/>
      <c r="UBQ718" s="1176"/>
      <c r="UBR718" s="1176"/>
      <c r="UBS718" s="1176"/>
      <c r="UBT718" s="1176"/>
      <c r="UBU718" s="1176"/>
      <c r="UBV718" s="1176"/>
      <c r="UBW718" s="1176"/>
      <c r="UBX718" s="1176"/>
      <c r="UBY718" s="1176"/>
      <c r="UBZ718" s="1176"/>
      <c r="UCA718" s="1176"/>
      <c r="UCB718" s="1176"/>
      <c r="UCC718" s="1176"/>
      <c r="UCD718" s="1176"/>
      <c r="UCE718" s="1176"/>
      <c r="UCF718" s="1176"/>
      <c r="UCG718" s="1176"/>
      <c r="UCH718" s="1176"/>
      <c r="UCI718" s="1176"/>
      <c r="UCJ718" s="1176"/>
      <c r="UCK718" s="1176"/>
      <c r="UCL718" s="1176"/>
      <c r="UCM718" s="1176"/>
      <c r="UCN718" s="1176"/>
      <c r="UCO718" s="1176"/>
      <c r="UCP718" s="1176"/>
      <c r="UCQ718" s="1176"/>
      <c r="UCR718" s="1176"/>
      <c r="UCS718" s="1176"/>
      <c r="UCT718" s="1176"/>
      <c r="UCU718" s="1176"/>
      <c r="UCV718" s="1176"/>
      <c r="UCW718" s="1176"/>
      <c r="UCX718" s="1176"/>
      <c r="UCY718" s="1176"/>
      <c r="UCZ718" s="1176"/>
      <c r="UDA718" s="1176"/>
      <c r="UDB718" s="1176"/>
      <c r="UDC718" s="1176"/>
      <c r="UDD718" s="1176"/>
      <c r="UDE718" s="1176"/>
      <c r="UDF718" s="1176"/>
      <c r="UDG718" s="1176"/>
      <c r="UDH718" s="1176"/>
      <c r="UDI718" s="1176"/>
      <c r="UDJ718" s="1176"/>
      <c r="UDK718" s="1176"/>
      <c r="UDL718" s="1176"/>
      <c r="UDM718" s="1176"/>
      <c r="UDN718" s="1176"/>
      <c r="UDO718" s="1176"/>
      <c r="UDP718" s="1176"/>
      <c r="UDQ718" s="1176"/>
      <c r="UDR718" s="1176"/>
      <c r="UDS718" s="1176"/>
      <c r="UDT718" s="1176"/>
      <c r="UDU718" s="1176"/>
      <c r="UDV718" s="1176"/>
      <c r="UDW718" s="1176"/>
      <c r="UDX718" s="1176"/>
      <c r="UDY718" s="1176"/>
      <c r="UDZ718" s="1176"/>
      <c r="UEA718" s="1176"/>
      <c r="UEB718" s="1176"/>
      <c r="UEC718" s="1176"/>
      <c r="UED718" s="1176"/>
      <c r="UEE718" s="1176"/>
      <c r="UEF718" s="1176"/>
      <c r="UEG718" s="1176"/>
      <c r="UEH718" s="1176"/>
      <c r="UEI718" s="1176"/>
      <c r="UEJ718" s="1176"/>
      <c r="UEK718" s="1176"/>
      <c r="UEL718" s="1176"/>
      <c r="UEM718" s="1176"/>
      <c r="UEN718" s="1176"/>
      <c r="UEO718" s="1176"/>
      <c r="UEP718" s="1176"/>
      <c r="UEQ718" s="1176"/>
      <c r="UER718" s="1176"/>
      <c r="UES718" s="1176"/>
      <c r="UET718" s="1176"/>
      <c r="UEU718" s="1176"/>
      <c r="UEV718" s="1176"/>
      <c r="UEW718" s="1176"/>
      <c r="UEX718" s="1176"/>
      <c r="UEY718" s="1176"/>
      <c r="UEZ718" s="1176"/>
      <c r="UFA718" s="1176"/>
      <c r="UFB718" s="1176"/>
      <c r="UFC718" s="1176"/>
      <c r="UFD718" s="1176"/>
      <c r="UFE718" s="1176"/>
      <c r="UFF718" s="1176"/>
      <c r="UFG718" s="1176"/>
      <c r="UFH718" s="1176"/>
      <c r="UFI718" s="1176"/>
      <c r="UFJ718" s="1176"/>
      <c r="UFK718" s="1176"/>
      <c r="UFL718" s="1176"/>
      <c r="UFM718" s="1176"/>
      <c r="UFN718" s="1176"/>
      <c r="UFO718" s="1176"/>
      <c r="UFP718" s="1176"/>
      <c r="UFQ718" s="1176"/>
      <c r="UFR718" s="1176"/>
      <c r="UFS718" s="1176"/>
      <c r="UFT718" s="1176"/>
      <c r="UFU718" s="1176"/>
      <c r="UFV718" s="1176"/>
      <c r="UFW718" s="1176"/>
      <c r="UFX718" s="1176"/>
      <c r="UFY718" s="1176"/>
      <c r="UFZ718" s="1176"/>
      <c r="UGA718" s="1176"/>
      <c r="UGB718" s="1176"/>
      <c r="UGC718" s="1176"/>
      <c r="UGD718" s="1176"/>
      <c r="UGE718" s="1176"/>
      <c r="UGF718" s="1176"/>
      <c r="UGG718" s="1176"/>
      <c r="UGH718" s="1176"/>
      <c r="UGI718" s="1176"/>
      <c r="UGJ718" s="1176"/>
      <c r="UGK718" s="1176"/>
      <c r="UGL718" s="1176"/>
      <c r="UGM718" s="1176"/>
      <c r="UGN718" s="1176"/>
      <c r="UGO718" s="1176"/>
      <c r="UGP718" s="1176"/>
      <c r="UGQ718" s="1176"/>
      <c r="UGR718" s="1176"/>
      <c r="UGS718" s="1176"/>
      <c r="UGT718" s="1176"/>
      <c r="UGU718" s="1176"/>
      <c r="UGV718" s="1176"/>
      <c r="UGW718" s="1176"/>
      <c r="UGX718" s="1176"/>
      <c r="UGY718" s="1176"/>
      <c r="UGZ718" s="1176"/>
      <c r="UHA718" s="1176"/>
      <c r="UHB718" s="1176"/>
      <c r="UHC718" s="1176"/>
      <c r="UHD718" s="1176"/>
      <c r="UHE718" s="1176"/>
      <c r="UHF718" s="1176"/>
      <c r="UHG718" s="1176"/>
      <c r="UHH718" s="1176"/>
      <c r="UHI718" s="1176"/>
      <c r="UHJ718" s="1176"/>
      <c r="UHK718" s="1176"/>
      <c r="UHL718" s="1176"/>
      <c r="UHM718" s="1176"/>
      <c r="UHN718" s="1176"/>
      <c r="UHO718" s="1176"/>
      <c r="UHP718" s="1176"/>
      <c r="UHQ718" s="1176"/>
      <c r="UHR718" s="1176"/>
      <c r="UHS718" s="1176"/>
      <c r="UHT718" s="1176"/>
      <c r="UHU718" s="1176"/>
      <c r="UHV718" s="1176"/>
      <c r="UHW718" s="1176"/>
      <c r="UHX718" s="1176"/>
      <c r="UHY718" s="1176"/>
      <c r="UHZ718" s="1176"/>
      <c r="UIA718" s="1176"/>
      <c r="UIB718" s="1176"/>
      <c r="UIC718" s="1176"/>
      <c r="UID718" s="1176"/>
      <c r="UIE718" s="1176"/>
      <c r="UIF718" s="1176"/>
      <c r="UIG718" s="1176"/>
      <c r="UIH718" s="1176"/>
      <c r="UII718" s="1176"/>
      <c r="UIJ718" s="1176"/>
      <c r="UIK718" s="1176"/>
      <c r="UIL718" s="1176"/>
      <c r="UIM718" s="1176"/>
      <c r="UIN718" s="1176"/>
      <c r="UIO718" s="1176"/>
      <c r="UIP718" s="1176"/>
      <c r="UIQ718" s="1176"/>
      <c r="UIR718" s="1176"/>
      <c r="UIS718" s="1176"/>
      <c r="UIT718" s="1176"/>
      <c r="UIU718" s="1176"/>
      <c r="UIV718" s="1176"/>
      <c r="UIW718" s="1176"/>
      <c r="UIX718" s="1176"/>
      <c r="UIY718" s="1176"/>
      <c r="UIZ718" s="1176"/>
      <c r="UJA718" s="1176"/>
      <c r="UJB718" s="1176"/>
      <c r="UJC718" s="1176"/>
      <c r="UJD718" s="1176"/>
      <c r="UJE718" s="1176"/>
      <c r="UJF718" s="1176"/>
      <c r="UJG718" s="1176"/>
      <c r="UJH718" s="1176"/>
      <c r="UJI718" s="1176"/>
      <c r="UJJ718" s="1176"/>
      <c r="UJK718" s="1176"/>
      <c r="UJL718" s="1176"/>
      <c r="UJM718" s="1176"/>
      <c r="UJN718" s="1176"/>
      <c r="UJO718" s="1176"/>
      <c r="UJP718" s="1176"/>
      <c r="UJQ718" s="1176"/>
      <c r="UJR718" s="1176"/>
      <c r="UJS718" s="1176"/>
      <c r="UJT718" s="1176"/>
      <c r="UJU718" s="1176"/>
      <c r="UJV718" s="1176"/>
      <c r="UJW718" s="1176"/>
      <c r="UJX718" s="1176"/>
      <c r="UJY718" s="1176"/>
      <c r="UJZ718" s="1176"/>
      <c r="UKA718" s="1176"/>
      <c r="UKB718" s="1176"/>
      <c r="UKC718" s="1176"/>
      <c r="UKD718" s="1176"/>
      <c r="UKE718" s="1176"/>
      <c r="UKF718" s="1176"/>
      <c r="UKG718" s="1176"/>
      <c r="UKH718" s="1176"/>
      <c r="UKI718" s="1176"/>
      <c r="UKJ718" s="1176"/>
      <c r="UKK718" s="1176"/>
      <c r="UKL718" s="1176"/>
      <c r="UKM718" s="1176"/>
      <c r="UKN718" s="1176"/>
      <c r="UKO718" s="1176"/>
      <c r="UKP718" s="1176"/>
      <c r="UKQ718" s="1176"/>
      <c r="UKR718" s="1176"/>
      <c r="UKS718" s="1176"/>
      <c r="UKT718" s="1176"/>
      <c r="UKU718" s="1176"/>
      <c r="UKV718" s="1176"/>
      <c r="UKW718" s="1176"/>
      <c r="UKX718" s="1176"/>
      <c r="UKY718" s="1176"/>
      <c r="UKZ718" s="1176"/>
      <c r="ULA718" s="1176"/>
      <c r="ULB718" s="1176"/>
      <c r="ULC718" s="1176"/>
      <c r="ULD718" s="1176"/>
      <c r="ULE718" s="1176"/>
      <c r="ULF718" s="1176"/>
      <c r="ULG718" s="1176"/>
      <c r="ULH718" s="1176"/>
      <c r="ULI718" s="1176"/>
      <c r="ULJ718" s="1176"/>
      <c r="ULK718" s="1176"/>
      <c r="ULL718" s="1176"/>
      <c r="ULM718" s="1176"/>
      <c r="ULN718" s="1176"/>
      <c r="ULO718" s="1176"/>
      <c r="ULP718" s="1176"/>
      <c r="ULQ718" s="1176"/>
      <c r="ULR718" s="1176"/>
      <c r="ULS718" s="1176"/>
      <c r="ULT718" s="1176"/>
      <c r="ULU718" s="1176"/>
      <c r="ULV718" s="1176"/>
      <c r="ULW718" s="1176"/>
      <c r="ULX718" s="1176"/>
      <c r="ULY718" s="1176"/>
      <c r="ULZ718" s="1176"/>
      <c r="UMA718" s="1176"/>
      <c r="UMB718" s="1176"/>
      <c r="UMC718" s="1176"/>
      <c r="UMD718" s="1176"/>
      <c r="UME718" s="1176"/>
      <c r="UMF718" s="1176"/>
      <c r="UMG718" s="1176"/>
      <c r="UMH718" s="1176"/>
      <c r="UMI718" s="1176"/>
      <c r="UMJ718" s="1176"/>
      <c r="UMK718" s="1176"/>
      <c r="UML718" s="1176"/>
      <c r="UMM718" s="1176"/>
      <c r="UMN718" s="1176"/>
      <c r="UMO718" s="1176"/>
      <c r="UMP718" s="1176"/>
      <c r="UMQ718" s="1176"/>
      <c r="UMR718" s="1176"/>
      <c r="UMS718" s="1176"/>
      <c r="UMT718" s="1176"/>
      <c r="UMU718" s="1176"/>
      <c r="UMV718" s="1176"/>
      <c r="UMW718" s="1176"/>
      <c r="UMX718" s="1176"/>
      <c r="UMY718" s="1176"/>
      <c r="UMZ718" s="1176"/>
      <c r="UNA718" s="1176"/>
      <c r="UNB718" s="1176"/>
      <c r="UNC718" s="1176"/>
      <c r="UND718" s="1176"/>
      <c r="UNE718" s="1176"/>
      <c r="UNF718" s="1176"/>
      <c r="UNG718" s="1176"/>
      <c r="UNH718" s="1176"/>
      <c r="UNI718" s="1176"/>
      <c r="UNJ718" s="1176"/>
      <c r="UNK718" s="1176"/>
      <c r="UNL718" s="1176"/>
      <c r="UNM718" s="1176"/>
      <c r="UNN718" s="1176"/>
      <c r="UNO718" s="1176"/>
      <c r="UNP718" s="1176"/>
      <c r="UNQ718" s="1176"/>
      <c r="UNR718" s="1176"/>
      <c r="UNS718" s="1176"/>
      <c r="UNT718" s="1176"/>
      <c r="UNU718" s="1176"/>
      <c r="UNV718" s="1176"/>
      <c r="UNW718" s="1176"/>
      <c r="UNX718" s="1176"/>
      <c r="UNY718" s="1176"/>
      <c r="UNZ718" s="1176"/>
      <c r="UOA718" s="1176"/>
      <c r="UOB718" s="1176"/>
      <c r="UOC718" s="1176"/>
      <c r="UOD718" s="1176"/>
      <c r="UOE718" s="1176"/>
      <c r="UOF718" s="1176"/>
      <c r="UOG718" s="1176"/>
      <c r="UOH718" s="1176"/>
      <c r="UOI718" s="1176"/>
      <c r="UOJ718" s="1176"/>
      <c r="UOK718" s="1176"/>
      <c r="UOL718" s="1176"/>
      <c r="UOM718" s="1176"/>
      <c r="UON718" s="1176"/>
      <c r="UOO718" s="1176"/>
      <c r="UOP718" s="1176"/>
      <c r="UOQ718" s="1176"/>
      <c r="UOR718" s="1176"/>
      <c r="UOS718" s="1176"/>
      <c r="UOT718" s="1176"/>
      <c r="UOU718" s="1176"/>
      <c r="UOV718" s="1176"/>
      <c r="UOW718" s="1176"/>
      <c r="UOX718" s="1176"/>
      <c r="UOY718" s="1176"/>
      <c r="UOZ718" s="1176"/>
      <c r="UPA718" s="1176"/>
      <c r="UPB718" s="1176"/>
      <c r="UPC718" s="1176"/>
      <c r="UPD718" s="1176"/>
      <c r="UPE718" s="1176"/>
      <c r="UPF718" s="1176"/>
      <c r="UPG718" s="1176"/>
      <c r="UPH718" s="1176"/>
      <c r="UPI718" s="1176"/>
      <c r="UPJ718" s="1176"/>
      <c r="UPK718" s="1176"/>
      <c r="UPL718" s="1176"/>
      <c r="UPM718" s="1176"/>
      <c r="UPN718" s="1176"/>
      <c r="UPO718" s="1176"/>
      <c r="UPP718" s="1176"/>
      <c r="UPQ718" s="1176"/>
      <c r="UPR718" s="1176"/>
      <c r="UPS718" s="1176"/>
      <c r="UPT718" s="1176"/>
      <c r="UPU718" s="1176"/>
      <c r="UPV718" s="1176"/>
      <c r="UPW718" s="1176"/>
      <c r="UPX718" s="1176"/>
      <c r="UPY718" s="1176"/>
      <c r="UPZ718" s="1176"/>
      <c r="UQA718" s="1176"/>
      <c r="UQB718" s="1176"/>
      <c r="UQC718" s="1176"/>
      <c r="UQD718" s="1176"/>
      <c r="UQE718" s="1176"/>
      <c r="UQF718" s="1176"/>
      <c r="UQG718" s="1176"/>
      <c r="UQH718" s="1176"/>
      <c r="UQI718" s="1176"/>
      <c r="UQJ718" s="1176"/>
      <c r="UQK718" s="1176"/>
      <c r="UQL718" s="1176"/>
      <c r="UQM718" s="1176"/>
      <c r="UQN718" s="1176"/>
      <c r="UQO718" s="1176"/>
      <c r="UQP718" s="1176"/>
      <c r="UQQ718" s="1176"/>
      <c r="UQR718" s="1176"/>
      <c r="UQS718" s="1176"/>
      <c r="UQT718" s="1176"/>
      <c r="UQU718" s="1176"/>
      <c r="UQV718" s="1176"/>
      <c r="UQW718" s="1176"/>
      <c r="UQX718" s="1176"/>
      <c r="UQY718" s="1176"/>
      <c r="UQZ718" s="1176"/>
      <c r="URA718" s="1176"/>
      <c r="URB718" s="1176"/>
      <c r="URC718" s="1176"/>
      <c r="URD718" s="1176"/>
      <c r="URE718" s="1176"/>
      <c r="URF718" s="1176"/>
      <c r="URG718" s="1176"/>
      <c r="URH718" s="1176"/>
      <c r="URI718" s="1176"/>
      <c r="URJ718" s="1176"/>
      <c r="URK718" s="1176"/>
      <c r="URL718" s="1176"/>
      <c r="URM718" s="1176"/>
      <c r="URN718" s="1176"/>
      <c r="URO718" s="1176"/>
      <c r="URP718" s="1176"/>
      <c r="URQ718" s="1176"/>
      <c r="URR718" s="1176"/>
      <c r="URS718" s="1176"/>
      <c r="URT718" s="1176"/>
      <c r="URU718" s="1176"/>
      <c r="URV718" s="1176"/>
      <c r="URW718" s="1176"/>
      <c r="URX718" s="1176"/>
      <c r="URY718" s="1176"/>
      <c r="URZ718" s="1176"/>
      <c r="USA718" s="1176"/>
      <c r="USB718" s="1176"/>
      <c r="USC718" s="1176"/>
      <c r="USD718" s="1176"/>
      <c r="USE718" s="1176"/>
      <c r="USF718" s="1176"/>
      <c r="USG718" s="1176"/>
      <c r="USH718" s="1176"/>
      <c r="USI718" s="1176"/>
      <c r="USJ718" s="1176"/>
      <c r="USK718" s="1176"/>
      <c r="USL718" s="1176"/>
      <c r="USM718" s="1176"/>
      <c r="USN718" s="1176"/>
      <c r="USO718" s="1176"/>
      <c r="USP718" s="1176"/>
      <c r="USQ718" s="1176"/>
      <c r="USR718" s="1176"/>
      <c r="USS718" s="1176"/>
      <c r="UST718" s="1176"/>
      <c r="USU718" s="1176"/>
      <c r="USV718" s="1176"/>
      <c r="USW718" s="1176"/>
      <c r="USX718" s="1176"/>
      <c r="USY718" s="1176"/>
      <c r="USZ718" s="1176"/>
      <c r="UTA718" s="1176"/>
      <c r="UTB718" s="1176"/>
      <c r="UTC718" s="1176"/>
      <c r="UTD718" s="1176"/>
      <c r="UTE718" s="1176"/>
      <c r="UTF718" s="1176"/>
      <c r="UTG718" s="1176"/>
      <c r="UTH718" s="1176"/>
      <c r="UTI718" s="1176"/>
      <c r="UTJ718" s="1176"/>
      <c r="UTK718" s="1176"/>
      <c r="UTL718" s="1176"/>
      <c r="UTM718" s="1176"/>
      <c r="UTN718" s="1176"/>
      <c r="UTO718" s="1176"/>
      <c r="UTP718" s="1176"/>
      <c r="UTQ718" s="1176"/>
      <c r="UTR718" s="1176"/>
      <c r="UTS718" s="1176"/>
      <c r="UTT718" s="1176"/>
      <c r="UTU718" s="1176"/>
      <c r="UTV718" s="1176"/>
      <c r="UTW718" s="1176"/>
      <c r="UTX718" s="1176"/>
      <c r="UTY718" s="1176"/>
      <c r="UTZ718" s="1176"/>
      <c r="UUA718" s="1176"/>
      <c r="UUB718" s="1176"/>
      <c r="UUC718" s="1176"/>
      <c r="UUD718" s="1176"/>
      <c r="UUE718" s="1176"/>
      <c r="UUF718" s="1176"/>
      <c r="UUG718" s="1176"/>
      <c r="UUH718" s="1176"/>
      <c r="UUI718" s="1176"/>
      <c r="UUJ718" s="1176"/>
      <c r="UUK718" s="1176"/>
      <c r="UUL718" s="1176"/>
      <c r="UUM718" s="1176"/>
      <c r="UUN718" s="1176"/>
      <c r="UUO718" s="1176"/>
      <c r="UUP718" s="1176"/>
      <c r="UUQ718" s="1176"/>
      <c r="UUR718" s="1176"/>
      <c r="UUS718" s="1176"/>
      <c r="UUT718" s="1176"/>
      <c r="UUU718" s="1176"/>
      <c r="UUV718" s="1176"/>
      <c r="UUW718" s="1176"/>
      <c r="UUX718" s="1176"/>
      <c r="UUY718" s="1176"/>
      <c r="UUZ718" s="1176"/>
      <c r="UVA718" s="1176"/>
      <c r="UVB718" s="1176"/>
      <c r="UVC718" s="1176"/>
      <c r="UVD718" s="1176"/>
      <c r="UVE718" s="1176"/>
      <c r="UVF718" s="1176"/>
      <c r="UVG718" s="1176"/>
      <c r="UVH718" s="1176"/>
      <c r="UVI718" s="1176"/>
      <c r="UVJ718" s="1176"/>
      <c r="UVK718" s="1176"/>
      <c r="UVL718" s="1176"/>
      <c r="UVM718" s="1176"/>
      <c r="UVN718" s="1176"/>
      <c r="UVO718" s="1176"/>
      <c r="UVP718" s="1176"/>
      <c r="UVQ718" s="1176"/>
      <c r="UVR718" s="1176"/>
      <c r="UVS718" s="1176"/>
      <c r="UVT718" s="1176"/>
      <c r="UVU718" s="1176"/>
      <c r="UVV718" s="1176"/>
      <c r="UVW718" s="1176"/>
      <c r="UVX718" s="1176"/>
      <c r="UVY718" s="1176"/>
      <c r="UVZ718" s="1176"/>
      <c r="UWA718" s="1176"/>
      <c r="UWB718" s="1176"/>
      <c r="UWC718" s="1176"/>
      <c r="UWD718" s="1176"/>
      <c r="UWE718" s="1176"/>
      <c r="UWF718" s="1176"/>
      <c r="UWG718" s="1176"/>
      <c r="UWH718" s="1176"/>
      <c r="UWI718" s="1176"/>
      <c r="UWJ718" s="1176"/>
      <c r="UWK718" s="1176"/>
      <c r="UWL718" s="1176"/>
      <c r="UWM718" s="1176"/>
      <c r="UWN718" s="1176"/>
      <c r="UWO718" s="1176"/>
      <c r="UWP718" s="1176"/>
      <c r="UWQ718" s="1176"/>
      <c r="UWR718" s="1176"/>
      <c r="UWS718" s="1176"/>
      <c r="UWT718" s="1176"/>
      <c r="UWU718" s="1176"/>
      <c r="UWV718" s="1176"/>
      <c r="UWW718" s="1176"/>
      <c r="UWX718" s="1176"/>
      <c r="UWY718" s="1176"/>
      <c r="UWZ718" s="1176"/>
      <c r="UXA718" s="1176"/>
      <c r="UXB718" s="1176"/>
      <c r="UXC718" s="1176"/>
      <c r="UXD718" s="1176"/>
      <c r="UXE718" s="1176"/>
      <c r="UXF718" s="1176"/>
      <c r="UXG718" s="1176"/>
      <c r="UXH718" s="1176"/>
      <c r="UXI718" s="1176"/>
      <c r="UXJ718" s="1176"/>
      <c r="UXK718" s="1176"/>
      <c r="UXL718" s="1176"/>
      <c r="UXM718" s="1176"/>
      <c r="UXN718" s="1176"/>
      <c r="UXO718" s="1176"/>
      <c r="UXP718" s="1176"/>
      <c r="UXQ718" s="1176"/>
      <c r="UXR718" s="1176"/>
      <c r="UXS718" s="1176"/>
      <c r="UXT718" s="1176"/>
      <c r="UXU718" s="1176"/>
      <c r="UXV718" s="1176"/>
      <c r="UXW718" s="1176"/>
      <c r="UXX718" s="1176"/>
      <c r="UXY718" s="1176"/>
      <c r="UXZ718" s="1176"/>
      <c r="UYA718" s="1176"/>
      <c r="UYB718" s="1176"/>
      <c r="UYC718" s="1176"/>
      <c r="UYD718" s="1176"/>
      <c r="UYE718" s="1176"/>
      <c r="UYF718" s="1176"/>
      <c r="UYG718" s="1176"/>
      <c r="UYH718" s="1176"/>
      <c r="UYI718" s="1176"/>
      <c r="UYJ718" s="1176"/>
      <c r="UYK718" s="1176"/>
      <c r="UYL718" s="1176"/>
      <c r="UYM718" s="1176"/>
      <c r="UYN718" s="1176"/>
      <c r="UYO718" s="1176"/>
      <c r="UYP718" s="1176"/>
      <c r="UYQ718" s="1176"/>
      <c r="UYR718" s="1176"/>
      <c r="UYS718" s="1176"/>
      <c r="UYT718" s="1176"/>
      <c r="UYU718" s="1176"/>
      <c r="UYV718" s="1176"/>
      <c r="UYW718" s="1176"/>
      <c r="UYX718" s="1176"/>
      <c r="UYY718" s="1176"/>
      <c r="UYZ718" s="1176"/>
      <c r="UZA718" s="1176"/>
      <c r="UZB718" s="1176"/>
      <c r="UZC718" s="1176"/>
      <c r="UZD718" s="1176"/>
      <c r="UZE718" s="1176"/>
      <c r="UZF718" s="1176"/>
      <c r="UZG718" s="1176"/>
      <c r="UZH718" s="1176"/>
      <c r="UZI718" s="1176"/>
      <c r="UZJ718" s="1176"/>
      <c r="UZK718" s="1176"/>
      <c r="UZL718" s="1176"/>
      <c r="UZM718" s="1176"/>
      <c r="UZN718" s="1176"/>
      <c r="UZO718" s="1176"/>
      <c r="UZP718" s="1176"/>
      <c r="UZQ718" s="1176"/>
      <c r="UZR718" s="1176"/>
      <c r="UZS718" s="1176"/>
      <c r="UZT718" s="1176"/>
      <c r="UZU718" s="1176"/>
      <c r="UZV718" s="1176"/>
      <c r="UZW718" s="1176"/>
      <c r="UZX718" s="1176"/>
      <c r="UZY718" s="1176"/>
      <c r="UZZ718" s="1176"/>
      <c r="VAA718" s="1176"/>
      <c r="VAB718" s="1176"/>
      <c r="VAC718" s="1176"/>
      <c r="VAD718" s="1176"/>
      <c r="VAE718" s="1176"/>
      <c r="VAF718" s="1176"/>
      <c r="VAG718" s="1176"/>
      <c r="VAH718" s="1176"/>
      <c r="VAI718" s="1176"/>
      <c r="VAJ718" s="1176"/>
      <c r="VAK718" s="1176"/>
      <c r="VAL718" s="1176"/>
      <c r="VAM718" s="1176"/>
      <c r="VAN718" s="1176"/>
      <c r="VAO718" s="1176"/>
      <c r="VAP718" s="1176"/>
      <c r="VAQ718" s="1176"/>
      <c r="VAR718" s="1176"/>
      <c r="VAS718" s="1176"/>
      <c r="VAT718" s="1176"/>
      <c r="VAU718" s="1176"/>
      <c r="VAV718" s="1176"/>
      <c r="VAW718" s="1176"/>
      <c r="VAX718" s="1176"/>
      <c r="VAY718" s="1176"/>
      <c r="VAZ718" s="1176"/>
      <c r="VBA718" s="1176"/>
      <c r="VBB718" s="1176"/>
      <c r="VBC718" s="1176"/>
      <c r="VBD718" s="1176"/>
      <c r="VBE718" s="1176"/>
      <c r="VBF718" s="1176"/>
      <c r="VBG718" s="1176"/>
      <c r="VBH718" s="1176"/>
      <c r="VBI718" s="1176"/>
      <c r="VBJ718" s="1176"/>
      <c r="VBK718" s="1176"/>
      <c r="VBL718" s="1176"/>
      <c r="VBM718" s="1176"/>
      <c r="VBN718" s="1176"/>
      <c r="VBO718" s="1176"/>
      <c r="VBP718" s="1176"/>
      <c r="VBQ718" s="1176"/>
      <c r="VBR718" s="1176"/>
      <c r="VBS718" s="1176"/>
      <c r="VBT718" s="1176"/>
      <c r="VBU718" s="1176"/>
      <c r="VBV718" s="1176"/>
      <c r="VBW718" s="1176"/>
      <c r="VBX718" s="1176"/>
      <c r="VBY718" s="1176"/>
      <c r="VBZ718" s="1176"/>
      <c r="VCA718" s="1176"/>
      <c r="VCB718" s="1176"/>
      <c r="VCC718" s="1176"/>
      <c r="VCD718" s="1176"/>
      <c r="VCE718" s="1176"/>
      <c r="VCF718" s="1176"/>
      <c r="VCG718" s="1176"/>
      <c r="VCH718" s="1176"/>
      <c r="VCI718" s="1176"/>
      <c r="VCJ718" s="1176"/>
      <c r="VCK718" s="1176"/>
      <c r="VCL718" s="1176"/>
      <c r="VCM718" s="1176"/>
      <c r="VCN718" s="1176"/>
      <c r="VCO718" s="1176"/>
      <c r="VCP718" s="1176"/>
      <c r="VCQ718" s="1176"/>
      <c r="VCR718" s="1176"/>
      <c r="VCS718" s="1176"/>
      <c r="VCT718" s="1176"/>
      <c r="VCU718" s="1176"/>
      <c r="VCV718" s="1176"/>
      <c r="VCW718" s="1176"/>
      <c r="VCX718" s="1176"/>
      <c r="VCY718" s="1176"/>
      <c r="VCZ718" s="1176"/>
      <c r="VDA718" s="1176"/>
      <c r="VDB718" s="1176"/>
      <c r="VDC718" s="1176"/>
      <c r="VDD718" s="1176"/>
      <c r="VDE718" s="1176"/>
      <c r="VDF718" s="1176"/>
      <c r="VDG718" s="1176"/>
      <c r="VDH718" s="1176"/>
      <c r="VDI718" s="1176"/>
      <c r="VDJ718" s="1176"/>
      <c r="VDK718" s="1176"/>
      <c r="VDL718" s="1176"/>
      <c r="VDM718" s="1176"/>
      <c r="VDN718" s="1176"/>
      <c r="VDO718" s="1176"/>
      <c r="VDP718" s="1176"/>
      <c r="VDQ718" s="1176"/>
      <c r="VDR718" s="1176"/>
      <c r="VDS718" s="1176"/>
      <c r="VDT718" s="1176"/>
      <c r="VDU718" s="1176"/>
      <c r="VDV718" s="1176"/>
      <c r="VDW718" s="1176"/>
      <c r="VDX718" s="1176"/>
      <c r="VDY718" s="1176"/>
      <c r="VDZ718" s="1176"/>
      <c r="VEA718" s="1176"/>
      <c r="VEB718" s="1176"/>
      <c r="VEC718" s="1176"/>
      <c r="VED718" s="1176"/>
      <c r="VEE718" s="1176"/>
      <c r="VEF718" s="1176"/>
      <c r="VEG718" s="1176"/>
      <c r="VEH718" s="1176"/>
      <c r="VEI718" s="1176"/>
      <c r="VEJ718" s="1176"/>
      <c r="VEK718" s="1176"/>
      <c r="VEL718" s="1176"/>
      <c r="VEM718" s="1176"/>
      <c r="VEN718" s="1176"/>
      <c r="VEO718" s="1176"/>
      <c r="VEP718" s="1176"/>
      <c r="VEQ718" s="1176"/>
      <c r="VER718" s="1176"/>
      <c r="VES718" s="1176"/>
      <c r="VET718" s="1176"/>
      <c r="VEU718" s="1176"/>
      <c r="VEV718" s="1176"/>
      <c r="VEW718" s="1176"/>
      <c r="VEX718" s="1176"/>
      <c r="VEY718" s="1176"/>
      <c r="VEZ718" s="1176"/>
      <c r="VFA718" s="1176"/>
      <c r="VFB718" s="1176"/>
      <c r="VFC718" s="1176"/>
      <c r="VFD718" s="1176"/>
      <c r="VFE718" s="1176"/>
      <c r="VFF718" s="1176"/>
      <c r="VFG718" s="1176"/>
      <c r="VFH718" s="1176"/>
      <c r="VFI718" s="1176"/>
      <c r="VFJ718" s="1176"/>
      <c r="VFK718" s="1176"/>
      <c r="VFL718" s="1176"/>
      <c r="VFM718" s="1176"/>
      <c r="VFN718" s="1176"/>
      <c r="VFO718" s="1176"/>
      <c r="VFP718" s="1176"/>
      <c r="VFQ718" s="1176"/>
      <c r="VFR718" s="1176"/>
      <c r="VFS718" s="1176"/>
      <c r="VFT718" s="1176"/>
      <c r="VFU718" s="1176"/>
      <c r="VFV718" s="1176"/>
      <c r="VFW718" s="1176"/>
      <c r="VFX718" s="1176"/>
      <c r="VFY718" s="1176"/>
      <c r="VFZ718" s="1176"/>
      <c r="VGA718" s="1176"/>
      <c r="VGB718" s="1176"/>
      <c r="VGC718" s="1176"/>
      <c r="VGD718" s="1176"/>
      <c r="VGE718" s="1176"/>
      <c r="VGF718" s="1176"/>
      <c r="VGG718" s="1176"/>
      <c r="VGH718" s="1176"/>
      <c r="VGI718" s="1176"/>
      <c r="VGJ718" s="1176"/>
      <c r="VGK718" s="1176"/>
      <c r="VGL718" s="1176"/>
      <c r="VGM718" s="1176"/>
      <c r="VGN718" s="1176"/>
      <c r="VGO718" s="1176"/>
      <c r="VGP718" s="1176"/>
      <c r="VGQ718" s="1176"/>
      <c r="VGR718" s="1176"/>
      <c r="VGS718" s="1176"/>
      <c r="VGT718" s="1176"/>
      <c r="VGU718" s="1176"/>
      <c r="VGV718" s="1176"/>
      <c r="VGW718" s="1176"/>
      <c r="VGX718" s="1176"/>
      <c r="VGY718" s="1176"/>
      <c r="VGZ718" s="1176"/>
      <c r="VHA718" s="1176"/>
      <c r="VHB718" s="1176"/>
      <c r="VHC718" s="1176"/>
      <c r="VHD718" s="1176"/>
      <c r="VHE718" s="1176"/>
      <c r="VHF718" s="1176"/>
      <c r="VHG718" s="1176"/>
      <c r="VHH718" s="1176"/>
      <c r="VHI718" s="1176"/>
      <c r="VHJ718" s="1176"/>
      <c r="VHK718" s="1176"/>
      <c r="VHL718" s="1176"/>
      <c r="VHM718" s="1176"/>
      <c r="VHN718" s="1176"/>
      <c r="VHO718" s="1176"/>
      <c r="VHP718" s="1176"/>
      <c r="VHQ718" s="1176"/>
      <c r="VHR718" s="1176"/>
      <c r="VHS718" s="1176"/>
      <c r="VHT718" s="1176"/>
      <c r="VHU718" s="1176"/>
      <c r="VHV718" s="1176"/>
      <c r="VHW718" s="1176"/>
      <c r="VHX718" s="1176"/>
      <c r="VHY718" s="1176"/>
      <c r="VHZ718" s="1176"/>
      <c r="VIA718" s="1176"/>
      <c r="VIB718" s="1176"/>
      <c r="VIC718" s="1176"/>
      <c r="VID718" s="1176"/>
      <c r="VIE718" s="1176"/>
      <c r="VIF718" s="1176"/>
      <c r="VIG718" s="1176"/>
      <c r="VIH718" s="1176"/>
      <c r="VII718" s="1176"/>
      <c r="VIJ718" s="1176"/>
      <c r="VIK718" s="1176"/>
      <c r="VIL718" s="1176"/>
      <c r="VIM718" s="1176"/>
      <c r="VIN718" s="1176"/>
      <c r="VIO718" s="1176"/>
      <c r="VIP718" s="1176"/>
      <c r="VIQ718" s="1176"/>
      <c r="VIR718" s="1176"/>
      <c r="VIS718" s="1176"/>
      <c r="VIT718" s="1176"/>
      <c r="VIU718" s="1176"/>
      <c r="VIV718" s="1176"/>
      <c r="VIW718" s="1176"/>
      <c r="VIX718" s="1176"/>
      <c r="VIY718" s="1176"/>
      <c r="VIZ718" s="1176"/>
      <c r="VJA718" s="1176"/>
      <c r="VJB718" s="1176"/>
      <c r="VJC718" s="1176"/>
      <c r="VJD718" s="1176"/>
      <c r="VJE718" s="1176"/>
      <c r="VJF718" s="1176"/>
      <c r="VJG718" s="1176"/>
      <c r="VJH718" s="1176"/>
      <c r="VJI718" s="1176"/>
      <c r="VJJ718" s="1176"/>
      <c r="VJK718" s="1176"/>
      <c r="VJL718" s="1176"/>
      <c r="VJM718" s="1176"/>
      <c r="VJN718" s="1176"/>
      <c r="VJO718" s="1176"/>
      <c r="VJP718" s="1176"/>
      <c r="VJQ718" s="1176"/>
      <c r="VJR718" s="1176"/>
      <c r="VJS718" s="1176"/>
      <c r="VJT718" s="1176"/>
      <c r="VJU718" s="1176"/>
      <c r="VJV718" s="1176"/>
      <c r="VJW718" s="1176"/>
      <c r="VJX718" s="1176"/>
      <c r="VJY718" s="1176"/>
      <c r="VJZ718" s="1176"/>
      <c r="VKA718" s="1176"/>
      <c r="VKB718" s="1176"/>
      <c r="VKC718" s="1176"/>
      <c r="VKD718" s="1176"/>
      <c r="VKE718" s="1176"/>
      <c r="VKF718" s="1176"/>
      <c r="VKG718" s="1176"/>
      <c r="VKH718" s="1176"/>
      <c r="VKI718" s="1176"/>
      <c r="VKJ718" s="1176"/>
      <c r="VKK718" s="1176"/>
      <c r="VKL718" s="1176"/>
      <c r="VKM718" s="1176"/>
      <c r="VKN718" s="1176"/>
      <c r="VKO718" s="1176"/>
      <c r="VKP718" s="1176"/>
      <c r="VKQ718" s="1176"/>
      <c r="VKR718" s="1176"/>
      <c r="VKS718" s="1176"/>
      <c r="VKT718" s="1176"/>
      <c r="VKU718" s="1176"/>
      <c r="VKV718" s="1176"/>
      <c r="VKW718" s="1176"/>
      <c r="VKX718" s="1176"/>
      <c r="VKY718" s="1176"/>
      <c r="VKZ718" s="1176"/>
      <c r="VLA718" s="1176"/>
      <c r="VLB718" s="1176"/>
      <c r="VLC718" s="1176"/>
      <c r="VLD718" s="1176"/>
      <c r="VLE718" s="1176"/>
      <c r="VLF718" s="1176"/>
      <c r="VLG718" s="1176"/>
      <c r="VLH718" s="1176"/>
      <c r="VLI718" s="1176"/>
      <c r="VLJ718" s="1176"/>
      <c r="VLK718" s="1176"/>
      <c r="VLL718" s="1176"/>
      <c r="VLM718" s="1176"/>
      <c r="VLN718" s="1176"/>
      <c r="VLO718" s="1176"/>
      <c r="VLP718" s="1176"/>
      <c r="VLQ718" s="1176"/>
      <c r="VLR718" s="1176"/>
      <c r="VLS718" s="1176"/>
      <c r="VLT718" s="1176"/>
      <c r="VLU718" s="1176"/>
      <c r="VLV718" s="1176"/>
      <c r="VLW718" s="1176"/>
      <c r="VLX718" s="1176"/>
      <c r="VLY718" s="1176"/>
      <c r="VLZ718" s="1176"/>
      <c r="VMA718" s="1176"/>
      <c r="VMB718" s="1176"/>
      <c r="VMC718" s="1176"/>
      <c r="VMD718" s="1176"/>
      <c r="VME718" s="1176"/>
      <c r="VMF718" s="1176"/>
      <c r="VMG718" s="1176"/>
      <c r="VMH718" s="1176"/>
      <c r="VMI718" s="1176"/>
      <c r="VMJ718" s="1176"/>
      <c r="VMK718" s="1176"/>
      <c r="VML718" s="1176"/>
      <c r="VMM718" s="1176"/>
      <c r="VMN718" s="1176"/>
      <c r="VMO718" s="1176"/>
      <c r="VMP718" s="1176"/>
      <c r="VMQ718" s="1176"/>
      <c r="VMR718" s="1176"/>
      <c r="VMS718" s="1176"/>
      <c r="VMT718" s="1176"/>
      <c r="VMU718" s="1176"/>
      <c r="VMV718" s="1176"/>
      <c r="VMW718" s="1176"/>
      <c r="VMX718" s="1176"/>
      <c r="VMY718" s="1176"/>
      <c r="VMZ718" s="1176"/>
      <c r="VNA718" s="1176"/>
      <c r="VNB718" s="1176"/>
      <c r="VNC718" s="1176"/>
      <c r="VND718" s="1176"/>
      <c r="VNE718" s="1176"/>
      <c r="VNF718" s="1176"/>
      <c r="VNG718" s="1176"/>
      <c r="VNH718" s="1176"/>
      <c r="VNI718" s="1176"/>
      <c r="VNJ718" s="1176"/>
      <c r="VNK718" s="1176"/>
      <c r="VNL718" s="1176"/>
      <c r="VNM718" s="1176"/>
      <c r="VNN718" s="1176"/>
      <c r="VNO718" s="1176"/>
      <c r="VNP718" s="1176"/>
      <c r="VNQ718" s="1176"/>
      <c r="VNR718" s="1176"/>
      <c r="VNS718" s="1176"/>
      <c r="VNT718" s="1176"/>
      <c r="VNU718" s="1176"/>
      <c r="VNV718" s="1176"/>
      <c r="VNW718" s="1176"/>
      <c r="VNX718" s="1176"/>
      <c r="VNY718" s="1176"/>
      <c r="VNZ718" s="1176"/>
      <c r="VOA718" s="1176"/>
      <c r="VOB718" s="1176"/>
      <c r="VOC718" s="1176"/>
      <c r="VOD718" s="1176"/>
      <c r="VOE718" s="1176"/>
      <c r="VOF718" s="1176"/>
      <c r="VOG718" s="1176"/>
      <c r="VOH718" s="1176"/>
      <c r="VOI718" s="1176"/>
      <c r="VOJ718" s="1176"/>
      <c r="VOK718" s="1176"/>
      <c r="VOL718" s="1176"/>
      <c r="VOM718" s="1176"/>
      <c r="VON718" s="1176"/>
      <c r="VOO718" s="1176"/>
      <c r="VOP718" s="1176"/>
      <c r="VOQ718" s="1176"/>
      <c r="VOR718" s="1176"/>
      <c r="VOS718" s="1176"/>
      <c r="VOT718" s="1176"/>
      <c r="VOU718" s="1176"/>
      <c r="VOV718" s="1176"/>
      <c r="VOW718" s="1176"/>
      <c r="VOX718" s="1176"/>
      <c r="VOY718" s="1176"/>
      <c r="VOZ718" s="1176"/>
      <c r="VPA718" s="1176"/>
      <c r="VPB718" s="1176"/>
      <c r="VPC718" s="1176"/>
      <c r="VPD718" s="1176"/>
      <c r="VPE718" s="1176"/>
      <c r="VPF718" s="1176"/>
      <c r="VPG718" s="1176"/>
      <c r="VPH718" s="1176"/>
      <c r="VPI718" s="1176"/>
      <c r="VPJ718" s="1176"/>
      <c r="VPK718" s="1176"/>
      <c r="VPL718" s="1176"/>
      <c r="VPM718" s="1176"/>
      <c r="VPN718" s="1176"/>
      <c r="VPO718" s="1176"/>
      <c r="VPP718" s="1176"/>
      <c r="VPQ718" s="1176"/>
      <c r="VPR718" s="1176"/>
      <c r="VPS718" s="1176"/>
      <c r="VPT718" s="1176"/>
      <c r="VPU718" s="1176"/>
      <c r="VPV718" s="1176"/>
      <c r="VPW718" s="1176"/>
      <c r="VPX718" s="1176"/>
      <c r="VPY718" s="1176"/>
      <c r="VPZ718" s="1176"/>
      <c r="VQA718" s="1176"/>
      <c r="VQB718" s="1176"/>
      <c r="VQC718" s="1176"/>
      <c r="VQD718" s="1176"/>
      <c r="VQE718" s="1176"/>
      <c r="VQF718" s="1176"/>
      <c r="VQG718" s="1176"/>
      <c r="VQH718" s="1176"/>
      <c r="VQI718" s="1176"/>
      <c r="VQJ718" s="1176"/>
      <c r="VQK718" s="1176"/>
      <c r="VQL718" s="1176"/>
      <c r="VQM718" s="1176"/>
      <c r="VQN718" s="1176"/>
      <c r="VQO718" s="1176"/>
      <c r="VQP718" s="1176"/>
      <c r="VQQ718" s="1176"/>
      <c r="VQR718" s="1176"/>
      <c r="VQS718" s="1176"/>
      <c r="VQT718" s="1176"/>
      <c r="VQU718" s="1176"/>
      <c r="VQV718" s="1176"/>
      <c r="VQW718" s="1176"/>
      <c r="VQX718" s="1176"/>
      <c r="VQY718" s="1176"/>
      <c r="VQZ718" s="1176"/>
      <c r="VRA718" s="1176"/>
      <c r="VRB718" s="1176"/>
      <c r="VRC718" s="1176"/>
      <c r="VRD718" s="1176"/>
      <c r="VRE718" s="1176"/>
      <c r="VRF718" s="1176"/>
      <c r="VRG718" s="1176"/>
      <c r="VRH718" s="1176"/>
      <c r="VRI718" s="1176"/>
      <c r="VRJ718" s="1176"/>
      <c r="VRK718" s="1176"/>
      <c r="VRL718" s="1176"/>
      <c r="VRM718" s="1176"/>
      <c r="VRN718" s="1176"/>
      <c r="VRO718" s="1176"/>
      <c r="VRP718" s="1176"/>
      <c r="VRQ718" s="1176"/>
      <c r="VRR718" s="1176"/>
      <c r="VRS718" s="1176"/>
      <c r="VRT718" s="1176"/>
      <c r="VRU718" s="1176"/>
      <c r="VRV718" s="1176"/>
      <c r="VRW718" s="1176"/>
      <c r="VRX718" s="1176"/>
      <c r="VRY718" s="1176"/>
      <c r="VRZ718" s="1176"/>
      <c r="VSA718" s="1176"/>
      <c r="VSB718" s="1176"/>
      <c r="VSC718" s="1176"/>
      <c r="VSD718" s="1176"/>
      <c r="VSE718" s="1176"/>
      <c r="VSF718" s="1176"/>
      <c r="VSG718" s="1176"/>
      <c r="VSH718" s="1176"/>
      <c r="VSI718" s="1176"/>
      <c r="VSJ718" s="1176"/>
      <c r="VSK718" s="1176"/>
      <c r="VSL718" s="1176"/>
      <c r="VSM718" s="1176"/>
      <c r="VSN718" s="1176"/>
      <c r="VSO718" s="1176"/>
      <c r="VSP718" s="1176"/>
      <c r="VSQ718" s="1176"/>
      <c r="VSR718" s="1176"/>
      <c r="VSS718" s="1176"/>
      <c r="VST718" s="1176"/>
      <c r="VSU718" s="1176"/>
      <c r="VSV718" s="1176"/>
      <c r="VSW718" s="1176"/>
      <c r="VSX718" s="1176"/>
      <c r="VSY718" s="1176"/>
      <c r="VSZ718" s="1176"/>
      <c r="VTA718" s="1176"/>
      <c r="VTB718" s="1176"/>
      <c r="VTC718" s="1176"/>
      <c r="VTD718" s="1176"/>
      <c r="VTE718" s="1176"/>
      <c r="VTF718" s="1176"/>
      <c r="VTG718" s="1176"/>
      <c r="VTH718" s="1176"/>
      <c r="VTI718" s="1176"/>
      <c r="VTJ718" s="1176"/>
      <c r="VTK718" s="1176"/>
      <c r="VTL718" s="1176"/>
      <c r="VTM718" s="1176"/>
      <c r="VTN718" s="1176"/>
      <c r="VTO718" s="1176"/>
      <c r="VTP718" s="1176"/>
      <c r="VTQ718" s="1176"/>
      <c r="VTR718" s="1176"/>
      <c r="VTS718" s="1176"/>
      <c r="VTT718" s="1176"/>
      <c r="VTU718" s="1176"/>
      <c r="VTV718" s="1176"/>
      <c r="VTW718" s="1176"/>
      <c r="VTX718" s="1176"/>
      <c r="VTY718" s="1176"/>
      <c r="VTZ718" s="1176"/>
      <c r="VUA718" s="1176"/>
      <c r="VUB718" s="1176"/>
      <c r="VUC718" s="1176"/>
      <c r="VUD718" s="1176"/>
      <c r="VUE718" s="1176"/>
      <c r="VUF718" s="1176"/>
      <c r="VUG718" s="1176"/>
      <c r="VUH718" s="1176"/>
      <c r="VUI718" s="1176"/>
      <c r="VUJ718" s="1176"/>
      <c r="VUK718" s="1176"/>
      <c r="VUL718" s="1176"/>
      <c r="VUM718" s="1176"/>
      <c r="VUN718" s="1176"/>
      <c r="VUO718" s="1176"/>
      <c r="VUP718" s="1176"/>
      <c r="VUQ718" s="1176"/>
      <c r="VUR718" s="1176"/>
      <c r="VUS718" s="1176"/>
      <c r="VUT718" s="1176"/>
      <c r="VUU718" s="1176"/>
      <c r="VUV718" s="1176"/>
      <c r="VUW718" s="1176"/>
      <c r="VUX718" s="1176"/>
      <c r="VUY718" s="1176"/>
      <c r="VUZ718" s="1176"/>
      <c r="VVA718" s="1176"/>
      <c r="VVB718" s="1176"/>
      <c r="VVC718" s="1176"/>
      <c r="VVD718" s="1176"/>
      <c r="VVE718" s="1176"/>
      <c r="VVF718" s="1176"/>
      <c r="VVG718" s="1176"/>
      <c r="VVH718" s="1176"/>
      <c r="VVI718" s="1176"/>
      <c r="VVJ718" s="1176"/>
      <c r="VVK718" s="1176"/>
      <c r="VVL718" s="1176"/>
      <c r="VVM718" s="1176"/>
      <c r="VVN718" s="1176"/>
      <c r="VVO718" s="1176"/>
      <c r="VVP718" s="1176"/>
      <c r="VVQ718" s="1176"/>
      <c r="VVR718" s="1176"/>
      <c r="VVS718" s="1176"/>
      <c r="VVT718" s="1176"/>
      <c r="VVU718" s="1176"/>
      <c r="VVV718" s="1176"/>
      <c r="VVW718" s="1176"/>
      <c r="VVX718" s="1176"/>
      <c r="VVY718" s="1176"/>
      <c r="VVZ718" s="1176"/>
      <c r="VWA718" s="1176"/>
      <c r="VWB718" s="1176"/>
      <c r="VWC718" s="1176"/>
      <c r="VWD718" s="1176"/>
      <c r="VWE718" s="1176"/>
      <c r="VWF718" s="1176"/>
      <c r="VWG718" s="1176"/>
      <c r="VWH718" s="1176"/>
      <c r="VWI718" s="1176"/>
      <c r="VWJ718" s="1176"/>
      <c r="VWK718" s="1176"/>
      <c r="VWL718" s="1176"/>
      <c r="VWM718" s="1176"/>
      <c r="VWN718" s="1176"/>
      <c r="VWO718" s="1176"/>
      <c r="VWP718" s="1176"/>
      <c r="VWQ718" s="1176"/>
      <c r="VWR718" s="1176"/>
      <c r="VWS718" s="1176"/>
      <c r="VWT718" s="1176"/>
      <c r="VWU718" s="1176"/>
      <c r="VWV718" s="1176"/>
      <c r="VWW718" s="1176"/>
      <c r="VWX718" s="1176"/>
      <c r="VWY718" s="1176"/>
      <c r="VWZ718" s="1176"/>
      <c r="VXA718" s="1176"/>
      <c r="VXB718" s="1176"/>
      <c r="VXC718" s="1176"/>
      <c r="VXD718" s="1176"/>
      <c r="VXE718" s="1176"/>
      <c r="VXF718" s="1176"/>
      <c r="VXG718" s="1176"/>
      <c r="VXH718" s="1176"/>
      <c r="VXI718" s="1176"/>
      <c r="VXJ718" s="1176"/>
      <c r="VXK718" s="1176"/>
      <c r="VXL718" s="1176"/>
      <c r="VXM718" s="1176"/>
      <c r="VXN718" s="1176"/>
      <c r="VXO718" s="1176"/>
      <c r="VXP718" s="1176"/>
      <c r="VXQ718" s="1176"/>
      <c r="VXR718" s="1176"/>
      <c r="VXS718" s="1176"/>
      <c r="VXT718" s="1176"/>
      <c r="VXU718" s="1176"/>
      <c r="VXV718" s="1176"/>
      <c r="VXW718" s="1176"/>
      <c r="VXX718" s="1176"/>
      <c r="VXY718" s="1176"/>
      <c r="VXZ718" s="1176"/>
      <c r="VYA718" s="1176"/>
      <c r="VYB718" s="1176"/>
      <c r="VYC718" s="1176"/>
      <c r="VYD718" s="1176"/>
      <c r="VYE718" s="1176"/>
      <c r="VYF718" s="1176"/>
      <c r="VYG718" s="1176"/>
      <c r="VYH718" s="1176"/>
      <c r="VYI718" s="1176"/>
      <c r="VYJ718" s="1176"/>
      <c r="VYK718" s="1176"/>
      <c r="VYL718" s="1176"/>
      <c r="VYM718" s="1176"/>
      <c r="VYN718" s="1176"/>
      <c r="VYO718" s="1176"/>
      <c r="VYP718" s="1176"/>
      <c r="VYQ718" s="1176"/>
      <c r="VYR718" s="1176"/>
      <c r="VYS718" s="1176"/>
      <c r="VYT718" s="1176"/>
      <c r="VYU718" s="1176"/>
      <c r="VYV718" s="1176"/>
      <c r="VYW718" s="1176"/>
      <c r="VYX718" s="1176"/>
      <c r="VYY718" s="1176"/>
      <c r="VYZ718" s="1176"/>
      <c r="VZA718" s="1176"/>
      <c r="VZB718" s="1176"/>
      <c r="VZC718" s="1176"/>
      <c r="VZD718" s="1176"/>
      <c r="VZE718" s="1176"/>
      <c r="VZF718" s="1176"/>
      <c r="VZG718" s="1176"/>
      <c r="VZH718" s="1176"/>
      <c r="VZI718" s="1176"/>
      <c r="VZJ718" s="1176"/>
      <c r="VZK718" s="1176"/>
      <c r="VZL718" s="1176"/>
      <c r="VZM718" s="1176"/>
      <c r="VZN718" s="1176"/>
      <c r="VZO718" s="1176"/>
      <c r="VZP718" s="1176"/>
      <c r="VZQ718" s="1176"/>
      <c r="VZR718" s="1176"/>
      <c r="VZS718" s="1176"/>
      <c r="VZT718" s="1176"/>
      <c r="VZU718" s="1176"/>
      <c r="VZV718" s="1176"/>
      <c r="VZW718" s="1176"/>
      <c r="VZX718" s="1176"/>
      <c r="VZY718" s="1176"/>
      <c r="VZZ718" s="1176"/>
      <c r="WAA718" s="1176"/>
      <c r="WAB718" s="1176"/>
      <c r="WAC718" s="1176"/>
      <c r="WAD718" s="1176"/>
      <c r="WAE718" s="1176"/>
      <c r="WAF718" s="1176"/>
      <c r="WAG718" s="1176"/>
      <c r="WAH718" s="1176"/>
      <c r="WAI718" s="1176"/>
      <c r="WAJ718" s="1176"/>
      <c r="WAK718" s="1176"/>
      <c r="WAL718" s="1176"/>
      <c r="WAM718" s="1176"/>
      <c r="WAN718" s="1176"/>
      <c r="WAO718" s="1176"/>
      <c r="WAP718" s="1176"/>
      <c r="WAQ718" s="1176"/>
      <c r="WAR718" s="1176"/>
      <c r="WAS718" s="1176"/>
      <c r="WAT718" s="1176"/>
      <c r="WAU718" s="1176"/>
      <c r="WAV718" s="1176"/>
      <c r="WAW718" s="1176"/>
      <c r="WAX718" s="1176"/>
      <c r="WAY718" s="1176"/>
      <c r="WAZ718" s="1176"/>
      <c r="WBA718" s="1176"/>
      <c r="WBB718" s="1176"/>
      <c r="WBC718" s="1176"/>
      <c r="WBD718" s="1176"/>
      <c r="WBE718" s="1176"/>
      <c r="WBF718" s="1176"/>
      <c r="WBG718" s="1176"/>
      <c r="WBH718" s="1176"/>
      <c r="WBI718" s="1176"/>
      <c r="WBJ718" s="1176"/>
      <c r="WBK718" s="1176"/>
      <c r="WBL718" s="1176"/>
      <c r="WBM718" s="1176"/>
      <c r="WBN718" s="1176"/>
      <c r="WBO718" s="1176"/>
      <c r="WBP718" s="1176"/>
      <c r="WBQ718" s="1176"/>
      <c r="WBR718" s="1176"/>
      <c r="WBS718" s="1176"/>
      <c r="WBT718" s="1176"/>
      <c r="WBU718" s="1176"/>
      <c r="WBV718" s="1176"/>
      <c r="WBW718" s="1176"/>
      <c r="WBX718" s="1176"/>
      <c r="WBY718" s="1176"/>
      <c r="WBZ718" s="1176"/>
      <c r="WCA718" s="1176"/>
      <c r="WCB718" s="1176"/>
      <c r="WCC718" s="1176"/>
      <c r="WCD718" s="1176"/>
      <c r="WCE718" s="1176"/>
      <c r="WCF718" s="1176"/>
      <c r="WCG718" s="1176"/>
      <c r="WCH718" s="1176"/>
      <c r="WCI718" s="1176"/>
      <c r="WCJ718" s="1176"/>
      <c r="WCK718" s="1176"/>
      <c r="WCL718" s="1176"/>
      <c r="WCM718" s="1176"/>
      <c r="WCN718" s="1176"/>
      <c r="WCO718" s="1176"/>
      <c r="WCP718" s="1176"/>
      <c r="WCQ718" s="1176"/>
      <c r="WCR718" s="1176"/>
      <c r="WCS718" s="1176"/>
      <c r="WCT718" s="1176"/>
      <c r="WCU718" s="1176"/>
      <c r="WCV718" s="1176"/>
      <c r="WCW718" s="1176"/>
      <c r="WCX718" s="1176"/>
      <c r="WCY718" s="1176"/>
      <c r="WCZ718" s="1176"/>
      <c r="WDA718" s="1176"/>
      <c r="WDB718" s="1176"/>
      <c r="WDC718" s="1176"/>
      <c r="WDD718" s="1176"/>
      <c r="WDE718" s="1176"/>
      <c r="WDF718" s="1176"/>
      <c r="WDG718" s="1176"/>
      <c r="WDH718" s="1176"/>
      <c r="WDI718" s="1176"/>
      <c r="WDJ718" s="1176"/>
      <c r="WDK718" s="1176"/>
      <c r="WDL718" s="1176"/>
      <c r="WDM718" s="1176"/>
      <c r="WDN718" s="1176"/>
      <c r="WDO718" s="1176"/>
      <c r="WDP718" s="1176"/>
      <c r="WDQ718" s="1176"/>
      <c r="WDR718" s="1176"/>
      <c r="WDS718" s="1176"/>
      <c r="WDT718" s="1176"/>
      <c r="WDU718" s="1176"/>
      <c r="WDV718" s="1176"/>
      <c r="WDW718" s="1176"/>
      <c r="WDX718" s="1176"/>
      <c r="WDY718" s="1176"/>
      <c r="WDZ718" s="1176"/>
      <c r="WEA718" s="1176"/>
      <c r="WEB718" s="1176"/>
      <c r="WEC718" s="1176"/>
      <c r="WED718" s="1176"/>
      <c r="WEE718" s="1176"/>
      <c r="WEF718" s="1176"/>
      <c r="WEG718" s="1176"/>
      <c r="WEH718" s="1176"/>
      <c r="WEI718" s="1176"/>
      <c r="WEJ718" s="1176"/>
      <c r="WEK718" s="1176"/>
      <c r="WEL718" s="1176"/>
      <c r="WEM718" s="1176"/>
      <c r="WEN718" s="1176"/>
      <c r="WEO718" s="1176"/>
      <c r="WEP718" s="1176"/>
      <c r="WEQ718" s="1176"/>
      <c r="WER718" s="1176"/>
      <c r="WES718" s="1176"/>
      <c r="WET718" s="1176"/>
      <c r="WEU718" s="1176"/>
      <c r="WEV718" s="1176"/>
      <c r="WEW718" s="1176"/>
      <c r="WEX718" s="1176"/>
      <c r="WEY718" s="1176"/>
      <c r="WEZ718" s="1176"/>
      <c r="WFA718" s="1176"/>
      <c r="WFB718" s="1176"/>
      <c r="WFC718" s="1176"/>
      <c r="WFD718" s="1176"/>
      <c r="WFE718" s="1176"/>
      <c r="WFF718" s="1176"/>
      <c r="WFG718" s="1176"/>
      <c r="WFH718" s="1176"/>
      <c r="WFI718" s="1176"/>
      <c r="WFJ718" s="1176"/>
      <c r="WFK718" s="1176"/>
      <c r="WFL718" s="1176"/>
      <c r="WFM718" s="1176"/>
      <c r="WFN718" s="1176"/>
      <c r="WFO718" s="1176"/>
      <c r="WFP718" s="1176"/>
      <c r="WFQ718" s="1176"/>
      <c r="WFR718" s="1176"/>
      <c r="WFS718" s="1176"/>
      <c r="WFT718" s="1176"/>
      <c r="WFU718" s="1176"/>
      <c r="WFV718" s="1176"/>
      <c r="WFW718" s="1176"/>
      <c r="WFX718" s="1176"/>
      <c r="WFY718" s="1176"/>
      <c r="WFZ718" s="1176"/>
      <c r="WGA718" s="1176"/>
      <c r="WGB718" s="1176"/>
      <c r="WGC718" s="1176"/>
      <c r="WGD718" s="1176"/>
      <c r="WGE718" s="1176"/>
      <c r="WGF718" s="1176"/>
      <c r="WGG718" s="1176"/>
      <c r="WGH718" s="1176"/>
      <c r="WGI718" s="1176"/>
      <c r="WGJ718" s="1176"/>
      <c r="WGK718" s="1176"/>
      <c r="WGL718" s="1176"/>
      <c r="WGM718" s="1176"/>
      <c r="WGN718" s="1176"/>
      <c r="WGO718" s="1176"/>
      <c r="WGP718" s="1176"/>
      <c r="WGQ718" s="1176"/>
      <c r="WGR718" s="1176"/>
      <c r="WGS718" s="1176"/>
      <c r="WGT718" s="1176"/>
      <c r="WGU718" s="1176"/>
      <c r="WGV718" s="1176"/>
      <c r="WGW718" s="1176"/>
      <c r="WGX718" s="1176"/>
      <c r="WGY718" s="1176"/>
      <c r="WGZ718" s="1176"/>
      <c r="WHA718" s="1176"/>
      <c r="WHB718" s="1176"/>
      <c r="WHC718" s="1176"/>
      <c r="WHD718" s="1176"/>
      <c r="WHE718" s="1176"/>
      <c r="WHF718" s="1176"/>
      <c r="WHG718" s="1176"/>
      <c r="WHH718" s="1176"/>
      <c r="WHI718" s="1176"/>
      <c r="WHJ718" s="1176"/>
      <c r="WHK718" s="1176"/>
      <c r="WHL718" s="1176"/>
      <c r="WHM718" s="1176"/>
      <c r="WHN718" s="1176"/>
      <c r="WHO718" s="1176"/>
      <c r="WHP718" s="1176"/>
      <c r="WHQ718" s="1176"/>
      <c r="WHR718" s="1176"/>
      <c r="WHS718" s="1176"/>
      <c r="WHT718" s="1176"/>
      <c r="WHU718" s="1176"/>
      <c r="WHV718" s="1176"/>
      <c r="WHW718" s="1176"/>
      <c r="WHX718" s="1176"/>
      <c r="WHY718" s="1176"/>
      <c r="WHZ718" s="1176"/>
      <c r="WIA718" s="1176"/>
      <c r="WIB718" s="1176"/>
      <c r="WIC718" s="1176"/>
      <c r="WID718" s="1176"/>
      <c r="WIE718" s="1176"/>
      <c r="WIF718" s="1176"/>
      <c r="WIG718" s="1176"/>
      <c r="WIH718" s="1176"/>
      <c r="WII718" s="1176"/>
      <c r="WIJ718" s="1176"/>
      <c r="WIK718" s="1176"/>
      <c r="WIL718" s="1176"/>
      <c r="WIM718" s="1176"/>
      <c r="WIN718" s="1176"/>
      <c r="WIO718" s="1176"/>
      <c r="WIP718" s="1176"/>
      <c r="WIQ718" s="1176"/>
      <c r="WIR718" s="1176"/>
      <c r="WIS718" s="1176"/>
      <c r="WIT718" s="1176"/>
      <c r="WIU718" s="1176"/>
      <c r="WIV718" s="1176"/>
      <c r="WIW718" s="1176"/>
      <c r="WIX718" s="1176"/>
      <c r="WIY718" s="1176"/>
      <c r="WIZ718" s="1176"/>
      <c r="WJA718" s="1176"/>
      <c r="WJB718" s="1176"/>
      <c r="WJC718" s="1176"/>
      <c r="WJD718" s="1176"/>
      <c r="WJE718" s="1176"/>
      <c r="WJF718" s="1176"/>
      <c r="WJG718" s="1176"/>
      <c r="WJH718" s="1176"/>
      <c r="WJI718" s="1176"/>
      <c r="WJJ718" s="1176"/>
      <c r="WJK718" s="1176"/>
      <c r="WJL718" s="1176"/>
      <c r="WJM718" s="1176"/>
      <c r="WJN718" s="1176"/>
      <c r="WJO718" s="1176"/>
      <c r="WJP718" s="1176"/>
      <c r="WJQ718" s="1176"/>
      <c r="WJR718" s="1176"/>
      <c r="WJS718" s="1176"/>
      <c r="WJT718" s="1176"/>
      <c r="WJU718" s="1176"/>
      <c r="WJV718" s="1176"/>
      <c r="WJW718" s="1176"/>
      <c r="WJX718" s="1176"/>
      <c r="WJY718" s="1176"/>
      <c r="WJZ718" s="1176"/>
      <c r="WKA718" s="1176"/>
      <c r="WKB718" s="1176"/>
      <c r="WKC718" s="1176"/>
      <c r="WKD718" s="1176"/>
      <c r="WKE718" s="1176"/>
      <c r="WKF718" s="1176"/>
      <c r="WKG718" s="1176"/>
      <c r="WKH718" s="1176"/>
      <c r="WKI718" s="1176"/>
      <c r="WKJ718" s="1176"/>
      <c r="WKK718" s="1176"/>
      <c r="WKL718" s="1176"/>
      <c r="WKM718" s="1176"/>
      <c r="WKN718" s="1176"/>
      <c r="WKO718" s="1176"/>
      <c r="WKP718" s="1176"/>
      <c r="WKQ718" s="1176"/>
      <c r="WKR718" s="1176"/>
      <c r="WKS718" s="1176"/>
      <c r="WKT718" s="1176"/>
      <c r="WKU718" s="1176"/>
      <c r="WKV718" s="1176"/>
      <c r="WKW718" s="1176"/>
      <c r="WKX718" s="1176"/>
      <c r="WKY718" s="1176"/>
      <c r="WKZ718" s="1176"/>
      <c r="WLA718" s="1176"/>
      <c r="WLB718" s="1176"/>
      <c r="WLC718" s="1176"/>
      <c r="WLD718" s="1176"/>
      <c r="WLE718" s="1176"/>
      <c r="WLF718" s="1176"/>
      <c r="WLG718" s="1176"/>
      <c r="WLH718" s="1176"/>
      <c r="WLI718" s="1176"/>
      <c r="WLJ718" s="1176"/>
      <c r="WLK718" s="1176"/>
      <c r="WLL718" s="1176"/>
      <c r="WLM718" s="1176"/>
      <c r="WLN718" s="1176"/>
      <c r="WLO718" s="1176"/>
      <c r="WLP718" s="1176"/>
      <c r="WLQ718" s="1176"/>
      <c r="WLR718" s="1176"/>
      <c r="WLS718" s="1176"/>
      <c r="WLT718" s="1176"/>
      <c r="WLU718" s="1176"/>
      <c r="WLV718" s="1176"/>
      <c r="WLW718" s="1176"/>
      <c r="WLX718" s="1176"/>
      <c r="WLY718" s="1176"/>
      <c r="WLZ718" s="1176"/>
      <c r="WMA718" s="1176"/>
      <c r="WMB718" s="1176"/>
      <c r="WMC718" s="1176"/>
      <c r="WMD718" s="1176"/>
      <c r="WME718" s="1176"/>
      <c r="WMF718" s="1176"/>
      <c r="WMG718" s="1176"/>
      <c r="WMH718" s="1176"/>
      <c r="WMI718" s="1176"/>
      <c r="WMJ718" s="1176"/>
      <c r="WMK718" s="1176"/>
      <c r="WML718" s="1176"/>
      <c r="WMM718" s="1176"/>
      <c r="WMN718" s="1176"/>
      <c r="WMO718" s="1176"/>
      <c r="WMP718" s="1176"/>
      <c r="WMQ718" s="1176"/>
      <c r="WMR718" s="1176"/>
      <c r="WMS718" s="1176"/>
      <c r="WMT718" s="1176"/>
      <c r="WMU718" s="1176"/>
      <c r="WMV718" s="1176"/>
      <c r="WMW718" s="1176"/>
      <c r="WMX718" s="1176"/>
      <c r="WMY718" s="1176"/>
      <c r="WMZ718" s="1176"/>
      <c r="WNA718" s="1176"/>
      <c r="WNB718" s="1176"/>
      <c r="WNC718" s="1176"/>
      <c r="WND718" s="1176"/>
      <c r="WNE718" s="1176"/>
      <c r="WNF718" s="1176"/>
      <c r="WNG718" s="1176"/>
      <c r="WNH718" s="1176"/>
      <c r="WNI718" s="1176"/>
      <c r="WNJ718" s="1176"/>
      <c r="WNK718" s="1176"/>
      <c r="WNL718" s="1176"/>
      <c r="WNM718" s="1176"/>
      <c r="WNN718" s="1176"/>
      <c r="WNO718" s="1176"/>
      <c r="WNP718" s="1176"/>
      <c r="WNQ718" s="1176"/>
      <c r="WNR718" s="1176"/>
      <c r="WNS718" s="1176"/>
      <c r="WNT718" s="1176"/>
      <c r="WNU718" s="1176"/>
      <c r="WNV718" s="1176"/>
      <c r="WNW718" s="1176"/>
      <c r="WNX718" s="1176"/>
      <c r="WNY718" s="1176"/>
      <c r="WNZ718" s="1176"/>
      <c r="WOA718" s="1176"/>
      <c r="WOB718" s="1176"/>
      <c r="WOC718" s="1176"/>
      <c r="WOD718" s="1176"/>
      <c r="WOE718" s="1176"/>
      <c r="WOF718" s="1176"/>
      <c r="WOG718" s="1176"/>
      <c r="WOH718" s="1176"/>
      <c r="WOI718" s="1176"/>
      <c r="WOJ718" s="1176"/>
      <c r="WOK718" s="1176"/>
      <c r="WOL718" s="1176"/>
      <c r="WOM718" s="1176"/>
      <c r="WON718" s="1176"/>
      <c r="WOO718" s="1176"/>
      <c r="WOP718" s="1176"/>
      <c r="WOQ718" s="1176"/>
      <c r="WOR718" s="1176"/>
      <c r="WOS718" s="1176"/>
      <c r="WOT718" s="1176"/>
      <c r="WOU718" s="1176"/>
      <c r="WOV718" s="1176"/>
      <c r="WOW718" s="1176"/>
      <c r="WOX718" s="1176"/>
      <c r="WOY718" s="1176"/>
      <c r="WOZ718" s="1176"/>
      <c r="WPA718" s="1176"/>
      <c r="WPB718" s="1176"/>
      <c r="WPC718" s="1176"/>
      <c r="WPD718" s="1176"/>
      <c r="WPE718" s="1176"/>
      <c r="WPF718" s="1176"/>
      <c r="WPG718" s="1176"/>
      <c r="WPH718" s="1176"/>
      <c r="WPI718" s="1176"/>
      <c r="WPJ718" s="1176"/>
      <c r="WPK718" s="1176"/>
      <c r="WPL718" s="1176"/>
      <c r="WPM718" s="1176"/>
      <c r="WPN718" s="1176"/>
      <c r="WPO718" s="1176"/>
      <c r="WPP718" s="1176"/>
      <c r="WPQ718" s="1176"/>
      <c r="WPR718" s="1176"/>
      <c r="WPS718" s="1176"/>
      <c r="WPT718" s="1176"/>
      <c r="WPU718" s="1176"/>
      <c r="WPV718" s="1176"/>
      <c r="WPW718" s="1176"/>
      <c r="WPX718" s="1176"/>
      <c r="WPY718" s="1176"/>
      <c r="WPZ718" s="1176"/>
      <c r="WQA718" s="1176"/>
      <c r="WQB718" s="1176"/>
      <c r="WQC718" s="1176"/>
      <c r="WQD718" s="1176"/>
      <c r="WQE718" s="1176"/>
      <c r="WQF718" s="1176"/>
      <c r="WQG718" s="1176"/>
      <c r="WQH718" s="1176"/>
      <c r="WQI718" s="1176"/>
      <c r="WQJ718" s="1176"/>
      <c r="WQK718" s="1176"/>
      <c r="WQL718" s="1176"/>
      <c r="WQM718" s="1176"/>
      <c r="WQN718" s="1176"/>
      <c r="WQO718" s="1176"/>
      <c r="WQP718" s="1176"/>
      <c r="WQQ718" s="1176"/>
      <c r="WQR718" s="1176"/>
      <c r="WQS718" s="1176"/>
      <c r="WQT718" s="1176"/>
      <c r="WQU718" s="1176"/>
      <c r="WQV718" s="1176"/>
      <c r="WQW718" s="1176"/>
      <c r="WQX718" s="1176"/>
      <c r="WQY718" s="1176"/>
      <c r="WQZ718" s="1176"/>
      <c r="WRA718" s="1176"/>
      <c r="WRB718" s="1176"/>
      <c r="WRC718" s="1176"/>
      <c r="WRD718" s="1176"/>
      <c r="WRE718" s="1176"/>
      <c r="WRF718" s="1176"/>
      <c r="WRG718" s="1176"/>
      <c r="WRH718" s="1176"/>
      <c r="WRI718" s="1176"/>
      <c r="WRJ718" s="1176"/>
      <c r="WRK718" s="1176"/>
      <c r="WRL718" s="1176"/>
      <c r="WRM718" s="1176"/>
      <c r="WRN718" s="1176"/>
      <c r="WRO718" s="1176"/>
      <c r="WRP718" s="1176"/>
      <c r="WRQ718" s="1176"/>
      <c r="WRR718" s="1176"/>
      <c r="WRS718" s="1176"/>
      <c r="WRT718" s="1176"/>
      <c r="WRU718" s="1176"/>
      <c r="WRV718" s="1176"/>
      <c r="WRW718" s="1176"/>
      <c r="WRX718" s="1176"/>
      <c r="WRY718" s="1176"/>
      <c r="WRZ718" s="1176"/>
      <c r="WSA718" s="1176"/>
      <c r="WSB718" s="1176"/>
      <c r="WSC718" s="1176"/>
      <c r="WSD718" s="1176"/>
      <c r="WSE718" s="1176"/>
      <c r="WSF718" s="1176"/>
      <c r="WSG718" s="1176"/>
      <c r="WSH718" s="1176"/>
      <c r="WSI718" s="1176"/>
      <c r="WSJ718" s="1176"/>
      <c r="WSK718" s="1176"/>
      <c r="WSL718" s="1176"/>
      <c r="WSM718" s="1176"/>
      <c r="WSN718" s="1176"/>
      <c r="WSO718" s="1176"/>
      <c r="WSP718" s="1176"/>
      <c r="WSQ718" s="1176"/>
      <c r="WSR718" s="1176"/>
      <c r="WSS718" s="1176"/>
      <c r="WST718" s="1176"/>
      <c r="WSU718" s="1176"/>
      <c r="WSV718" s="1176"/>
      <c r="WSW718" s="1176"/>
      <c r="WSX718" s="1176"/>
      <c r="WSY718" s="1176"/>
      <c r="WSZ718" s="1176"/>
      <c r="WTA718" s="1176"/>
      <c r="WTB718" s="1176"/>
      <c r="WTC718" s="1176"/>
      <c r="WTD718" s="1176"/>
      <c r="WTE718" s="1176"/>
      <c r="WTF718" s="1176"/>
      <c r="WTG718" s="1176"/>
      <c r="WTH718" s="1176"/>
      <c r="WTI718" s="1176"/>
      <c r="WTJ718" s="1176"/>
      <c r="WTK718" s="1176"/>
      <c r="WTL718" s="1176"/>
      <c r="WTM718" s="1176"/>
      <c r="WTN718" s="1176"/>
      <c r="WTO718" s="1176"/>
      <c r="WTP718" s="1176"/>
      <c r="WTQ718" s="1176"/>
      <c r="WTR718" s="1176"/>
      <c r="WTS718" s="1176"/>
      <c r="WTT718" s="1176"/>
      <c r="WTU718" s="1176"/>
      <c r="WTV718" s="1176"/>
      <c r="WTW718" s="1176"/>
      <c r="WTX718" s="1176"/>
      <c r="WTY718" s="1176"/>
      <c r="WTZ718" s="1176"/>
      <c r="WUA718" s="1176"/>
      <c r="WUB718" s="1176"/>
      <c r="WUC718" s="1176"/>
      <c r="WUD718" s="1176"/>
      <c r="WUE718" s="1176"/>
      <c r="WUF718" s="1176"/>
      <c r="WUG718" s="1176"/>
      <c r="WUH718" s="1176"/>
      <c r="WUI718" s="1176"/>
      <c r="WUJ718" s="1176"/>
      <c r="WUK718" s="1176"/>
      <c r="WUL718" s="1176"/>
      <c r="WUM718" s="1176"/>
      <c r="WUN718" s="1176"/>
      <c r="WUO718" s="1176"/>
      <c r="WUP718" s="1176"/>
      <c r="WUQ718" s="1176"/>
      <c r="WUR718" s="1176"/>
      <c r="WUS718" s="1176"/>
      <c r="WUT718" s="1176"/>
      <c r="WUU718" s="1176"/>
      <c r="WUV718" s="1176"/>
      <c r="WUW718" s="1176"/>
      <c r="WUX718" s="1176"/>
      <c r="WUY718" s="1176"/>
      <c r="WUZ718" s="1176"/>
      <c r="WVA718" s="1176"/>
      <c r="WVB718" s="1176"/>
      <c r="WVC718" s="1176"/>
      <c r="WVD718" s="1176"/>
      <c r="WVE718" s="1176"/>
      <c r="WVF718" s="1176"/>
      <c r="WVG718" s="1176"/>
      <c r="WVH718" s="1176"/>
      <c r="WVI718" s="1176"/>
      <c r="WVJ718" s="1176"/>
      <c r="WVK718" s="1176"/>
      <c r="WVL718" s="1176"/>
      <c r="WVM718" s="1176"/>
      <c r="WVN718" s="1176"/>
      <c r="WVO718" s="1176"/>
      <c r="WVP718" s="1176"/>
      <c r="WVQ718" s="1176"/>
      <c r="WVR718" s="1176"/>
      <c r="WVS718" s="1176"/>
      <c r="WVT718" s="1176"/>
      <c r="WVU718" s="1176"/>
      <c r="WVV718" s="1176"/>
      <c r="WVW718" s="1176"/>
      <c r="WVX718" s="1176"/>
      <c r="WVY718" s="1176"/>
      <c r="WVZ718" s="1176"/>
      <c r="WWA718" s="1176"/>
      <c r="WWB718" s="1176"/>
      <c r="WWC718" s="1176"/>
      <c r="WWD718" s="1176"/>
      <c r="WWE718" s="1176"/>
      <c r="WWF718" s="1176"/>
      <c r="WWG718" s="1176"/>
      <c r="WWH718" s="1176"/>
      <c r="WWI718" s="1176"/>
      <c r="WWJ718" s="1176"/>
      <c r="WWK718" s="1176"/>
      <c r="WWL718" s="1176"/>
      <c r="WWM718" s="1176"/>
      <c r="WWN718" s="1176"/>
      <c r="WWO718" s="1176"/>
      <c r="WWP718" s="1176"/>
      <c r="WWQ718" s="1176"/>
      <c r="WWR718" s="1176"/>
      <c r="WWS718" s="1176"/>
      <c r="WWT718" s="1176"/>
      <c r="WWU718" s="1176"/>
      <c r="WWV718" s="1176"/>
      <c r="WWW718" s="1176"/>
      <c r="WWX718" s="1176"/>
      <c r="WWY718" s="1176"/>
      <c r="WWZ718" s="1176"/>
      <c r="WXA718" s="1176"/>
      <c r="WXB718" s="1176"/>
      <c r="WXC718" s="1176"/>
      <c r="WXD718" s="1176"/>
      <c r="WXE718" s="1176"/>
      <c r="WXF718" s="1176"/>
      <c r="WXG718" s="1176"/>
      <c r="WXH718" s="1176"/>
      <c r="WXI718" s="1176"/>
      <c r="WXJ718" s="1176"/>
      <c r="WXK718" s="1176"/>
      <c r="WXL718" s="1176"/>
      <c r="WXM718" s="1176"/>
      <c r="WXN718" s="1176"/>
      <c r="WXO718" s="1176"/>
      <c r="WXP718" s="1176"/>
      <c r="WXQ718" s="1176"/>
      <c r="WXR718" s="1176"/>
      <c r="WXS718" s="1176"/>
      <c r="WXT718" s="1176"/>
      <c r="WXU718" s="1176"/>
      <c r="WXV718" s="1176"/>
      <c r="WXW718" s="1176"/>
      <c r="WXX718" s="1176"/>
      <c r="WXY718" s="1176"/>
      <c r="WXZ718" s="1176"/>
      <c r="WYA718" s="1176"/>
      <c r="WYB718" s="1176"/>
      <c r="WYC718" s="1176"/>
      <c r="WYD718" s="1176"/>
      <c r="WYE718" s="1176"/>
      <c r="WYF718" s="1176"/>
      <c r="WYG718" s="1176"/>
      <c r="WYH718" s="1176"/>
      <c r="WYI718" s="1176"/>
      <c r="WYJ718" s="1176"/>
      <c r="WYK718" s="1176"/>
      <c r="WYL718" s="1176"/>
      <c r="WYM718" s="1176"/>
      <c r="WYN718" s="1176"/>
      <c r="WYO718" s="1176"/>
      <c r="WYP718" s="1176"/>
      <c r="WYQ718" s="1176"/>
      <c r="WYR718" s="1176"/>
      <c r="WYS718" s="1176"/>
      <c r="WYT718" s="1176"/>
      <c r="WYU718" s="1176"/>
      <c r="WYV718" s="1176"/>
      <c r="WYW718" s="1176"/>
      <c r="WYX718" s="1176"/>
      <c r="WYY718" s="1176"/>
      <c r="WYZ718" s="1176"/>
      <c r="WZA718" s="1176"/>
      <c r="WZB718" s="1176"/>
      <c r="WZC718" s="1176"/>
      <c r="WZD718" s="1176"/>
      <c r="WZE718" s="1176"/>
      <c r="WZF718" s="1176"/>
      <c r="WZG718" s="1176"/>
      <c r="WZH718" s="1176"/>
      <c r="WZI718" s="1176"/>
      <c r="WZJ718" s="1176"/>
      <c r="WZK718" s="1176"/>
      <c r="WZL718" s="1176"/>
      <c r="WZM718" s="1176"/>
      <c r="WZN718" s="1176"/>
      <c r="WZO718" s="1176"/>
      <c r="WZP718" s="1176"/>
      <c r="WZQ718" s="1176"/>
      <c r="WZR718" s="1176"/>
      <c r="WZS718" s="1176"/>
      <c r="WZT718" s="1176"/>
      <c r="WZU718" s="1176"/>
      <c r="WZV718" s="1176"/>
      <c r="WZW718" s="1176"/>
      <c r="WZX718" s="1176"/>
      <c r="WZY718" s="1176"/>
      <c r="WZZ718" s="1176"/>
      <c r="XAA718" s="1176"/>
      <c r="XAB718" s="1176"/>
      <c r="XAC718" s="1176"/>
      <c r="XAD718" s="1176"/>
      <c r="XAE718" s="1176"/>
      <c r="XAF718" s="1176"/>
      <c r="XAG718" s="1176"/>
      <c r="XAH718" s="1176"/>
      <c r="XAI718" s="1176"/>
      <c r="XAJ718" s="1176"/>
      <c r="XAK718" s="1176"/>
      <c r="XAL718" s="1176"/>
      <c r="XAM718" s="1176"/>
      <c r="XAN718" s="1176"/>
      <c r="XAO718" s="1176"/>
      <c r="XAP718" s="1176"/>
      <c r="XAQ718" s="1176"/>
      <c r="XAR718" s="1176"/>
      <c r="XAS718" s="1176"/>
      <c r="XAT718" s="1176"/>
      <c r="XAU718" s="1176"/>
      <c r="XAV718" s="1176"/>
      <c r="XAW718" s="1176"/>
      <c r="XAX718" s="1176"/>
      <c r="XAY718" s="1176"/>
      <c r="XAZ718" s="1176"/>
      <c r="XBA718" s="1176"/>
      <c r="XBB718" s="1176"/>
      <c r="XBC718" s="1176"/>
      <c r="XBD718" s="1176"/>
      <c r="XBE718" s="1176"/>
      <c r="XBF718" s="1176"/>
      <c r="XBG718" s="1176"/>
      <c r="XBH718" s="1176"/>
      <c r="XBI718" s="1176"/>
      <c r="XBJ718" s="1176"/>
      <c r="XBK718" s="1176"/>
      <c r="XBL718" s="1176"/>
    </row>
    <row r="719" spans="1:16288" s="1171" customFormat="1" ht="100.15" customHeight="1">
      <c r="A719" s="1280"/>
      <c r="B719" s="1135" t="s">
        <v>1987</v>
      </c>
      <c r="C719" s="1129">
        <f>C720</f>
        <v>1918583.73</v>
      </c>
      <c r="D719" s="1129">
        <f t="shared" ref="D719:Y719" si="337">D720</f>
        <v>0</v>
      </c>
      <c r="E719" s="1129">
        <f t="shared" si="337"/>
        <v>0</v>
      </c>
      <c r="F719" s="1129">
        <f t="shared" si="337"/>
        <v>0</v>
      </c>
      <c r="G719" s="1129">
        <f t="shared" si="337"/>
        <v>0</v>
      </c>
      <c r="H719" s="1129">
        <f t="shared" si="337"/>
        <v>0</v>
      </c>
      <c r="I719" s="1129">
        <f t="shared" si="337"/>
        <v>0</v>
      </c>
      <c r="J719" s="1129">
        <f t="shared" si="337"/>
        <v>0</v>
      </c>
      <c r="K719" s="1136">
        <f t="shared" si="337"/>
        <v>0</v>
      </c>
      <c r="L719" s="1129">
        <f t="shared" si="337"/>
        <v>0</v>
      </c>
      <c r="M719" s="1136">
        <f t="shared" si="337"/>
        <v>0</v>
      </c>
      <c r="N719" s="1129">
        <f t="shared" si="337"/>
        <v>0</v>
      </c>
      <c r="O719" s="1129">
        <f t="shared" si="337"/>
        <v>450</v>
      </c>
      <c r="P719" s="1129">
        <f t="shared" si="337"/>
        <v>1779227.73</v>
      </c>
      <c r="Q719" s="1129">
        <f t="shared" si="337"/>
        <v>0</v>
      </c>
      <c r="R719" s="1129">
        <f t="shared" si="337"/>
        <v>0</v>
      </c>
      <c r="S719" s="1129">
        <f t="shared" si="337"/>
        <v>0</v>
      </c>
      <c r="T719" s="1129">
        <f t="shared" si="337"/>
        <v>0</v>
      </c>
      <c r="U719" s="1129">
        <f t="shared" si="337"/>
        <v>0</v>
      </c>
      <c r="V719" s="1129">
        <f t="shared" si="337"/>
        <v>0</v>
      </c>
      <c r="W719" s="1167">
        <v>0</v>
      </c>
      <c r="X719" s="1129">
        <f t="shared" si="337"/>
        <v>139356</v>
      </c>
      <c r="Y719" s="1129">
        <f t="shared" si="337"/>
        <v>0</v>
      </c>
    </row>
    <row r="720" spans="1:16288" s="1143" customFormat="1" ht="75.599999999999994" customHeight="1">
      <c r="A720" s="1280"/>
      <c r="B720" s="1135" t="s">
        <v>2028</v>
      </c>
      <c r="C720" s="1129">
        <f>C721</f>
        <v>1918583.73</v>
      </c>
      <c r="D720" s="1129">
        <f t="shared" ref="D720:Y720" si="338">D721</f>
        <v>0</v>
      </c>
      <c r="E720" s="1129">
        <f t="shared" si="338"/>
        <v>0</v>
      </c>
      <c r="F720" s="1129">
        <f t="shared" si="338"/>
        <v>0</v>
      </c>
      <c r="G720" s="1129">
        <f t="shared" si="338"/>
        <v>0</v>
      </c>
      <c r="H720" s="1129">
        <f t="shared" si="338"/>
        <v>0</v>
      </c>
      <c r="I720" s="1129">
        <f t="shared" si="338"/>
        <v>0</v>
      </c>
      <c r="J720" s="1129">
        <f t="shared" si="338"/>
        <v>0</v>
      </c>
      <c r="K720" s="1136">
        <f t="shared" si="338"/>
        <v>0</v>
      </c>
      <c r="L720" s="1129">
        <f t="shared" si="338"/>
        <v>0</v>
      </c>
      <c r="M720" s="1136">
        <f t="shared" si="338"/>
        <v>0</v>
      </c>
      <c r="N720" s="1129">
        <f t="shared" si="338"/>
        <v>0</v>
      </c>
      <c r="O720" s="1129">
        <f t="shared" si="338"/>
        <v>450</v>
      </c>
      <c r="P720" s="1129">
        <f t="shared" si="338"/>
        <v>1779227.73</v>
      </c>
      <c r="Q720" s="1129">
        <f t="shared" si="338"/>
        <v>0</v>
      </c>
      <c r="R720" s="1129">
        <f t="shared" si="338"/>
        <v>0</v>
      </c>
      <c r="S720" s="1129">
        <f t="shared" si="338"/>
        <v>0</v>
      </c>
      <c r="T720" s="1129">
        <f t="shared" si="338"/>
        <v>0</v>
      </c>
      <c r="U720" s="1129">
        <f t="shared" si="338"/>
        <v>0</v>
      </c>
      <c r="V720" s="1129">
        <f t="shared" si="338"/>
        <v>0</v>
      </c>
      <c r="W720" s="1129">
        <v>0</v>
      </c>
      <c r="X720" s="1129">
        <f t="shared" si="338"/>
        <v>139356</v>
      </c>
      <c r="Y720" s="1129">
        <f t="shared" si="338"/>
        <v>0</v>
      </c>
    </row>
    <row r="721" spans="1:25" s="1143" customFormat="1" ht="94.9" customHeight="1">
      <c r="A721" s="1280">
        <v>230</v>
      </c>
      <c r="B721" s="1163" t="s">
        <v>2471</v>
      </c>
      <c r="C721" s="1129">
        <f>D721+N721+P721+R721+T721+V721+X721</f>
        <v>1918583.73</v>
      </c>
      <c r="D721" s="1129">
        <f>SUM(E721:J721)</f>
        <v>0</v>
      </c>
      <c r="E721" s="1129">
        <v>0</v>
      </c>
      <c r="F721" s="1129">
        <v>0</v>
      </c>
      <c r="G721" s="1129">
        <v>0</v>
      </c>
      <c r="H721" s="1129">
        <v>0</v>
      </c>
      <c r="I721" s="1129">
        <v>0</v>
      </c>
      <c r="J721" s="1129">
        <v>0</v>
      </c>
      <c r="K721" s="1136">
        <v>0</v>
      </c>
      <c r="L721" s="1129">
        <v>0</v>
      </c>
      <c r="M721" s="1136">
        <v>0</v>
      </c>
      <c r="N721" s="1129">
        <v>0</v>
      </c>
      <c r="O721" s="1129">
        <v>450</v>
      </c>
      <c r="P721" s="1129">
        <v>1779227.73</v>
      </c>
      <c r="Q721" s="1129">
        <v>0</v>
      </c>
      <c r="R721" s="1129">
        <v>0</v>
      </c>
      <c r="S721" s="1129">
        <v>0</v>
      </c>
      <c r="T721" s="1129">
        <v>0</v>
      </c>
      <c r="U721" s="1129">
        <v>0</v>
      </c>
      <c r="V721" s="1129">
        <v>0</v>
      </c>
      <c r="W721" s="1167">
        <v>0</v>
      </c>
      <c r="X721" s="1129">
        <v>139356</v>
      </c>
      <c r="Y721" s="1129">
        <v>0</v>
      </c>
    </row>
    <row r="722" spans="1:25" s="1143" customFormat="1" ht="111" customHeight="1">
      <c r="A722" s="1280"/>
      <c r="B722" s="1163" t="s">
        <v>2704</v>
      </c>
      <c r="C722" s="1129">
        <f>C723+C729</f>
        <v>12291643.199999999</v>
      </c>
      <c r="D722" s="1129">
        <f t="shared" ref="D722:Y722" si="339">D723+D729</f>
        <v>0</v>
      </c>
      <c r="E722" s="1129">
        <f t="shared" si="339"/>
        <v>0</v>
      </c>
      <c r="F722" s="1129">
        <f t="shared" si="339"/>
        <v>0</v>
      </c>
      <c r="G722" s="1129">
        <f t="shared" si="339"/>
        <v>0</v>
      </c>
      <c r="H722" s="1129">
        <f t="shared" si="339"/>
        <v>0</v>
      </c>
      <c r="I722" s="1129">
        <f t="shared" si="339"/>
        <v>0</v>
      </c>
      <c r="J722" s="1129">
        <f t="shared" si="339"/>
        <v>0</v>
      </c>
      <c r="K722" s="1136">
        <f t="shared" si="339"/>
        <v>0</v>
      </c>
      <c r="L722" s="1129">
        <f t="shared" si="339"/>
        <v>0</v>
      </c>
      <c r="M722" s="1136">
        <f t="shared" si="339"/>
        <v>0</v>
      </c>
      <c r="N722" s="1129">
        <f t="shared" si="339"/>
        <v>0</v>
      </c>
      <c r="O722" s="1129">
        <f t="shared" si="339"/>
        <v>3258.98</v>
      </c>
      <c r="P722" s="1129">
        <f t="shared" si="339"/>
        <v>11398841.85</v>
      </c>
      <c r="Q722" s="1129">
        <f t="shared" si="339"/>
        <v>0</v>
      </c>
      <c r="R722" s="1129">
        <f t="shared" si="339"/>
        <v>0</v>
      </c>
      <c r="S722" s="1129">
        <f t="shared" si="339"/>
        <v>0</v>
      </c>
      <c r="T722" s="1129">
        <f t="shared" si="339"/>
        <v>0</v>
      </c>
      <c r="U722" s="1129">
        <f t="shared" si="339"/>
        <v>0</v>
      </c>
      <c r="V722" s="1129">
        <f t="shared" si="339"/>
        <v>0</v>
      </c>
      <c r="W722" s="1167">
        <v>0</v>
      </c>
      <c r="X722" s="1129">
        <f t="shared" si="339"/>
        <v>892801.35</v>
      </c>
      <c r="Y722" s="1129">
        <f t="shared" si="339"/>
        <v>0</v>
      </c>
    </row>
    <row r="723" spans="1:25" s="1137" customFormat="1" ht="112.9" customHeight="1">
      <c r="A723" s="1280"/>
      <c r="B723" s="1163" t="s">
        <v>1077</v>
      </c>
      <c r="C723" s="1129">
        <f>C724+C725+C726+C727+C728</f>
        <v>10300664.91</v>
      </c>
      <c r="D723" s="1129">
        <f t="shared" ref="D723:Y723" si="340">D724+D725+D726+D727+D728</f>
        <v>0</v>
      </c>
      <c r="E723" s="1129">
        <f t="shared" si="340"/>
        <v>0</v>
      </c>
      <c r="F723" s="1129">
        <f t="shared" si="340"/>
        <v>0</v>
      </c>
      <c r="G723" s="1129">
        <f t="shared" si="340"/>
        <v>0</v>
      </c>
      <c r="H723" s="1129">
        <f t="shared" si="340"/>
        <v>0</v>
      </c>
      <c r="I723" s="1129">
        <f t="shared" si="340"/>
        <v>0</v>
      </c>
      <c r="J723" s="1129">
        <f t="shared" si="340"/>
        <v>0</v>
      </c>
      <c r="K723" s="1136">
        <f t="shared" si="340"/>
        <v>0</v>
      </c>
      <c r="L723" s="1129">
        <f t="shared" si="340"/>
        <v>0</v>
      </c>
      <c r="M723" s="1136">
        <f t="shared" si="340"/>
        <v>0</v>
      </c>
      <c r="N723" s="1129">
        <f t="shared" si="340"/>
        <v>0</v>
      </c>
      <c r="O723" s="1129">
        <f t="shared" si="340"/>
        <v>2792</v>
      </c>
      <c r="P723" s="1129">
        <f t="shared" si="340"/>
        <v>9552477.9299999997</v>
      </c>
      <c r="Q723" s="1129">
        <f t="shared" si="340"/>
        <v>0</v>
      </c>
      <c r="R723" s="1129">
        <f t="shared" si="340"/>
        <v>0</v>
      </c>
      <c r="S723" s="1129">
        <f t="shared" si="340"/>
        <v>0</v>
      </c>
      <c r="T723" s="1129">
        <f t="shared" si="340"/>
        <v>0</v>
      </c>
      <c r="U723" s="1129">
        <f t="shared" si="340"/>
        <v>0</v>
      </c>
      <c r="V723" s="1129">
        <f t="shared" si="340"/>
        <v>0</v>
      </c>
      <c r="W723" s="1129">
        <v>0</v>
      </c>
      <c r="X723" s="1129">
        <f t="shared" si="340"/>
        <v>748186.98</v>
      </c>
      <c r="Y723" s="1129">
        <f t="shared" si="340"/>
        <v>0</v>
      </c>
    </row>
    <row r="724" spans="1:25" s="1137" customFormat="1" ht="103.15" customHeight="1">
      <c r="A724" s="1280">
        <v>231</v>
      </c>
      <c r="B724" s="1128" t="s">
        <v>1224</v>
      </c>
      <c r="C724" s="1129">
        <f>D724+N724+P724+R724+T724+V724+X724</f>
        <v>2520600.75</v>
      </c>
      <c r="D724" s="1129">
        <f>SUM(E724:J724)</f>
        <v>0</v>
      </c>
      <c r="E724" s="1129">
        <v>0</v>
      </c>
      <c r="F724" s="1129">
        <v>0</v>
      </c>
      <c r="G724" s="1129">
        <v>0</v>
      </c>
      <c r="H724" s="1129">
        <v>0</v>
      </c>
      <c r="I724" s="1129">
        <v>0</v>
      </c>
      <c r="J724" s="1129">
        <v>0</v>
      </c>
      <c r="K724" s="1136">
        <v>0</v>
      </c>
      <c r="L724" s="1129">
        <v>0</v>
      </c>
      <c r="M724" s="1136">
        <v>0</v>
      </c>
      <c r="N724" s="1129">
        <v>0</v>
      </c>
      <c r="O724" s="1129">
        <v>621.38</v>
      </c>
      <c r="P724" s="1129">
        <v>2337517.35</v>
      </c>
      <c r="Q724" s="1129">
        <v>0</v>
      </c>
      <c r="R724" s="1129">
        <v>0</v>
      </c>
      <c r="S724" s="1129">
        <v>0</v>
      </c>
      <c r="T724" s="1129">
        <v>0</v>
      </c>
      <c r="U724" s="1129">
        <v>0</v>
      </c>
      <c r="V724" s="1129">
        <v>0</v>
      </c>
      <c r="W724" s="1167">
        <v>0</v>
      </c>
      <c r="X724" s="1129">
        <v>183083.4</v>
      </c>
      <c r="Y724" s="1129">
        <v>0</v>
      </c>
    </row>
    <row r="725" spans="1:25" s="1137" customFormat="1" ht="92.45" customHeight="1">
      <c r="A725" s="1280">
        <v>232</v>
      </c>
      <c r="B725" s="1128" t="s">
        <v>1225</v>
      </c>
      <c r="C725" s="1129">
        <f>D725+N725+P725+R725+T725+V725+X725</f>
        <v>2054454</v>
      </c>
      <c r="D725" s="1129">
        <f>SUM(E725:J725)</f>
        <v>0</v>
      </c>
      <c r="E725" s="1129">
        <v>0</v>
      </c>
      <c r="F725" s="1129">
        <v>0</v>
      </c>
      <c r="G725" s="1129">
        <v>0</v>
      </c>
      <c r="H725" s="1129">
        <v>0</v>
      </c>
      <c r="I725" s="1129">
        <v>0</v>
      </c>
      <c r="J725" s="1129">
        <v>0</v>
      </c>
      <c r="K725" s="1136">
        <v>0</v>
      </c>
      <c r="L725" s="1129">
        <v>0</v>
      </c>
      <c r="M725" s="1136">
        <v>0</v>
      </c>
      <c r="N725" s="1129">
        <v>0</v>
      </c>
      <c r="O725" s="1129">
        <v>607</v>
      </c>
      <c r="P725" s="1129">
        <v>1905229</v>
      </c>
      <c r="Q725" s="1129">
        <v>0</v>
      </c>
      <c r="R725" s="1129">
        <v>0</v>
      </c>
      <c r="S725" s="1129">
        <v>0</v>
      </c>
      <c r="T725" s="1129">
        <v>0</v>
      </c>
      <c r="U725" s="1129">
        <v>0</v>
      </c>
      <c r="V725" s="1129">
        <v>0</v>
      </c>
      <c r="W725" s="1167">
        <v>0</v>
      </c>
      <c r="X725" s="1129">
        <v>149225</v>
      </c>
      <c r="Y725" s="1129">
        <v>0</v>
      </c>
    </row>
    <row r="726" spans="1:25" s="1137" customFormat="1" ht="63" customHeight="1">
      <c r="A726" s="1280">
        <v>233</v>
      </c>
      <c r="B726" s="1128" t="s">
        <v>2994</v>
      </c>
      <c r="C726" s="1129">
        <f t="shared" ref="C726:C728" si="341">D726+N726+P726+R726+T726+V726+X726</f>
        <v>1499379</v>
      </c>
      <c r="D726" s="1129">
        <f t="shared" ref="D726:D728" si="342">SUM(E726:J726)</f>
        <v>0</v>
      </c>
      <c r="E726" s="1129">
        <v>0</v>
      </c>
      <c r="F726" s="1129">
        <v>0</v>
      </c>
      <c r="G726" s="1129">
        <v>0</v>
      </c>
      <c r="H726" s="1129">
        <v>0</v>
      </c>
      <c r="I726" s="1129">
        <v>0</v>
      </c>
      <c r="J726" s="1129">
        <v>0</v>
      </c>
      <c r="K726" s="1136">
        <v>0</v>
      </c>
      <c r="L726" s="1129">
        <v>0</v>
      </c>
      <c r="M726" s="1136">
        <v>0</v>
      </c>
      <c r="N726" s="1129">
        <v>0</v>
      </c>
      <c r="O726" s="1129">
        <v>443</v>
      </c>
      <c r="P726" s="1129">
        <v>1390472</v>
      </c>
      <c r="Q726" s="1129">
        <v>0</v>
      </c>
      <c r="R726" s="1129">
        <v>0</v>
      </c>
      <c r="S726" s="1129">
        <v>0</v>
      </c>
      <c r="T726" s="1129">
        <v>0</v>
      </c>
      <c r="U726" s="1129">
        <v>0</v>
      </c>
      <c r="V726" s="1129">
        <v>0</v>
      </c>
      <c r="W726" s="1129">
        <v>0</v>
      </c>
      <c r="X726" s="1129">
        <v>108907</v>
      </c>
      <c r="Y726" s="1129">
        <v>0</v>
      </c>
    </row>
    <row r="727" spans="1:25" s="1137" customFormat="1" ht="55.9" customHeight="1">
      <c r="A727" s="1280">
        <v>234</v>
      </c>
      <c r="B727" s="1128" t="s">
        <v>1227</v>
      </c>
      <c r="C727" s="1129">
        <f t="shared" si="341"/>
        <v>1774387.33</v>
      </c>
      <c r="D727" s="1129">
        <f t="shared" si="342"/>
        <v>0</v>
      </c>
      <c r="E727" s="1129">
        <v>0</v>
      </c>
      <c r="F727" s="1129">
        <v>0</v>
      </c>
      <c r="G727" s="1129">
        <v>0</v>
      </c>
      <c r="H727" s="1129">
        <v>0</v>
      </c>
      <c r="I727" s="1129">
        <v>0</v>
      </c>
      <c r="J727" s="1129">
        <v>0</v>
      </c>
      <c r="K727" s="1136">
        <v>0</v>
      </c>
      <c r="L727" s="1129">
        <v>0</v>
      </c>
      <c r="M727" s="1136">
        <v>0</v>
      </c>
      <c r="N727" s="1129">
        <v>0</v>
      </c>
      <c r="O727" s="1129">
        <v>516.19000000000005</v>
      </c>
      <c r="P727" s="1129">
        <v>1645505.01</v>
      </c>
      <c r="Q727" s="1129">
        <v>0</v>
      </c>
      <c r="R727" s="1129">
        <v>0</v>
      </c>
      <c r="S727" s="1129">
        <v>0</v>
      </c>
      <c r="T727" s="1129">
        <v>0</v>
      </c>
      <c r="U727" s="1129">
        <v>0</v>
      </c>
      <c r="V727" s="1129">
        <v>0</v>
      </c>
      <c r="W727" s="1167">
        <v>0</v>
      </c>
      <c r="X727" s="1129">
        <v>128882.32</v>
      </c>
      <c r="Y727" s="1129">
        <v>0</v>
      </c>
    </row>
    <row r="728" spans="1:25" s="1137" customFormat="1" ht="59.45" customHeight="1">
      <c r="A728" s="1280">
        <v>235</v>
      </c>
      <c r="B728" s="1128" t="s">
        <v>1228</v>
      </c>
      <c r="C728" s="1129">
        <f t="shared" si="341"/>
        <v>2451843.83</v>
      </c>
      <c r="D728" s="1129">
        <f t="shared" si="342"/>
        <v>0</v>
      </c>
      <c r="E728" s="1129">
        <v>0</v>
      </c>
      <c r="F728" s="1129">
        <v>0</v>
      </c>
      <c r="G728" s="1129">
        <v>0</v>
      </c>
      <c r="H728" s="1129">
        <v>0</v>
      </c>
      <c r="I728" s="1129">
        <v>0</v>
      </c>
      <c r="J728" s="1129">
        <v>0</v>
      </c>
      <c r="K728" s="1136">
        <v>0</v>
      </c>
      <c r="L728" s="1129">
        <v>0</v>
      </c>
      <c r="M728" s="1136">
        <v>0</v>
      </c>
      <c r="N728" s="1129">
        <v>0</v>
      </c>
      <c r="O728" s="1129">
        <v>604.42999999999995</v>
      </c>
      <c r="P728" s="1129">
        <v>2273754.5699999998</v>
      </c>
      <c r="Q728" s="1129">
        <v>0</v>
      </c>
      <c r="R728" s="1129">
        <v>0</v>
      </c>
      <c r="S728" s="1129">
        <v>0</v>
      </c>
      <c r="T728" s="1129">
        <v>0</v>
      </c>
      <c r="U728" s="1129">
        <v>0</v>
      </c>
      <c r="V728" s="1129">
        <v>0</v>
      </c>
      <c r="W728" s="1167">
        <v>0</v>
      </c>
      <c r="X728" s="1129">
        <v>178089.26</v>
      </c>
      <c r="Y728" s="1129">
        <v>0</v>
      </c>
    </row>
    <row r="729" spans="1:25" s="1137" customFormat="1" ht="139.9" customHeight="1">
      <c r="A729" s="1280"/>
      <c r="B729" s="1135" t="s">
        <v>1267</v>
      </c>
      <c r="C729" s="1129">
        <f>C730</f>
        <v>1990978.29</v>
      </c>
      <c r="D729" s="1129">
        <f t="shared" ref="D729:Y729" si="343">D730</f>
        <v>0</v>
      </c>
      <c r="E729" s="1129">
        <f t="shared" si="343"/>
        <v>0</v>
      </c>
      <c r="F729" s="1129">
        <f t="shared" si="343"/>
        <v>0</v>
      </c>
      <c r="G729" s="1129">
        <f t="shared" si="343"/>
        <v>0</v>
      </c>
      <c r="H729" s="1129">
        <f t="shared" si="343"/>
        <v>0</v>
      </c>
      <c r="I729" s="1129">
        <f t="shared" si="343"/>
        <v>0</v>
      </c>
      <c r="J729" s="1129">
        <f t="shared" si="343"/>
        <v>0</v>
      </c>
      <c r="K729" s="1136">
        <f t="shared" si="343"/>
        <v>0</v>
      </c>
      <c r="L729" s="1129">
        <f t="shared" si="343"/>
        <v>0</v>
      </c>
      <c r="M729" s="1136">
        <f t="shared" si="343"/>
        <v>0</v>
      </c>
      <c r="N729" s="1129">
        <f t="shared" si="343"/>
        <v>0</v>
      </c>
      <c r="O729" s="1129">
        <f t="shared" si="343"/>
        <v>466.98</v>
      </c>
      <c r="P729" s="1129">
        <f t="shared" si="343"/>
        <v>1846363.92</v>
      </c>
      <c r="Q729" s="1129">
        <f t="shared" si="343"/>
        <v>0</v>
      </c>
      <c r="R729" s="1129">
        <f t="shared" si="343"/>
        <v>0</v>
      </c>
      <c r="S729" s="1129">
        <f t="shared" si="343"/>
        <v>0</v>
      </c>
      <c r="T729" s="1129">
        <f t="shared" si="343"/>
        <v>0</v>
      </c>
      <c r="U729" s="1129">
        <f t="shared" si="343"/>
        <v>0</v>
      </c>
      <c r="V729" s="1129">
        <f t="shared" si="343"/>
        <v>0</v>
      </c>
      <c r="W729" s="1167">
        <v>0</v>
      </c>
      <c r="X729" s="1129">
        <f t="shared" si="343"/>
        <v>144614.37</v>
      </c>
      <c r="Y729" s="1129">
        <f t="shared" si="343"/>
        <v>0</v>
      </c>
    </row>
    <row r="730" spans="1:25" s="1137" customFormat="1" ht="72" customHeight="1">
      <c r="A730" s="1280">
        <v>236</v>
      </c>
      <c r="B730" s="1135" t="s">
        <v>890</v>
      </c>
      <c r="C730" s="1129">
        <f>D730+N730+P730+R730+T730+V730+X730</f>
        <v>1990978.29</v>
      </c>
      <c r="D730" s="1129">
        <f t="shared" ref="D730" si="344">SUM(E730:J730)</f>
        <v>0</v>
      </c>
      <c r="E730" s="1129">
        <v>0</v>
      </c>
      <c r="F730" s="1129">
        <v>0</v>
      </c>
      <c r="G730" s="1129">
        <v>0</v>
      </c>
      <c r="H730" s="1129">
        <v>0</v>
      </c>
      <c r="I730" s="1129">
        <v>0</v>
      </c>
      <c r="J730" s="1129">
        <v>0</v>
      </c>
      <c r="K730" s="1136">
        <v>0</v>
      </c>
      <c r="L730" s="1129">
        <v>0</v>
      </c>
      <c r="M730" s="1136">
        <v>0</v>
      </c>
      <c r="N730" s="1129">
        <v>0</v>
      </c>
      <c r="O730" s="1129">
        <v>466.98</v>
      </c>
      <c r="P730" s="1129">
        <v>1846363.92</v>
      </c>
      <c r="Q730" s="1129">
        <v>0</v>
      </c>
      <c r="R730" s="1129">
        <v>0</v>
      </c>
      <c r="S730" s="1129">
        <v>0</v>
      </c>
      <c r="T730" s="1129">
        <v>0</v>
      </c>
      <c r="U730" s="1129">
        <v>0</v>
      </c>
      <c r="V730" s="1129">
        <v>0</v>
      </c>
      <c r="W730" s="1129">
        <v>0</v>
      </c>
      <c r="X730" s="1129">
        <v>144614.37</v>
      </c>
      <c r="Y730" s="1129">
        <v>0</v>
      </c>
    </row>
    <row r="731" spans="1:25" s="1137" customFormat="1" ht="72.599999999999994" customHeight="1">
      <c r="A731" s="1280"/>
      <c r="B731" s="1135" t="s">
        <v>66</v>
      </c>
      <c r="C731" s="1129">
        <f>C732</f>
        <v>1523071</v>
      </c>
      <c r="D731" s="1129">
        <f t="shared" ref="D731:V732" si="345">D732</f>
        <v>0</v>
      </c>
      <c r="E731" s="1129">
        <f t="shared" si="345"/>
        <v>0</v>
      </c>
      <c r="F731" s="1129">
        <f t="shared" si="345"/>
        <v>0</v>
      </c>
      <c r="G731" s="1129">
        <f t="shared" si="345"/>
        <v>0</v>
      </c>
      <c r="H731" s="1129">
        <f t="shared" si="345"/>
        <v>0</v>
      </c>
      <c r="I731" s="1129">
        <f t="shared" si="345"/>
        <v>0</v>
      </c>
      <c r="J731" s="1129">
        <f t="shared" si="345"/>
        <v>0</v>
      </c>
      <c r="K731" s="1136">
        <v>0</v>
      </c>
      <c r="L731" s="1129">
        <v>0</v>
      </c>
      <c r="M731" s="1136">
        <f t="shared" si="345"/>
        <v>0</v>
      </c>
      <c r="N731" s="1129">
        <f t="shared" si="345"/>
        <v>0</v>
      </c>
      <c r="O731" s="1129">
        <f t="shared" si="345"/>
        <v>450</v>
      </c>
      <c r="P731" s="1129">
        <f t="shared" si="345"/>
        <v>1412443</v>
      </c>
      <c r="Q731" s="1129">
        <f t="shared" si="345"/>
        <v>0</v>
      </c>
      <c r="R731" s="1129">
        <f t="shared" si="345"/>
        <v>0</v>
      </c>
      <c r="S731" s="1129">
        <f t="shared" si="345"/>
        <v>0</v>
      </c>
      <c r="T731" s="1129">
        <f t="shared" si="345"/>
        <v>0</v>
      </c>
      <c r="U731" s="1129">
        <f t="shared" si="345"/>
        <v>0</v>
      </c>
      <c r="V731" s="1129">
        <f t="shared" si="345"/>
        <v>0</v>
      </c>
      <c r="W731" s="1167">
        <v>0</v>
      </c>
      <c r="X731" s="1129">
        <v>202865.8071545306</v>
      </c>
      <c r="Y731" s="1129">
        <v>0</v>
      </c>
    </row>
    <row r="732" spans="1:25" s="1137" customFormat="1" ht="104.45" customHeight="1">
      <c r="A732" s="1280"/>
      <c r="B732" s="1135" t="s">
        <v>1081</v>
      </c>
      <c r="C732" s="1129">
        <f>C733</f>
        <v>1523071</v>
      </c>
      <c r="D732" s="1129">
        <f t="shared" si="345"/>
        <v>0</v>
      </c>
      <c r="E732" s="1129">
        <f t="shared" si="345"/>
        <v>0</v>
      </c>
      <c r="F732" s="1129">
        <f t="shared" si="345"/>
        <v>0</v>
      </c>
      <c r="G732" s="1129">
        <f t="shared" si="345"/>
        <v>0</v>
      </c>
      <c r="H732" s="1129">
        <f t="shared" si="345"/>
        <v>0</v>
      </c>
      <c r="I732" s="1129">
        <f t="shared" si="345"/>
        <v>0</v>
      </c>
      <c r="J732" s="1129">
        <f t="shared" si="345"/>
        <v>0</v>
      </c>
      <c r="K732" s="1136">
        <f t="shared" si="345"/>
        <v>0</v>
      </c>
      <c r="L732" s="1129">
        <f t="shared" si="345"/>
        <v>0</v>
      </c>
      <c r="M732" s="1136">
        <f t="shared" si="345"/>
        <v>0</v>
      </c>
      <c r="N732" s="1129">
        <f t="shared" si="345"/>
        <v>0</v>
      </c>
      <c r="O732" s="1129">
        <f t="shared" si="345"/>
        <v>450</v>
      </c>
      <c r="P732" s="1129">
        <f t="shared" si="345"/>
        <v>1412443</v>
      </c>
      <c r="Q732" s="1129">
        <f t="shared" si="345"/>
        <v>0</v>
      </c>
      <c r="R732" s="1129">
        <f t="shared" si="345"/>
        <v>0</v>
      </c>
      <c r="S732" s="1129">
        <f t="shared" si="345"/>
        <v>0</v>
      </c>
      <c r="T732" s="1129">
        <f t="shared" si="345"/>
        <v>0</v>
      </c>
      <c r="U732" s="1129">
        <f t="shared" si="345"/>
        <v>0</v>
      </c>
      <c r="V732" s="1129">
        <f t="shared" si="345"/>
        <v>0</v>
      </c>
      <c r="W732" s="1167">
        <v>0</v>
      </c>
      <c r="X732" s="1129">
        <f t="shared" ref="X732:Y732" si="346">X733</f>
        <v>110628</v>
      </c>
      <c r="Y732" s="1129">
        <f t="shared" si="346"/>
        <v>0</v>
      </c>
    </row>
    <row r="733" spans="1:25" s="1137" customFormat="1" ht="73.150000000000006" customHeight="1">
      <c r="A733" s="1280">
        <v>237</v>
      </c>
      <c r="B733" s="1128" t="s">
        <v>1198</v>
      </c>
      <c r="C733" s="1129">
        <f>D733+N733+P733+R733+T733+V733+X733</f>
        <v>1523071</v>
      </c>
      <c r="D733" s="1129">
        <v>0</v>
      </c>
      <c r="E733" s="1129">
        <v>0</v>
      </c>
      <c r="F733" s="1129">
        <v>0</v>
      </c>
      <c r="G733" s="1129">
        <v>0</v>
      </c>
      <c r="H733" s="1129">
        <v>0</v>
      </c>
      <c r="I733" s="1129">
        <v>0</v>
      </c>
      <c r="J733" s="1129">
        <v>0</v>
      </c>
      <c r="K733" s="1136">
        <v>0</v>
      </c>
      <c r="L733" s="1129">
        <v>0</v>
      </c>
      <c r="M733" s="1136">
        <v>0</v>
      </c>
      <c r="N733" s="1129">
        <v>0</v>
      </c>
      <c r="O733" s="1129">
        <v>450</v>
      </c>
      <c r="P733" s="1129">
        <v>1412443</v>
      </c>
      <c r="Q733" s="1129">
        <v>0</v>
      </c>
      <c r="R733" s="1129">
        <v>0</v>
      </c>
      <c r="S733" s="1129">
        <v>0</v>
      </c>
      <c r="T733" s="1129">
        <v>0</v>
      </c>
      <c r="U733" s="1129">
        <v>0</v>
      </c>
      <c r="V733" s="1129">
        <v>0</v>
      </c>
      <c r="W733" s="1129">
        <v>0</v>
      </c>
      <c r="X733" s="1129">
        <v>110628</v>
      </c>
      <c r="Y733" s="1129">
        <v>0</v>
      </c>
    </row>
    <row r="734" spans="1:25" s="1137" customFormat="1" ht="128.44999999999999" customHeight="1">
      <c r="A734" s="1280"/>
      <c r="B734" s="1135" t="s">
        <v>1122</v>
      </c>
      <c r="C734" s="1129">
        <f>C735+C736+C737+C738</f>
        <v>33565442</v>
      </c>
      <c r="D734" s="1129">
        <f t="shared" ref="D734:Y734" si="347">D735+D736+D737+D738</f>
        <v>0</v>
      </c>
      <c r="E734" s="1129">
        <f t="shared" si="347"/>
        <v>0</v>
      </c>
      <c r="F734" s="1129">
        <f t="shared" si="347"/>
        <v>0</v>
      </c>
      <c r="G734" s="1129">
        <f t="shared" si="347"/>
        <v>0</v>
      </c>
      <c r="H734" s="1129">
        <f t="shared" si="347"/>
        <v>0</v>
      </c>
      <c r="I734" s="1129">
        <f t="shared" si="347"/>
        <v>0</v>
      </c>
      <c r="J734" s="1129">
        <f t="shared" si="347"/>
        <v>0</v>
      </c>
      <c r="K734" s="1136">
        <f t="shared" si="347"/>
        <v>0</v>
      </c>
      <c r="L734" s="1129">
        <f t="shared" si="347"/>
        <v>0</v>
      </c>
      <c r="M734" s="1136">
        <f t="shared" si="347"/>
        <v>5</v>
      </c>
      <c r="N734" s="1129">
        <f t="shared" si="347"/>
        <v>11274555</v>
      </c>
      <c r="O734" s="1129">
        <f t="shared" si="347"/>
        <v>2447.9</v>
      </c>
      <c r="P734" s="1129">
        <f t="shared" si="347"/>
        <v>8318827</v>
      </c>
      <c r="Q734" s="1129">
        <f t="shared" si="347"/>
        <v>0</v>
      </c>
      <c r="R734" s="1129">
        <f t="shared" si="347"/>
        <v>0</v>
      </c>
      <c r="S734" s="1129">
        <f t="shared" si="347"/>
        <v>4674</v>
      </c>
      <c r="T734" s="1129">
        <f t="shared" si="347"/>
        <v>11534041</v>
      </c>
      <c r="U734" s="1129">
        <f t="shared" si="347"/>
        <v>0</v>
      </c>
      <c r="V734" s="1129">
        <f t="shared" si="347"/>
        <v>0</v>
      </c>
      <c r="W734" s="1167">
        <v>0</v>
      </c>
      <c r="X734" s="1129">
        <f t="shared" si="347"/>
        <v>2438019</v>
      </c>
      <c r="Y734" s="1129">
        <f t="shared" si="347"/>
        <v>0</v>
      </c>
    </row>
    <row r="735" spans="1:25" s="1137" customFormat="1" ht="93.6" customHeight="1">
      <c r="A735" s="1280">
        <v>238</v>
      </c>
      <c r="B735" s="1135" t="s">
        <v>2472</v>
      </c>
      <c r="C735" s="1129">
        <f>D735+N735+P735+R735+T735+V735+X735</f>
        <v>14135381</v>
      </c>
      <c r="D735" s="1129">
        <f>SUM(E735:J735)</f>
        <v>0</v>
      </c>
      <c r="E735" s="1145">
        <v>0</v>
      </c>
      <c r="F735" s="1145">
        <v>0</v>
      </c>
      <c r="G735" s="1145">
        <v>0</v>
      </c>
      <c r="H735" s="1145">
        <v>0</v>
      </c>
      <c r="I735" s="1145">
        <v>0</v>
      </c>
      <c r="J735" s="1145">
        <v>0</v>
      </c>
      <c r="K735" s="1136">
        <v>0</v>
      </c>
      <c r="L735" s="1145">
        <v>0</v>
      </c>
      <c r="M735" s="1136">
        <v>0</v>
      </c>
      <c r="N735" s="1145">
        <v>0</v>
      </c>
      <c r="O735" s="1145">
        <v>624.9</v>
      </c>
      <c r="P735" s="1145">
        <v>1574619</v>
      </c>
      <c r="Q735" s="1145">
        <v>0</v>
      </c>
      <c r="R735" s="1145">
        <v>0</v>
      </c>
      <c r="S735" s="1145">
        <v>4674</v>
      </c>
      <c r="T735" s="1145">
        <v>11534041</v>
      </c>
      <c r="U735" s="1145">
        <v>0</v>
      </c>
      <c r="V735" s="1145">
        <v>0</v>
      </c>
      <c r="W735" s="1167">
        <v>0</v>
      </c>
      <c r="X735" s="1145">
        <v>1026721</v>
      </c>
      <c r="Y735" s="1145">
        <v>0</v>
      </c>
    </row>
    <row r="736" spans="1:25" s="1137" customFormat="1" ht="99.6" customHeight="1">
      <c r="A736" s="1280">
        <v>239</v>
      </c>
      <c r="B736" s="1135" t="s">
        <v>2473</v>
      </c>
      <c r="C736" s="1129">
        <f t="shared" ref="C736:C738" si="348">D736+N736+P736+R736+T736+V736+X736</f>
        <v>9726097</v>
      </c>
      <c r="D736" s="1129">
        <f t="shared" ref="D736:D738" si="349">SUM(E736:J736)</f>
        <v>0</v>
      </c>
      <c r="E736" s="1145">
        <v>0</v>
      </c>
      <c r="F736" s="1145">
        <v>0</v>
      </c>
      <c r="G736" s="1145">
        <v>0</v>
      </c>
      <c r="H736" s="1145">
        <v>0</v>
      </c>
      <c r="I736" s="1145">
        <v>0</v>
      </c>
      <c r="J736" s="1145">
        <v>0</v>
      </c>
      <c r="K736" s="1136">
        <v>0</v>
      </c>
      <c r="L736" s="1145">
        <v>0</v>
      </c>
      <c r="M736" s="1136">
        <v>4</v>
      </c>
      <c r="N736" s="1145">
        <v>9019644</v>
      </c>
      <c r="O736" s="1145">
        <v>0</v>
      </c>
      <c r="P736" s="1145">
        <v>0</v>
      </c>
      <c r="Q736" s="1145">
        <v>0</v>
      </c>
      <c r="R736" s="1145">
        <v>0</v>
      </c>
      <c r="S736" s="1145">
        <v>0</v>
      </c>
      <c r="T736" s="1145">
        <v>0</v>
      </c>
      <c r="U736" s="1145">
        <v>0</v>
      </c>
      <c r="V736" s="1145">
        <v>0</v>
      </c>
      <c r="W736" s="1129">
        <v>0</v>
      </c>
      <c r="X736" s="1145">
        <v>706453</v>
      </c>
      <c r="Y736" s="1145">
        <v>0</v>
      </c>
    </row>
    <row r="737" spans="1:25" s="1137" customFormat="1" ht="102" customHeight="1">
      <c r="A737" s="1280">
        <v>240</v>
      </c>
      <c r="B737" s="1135" t="s">
        <v>2474</v>
      </c>
      <c r="C737" s="1129">
        <f t="shared" si="348"/>
        <v>7272440</v>
      </c>
      <c r="D737" s="1129">
        <f t="shared" si="349"/>
        <v>0</v>
      </c>
      <c r="E737" s="1145">
        <v>0</v>
      </c>
      <c r="F737" s="1145">
        <v>0</v>
      </c>
      <c r="G737" s="1145">
        <v>0</v>
      </c>
      <c r="H737" s="1145">
        <v>0</v>
      </c>
      <c r="I737" s="1145">
        <v>0</v>
      </c>
      <c r="J737" s="1145">
        <v>0</v>
      </c>
      <c r="K737" s="1136">
        <v>0</v>
      </c>
      <c r="L737" s="1145">
        <v>0</v>
      </c>
      <c r="M737" s="1136">
        <v>0</v>
      </c>
      <c r="N737" s="1145">
        <v>0</v>
      </c>
      <c r="O737" s="1145">
        <v>1823</v>
      </c>
      <c r="P737" s="1145">
        <v>6744208</v>
      </c>
      <c r="Q737" s="1145">
        <v>0</v>
      </c>
      <c r="R737" s="1145">
        <v>0</v>
      </c>
      <c r="S737" s="1145">
        <v>0</v>
      </c>
      <c r="T737" s="1145">
        <v>0</v>
      </c>
      <c r="U737" s="1145">
        <v>0</v>
      </c>
      <c r="V737" s="1145">
        <v>0</v>
      </c>
      <c r="W737" s="1167">
        <v>0</v>
      </c>
      <c r="X737" s="1145">
        <v>528232</v>
      </c>
      <c r="Y737" s="1145">
        <v>0</v>
      </c>
    </row>
    <row r="738" spans="1:25" s="1137" customFormat="1" ht="86.45" customHeight="1">
      <c r="A738" s="1280">
        <v>241</v>
      </c>
      <c r="B738" s="1135" t="s">
        <v>3022</v>
      </c>
      <c r="C738" s="1129">
        <f t="shared" si="348"/>
        <v>2431524</v>
      </c>
      <c r="D738" s="1129">
        <f t="shared" si="349"/>
        <v>0</v>
      </c>
      <c r="E738" s="1145">
        <v>0</v>
      </c>
      <c r="F738" s="1145">
        <v>0</v>
      </c>
      <c r="G738" s="1145">
        <v>0</v>
      </c>
      <c r="H738" s="1145">
        <v>0</v>
      </c>
      <c r="I738" s="1145">
        <v>0</v>
      </c>
      <c r="J738" s="1145">
        <v>0</v>
      </c>
      <c r="K738" s="1136">
        <v>0</v>
      </c>
      <c r="L738" s="1145">
        <v>0</v>
      </c>
      <c r="M738" s="1136">
        <v>1</v>
      </c>
      <c r="N738" s="1145">
        <v>2254911</v>
      </c>
      <c r="O738" s="1145">
        <v>0</v>
      </c>
      <c r="P738" s="1145">
        <v>0</v>
      </c>
      <c r="Q738" s="1145">
        <v>0</v>
      </c>
      <c r="R738" s="1145">
        <v>0</v>
      </c>
      <c r="S738" s="1145">
        <v>0</v>
      </c>
      <c r="T738" s="1145">
        <v>0</v>
      </c>
      <c r="U738" s="1145">
        <v>0</v>
      </c>
      <c r="V738" s="1145">
        <v>0</v>
      </c>
      <c r="W738" s="1167">
        <v>0</v>
      </c>
      <c r="X738" s="1145">
        <v>176613</v>
      </c>
      <c r="Y738" s="1145">
        <v>0</v>
      </c>
    </row>
    <row r="739" spans="1:25" s="1137" customFormat="1" ht="66.599999999999994" customHeight="1">
      <c r="A739" s="1280"/>
      <c r="B739" s="1135" t="s">
        <v>67</v>
      </c>
      <c r="C739" s="1129">
        <f>C740</f>
        <v>2483859</v>
      </c>
      <c r="D739" s="1129">
        <f t="shared" ref="D739:Y740" si="350">D740</f>
        <v>0</v>
      </c>
      <c r="E739" s="1129">
        <f t="shared" si="350"/>
        <v>0</v>
      </c>
      <c r="F739" s="1129">
        <f t="shared" si="350"/>
        <v>0</v>
      </c>
      <c r="G739" s="1129">
        <f t="shared" si="350"/>
        <v>0</v>
      </c>
      <c r="H739" s="1129">
        <f t="shared" si="350"/>
        <v>0</v>
      </c>
      <c r="I739" s="1129">
        <f t="shared" si="350"/>
        <v>0</v>
      </c>
      <c r="J739" s="1129">
        <f t="shared" si="350"/>
        <v>0</v>
      </c>
      <c r="K739" s="1136">
        <v>0</v>
      </c>
      <c r="L739" s="1129">
        <v>0</v>
      </c>
      <c r="M739" s="1136">
        <v>0</v>
      </c>
      <c r="N739" s="1129">
        <f t="shared" si="350"/>
        <v>0</v>
      </c>
      <c r="O739" s="1129">
        <f t="shared" si="350"/>
        <v>914.14</v>
      </c>
      <c r="P739" s="1129">
        <f t="shared" si="350"/>
        <v>2303444</v>
      </c>
      <c r="Q739" s="1129">
        <f t="shared" si="350"/>
        <v>0</v>
      </c>
      <c r="R739" s="1129">
        <f t="shared" si="350"/>
        <v>0</v>
      </c>
      <c r="S739" s="1129">
        <f t="shared" si="350"/>
        <v>0</v>
      </c>
      <c r="T739" s="1129">
        <f t="shared" si="350"/>
        <v>0</v>
      </c>
      <c r="U739" s="1129">
        <f t="shared" si="350"/>
        <v>0</v>
      </c>
      <c r="V739" s="1129">
        <f t="shared" si="350"/>
        <v>0</v>
      </c>
      <c r="W739" s="1129">
        <v>0</v>
      </c>
      <c r="X739" s="1129">
        <f t="shared" si="350"/>
        <v>180415</v>
      </c>
      <c r="Y739" s="1129">
        <f t="shared" si="350"/>
        <v>0</v>
      </c>
    </row>
    <row r="740" spans="1:25" s="1137" customFormat="1" ht="139.9" customHeight="1">
      <c r="A740" s="1280"/>
      <c r="B740" s="1135" t="s">
        <v>1233</v>
      </c>
      <c r="C740" s="1129">
        <f>C741</f>
        <v>2483859</v>
      </c>
      <c r="D740" s="1129">
        <f t="shared" si="350"/>
        <v>0</v>
      </c>
      <c r="E740" s="1129">
        <f t="shared" si="350"/>
        <v>0</v>
      </c>
      <c r="F740" s="1129">
        <f t="shared" si="350"/>
        <v>0</v>
      </c>
      <c r="G740" s="1129">
        <f t="shared" si="350"/>
        <v>0</v>
      </c>
      <c r="H740" s="1129">
        <f t="shared" si="350"/>
        <v>0</v>
      </c>
      <c r="I740" s="1129">
        <f t="shared" si="350"/>
        <v>0</v>
      </c>
      <c r="J740" s="1129">
        <f t="shared" si="350"/>
        <v>0</v>
      </c>
      <c r="K740" s="1136">
        <f t="shared" si="350"/>
        <v>0</v>
      </c>
      <c r="L740" s="1129">
        <f t="shared" si="350"/>
        <v>0</v>
      </c>
      <c r="M740" s="1136">
        <f t="shared" si="350"/>
        <v>0</v>
      </c>
      <c r="N740" s="1129">
        <f t="shared" si="350"/>
        <v>0</v>
      </c>
      <c r="O740" s="1129">
        <f t="shared" si="350"/>
        <v>914.14</v>
      </c>
      <c r="P740" s="1129">
        <f t="shared" si="350"/>
        <v>2303444</v>
      </c>
      <c r="Q740" s="1129">
        <f t="shared" si="350"/>
        <v>0</v>
      </c>
      <c r="R740" s="1129">
        <f t="shared" si="350"/>
        <v>0</v>
      </c>
      <c r="S740" s="1129">
        <f t="shared" si="350"/>
        <v>0</v>
      </c>
      <c r="T740" s="1129">
        <f t="shared" si="350"/>
        <v>0</v>
      </c>
      <c r="U740" s="1129">
        <f t="shared" si="350"/>
        <v>0</v>
      </c>
      <c r="V740" s="1129">
        <f t="shared" si="350"/>
        <v>0</v>
      </c>
      <c r="W740" s="1129">
        <f t="shared" si="350"/>
        <v>0</v>
      </c>
      <c r="X740" s="1129">
        <f t="shared" si="350"/>
        <v>180415</v>
      </c>
      <c r="Y740" s="1129">
        <f t="shared" si="350"/>
        <v>0</v>
      </c>
    </row>
    <row r="741" spans="1:25" s="1137" customFormat="1" ht="111" customHeight="1">
      <c r="A741" s="1280">
        <v>242</v>
      </c>
      <c r="B741" s="1135" t="s">
        <v>3023</v>
      </c>
      <c r="C741" s="1129">
        <f>D741+N741+P741+R741+T741+V741+X741</f>
        <v>2483859</v>
      </c>
      <c r="D741" s="1129">
        <f>SUM(E741:J741)</f>
        <v>0</v>
      </c>
      <c r="E741" s="1129">
        <v>0</v>
      </c>
      <c r="F741" s="1129">
        <v>0</v>
      </c>
      <c r="G741" s="1129">
        <v>0</v>
      </c>
      <c r="H741" s="1129">
        <v>0</v>
      </c>
      <c r="I741" s="1129">
        <v>0</v>
      </c>
      <c r="J741" s="1129">
        <v>0</v>
      </c>
      <c r="K741" s="1136">
        <v>0</v>
      </c>
      <c r="L741" s="1129">
        <v>0</v>
      </c>
      <c r="M741" s="1136">
        <v>0</v>
      </c>
      <c r="N741" s="1129">
        <v>0</v>
      </c>
      <c r="O741" s="1129">
        <v>914.14</v>
      </c>
      <c r="P741" s="1129">
        <v>2303444</v>
      </c>
      <c r="Q741" s="1129">
        <v>0</v>
      </c>
      <c r="R741" s="1129">
        <v>0</v>
      </c>
      <c r="S741" s="1129">
        <v>0</v>
      </c>
      <c r="T741" s="1129">
        <v>0</v>
      </c>
      <c r="U741" s="1129">
        <v>0</v>
      </c>
      <c r="V741" s="1129">
        <v>0</v>
      </c>
      <c r="W741" s="1167">
        <v>0</v>
      </c>
      <c r="X741" s="1129">
        <v>180415</v>
      </c>
      <c r="Y741" s="1129">
        <v>0</v>
      </c>
    </row>
    <row r="742" spans="1:25" s="1137" customFormat="1" ht="73.900000000000006" customHeight="1">
      <c r="A742" s="1415" t="s">
        <v>2792</v>
      </c>
      <c r="B742" s="1415"/>
      <c r="C742" s="1415"/>
      <c r="D742" s="1415"/>
      <c r="E742" s="1415"/>
      <c r="F742" s="1415"/>
      <c r="G742" s="1415"/>
      <c r="H742" s="1415"/>
      <c r="I742" s="1415"/>
      <c r="J742" s="1415"/>
      <c r="K742" s="1415"/>
      <c r="L742" s="1415"/>
      <c r="M742" s="1415"/>
      <c r="N742" s="1415"/>
      <c r="O742" s="1415"/>
      <c r="P742" s="1415"/>
      <c r="Q742" s="1415"/>
      <c r="R742" s="1415"/>
      <c r="S742" s="1415"/>
      <c r="T742" s="1415"/>
      <c r="U742" s="1415"/>
      <c r="V742" s="1415"/>
      <c r="W742" s="1415"/>
      <c r="X742" s="1415"/>
      <c r="Y742" s="1415"/>
    </row>
    <row r="743" spans="1:25" s="1137" customFormat="1" ht="88.9" customHeight="1">
      <c r="A743" s="1280"/>
      <c r="B743" s="1135" t="s">
        <v>2855</v>
      </c>
      <c r="C743" s="1129">
        <f>C744+C775+C800+C814+C820+C823+C840+C852+C855+C858+C863+C883+C888+C899+C922+C929+C940+C942+C959+C974+C976+C979+C981+C984+C992+C1004+C1008+C1019+C987+C837+C927+C945+C1000+C818+C861+C794</f>
        <v>1012300911.7499999</v>
      </c>
      <c r="D743" s="1129">
        <f t="shared" ref="D743:Y743" si="351">D744+D775+D800+D814+D820+D823+D840+D852+D855+D858+D863+D883+D888+D899+D922+D929+D940+D942+D959+D974+D976+D979+D981+D984+D992+D1004+D1008+D1019+D987+D837+D927+D945+D1000+D818+D861+D794</f>
        <v>171487863.03</v>
      </c>
      <c r="E743" s="1129">
        <f t="shared" si="351"/>
        <v>22625334.379999999</v>
      </c>
      <c r="F743" s="1129">
        <f t="shared" si="351"/>
        <v>81309886.680000007</v>
      </c>
      <c r="G743" s="1129">
        <f t="shared" si="351"/>
        <v>4566116.09</v>
      </c>
      <c r="H743" s="1129">
        <f t="shared" si="351"/>
        <v>22831178.469999999</v>
      </c>
      <c r="I743" s="1129">
        <f t="shared" si="351"/>
        <v>16437602.120000001</v>
      </c>
      <c r="J743" s="1129">
        <f t="shared" si="351"/>
        <v>23540598.289999999</v>
      </c>
      <c r="K743" s="1129">
        <f t="shared" si="351"/>
        <v>14</v>
      </c>
      <c r="L743" s="1129">
        <f t="shared" si="351"/>
        <v>6940011.5099999998</v>
      </c>
      <c r="M743" s="1129">
        <f t="shared" si="351"/>
        <v>15</v>
      </c>
      <c r="N743" s="1129">
        <f t="shared" si="351"/>
        <v>41997984.109999999</v>
      </c>
      <c r="O743" s="1129">
        <f t="shared" si="351"/>
        <v>99066.720000000016</v>
      </c>
      <c r="P743" s="1129">
        <f t="shared" si="351"/>
        <v>381562703.11000007</v>
      </c>
      <c r="Q743" s="1129">
        <f t="shared" si="351"/>
        <v>300</v>
      </c>
      <c r="R743" s="1129">
        <f t="shared" si="351"/>
        <v>481692.24</v>
      </c>
      <c r="S743" s="1129">
        <f t="shared" si="351"/>
        <v>70847.53</v>
      </c>
      <c r="T743" s="1129">
        <f t="shared" si="351"/>
        <v>329339343.94999999</v>
      </c>
      <c r="U743" s="1129">
        <f t="shared" si="351"/>
        <v>0</v>
      </c>
      <c r="V743" s="1129">
        <f t="shared" si="351"/>
        <v>1106000</v>
      </c>
      <c r="W743" s="1129">
        <f t="shared" si="351"/>
        <v>0</v>
      </c>
      <c r="X743" s="1129">
        <f t="shared" si="351"/>
        <v>72093718.800000012</v>
      </c>
      <c r="Y743" s="1129">
        <f t="shared" si="351"/>
        <v>152927</v>
      </c>
    </row>
    <row r="744" spans="1:25" s="1137" customFormat="1" ht="85.9" customHeight="1">
      <c r="A744" s="1280"/>
      <c r="B744" s="1128" t="s">
        <v>2561</v>
      </c>
      <c r="C744" s="1129">
        <f t="shared" ref="C744:Y744" si="352">SUM(C745:C774)</f>
        <v>419146020.49000001</v>
      </c>
      <c r="D744" s="1129">
        <f t="shared" si="352"/>
        <v>100069704.53</v>
      </c>
      <c r="E744" s="1129">
        <f t="shared" si="352"/>
        <v>13716961.390000001</v>
      </c>
      <c r="F744" s="1129">
        <f t="shared" si="352"/>
        <v>41020266.770000003</v>
      </c>
      <c r="G744" s="1129">
        <f t="shared" si="352"/>
        <v>4251216.43</v>
      </c>
      <c r="H744" s="1129">
        <f t="shared" si="352"/>
        <v>12079418.560000001</v>
      </c>
      <c r="I744" s="1129">
        <f t="shared" si="352"/>
        <v>13329826.74</v>
      </c>
      <c r="J744" s="1129">
        <f t="shared" si="352"/>
        <v>15672014.640000001</v>
      </c>
      <c r="K744" s="1129">
        <f t="shared" si="352"/>
        <v>9</v>
      </c>
      <c r="L744" s="1129">
        <f t="shared" si="352"/>
        <v>5296102</v>
      </c>
      <c r="M744" s="1129">
        <f t="shared" si="352"/>
        <v>0</v>
      </c>
      <c r="N744" s="1129">
        <f t="shared" si="352"/>
        <v>0</v>
      </c>
      <c r="O744" s="1129">
        <f t="shared" si="352"/>
        <v>8708.5799999999981</v>
      </c>
      <c r="P744" s="1129">
        <f t="shared" si="352"/>
        <v>38563750.129999995</v>
      </c>
      <c r="Q744" s="1129">
        <f t="shared" si="352"/>
        <v>0</v>
      </c>
      <c r="R744" s="1129">
        <f t="shared" si="352"/>
        <v>0</v>
      </c>
      <c r="S744" s="1129">
        <f t="shared" si="352"/>
        <v>48731.83</v>
      </c>
      <c r="T744" s="1129">
        <f t="shared" si="352"/>
        <v>244771869.04000002</v>
      </c>
      <c r="U744" s="1129">
        <f t="shared" si="352"/>
        <v>0</v>
      </c>
      <c r="V744" s="1129">
        <f t="shared" si="352"/>
        <v>0</v>
      </c>
      <c r="W744" s="1129">
        <f t="shared" si="352"/>
        <v>0</v>
      </c>
      <c r="X744" s="1129">
        <f t="shared" si="352"/>
        <v>30444594.79000001</v>
      </c>
      <c r="Y744" s="1129">
        <f t="shared" si="352"/>
        <v>0</v>
      </c>
    </row>
    <row r="745" spans="1:25" s="1137" customFormat="1" ht="85.15" customHeight="1">
      <c r="A745" s="1280">
        <v>1</v>
      </c>
      <c r="B745" s="1128" t="s">
        <v>1869</v>
      </c>
      <c r="C745" s="1145">
        <f>D745+N745+P745+R745+T745+V745+X745+L745</f>
        <v>36623453.219999999</v>
      </c>
      <c r="D745" s="1145">
        <f>SUM(E745:J745)</f>
        <v>0</v>
      </c>
      <c r="E745" s="1167">
        <v>0</v>
      </c>
      <c r="F745" s="1167">
        <v>0</v>
      </c>
      <c r="G745" s="1167">
        <v>0</v>
      </c>
      <c r="H745" s="1167">
        <v>0</v>
      </c>
      <c r="I745" s="1167">
        <v>0</v>
      </c>
      <c r="J745" s="1167">
        <v>0</v>
      </c>
      <c r="K745" s="1168">
        <v>0</v>
      </c>
      <c r="L745" s="1167">
        <v>0</v>
      </c>
      <c r="M745" s="1168">
        <v>0</v>
      </c>
      <c r="N745" s="1167">
        <v>0</v>
      </c>
      <c r="O745" s="1167">
        <v>0</v>
      </c>
      <c r="P745" s="1167">
        <v>0</v>
      </c>
      <c r="Q745" s="1167">
        <v>0</v>
      </c>
      <c r="R745" s="1167">
        <v>0</v>
      </c>
      <c r="S745" s="1145">
        <v>5848</v>
      </c>
      <c r="T745" s="1281">
        <v>33963314.979999997</v>
      </c>
      <c r="U745" s="1167">
        <v>0</v>
      </c>
      <c r="V745" s="1167">
        <v>0</v>
      </c>
      <c r="W745" s="1167">
        <v>0</v>
      </c>
      <c r="X745" s="1145">
        <v>2660138.2400000002</v>
      </c>
      <c r="Y745" s="1145">
        <v>0</v>
      </c>
    </row>
    <row r="746" spans="1:25" s="1137" customFormat="1" ht="93.6" customHeight="1">
      <c r="A746" s="1280">
        <v>2</v>
      </c>
      <c r="B746" s="1128" t="s">
        <v>2816</v>
      </c>
      <c r="C746" s="1145">
        <f t="shared" ref="C746:C765" si="353">D746+N746+P746+R746+T746+V746+X746+L746</f>
        <v>4415865.05</v>
      </c>
      <c r="D746" s="1145">
        <f t="shared" ref="D746:D765" si="354">SUM(E746:J746)</f>
        <v>0</v>
      </c>
      <c r="E746" s="1167">
        <v>0</v>
      </c>
      <c r="F746" s="1167">
        <v>0</v>
      </c>
      <c r="G746" s="1167">
        <v>0</v>
      </c>
      <c r="H746" s="1167">
        <v>0</v>
      </c>
      <c r="I746" s="1167">
        <v>0</v>
      </c>
      <c r="J746" s="1167">
        <v>0</v>
      </c>
      <c r="K746" s="1168">
        <v>0</v>
      </c>
      <c r="L746" s="1167">
        <v>0</v>
      </c>
      <c r="M746" s="1168">
        <v>0</v>
      </c>
      <c r="N746" s="1167">
        <v>0</v>
      </c>
      <c r="O746" s="1145">
        <v>860</v>
      </c>
      <c r="P746" s="1212">
        <v>4095119.45</v>
      </c>
      <c r="Q746" s="1167">
        <v>0</v>
      </c>
      <c r="R746" s="1167">
        <v>0</v>
      </c>
      <c r="S746" s="1167">
        <v>0</v>
      </c>
      <c r="T746" s="1167">
        <v>0</v>
      </c>
      <c r="U746" s="1167">
        <v>0</v>
      </c>
      <c r="V746" s="1167">
        <v>0</v>
      </c>
      <c r="W746" s="1167">
        <v>0</v>
      </c>
      <c r="X746" s="1145">
        <v>320745.59999999998</v>
      </c>
      <c r="Y746" s="1145">
        <v>0</v>
      </c>
    </row>
    <row r="747" spans="1:25" s="1137" customFormat="1" ht="66.599999999999994" customHeight="1">
      <c r="A747" s="1280">
        <v>3</v>
      </c>
      <c r="B747" s="1128" t="s">
        <v>325</v>
      </c>
      <c r="C747" s="1145">
        <f t="shared" si="353"/>
        <v>44714681.260000005</v>
      </c>
      <c r="D747" s="1145">
        <f t="shared" si="354"/>
        <v>0</v>
      </c>
      <c r="E747" s="1167">
        <v>0</v>
      </c>
      <c r="F747" s="1167">
        <v>0</v>
      </c>
      <c r="G747" s="1167">
        <v>0</v>
      </c>
      <c r="H747" s="1167">
        <v>0</v>
      </c>
      <c r="I747" s="1167">
        <v>0</v>
      </c>
      <c r="J747" s="1167">
        <v>0</v>
      </c>
      <c r="K747" s="1168">
        <v>0</v>
      </c>
      <c r="L747" s="1167">
        <v>0</v>
      </c>
      <c r="M747" s="1168">
        <v>0</v>
      </c>
      <c r="N747" s="1167">
        <v>0</v>
      </c>
      <c r="O747" s="1167">
        <v>0</v>
      </c>
      <c r="P747" s="1167">
        <v>0</v>
      </c>
      <c r="Q747" s="1167">
        <v>0</v>
      </c>
      <c r="R747" s="1167">
        <v>0</v>
      </c>
      <c r="S747" s="1145">
        <v>7140</v>
      </c>
      <c r="T747" s="1243">
        <v>41466838.060000002</v>
      </c>
      <c r="U747" s="1167">
        <v>0</v>
      </c>
      <c r="V747" s="1167">
        <v>0</v>
      </c>
      <c r="W747" s="1167">
        <v>0</v>
      </c>
      <c r="X747" s="1145">
        <v>3247843.2</v>
      </c>
      <c r="Y747" s="1145">
        <v>0</v>
      </c>
    </row>
    <row r="748" spans="1:25" s="1137" customFormat="1" ht="60.6" customHeight="1">
      <c r="A748" s="1280">
        <v>4</v>
      </c>
      <c r="B748" s="1128" t="s">
        <v>1597</v>
      </c>
      <c r="C748" s="1145">
        <f t="shared" si="353"/>
        <v>17787550.300000001</v>
      </c>
      <c r="D748" s="1145">
        <f t="shared" si="354"/>
        <v>0</v>
      </c>
      <c r="E748" s="1167">
        <v>0</v>
      </c>
      <c r="F748" s="1167">
        <v>0</v>
      </c>
      <c r="G748" s="1167">
        <v>0</v>
      </c>
      <c r="H748" s="1167">
        <v>0</v>
      </c>
      <c r="I748" s="1167">
        <v>0</v>
      </c>
      <c r="J748" s="1167">
        <v>0</v>
      </c>
      <c r="K748" s="1168">
        <v>0</v>
      </c>
      <c r="L748" s="1167">
        <v>0</v>
      </c>
      <c r="M748" s="1168">
        <v>0</v>
      </c>
      <c r="N748" s="1167">
        <v>0</v>
      </c>
      <c r="O748" s="1167">
        <v>0</v>
      </c>
      <c r="P748" s="1167">
        <v>0</v>
      </c>
      <c r="Q748" s="1167">
        <v>0</v>
      </c>
      <c r="R748" s="1167">
        <v>0</v>
      </c>
      <c r="S748" s="1145">
        <v>2840.3</v>
      </c>
      <c r="T748" s="1243">
        <v>16495554.640000001</v>
      </c>
      <c r="U748" s="1167">
        <v>0</v>
      </c>
      <c r="V748" s="1167">
        <v>0</v>
      </c>
      <c r="W748" s="1167">
        <v>0</v>
      </c>
      <c r="X748" s="1145">
        <v>1291995.6599999999</v>
      </c>
      <c r="Y748" s="1145">
        <v>0</v>
      </c>
    </row>
    <row r="749" spans="1:25" s="1137" customFormat="1" ht="59.45" customHeight="1">
      <c r="A749" s="1280">
        <v>5</v>
      </c>
      <c r="B749" s="1128" t="s">
        <v>1598</v>
      </c>
      <c r="C749" s="1145">
        <f t="shared" si="353"/>
        <v>14377398.289999999</v>
      </c>
      <c r="D749" s="1145">
        <f t="shared" si="354"/>
        <v>0</v>
      </c>
      <c r="E749" s="1167">
        <v>0</v>
      </c>
      <c r="F749" s="1167">
        <v>0</v>
      </c>
      <c r="G749" s="1167">
        <v>0</v>
      </c>
      <c r="H749" s="1167">
        <v>0</v>
      </c>
      <c r="I749" s="1167">
        <v>0</v>
      </c>
      <c r="J749" s="1167">
        <v>0</v>
      </c>
      <c r="K749" s="1168">
        <v>0</v>
      </c>
      <c r="L749" s="1167">
        <v>0</v>
      </c>
      <c r="M749" s="1168">
        <v>0</v>
      </c>
      <c r="N749" s="1167">
        <v>0</v>
      </c>
      <c r="O749" s="1167">
        <v>0</v>
      </c>
      <c r="P749" s="1167">
        <v>0</v>
      </c>
      <c r="Q749" s="1167">
        <v>0</v>
      </c>
      <c r="R749" s="1167">
        <v>0</v>
      </c>
      <c r="S749" s="1145">
        <v>2295.77</v>
      </c>
      <c r="T749" s="1243">
        <v>13333098.43</v>
      </c>
      <c r="U749" s="1167">
        <v>0</v>
      </c>
      <c r="V749" s="1167">
        <v>0</v>
      </c>
      <c r="W749" s="1167">
        <v>0</v>
      </c>
      <c r="X749" s="1145">
        <v>1044299.86</v>
      </c>
      <c r="Y749" s="1145">
        <v>0</v>
      </c>
    </row>
    <row r="750" spans="1:25" s="1137" customFormat="1" ht="61.9" customHeight="1">
      <c r="A750" s="1280">
        <v>6</v>
      </c>
      <c r="B750" s="1128" t="s">
        <v>1599</v>
      </c>
      <c r="C750" s="1145">
        <f t="shared" si="353"/>
        <v>4092143</v>
      </c>
      <c r="D750" s="1145">
        <f t="shared" si="354"/>
        <v>3794911</v>
      </c>
      <c r="E750" s="1167">
        <v>0</v>
      </c>
      <c r="F750" s="1167">
        <v>0</v>
      </c>
      <c r="G750" s="1167">
        <v>0</v>
      </c>
      <c r="H750" s="1167">
        <v>0</v>
      </c>
      <c r="I750" s="1145">
        <v>2324836</v>
      </c>
      <c r="J750" s="1145">
        <v>1470075</v>
      </c>
      <c r="K750" s="1168">
        <v>0</v>
      </c>
      <c r="L750" s="1167">
        <v>0</v>
      </c>
      <c r="M750" s="1168">
        <v>0</v>
      </c>
      <c r="N750" s="1167">
        <v>0</v>
      </c>
      <c r="O750" s="1167">
        <v>0</v>
      </c>
      <c r="P750" s="1167">
        <v>0</v>
      </c>
      <c r="Q750" s="1167">
        <v>0</v>
      </c>
      <c r="R750" s="1167">
        <v>0</v>
      </c>
      <c r="S750" s="1167">
        <v>0</v>
      </c>
      <c r="T750" s="1167">
        <v>0</v>
      </c>
      <c r="U750" s="1167">
        <v>0</v>
      </c>
      <c r="V750" s="1167">
        <v>0</v>
      </c>
      <c r="W750" s="1167">
        <v>0</v>
      </c>
      <c r="X750" s="1145">
        <v>297232</v>
      </c>
      <c r="Y750" s="1145">
        <v>0</v>
      </c>
    </row>
    <row r="751" spans="1:25" s="1137" customFormat="1" ht="64.150000000000006" customHeight="1">
      <c r="A751" s="1280">
        <v>7</v>
      </c>
      <c r="B751" s="1128" t="s">
        <v>1600</v>
      </c>
      <c r="C751" s="1145">
        <f t="shared" si="353"/>
        <v>21208937</v>
      </c>
      <c r="D751" s="1145">
        <f t="shared" si="354"/>
        <v>0</v>
      </c>
      <c r="E751" s="1167">
        <v>0</v>
      </c>
      <c r="F751" s="1167">
        <v>0</v>
      </c>
      <c r="G751" s="1167">
        <v>0</v>
      </c>
      <c r="H751" s="1167">
        <v>0</v>
      </c>
      <c r="I751" s="1167">
        <v>0</v>
      </c>
      <c r="J751" s="1167">
        <v>0</v>
      </c>
      <c r="K751" s="1168">
        <v>0</v>
      </c>
      <c r="L751" s="1167">
        <v>0</v>
      </c>
      <c r="M751" s="1168">
        <v>0</v>
      </c>
      <c r="N751" s="1167">
        <v>0</v>
      </c>
      <c r="O751" s="1145">
        <v>1256.7</v>
      </c>
      <c r="P751" s="1145">
        <v>4649175</v>
      </c>
      <c r="Q751" s="1167">
        <v>0</v>
      </c>
      <c r="R751" s="1167">
        <v>0</v>
      </c>
      <c r="S751" s="1145">
        <v>3133.3</v>
      </c>
      <c r="T751" s="1145">
        <v>15019255</v>
      </c>
      <c r="U751" s="1167">
        <v>0</v>
      </c>
      <c r="V751" s="1167">
        <v>0</v>
      </c>
      <c r="W751" s="1167">
        <v>0</v>
      </c>
      <c r="X751" s="1145">
        <v>1540507</v>
      </c>
      <c r="Y751" s="1145">
        <v>0</v>
      </c>
    </row>
    <row r="752" spans="1:25" s="1137" customFormat="1" ht="54.6" customHeight="1">
      <c r="A752" s="1280">
        <v>8</v>
      </c>
      <c r="B752" s="1128" t="s">
        <v>264</v>
      </c>
      <c r="C752" s="1145">
        <f t="shared" si="353"/>
        <v>5062332.3899999997</v>
      </c>
      <c r="D752" s="1145">
        <f t="shared" si="354"/>
        <v>0</v>
      </c>
      <c r="E752" s="1167">
        <v>0</v>
      </c>
      <c r="F752" s="1167">
        <v>0</v>
      </c>
      <c r="G752" s="1167">
        <v>0</v>
      </c>
      <c r="H752" s="1167">
        <v>0</v>
      </c>
      <c r="I752" s="1167">
        <v>0</v>
      </c>
      <c r="J752" s="1167">
        <v>0</v>
      </c>
      <c r="K752" s="1168">
        <v>0</v>
      </c>
      <c r="L752" s="1167">
        <v>0</v>
      </c>
      <c r="M752" s="1168">
        <v>0</v>
      </c>
      <c r="N752" s="1167">
        <v>0</v>
      </c>
      <c r="O752" s="1145">
        <v>1187.3599999999999</v>
      </c>
      <c r="P752" s="1243">
        <v>4694630.75</v>
      </c>
      <c r="Q752" s="1167">
        <v>0</v>
      </c>
      <c r="R752" s="1167">
        <v>0</v>
      </c>
      <c r="S752" s="1167">
        <v>0</v>
      </c>
      <c r="T752" s="1167">
        <v>0</v>
      </c>
      <c r="U752" s="1167">
        <v>0</v>
      </c>
      <c r="V752" s="1167">
        <v>0</v>
      </c>
      <c r="W752" s="1167">
        <v>0</v>
      </c>
      <c r="X752" s="1145">
        <v>367701.64</v>
      </c>
      <c r="Y752" s="1145">
        <v>0</v>
      </c>
    </row>
    <row r="753" spans="1:25" s="1137" customFormat="1" ht="55.9" customHeight="1">
      <c r="A753" s="1280">
        <v>9</v>
      </c>
      <c r="B753" s="1128" t="s">
        <v>1601</v>
      </c>
      <c r="C753" s="1145">
        <f t="shared" si="353"/>
        <v>47947227.060000002</v>
      </c>
      <c r="D753" s="1145">
        <f t="shared" si="354"/>
        <v>0</v>
      </c>
      <c r="E753" s="1167">
        <v>0</v>
      </c>
      <c r="F753" s="1167">
        <v>0</v>
      </c>
      <c r="G753" s="1167">
        <v>0</v>
      </c>
      <c r="H753" s="1167">
        <v>0</v>
      </c>
      <c r="I753" s="1167">
        <v>0</v>
      </c>
      <c r="J753" s="1167">
        <v>0</v>
      </c>
      <c r="K753" s="1168">
        <v>0</v>
      </c>
      <c r="L753" s="1167">
        <v>0</v>
      </c>
      <c r="M753" s="1168">
        <v>0</v>
      </c>
      <c r="N753" s="1167">
        <v>0</v>
      </c>
      <c r="O753" s="1167">
        <v>0</v>
      </c>
      <c r="P753" s="1167">
        <v>0</v>
      </c>
      <c r="Q753" s="1167">
        <v>0</v>
      </c>
      <c r="R753" s="1167">
        <v>0</v>
      </c>
      <c r="S753" s="1145">
        <v>7656.17</v>
      </c>
      <c r="T753" s="1243">
        <v>44464588.450000003</v>
      </c>
      <c r="U753" s="1167">
        <v>0</v>
      </c>
      <c r="V753" s="1167">
        <v>0</v>
      </c>
      <c r="W753" s="1167">
        <v>0</v>
      </c>
      <c r="X753" s="1145">
        <v>3482638.61</v>
      </c>
      <c r="Y753" s="1145">
        <v>0</v>
      </c>
    </row>
    <row r="754" spans="1:25" s="1137" customFormat="1" ht="54.6" customHeight="1">
      <c r="A754" s="1280">
        <v>10</v>
      </c>
      <c r="B754" s="1128" t="s">
        <v>1763</v>
      </c>
      <c r="C754" s="1145">
        <f t="shared" si="353"/>
        <v>15399460</v>
      </c>
      <c r="D754" s="1145">
        <f t="shared" si="354"/>
        <v>0</v>
      </c>
      <c r="E754" s="1167">
        <v>0</v>
      </c>
      <c r="F754" s="1167">
        <v>0</v>
      </c>
      <c r="G754" s="1167">
        <v>0</v>
      </c>
      <c r="H754" s="1167">
        <v>0</v>
      </c>
      <c r="I754" s="1167">
        <v>0</v>
      </c>
      <c r="J754" s="1167">
        <v>0</v>
      </c>
      <c r="K754" s="1168">
        <v>0</v>
      </c>
      <c r="L754" s="1167">
        <v>0</v>
      </c>
      <c r="M754" s="1168">
        <v>0</v>
      </c>
      <c r="N754" s="1167">
        <v>0</v>
      </c>
      <c r="O754" s="1167">
        <v>0</v>
      </c>
      <c r="P754" s="1167">
        <v>0</v>
      </c>
      <c r="Q754" s="1167">
        <v>0</v>
      </c>
      <c r="R754" s="1167">
        <v>0</v>
      </c>
      <c r="S754" s="1145">
        <v>2979.27</v>
      </c>
      <c r="T754" s="1145">
        <v>14280923</v>
      </c>
      <c r="U754" s="1167">
        <v>0</v>
      </c>
      <c r="V754" s="1167">
        <v>0</v>
      </c>
      <c r="W754" s="1167">
        <v>0</v>
      </c>
      <c r="X754" s="1145">
        <v>1118537</v>
      </c>
      <c r="Y754" s="1145">
        <v>0</v>
      </c>
    </row>
    <row r="755" spans="1:25" s="1137" customFormat="1" ht="64.150000000000006" customHeight="1">
      <c r="A755" s="1280">
        <v>11</v>
      </c>
      <c r="B755" s="1128" t="s">
        <v>1602</v>
      </c>
      <c r="C755" s="1145">
        <f t="shared" si="353"/>
        <v>8726101.4300000016</v>
      </c>
      <c r="D755" s="1145">
        <f t="shared" si="354"/>
        <v>8092282.5500000007</v>
      </c>
      <c r="E755" s="1243">
        <v>4663997.9800000004</v>
      </c>
      <c r="F755" s="1140">
        <v>0</v>
      </c>
      <c r="G755" s="1140">
        <v>0</v>
      </c>
      <c r="H755" s="1140">
        <v>0</v>
      </c>
      <c r="I755" s="1140">
        <v>0</v>
      </c>
      <c r="J755" s="1243">
        <v>3428284.57</v>
      </c>
      <c r="K755" s="1168">
        <v>0</v>
      </c>
      <c r="L755" s="1140">
        <v>0</v>
      </c>
      <c r="M755" s="1168">
        <v>0</v>
      </c>
      <c r="N755" s="1140">
        <v>0</v>
      </c>
      <c r="O755" s="1140">
        <v>0</v>
      </c>
      <c r="P755" s="1140">
        <v>0</v>
      </c>
      <c r="Q755" s="1140">
        <v>0</v>
      </c>
      <c r="R755" s="1140">
        <v>0</v>
      </c>
      <c r="S755" s="1140">
        <v>0</v>
      </c>
      <c r="T755" s="1140">
        <v>0</v>
      </c>
      <c r="U755" s="1140">
        <v>0</v>
      </c>
      <c r="V755" s="1167">
        <v>0</v>
      </c>
      <c r="W755" s="1167">
        <v>0</v>
      </c>
      <c r="X755" s="1145">
        <v>633818.88</v>
      </c>
      <c r="Y755" s="1145">
        <v>0</v>
      </c>
    </row>
    <row r="756" spans="1:25" s="1137" customFormat="1" ht="104.25" customHeight="1">
      <c r="A756" s="1280">
        <v>12</v>
      </c>
      <c r="B756" s="1128" t="s">
        <v>1603</v>
      </c>
      <c r="C756" s="1145">
        <f t="shared" si="353"/>
        <v>19763494.690000001</v>
      </c>
      <c r="D756" s="1145">
        <f t="shared" si="354"/>
        <v>13300744.35</v>
      </c>
      <c r="E756" s="1243">
        <v>2233373.02</v>
      </c>
      <c r="F756" s="1243">
        <v>4231102.92</v>
      </c>
      <c r="G756" s="1140">
        <v>0</v>
      </c>
      <c r="H756" s="1243">
        <v>2597310.71</v>
      </c>
      <c r="I756" s="1243">
        <v>2597310.71</v>
      </c>
      <c r="J756" s="1243">
        <v>1641646.99</v>
      </c>
      <c r="K756" s="1168">
        <v>1</v>
      </c>
      <c r="L756" s="1243">
        <f>328782+175327+77546</f>
        <v>581655</v>
      </c>
      <c r="M756" s="1168">
        <v>0</v>
      </c>
      <c r="N756" s="1140">
        <v>0</v>
      </c>
      <c r="O756" s="1140">
        <v>0</v>
      </c>
      <c r="P756" s="1140">
        <v>0</v>
      </c>
      <c r="Q756" s="1140">
        <v>0</v>
      </c>
      <c r="R756" s="1140">
        <v>0</v>
      </c>
      <c r="S756" s="1129">
        <v>1516</v>
      </c>
      <c r="T756" s="1243">
        <v>4445578.13</v>
      </c>
      <c r="U756" s="1140">
        <v>0</v>
      </c>
      <c r="V756" s="1167">
        <v>0</v>
      </c>
      <c r="W756" s="1167">
        <v>0</v>
      </c>
      <c r="X756" s="1145">
        <v>1435517.21</v>
      </c>
      <c r="Y756" s="1145">
        <v>0</v>
      </c>
    </row>
    <row r="757" spans="1:25" s="1137" customFormat="1" ht="69" customHeight="1">
      <c r="A757" s="1280">
        <v>13</v>
      </c>
      <c r="B757" s="1128" t="s">
        <v>1604</v>
      </c>
      <c r="C757" s="1145">
        <f t="shared" si="353"/>
        <v>10683407</v>
      </c>
      <c r="D757" s="1145">
        <f t="shared" si="354"/>
        <v>6529766</v>
      </c>
      <c r="E757" s="1167">
        <v>0</v>
      </c>
      <c r="F757" s="1129">
        <v>4703645</v>
      </c>
      <c r="G757" s="1140">
        <v>0</v>
      </c>
      <c r="H757" s="1140">
        <v>0</v>
      </c>
      <c r="I757" s="1140">
        <v>0</v>
      </c>
      <c r="J757" s="1129">
        <v>1826121</v>
      </c>
      <c r="K757" s="1168">
        <v>0</v>
      </c>
      <c r="L757" s="1140">
        <v>0</v>
      </c>
      <c r="M757" s="1168">
        <v>0</v>
      </c>
      <c r="N757" s="1140">
        <v>0</v>
      </c>
      <c r="O757" s="1129">
        <v>913</v>
      </c>
      <c r="P757" s="1129">
        <v>3377653</v>
      </c>
      <c r="Q757" s="1140">
        <v>0</v>
      </c>
      <c r="R757" s="1140">
        <v>0</v>
      </c>
      <c r="S757" s="1140">
        <v>0</v>
      </c>
      <c r="T757" s="1140">
        <v>0</v>
      </c>
      <c r="U757" s="1140">
        <v>0</v>
      </c>
      <c r="V757" s="1167">
        <v>0</v>
      </c>
      <c r="W757" s="1167">
        <v>0</v>
      </c>
      <c r="X757" s="1145">
        <v>775988</v>
      </c>
      <c r="Y757" s="1145">
        <v>0</v>
      </c>
    </row>
    <row r="758" spans="1:25" s="1137" customFormat="1" ht="85.15" customHeight="1">
      <c r="A758" s="1280">
        <v>14</v>
      </c>
      <c r="B758" s="1128" t="s">
        <v>1605</v>
      </c>
      <c r="C758" s="1145">
        <f t="shared" si="353"/>
        <v>6953744.4100000001</v>
      </c>
      <c r="D758" s="1145">
        <f t="shared" si="354"/>
        <v>6448660.3799999999</v>
      </c>
      <c r="E758" s="1167">
        <v>0</v>
      </c>
      <c r="F758" s="1243">
        <v>6448660.3799999999</v>
      </c>
      <c r="G758" s="1167">
        <v>0</v>
      </c>
      <c r="H758" s="1167">
        <v>0</v>
      </c>
      <c r="I758" s="1167">
        <v>0</v>
      </c>
      <c r="J758" s="1167">
        <v>0</v>
      </c>
      <c r="K758" s="1168">
        <v>0</v>
      </c>
      <c r="L758" s="1167">
        <v>0</v>
      </c>
      <c r="M758" s="1168">
        <v>0</v>
      </c>
      <c r="N758" s="1167">
        <v>0</v>
      </c>
      <c r="O758" s="1167">
        <v>0</v>
      </c>
      <c r="P758" s="1167">
        <v>0</v>
      </c>
      <c r="Q758" s="1167">
        <v>0</v>
      </c>
      <c r="R758" s="1167">
        <v>0</v>
      </c>
      <c r="S758" s="1167">
        <v>0</v>
      </c>
      <c r="T758" s="1167">
        <v>0</v>
      </c>
      <c r="U758" s="1167">
        <v>0</v>
      </c>
      <c r="V758" s="1167">
        <v>0</v>
      </c>
      <c r="W758" s="1167">
        <v>0</v>
      </c>
      <c r="X758" s="1145">
        <v>505084.03</v>
      </c>
      <c r="Y758" s="1145">
        <v>0</v>
      </c>
    </row>
    <row r="759" spans="1:25" s="1137" customFormat="1" ht="87.6" customHeight="1">
      <c r="A759" s="1280">
        <v>15</v>
      </c>
      <c r="B759" s="1128" t="s">
        <v>1606</v>
      </c>
      <c r="C759" s="1145">
        <f t="shared" si="353"/>
        <v>4144700.6900000004</v>
      </c>
      <c r="D759" s="1145">
        <f t="shared" si="354"/>
        <v>1113549.99</v>
      </c>
      <c r="E759" s="1243">
        <v>1113549.99</v>
      </c>
      <c r="F759" s="1167">
        <v>0</v>
      </c>
      <c r="G759" s="1167">
        <v>0</v>
      </c>
      <c r="H759" s="1167">
        <v>0</v>
      </c>
      <c r="I759" s="1167">
        <v>0</v>
      </c>
      <c r="J759" s="1167">
        <v>0</v>
      </c>
      <c r="K759" s="1168">
        <v>0</v>
      </c>
      <c r="L759" s="1167">
        <v>0</v>
      </c>
      <c r="M759" s="1168">
        <v>0</v>
      </c>
      <c r="N759" s="1167">
        <v>0</v>
      </c>
      <c r="O759" s="1167">
        <v>0</v>
      </c>
      <c r="P759" s="1167">
        <v>0</v>
      </c>
      <c r="Q759" s="1167">
        <v>0</v>
      </c>
      <c r="R759" s="1167">
        <v>0</v>
      </c>
      <c r="S759" s="1145">
        <v>931</v>
      </c>
      <c r="T759" s="1243">
        <v>2730101.08</v>
      </c>
      <c r="U759" s="1167">
        <v>0</v>
      </c>
      <c r="V759" s="1167">
        <v>0</v>
      </c>
      <c r="W759" s="1167">
        <v>0</v>
      </c>
      <c r="X759" s="1145">
        <v>301049.62</v>
      </c>
      <c r="Y759" s="1145">
        <v>0</v>
      </c>
    </row>
    <row r="760" spans="1:25" s="1137" customFormat="1" ht="97.15" customHeight="1">
      <c r="A760" s="1280">
        <v>16</v>
      </c>
      <c r="B760" s="1128" t="s">
        <v>1870</v>
      </c>
      <c r="C760" s="1145">
        <f t="shared" si="353"/>
        <v>4677348.3299999991</v>
      </c>
      <c r="D760" s="1145">
        <f t="shared" si="354"/>
        <v>0</v>
      </c>
      <c r="E760" s="1167">
        <v>0</v>
      </c>
      <c r="F760" s="1167">
        <v>0</v>
      </c>
      <c r="G760" s="1167">
        <v>0</v>
      </c>
      <c r="H760" s="1167">
        <v>0</v>
      </c>
      <c r="I760" s="1167">
        <v>0</v>
      </c>
      <c r="J760" s="1167">
        <v>0</v>
      </c>
      <c r="K760" s="1168">
        <v>0</v>
      </c>
      <c r="L760" s="1167">
        <v>0</v>
      </c>
      <c r="M760" s="1168">
        <v>0</v>
      </c>
      <c r="N760" s="1167">
        <v>0</v>
      </c>
      <c r="O760" s="1145">
        <v>693.81</v>
      </c>
      <c r="P760" s="1243">
        <v>2743213.31</v>
      </c>
      <c r="Q760" s="1167">
        <v>0</v>
      </c>
      <c r="R760" s="1167">
        <v>0</v>
      </c>
      <c r="S760" s="1145">
        <v>543.71</v>
      </c>
      <c r="T760" s="1243">
        <v>1594396.63</v>
      </c>
      <c r="U760" s="1167">
        <v>0</v>
      </c>
      <c r="V760" s="1167">
        <v>0</v>
      </c>
      <c r="W760" s="1167">
        <v>0</v>
      </c>
      <c r="X760" s="1145">
        <v>339738.39</v>
      </c>
      <c r="Y760" s="1145">
        <v>0</v>
      </c>
    </row>
    <row r="761" spans="1:25" s="1152" customFormat="1" ht="54.6" customHeight="1">
      <c r="A761" s="1280">
        <v>17</v>
      </c>
      <c r="B761" s="1128" t="s">
        <v>1608</v>
      </c>
      <c r="C761" s="1145">
        <f t="shared" si="353"/>
        <v>13906531</v>
      </c>
      <c r="D761" s="1145">
        <f t="shared" si="354"/>
        <v>5313177</v>
      </c>
      <c r="E761" s="1145">
        <v>1835833</v>
      </c>
      <c r="F761" s="1145">
        <v>3477344</v>
      </c>
      <c r="G761" s="1167">
        <v>0</v>
      </c>
      <c r="H761" s="1167">
        <v>0</v>
      </c>
      <c r="I761" s="1167">
        <v>0</v>
      </c>
      <c r="J761" s="1167">
        <v>0</v>
      </c>
      <c r="K761" s="1168">
        <v>0</v>
      </c>
      <c r="L761" s="1167">
        <v>0</v>
      </c>
      <c r="M761" s="1168">
        <v>0</v>
      </c>
      <c r="N761" s="1167">
        <v>0</v>
      </c>
      <c r="O761" s="1167">
        <v>0</v>
      </c>
      <c r="P761" s="1167">
        <v>0</v>
      </c>
      <c r="Q761" s="1167">
        <v>0</v>
      </c>
      <c r="R761" s="1167">
        <v>0</v>
      </c>
      <c r="S761" s="1145">
        <v>1852.01</v>
      </c>
      <c r="T761" s="1145">
        <v>7583255</v>
      </c>
      <c r="U761" s="1167">
        <v>0</v>
      </c>
      <c r="V761" s="1167">
        <v>0</v>
      </c>
      <c r="W761" s="1167">
        <v>0</v>
      </c>
      <c r="X761" s="1145">
        <v>1010099</v>
      </c>
      <c r="Y761" s="1145">
        <v>0</v>
      </c>
    </row>
    <row r="762" spans="1:25" s="1152" customFormat="1" ht="56.45" customHeight="1">
      <c r="A762" s="1280">
        <v>18</v>
      </c>
      <c r="B762" s="1128" t="s">
        <v>294</v>
      </c>
      <c r="C762" s="1145">
        <f t="shared" si="353"/>
        <v>4673677.9400000004</v>
      </c>
      <c r="D762" s="1145">
        <f t="shared" si="354"/>
        <v>4334205.91</v>
      </c>
      <c r="E762" s="1167">
        <v>0</v>
      </c>
      <c r="F762" s="1167">
        <v>0</v>
      </c>
      <c r="G762" s="1167">
        <v>0</v>
      </c>
      <c r="H762" s="1206">
        <v>1646699.45</v>
      </c>
      <c r="I762" s="1206">
        <v>1646699.45</v>
      </c>
      <c r="J762" s="1206">
        <v>1040807.01</v>
      </c>
      <c r="K762" s="1168">
        <v>0</v>
      </c>
      <c r="L762" s="1167">
        <v>0</v>
      </c>
      <c r="M762" s="1168">
        <v>0</v>
      </c>
      <c r="N762" s="1167">
        <v>0</v>
      </c>
      <c r="O762" s="1167">
        <v>0</v>
      </c>
      <c r="P762" s="1167">
        <v>0</v>
      </c>
      <c r="Q762" s="1167">
        <v>0</v>
      </c>
      <c r="R762" s="1167">
        <v>0</v>
      </c>
      <c r="S762" s="1167">
        <v>0</v>
      </c>
      <c r="T762" s="1167">
        <v>0</v>
      </c>
      <c r="U762" s="1167">
        <v>0</v>
      </c>
      <c r="V762" s="1167">
        <v>0</v>
      </c>
      <c r="W762" s="1167">
        <v>0</v>
      </c>
      <c r="X762" s="1145">
        <v>339472.03</v>
      </c>
      <c r="Y762" s="1145">
        <v>0</v>
      </c>
    </row>
    <row r="763" spans="1:25" s="1152" customFormat="1" ht="54" customHeight="1">
      <c r="A763" s="1280">
        <v>19</v>
      </c>
      <c r="B763" s="1128" t="s">
        <v>1609</v>
      </c>
      <c r="C763" s="1145">
        <f t="shared" si="353"/>
        <v>20220646.82</v>
      </c>
      <c r="D763" s="1145">
        <f t="shared" si="354"/>
        <v>0</v>
      </c>
      <c r="E763" s="1167">
        <v>0</v>
      </c>
      <c r="F763" s="1167">
        <v>0</v>
      </c>
      <c r="G763" s="1167">
        <v>0</v>
      </c>
      <c r="H763" s="1167">
        <v>0</v>
      </c>
      <c r="I763" s="1167">
        <v>0</v>
      </c>
      <c r="J763" s="1167">
        <v>0</v>
      </c>
      <c r="K763" s="1168">
        <v>0</v>
      </c>
      <c r="L763" s="1167">
        <v>0</v>
      </c>
      <c r="M763" s="1168">
        <v>0</v>
      </c>
      <c r="N763" s="1167">
        <v>0</v>
      </c>
      <c r="O763" s="1167">
        <v>0</v>
      </c>
      <c r="P763" s="1167">
        <v>0</v>
      </c>
      <c r="Q763" s="1167">
        <v>0</v>
      </c>
      <c r="R763" s="1167">
        <v>0</v>
      </c>
      <c r="S763" s="1145">
        <v>6394.65</v>
      </c>
      <c r="T763" s="1243">
        <v>18751923.609999999</v>
      </c>
      <c r="U763" s="1167">
        <v>0</v>
      </c>
      <c r="V763" s="1167">
        <v>0</v>
      </c>
      <c r="W763" s="1167">
        <v>0</v>
      </c>
      <c r="X763" s="1145">
        <v>1468723.21</v>
      </c>
      <c r="Y763" s="1145">
        <v>0</v>
      </c>
    </row>
    <row r="764" spans="1:25" s="1152" customFormat="1" ht="55.9" customHeight="1">
      <c r="A764" s="1280">
        <v>20</v>
      </c>
      <c r="B764" s="1128" t="s">
        <v>1610</v>
      </c>
      <c r="C764" s="1145">
        <f t="shared" si="353"/>
        <v>8026342</v>
      </c>
      <c r="D764" s="1145">
        <f t="shared" si="354"/>
        <v>6953944</v>
      </c>
      <c r="E764" s="1145">
        <v>1167664</v>
      </c>
      <c r="F764" s="1145">
        <v>2211731</v>
      </c>
      <c r="G764" s="1167">
        <v>0</v>
      </c>
      <c r="H764" s="1145">
        <v>1357938</v>
      </c>
      <c r="I764" s="1145">
        <v>1357938</v>
      </c>
      <c r="J764" s="1145">
        <v>858673</v>
      </c>
      <c r="K764" s="1168">
        <v>0</v>
      </c>
      <c r="L764" s="1145">
        <v>489407</v>
      </c>
      <c r="M764" s="1168">
        <v>0</v>
      </c>
      <c r="N764" s="1167">
        <v>0</v>
      </c>
      <c r="O764" s="1167">
        <v>0</v>
      </c>
      <c r="P764" s="1167">
        <v>0</v>
      </c>
      <c r="Q764" s="1167">
        <v>0</v>
      </c>
      <c r="R764" s="1167">
        <v>0</v>
      </c>
      <c r="S764" s="1167">
        <v>0</v>
      </c>
      <c r="T764" s="1167">
        <v>0</v>
      </c>
      <c r="U764" s="1167">
        <v>0</v>
      </c>
      <c r="V764" s="1167">
        <v>0</v>
      </c>
      <c r="W764" s="1167">
        <v>0</v>
      </c>
      <c r="X764" s="1145">
        <v>582991</v>
      </c>
      <c r="Y764" s="1145">
        <v>0</v>
      </c>
    </row>
    <row r="765" spans="1:25" s="1152" customFormat="1" ht="54.6" customHeight="1">
      <c r="A765" s="1280">
        <v>21</v>
      </c>
      <c r="B765" s="1128" t="s">
        <v>1998</v>
      </c>
      <c r="C765" s="1145">
        <f t="shared" si="353"/>
        <v>4238101.29</v>
      </c>
      <c r="D765" s="1145">
        <f t="shared" si="354"/>
        <v>1092636.53</v>
      </c>
      <c r="E765" s="1243">
        <v>629742.54</v>
      </c>
      <c r="F765" s="1167">
        <v>0</v>
      </c>
      <c r="G765" s="1167">
        <v>0</v>
      </c>
      <c r="H765" s="1167">
        <v>0</v>
      </c>
      <c r="I765" s="1167">
        <v>0</v>
      </c>
      <c r="J765" s="1243">
        <v>462893.99</v>
      </c>
      <c r="K765" s="1168">
        <v>0</v>
      </c>
      <c r="L765" s="1167">
        <v>0</v>
      </c>
      <c r="M765" s="1168">
        <v>0</v>
      </c>
      <c r="N765" s="1167">
        <v>0</v>
      </c>
      <c r="O765" s="1145">
        <v>717.69</v>
      </c>
      <c r="P765" s="1243">
        <v>2837631</v>
      </c>
      <c r="Q765" s="1167">
        <v>0</v>
      </c>
      <c r="R765" s="1167">
        <v>0</v>
      </c>
      <c r="S765" s="1167">
        <v>0</v>
      </c>
      <c r="T765" s="1167">
        <v>0</v>
      </c>
      <c r="U765" s="1167">
        <v>0</v>
      </c>
      <c r="V765" s="1167">
        <v>0</v>
      </c>
      <c r="W765" s="1167">
        <v>0</v>
      </c>
      <c r="X765" s="1145">
        <v>307833.76</v>
      </c>
      <c r="Y765" s="1145">
        <v>0</v>
      </c>
    </row>
    <row r="766" spans="1:25" s="1152" customFormat="1" ht="54.6" customHeight="1">
      <c r="A766" s="1280">
        <v>22</v>
      </c>
      <c r="B766" s="1128" t="s">
        <v>2662</v>
      </c>
      <c r="C766" s="1145">
        <f t="shared" ref="C766:C774" si="355">D766+N766+P766+R766+T766+V766+X766+L766</f>
        <v>6693380.4100000001</v>
      </c>
      <c r="D766" s="1145">
        <f t="shared" ref="D766:D774" si="356">SUM(E766:J766)</f>
        <v>3698412.79</v>
      </c>
      <c r="E766" s="1206">
        <v>546276.38</v>
      </c>
      <c r="F766" s="1206">
        <v>1034915.16</v>
      </c>
      <c r="G766" s="1206">
        <v>445090.37</v>
      </c>
      <c r="H766" s="1206">
        <v>635294.46</v>
      </c>
      <c r="I766" s="1206">
        <v>635294.46</v>
      </c>
      <c r="J766" s="1206">
        <v>401541.96</v>
      </c>
      <c r="K766" s="1168">
        <v>1</v>
      </c>
      <c r="L766" s="1206">
        <v>581655</v>
      </c>
      <c r="M766" s="1168">
        <v>0</v>
      </c>
      <c r="N766" s="1167">
        <v>0</v>
      </c>
      <c r="O766" s="1206">
        <v>0</v>
      </c>
      <c r="P766" s="1206">
        <v>0</v>
      </c>
      <c r="Q766" s="1167">
        <v>0</v>
      </c>
      <c r="R766" s="1167">
        <v>0</v>
      </c>
      <c r="S766" s="1206">
        <v>657.18</v>
      </c>
      <c r="T766" s="1206">
        <v>1927140.52</v>
      </c>
      <c r="U766" s="1167">
        <v>0</v>
      </c>
      <c r="V766" s="1167">
        <v>0</v>
      </c>
      <c r="W766" s="1167">
        <v>0</v>
      </c>
      <c r="X766" s="1145">
        <v>486172.1</v>
      </c>
      <c r="Y766" s="1145">
        <v>0</v>
      </c>
    </row>
    <row r="767" spans="1:25" s="1152" customFormat="1" ht="96" customHeight="1">
      <c r="A767" s="1280">
        <v>23</v>
      </c>
      <c r="B767" s="1128" t="s">
        <v>2830</v>
      </c>
      <c r="C767" s="1145">
        <f t="shared" si="355"/>
        <v>14422791.780000001</v>
      </c>
      <c r="D767" s="1145">
        <f t="shared" si="356"/>
        <v>7037461.7300000004</v>
      </c>
      <c r="E767" s="1206">
        <v>0</v>
      </c>
      <c r="F767" s="1206">
        <v>4921046.37</v>
      </c>
      <c r="G767" s="1206">
        <v>2116415.36</v>
      </c>
      <c r="H767" s="1206">
        <v>0</v>
      </c>
      <c r="I767" s="1206">
        <v>0</v>
      </c>
      <c r="J767" s="1206">
        <v>0</v>
      </c>
      <c r="K767" s="1168">
        <v>1</v>
      </c>
      <c r="L767" s="1206">
        <v>581655</v>
      </c>
      <c r="M767" s="1168">
        <v>0</v>
      </c>
      <c r="N767" s="1167">
        <v>0</v>
      </c>
      <c r="O767" s="1206">
        <v>1455.82</v>
      </c>
      <c r="P767" s="1206">
        <v>5756078.4799999995</v>
      </c>
      <c r="Q767" s="1167">
        <v>0</v>
      </c>
      <c r="R767" s="1167">
        <v>0</v>
      </c>
      <c r="S767" s="1206">
        <v>0</v>
      </c>
      <c r="T767" s="1206">
        <v>0</v>
      </c>
      <c r="U767" s="1167">
        <v>0</v>
      </c>
      <c r="V767" s="1167">
        <v>0</v>
      </c>
      <c r="W767" s="1167">
        <v>0</v>
      </c>
      <c r="X767" s="1145">
        <v>1047596.57</v>
      </c>
      <c r="Y767" s="1145">
        <v>0</v>
      </c>
    </row>
    <row r="768" spans="1:25" s="1152" customFormat="1" ht="54.6" customHeight="1">
      <c r="A768" s="1280">
        <v>24</v>
      </c>
      <c r="B768" s="1128" t="s">
        <v>2663</v>
      </c>
      <c r="C768" s="1145">
        <f t="shared" si="355"/>
        <v>23954372.220000003</v>
      </c>
      <c r="D768" s="1145">
        <f t="shared" si="356"/>
        <v>8059236.6799999997</v>
      </c>
      <c r="E768" s="1206">
        <v>1190394.6099999999</v>
      </c>
      <c r="F768" s="1206">
        <v>2255190.73</v>
      </c>
      <c r="G768" s="1206">
        <v>969899.48</v>
      </c>
      <c r="H768" s="1206">
        <v>1384374.51</v>
      </c>
      <c r="I768" s="1206">
        <v>1384374.51</v>
      </c>
      <c r="J768" s="1206">
        <v>875002.84</v>
      </c>
      <c r="K768" s="1168">
        <v>1</v>
      </c>
      <c r="L768" s="1206">
        <f>175327+328782+77546</f>
        <v>581655</v>
      </c>
      <c r="M768" s="1168">
        <v>0</v>
      </c>
      <c r="N768" s="1167">
        <v>0</v>
      </c>
      <c r="O768" s="1206">
        <v>1131.8</v>
      </c>
      <c r="P768" s="1206">
        <v>8065555.1699999999</v>
      </c>
      <c r="Q768" s="1167">
        <v>0</v>
      </c>
      <c r="R768" s="1167">
        <v>0</v>
      </c>
      <c r="S768" s="1244">
        <v>948.4</v>
      </c>
      <c r="T768" s="1243">
        <v>5508004.0900000008</v>
      </c>
      <c r="U768" s="1167">
        <v>0</v>
      </c>
      <c r="V768" s="1167">
        <v>0</v>
      </c>
      <c r="W768" s="1167">
        <v>0</v>
      </c>
      <c r="X768" s="1145">
        <v>1739921.28</v>
      </c>
      <c r="Y768" s="1145">
        <v>0</v>
      </c>
    </row>
    <row r="769" spans="1:25" s="1152" customFormat="1" ht="54.6" customHeight="1">
      <c r="A769" s="1280">
        <v>25</v>
      </c>
      <c r="B769" s="1128" t="s">
        <v>2664</v>
      </c>
      <c r="C769" s="1145">
        <f t="shared" si="355"/>
        <v>2470545.9299999997</v>
      </c>
      <c r="D769" s="1145">
        <f t="shared" si="356"/>
        <v>1884770.42</v>
      </c>
      <c r="E769" s="1206">
        <v>336129.87</v>
      </c>
      <c r="F769" s="1206">
        <v>636794.69000000006</v>
      </c>
      <c r="G769" s="1206">
        <v>273869</v>
      </c>
      <c r="H769" s="1206">
        <v>390903.67</v>
      </c>
      <c r="I769" s="1206">
        <v>0</v>
      </c>
      <c r="J769" s="1206">
        <v>247073.19</v>
      </c>
      <c r="K769" s="1168">
        <v>1</v>
      </c>
      <c r="L769" s="1206">
        <v>406328</v>
      </c>
      <c r="M769" s="1168">
        <v>0</v>
      </c>
      <c r="N769" s="1167">
        <v>0</v>
      </c>
      <c r="O769" s="1206">
        <v>0</v>
      </c>
      <c r="P769" s="1206">
        <v>0</v>
      </c>
      <c r="Q769" s="1167">
        <v>0</v>
      </c>
      <c r="R769" s="1167">
        <v>0</v>
      </c>
      <c r="S769" s="1206">
        <v>0</v>
      </c>
      <c r="T769" s="1206">
        <v>0</v>
      </c>
      <c r="U769" s="1167">
        <v>0</v>
      </c>
      <c r="V769" s="1167">
        <v>0</v>
      </c>
      <c r="W769" s="1167">
        <v>0</v>
      </c>
      <c r="X769" s="1145">
        <v>179447.51</v>
      </c>
      <c r="Y769" s="1145">
        <v>0</v>
      </c>
    </row>
    <row r="770" spans="1:25" s="1152" customFormat="1" ht="54.6" customHeight="1">
      <c r="A770" s="1280">
        <v>26</v>
      </c>
      <c r="B770" s="1128" t="s">
        <v>1461</v>
      </c>
      <c r="C770" s="1145">
        <f t="shared" si="355"/>
        <v>24976164.309999999</v>
      </c>
      <c r="D770" s="1145">
        <f t="shared" si="356"/>
        <v>11186797.699999999</v>
      </c>
      <c r="E770" s="1206">
        <v>0</v>
      </c>
      <c r="F770" s="1206">
        <v>5588211.7699999996</v>
      </c>
      <c r="G770" s="1206">
        <v>0</v>
      </c>
      <c r="H770" s="1206">
        <v>3430387.43</v>
      </c>
      <c r="I770" s="1206">
        <v>0</v>
      </c>
      <c r="J770" s="1206">
        <v>2168198.5</v>
      </c>
      <c r="K770" s="1168">
        <v>1</v>
      </c>
      <c r="L770" s="1206">
        <f>328782+77546</f>
        <v>406328</v>
      </c>
      <c r="M770" s="1168">
        <v>0</v>
      </c>
      <c r="N770" s="1167">
        <v>0</v>
      </c>
      <c r="O770" s="1206">
        <v>0</v>
      </c>
      <c r="P770" s="1206">
        <v>0</v>
      </c>
      <c r="Q770" s="1167">
        <v>0</v>
      </c>
      <c r="R770" s="1167">
        <v>0</v>
      </c>
      <c r="S770" s="1206">
        <v>1992</v>
      </c>
      <c r="T770" s="1206">
        <v>11568899.359999999</v>
      </c>
      <c r="U770" s="1167">
        <v>0</v>
      </c>
      <c r="V770" s="1167">
        <v>0</v>
      </c>
      <c r="W770" s="1167">
        <v>0</v>
      </c>
      <c r="X770" s="1145">
        <v>1814139.25</v>
      </c>
      <c r="Y770" s="1145">
        <v>0</v>
      </c>
    </row>
    <row r="771" spans="1:25" s="1152" customFormat="1" ht="54.6" customHeight="1">
      <c r="A771" s="1280">
        <v>27</v>
      </c>
      <c r="B771" s="1128" t="s">
        <v>1561</v>
      </c>
      <c r="C771" s="1145">
        <f t="shared" si="355"/>
        <v>3598920.2600000002</v>
      </c>
      <c r="D771" s="1145">
        <f t="shared" si="356"/>
        <v>2755858.74</v>
      </c>
      <c r="E771" s="1206">
        <v>0</v>
      </c>
      <c r="F771" s="1206">
        <v>1036895.86</v>
      </c>
      <c r="G771" s="1206">
        <v>445942.22</v>
      </c>
      <c r="H771" s="1206">
        <v>636510.33000000007</v>
      </c>
      <c r="I771" s="1206">
        <v>636510.33000000007</v>
      </c>
      <c r="J771" s="1206">
        <v>0</v>
      </c>
      <c r="K771" s="1168">
        <v>1</v>
      </c>
      <c r="L771" s="1206">
        <v>581655</v>
      </c>
      <c r="M771" s="1168">
        <v>0</v>
      </c>
      <c r="N771" s="1167">
        <v>0</v>
      </c>
      <c r="O771" s="1206">
        <v>0</v>
      </c>
      <c r="P771" s="1206">
        <v>0</v>
      </c>
      <c r="Q771" s="1167">
        <v>0</v>
      </c>
      <c r="R771" s="1167">
        <v>0</v>
      </c>
      <c r="S771" s="1206">
        <v>0</v>
      </c>
      <c r="T771" s="1206">
        <v>0</v>
      </c>
      <c r="U771" s="1167">
        <v>0</v>
      </c>
      <c r="V771" s="1167">
        <v>0</v>
      </c>
      <c r="W771" s="1167">
        <v>0</v>
      </c>
      <c r="X771" s="1145">
        <v>261406.52</v>
      </c>
      <c r="Y771" s="1145">
        <v>0</v>
      </c>
    </row>
    <row r="772" spans="1:25" s="1152" customFormat="1" ht="54.6" customHeight="1">
      <c r="A772" s="1280">
        <v>28</v>
      </c>
      <c r="B772" s="1128" t="s">
        <v>1551</v>
      </c>
      <c r="C772" s="1145">
        <f t="shared" si="355"/>
        <v>15068524.040000001</v>
      </c>
      <c r="D772" s="1145">
        <f t="shared" si="356"/>
        <v>6458115.5800000001</v>
      </c>
      <c r="E772" s="1206">
        <v>0</v>
      </c>
      <c r="F772" s="1206">
        <v>3226063.3</v>
      </c>
      <c r="G772" s="1206">
        <v>0</v>
      </c>
      <c r="H772" s="1206">
        <v>0</v>
      </c>
      <c r="I772" s="1206">
        <v>1980355.69</v>
      </c>
      <c r="J772" s="1206">
        <v>1251696.5900000001</v>
      </c>
      <c r="K772" s="1168">
        <v>1</v>
      </c>
      <c r="L772" s="1206">
        <v>581655</v>
      </c>
      <c r="M772" s="1168">
        <v>0</v>
      </c>
      <c r="N772" s="1167">
        <v>0</v>
      </c>
      <c r="O772" s="1206">
        <v>0</v>
      </c>
      <c r="P772" s="1206">
        <v>0</v>
      </c>
      <c r="Q772" s="1167">
        <v>0</v>
      </c>
      <c r="R772" s="1167">
        <v>0</v>
      </c>
      <c r="S772" s="1206">
        <v>1193.98</v>
      </c>
      <c r="T772" s="1206">
        <v>6934254.2400000002</v>
      </c>
      <c r="U772" s="1167">
        <v>0</v>
      </c>
      <c r="V772" s="1167">
        <v>0</v>
      </c>
      <c r="W772" s="1167">
        <v>0</v>
      </c>
      <c r="X772" s="1145">
        <v>1094499.22</v>
      </c>
      <c r="Y772" s="1145">
        <v>0</v>
      </c>
    </row>
    <row r="773" spans="1:25" s="1152" customFormat="1" ht="54.6" customHeight="1">
      <c r="A773" s="1280">
        <v>29</v>
      </c>
      <c r="B773" s="1128" t="s">
        <v>2665</v>
      </c>
      <c r="C773" s="1145">
        <f t="shared" si="355"/>
        <v>7601577.0300000003</v>
      </c>
      <c r="D773" s="1145">
        <f t="shared" si="356"/>
        <v>0</v>
      </c>
      <c r="E773" s="1206">
        <v>0</v>
      </c>
      <c r="F773" s="1206">
        <v>0</v>
      </c>
      <c r="G773" s="1206">
        <v>0</v>
      </c>
      <c r="H773" s="1206">
        <v>0</v>
      </c>
      <c r="I773" s="1206">
        <v>0</v>
      </c>
      <c r="J773" s="1206">
        <v>0</v>
      </c>
      <c r="K773" s="1168"/>
      <c r="L773" s="1206">
        <v>0</v>
      </c>
      <c r="M773" s="1168">
        <v>0</v>
      </c>
      <c r="N773" s="1167">
        <v>0</v>
      </c>
      <c r="O773" s="1206">
        <v>492.4</v>
      </c>
      <c r="P773" s="1206">
        <v>2344693.9699999997</v>
      </c>
      <c r="Q773" s="1167">
        <v>0</v>
      </c>
      <c r="R773" s="1167">
        <v>0</v>
      </c>
      <c r="S773" s="1206">
        <v>810.09</v>
      </c>
      <c r="T773" s="1206">
        <v>4704743.82</v>
      </c>
      <c r="U773" s="1167">
        <v>0</v>
      </c>
      <c r="V773" s="1167">
        <v>0</v>
      </c>
      <c r="W773" s="1167">
        <v>0</v>
      </c>
      <c r="X773" s="1145">
        <v>552139.24</v>
      </c>
      <c r="Y773" s="1145">
        <v>0</v>
      </c>
    </row>
    <row r="774" spans="1:25" s="1152" customFormat="1" ht="54.6" customHeight="1">
      <c r="A774" s="1280">
        <v>30</v>
      </c>
      <c r="B774" s="1128" t="s">
        <v>1567</v>
      </c>
      <c r="C774" s="1145">
        <f t="shared" si="355"/>
        <v>2716601.3400000003</v>
      </c>
      <c r="D774" s="1145">
        <f t="shared" si="356"/>
        <v>2015173.1800000002</v>
      </c>
      <c r="E774" s="1206">
        <v>0</v>
      </c>
      <c r="F774" s="1206">
        <v>1248665.5900000001</v>
      </c>
      <c r="G774" s="1206">
        <v>0</v>
      </c>
      <c r="H774" s="1206">
        <v>0</v>
      </c>
      <c r="I774" s="1206">
        <v>766507.59</v>
      </c>
      <c r="J774" s="1206">
        <v>0</v>
      </c>
      <c r="K774" s="1168">
        <v>1</v>
      </c>
      <c r="L774" s="1206">
        <v>504109</v>
      </c>
      <c r="M774" s="1168">
        <v>0</v>
      </c>
      <c r="N774" s="1167">
        <v>0</v>
      </c>
      <c r="O774" s="1206">
        <v>0</v>
      </c>
      <c r="P774" s="1206">
        <v>0</v>
      </c>
      <c r="Q774" s="1167">
        <v>0</v>
      </c>
      <c r="R774" s="1167">
        <v>0</v>
      </c>
      <c r="S774" s="1206">
        <v>0</v>
      </c>
      <c r="T774" s="1206">
        <v>0</v>
      </c>
      <c r="U774" s="1167">
        <v>0</v>
      </c>
      <c r="V774" s="1167">
        <v>0</v>
      </c>
      <c r="W774" s="1167">
        <v>0</v>
      </c>
      <c r="X774" s="1145">
        <v>197319.16</v>
      </c>
      <c r="Y774" s="1145">
        <v>0</v>
      </c>
    </row>
    <row r="775" spans="1:25" s="1152" customFormat="1" ht="148.9" customHeight="1">
      <c r="A775" s="1280"/>
      <c r="B775" s="1128" t="s">
        <v>1393</v>
      </c>
      <c r="C775" s="1129">
        <f>C776+C777+C778+C779+C780+C781+C782+C783+C784+C785+C786+C787+C788+C789+C790+C791+C792+C793</f>
        <v>46355676.599999994</v>
      </c>
      <c r="D775" s="1129">
        <f t="shared" ref="D775:Y775" si="357">D776+D777+D778+D779+D780+D781+D782+D783+D784+D785+D786+D787+D788+D789+D790+D791+D792+D793</f>
        <v>189563.67</v>
      </c>
      <c r="E775" s="1129">
        <f t="shared" si="357"/>
        <v>0</v>
      </c>
      <c r="F775" s="1129">
        <f t="shared" si="357"/>
        <v>0</v>
      </c>
      <c r="G775" s="1129">
        <f t="shared" si="357"/>
        <v>0</v>
      </c>
      <c r="H775" s="1129">
        <f t="shared" si="357"/>
        <v>0</v>
      </c>
      <c r="I775" s="1129">
        <f t="shared" si="357"/>
        <v>0</v>
      </c>
      <c r="J775" s="1129">
        <f t="shared" si="357"/>
        <v>189563.67</v>
      </c>
      <c r="K775" s="1136">
        <f t="shared" si="357"/>
        <v>0</v>
      </c>
      <c r="L775" s="1129">
        <f t="shared" si="357"/>
        <v>0</v>
      </c>
      <c r="M775" s="1136">
        <f t="shared" si="357"/>
        <v>0</v>
      </c>
      <c r="N775" s="1129">
        <f t="shared" si="357"/>
        <v>0</v>
      </c>
      <c r="O775" s="1129">
        <f t="shared" si="357"/>
        <v>8659.0499999999993</v>
      </c>
      <c r="P775" s="1129">
        <f t="shared" si="357"/>
        <v>32416611.970000003</v>
      </c>
      <c r="Q775" s="1129">
        <f t="shared" si="357"/>
        <v>300</v>
      </c>
      <c r="R775" s="1129">
        <f t="shared" si="357"/>
        <v>481692.24</v>
      </c>
      <c r="S775" s="1129">
        <f t="shared" si="357"/>
        <v>3357.21</v>
      </c>
      <c r="T775" s="1129">
        <f t="shared" si="357"/>
        <v>9844814.879999999</v>
      </c>
      <c r="U775" s="1129">
        <f t="shared" si="357"/>
        <v>0</v>
      </c>
      <c r="V775" s="1129">
        <f t="shared" si="357"/>
        <v>0</v>
      </c>
      <c r="W775" s="1129">
        <f t="shared" si="357"/>
        <v>0</v>
      </c>
      <c r="X775" s="1129">
        <f t="shared" si="357"/>
        <v>3422993.84</v>
      </c>
      <c r="Y775" s="1129">
        <f t="shared" si="357"/>
        <v>0</v>
      </c>
    </row>
    <row r="776" spans="1:25" s="1152" customFormat="1" ht="96" customHeight="1">
      <c r="A776" s="1280">
        <v>31</v>
      </c>
      <c r="B776" s="1128" t="s">
        <v>2475</v>
      </c>
      <c r="C776" s="1129">
        <f t="shared" ref="C776" si="358">D776+N776+P776+R776+T776+V776+X776</f>
        <v>3498474.04</v>
      </c>
      <c r="D776" s="1129">
        <f t="shared" ref="D776" si="359">SUM(E776:J776)</f>
        <v>0</v>
      </c>
      <c r="E776" s="1145">
        <v>0</v>
      </c>
      <c r="F776" s="1145">
        <v>0</v>
      </c>
      <c r="G776" s="1145">
        <v>0</v>
      </c>
      <c r="H776" s="1145">
        <v>0</v>
      </c>
      <c r="I776" s="1145">
        <v>0</v>
      </c>
      <c r="J776" s="1145">
        <v>0</v>
      </c>
      <c r="K776" s="1136">
        <v>0</v>
      </c>
      <c r="L776" s="1145">
        <v>0</v>
      </c>
      <c r="M776" s="1136">
        <v>0</v>
      </c>
      <c r="N776" s="1145">
        <v>0</v>
      </c>
      <c r="O776" s="1145">
        <v>0</v>
      </c>
      <c r="P776" s="1145">
        <v>0</v>
      </c>
      <c r="Q776" s="1145">
        <v>0</v>
      </c>
      <c r="R776" s="1145">
        <v>0</v>
      </c>
      <c r="S776" s="1145">
        <v>1106.3699999999999</v>
      </c>
      <c r="T776" s="1145">
        <v>3244362.98</v>
      </c>
      <c r="U776" s="1145">
        <v>0</v>
      </c>
      <c r="V776" s="1145">
        <v>0</v>
      </c>
      <c r="W776" s="1167">
        <v>0</v>
      </c>
      <c r="X776" s="1145">
        <v>254111.06</v>
      </c>
      <c r="Y776" s="1145">
        <v>0</v>
      </c>
    </row>
    <row r="777" spans="1:25" s="1152" customFormat="1" ht="99" customHeight="1">
      <c r="A777" s="1280">
        <v>32</v>
      </c>
      <c r="B777" s="1128" t="s">
        <v>2476</v>
      </c>
      <c r="C777" s="1129">
        <f t="shared" ref="C777:C789" si="360">D777+N777+P777+R777+T777+V777+X777</f>
        <v>3480854.04</v>
      </c>
      <c r="D777" s="1129">
        <f t="shared" ref="D777:D789" si="361">SUM(E777:J777)</f>
        <v>0</v>
      </c>
      <c r="E777" s="1145">
        <v>0</v>
      </c>
      <c r="F777" s="1145">
        <v>0</v>
      </c>
      <c r="G777" s="1145">
        <v>0</v>
      </c>
      <c r="H777" s="1145">
        <v>0</v>
      </c>
      <c r="I777" s="1145">
        <v>0</v>
      </c>
      <c r="J777" s="1145">
        <v>0</v>
      </c>
      <c r="K777" s="1136">
        <v>0</v>
      </c>
      <c r="L777" s="1145">
        <v>0</v>
      </c>
      <c r="M777" s="1136">
        <v>0</v>
      </c>
      <c r="N777" s="1145">
        <v>0</v>
      </c>
      <c r="O777" s="1145">
        <v>963.24</v>
      </c>
      <c r="P777" s="1145">
        <v>3228022.8</v>
      </c>
      <c r="Q777" s="1145">
        <v>0</v>
      </c>
      <c r="R777" s="1145">
        <v>0</v>
      </c>
      <c r="S777" s="1145">
        <v>0</v>
      </c>
      <c r="T777" s="1145">
        <v>0</v>
      </c>
      <c r="U777" s="1145">
        <v>0</v>
      </c>
      <c r="V777" s="1145">
        <v>0</v>
      </c>
      <c r="W777" s="1167">
        <v>0</v>
      </c>
      <c r="X777" s="1145">
        <v>252831.24</v>
      </c>
      <c r="Y777" s="1145">
        <v>0</v>
      </c>
    </row>
    <row r="778" spans="1:25" s="1152" customFormat="1" ht="101.25" customHeight="1">
      <c r="A778" s="1280">
        <v>33</v>
      </c>
      <c r="B778" s="1128" t="s">
        <v>2477</v>
      </c>
      <c r="C778" s="1129">
        <f t="shared" si="360"/>
        <v>1669526.35</v>
      </c>
      <c r="D778" s="1129">
        <f t="shared" si="361"/>
        <v>0</v>
      </c>
      <c r="E778" s="1145">
        <v>0</v>
      </c>
      <c r="F778" s="1145">
        <v>0</v>
      </c>
      <c r="G778" s="1145">
        <v>0</v>
      </c>
      <c r="H778" s="1145">
        <v>0</v>
      </c>
      <c r="I778" s="1145">
        <v>0</v>
      </c>
      <c r="J778" s="1145">
        <v>0</v>
      </c>
      <c r="K778" s="1136">
        <v>0</v>
      </c>
      <c r="L778" s="1145">
        <v>0</v>
      </c>
      <c r="M778" s="1136">
        <v>0</v>
      </c>
      <c r="N778" s="1145">
        <v>0</v>
      </c>
      <c r="O778" s="1145">
        <v>462</v>
      </c>
      <c r="P778" s="1145">
        <v>1548260.59</v>
      </c>
      <c r="Q778" s="1145">
        <v>0</v>
      </c>
      <c r="R778" s="1145">
        <v>0</v>
      </c>
      <c r="S778" s="1145">
        <v>0</v>
      </c>
      <c r="T778" s="1145">
        <v>0</v>
      </c>
      <c r="U778" s="1145">
        <v>0</v>
      </c>
      <c r="V778" s="1145">
        <v>0</v>
      </c>
      <c r="W778" s="1167">
        <v>0</v>
      </c>
      <c r="X778" s="1145">
        <v>121265.76</v>
      </c>
      <c r="Y778" s="1145">
        <v>0</v>
      </c>
    </row>
    <row r="779" spans="1:25" s="1137" customFormat="1" ht="106.5" customHeight="1">
      <c r="A779" s="1280">
        <v>34</v>
      </c>
      <c r="B779" s="1128" t="s">
        <v>2478</v>
      </c>
      <c r="C779" s="1129">
        <f t="shared" si="360"/>
        <v>5798386.3799999999</v>
      </c>
      <c r="D779" s="1129">
        <f t="shared" si="361"/>
        <v>0</v>
      </c>
      <c r="E779" s="1145">
        <v>0</v>
      </c>
      <c r="F779" s="1145">
        <v>0</v>
      </c>
      <c r="G779" s="1145">
        <v>0</v>
      </c>
      <c r="H779" s="1145">
        <v>0</v>
      </c>
      <c r="I779" s="1145">
        <v>0</v>
      </c>
      <c r="J779" s="1145">
        <v>0</v>
      </c>
      <c r="K779" s="1136">
        <v>0</v>
      </c>
      <c r="L779" s="1145">
        <v>0</v>
      </c>
      <c r="M779" s="1136">
        <v>0</v>
      </c>
      <c r="N779" s="1145">
        <v>0</v>
      </c>
      <c r="O779" s="1145">
        <v>1360</v>
      </c>
      <c r="P779" s="1145">
        <v>5377221.5800000001</v>
      </c>
      <c r="Q779" s="1145">
        <v>0</v>
      </c>
      <c r="R779" s="1145">
        <v>0</v>
      </c>
      <c r="S779" s="1145">
        <v>0</v>
      </c>
      <c r="T779" s="1145">
        <v>0</v>
      </c>
      <c r="U779" s="1145">
        <v>0</v>
      </c>
      <c r="V779" s="1145">
        <v>0</v>
      </c>
      <c r="W779" s="1167">
        <v>0</v>
      </c>
      <c r="X779" s="1145">
        <v>421164.79999999999</v>
      </c>
      <c r="Y779" s="1145">
        <v>0</v>
      </c>
    </row>
    <row r="780" spans="1:25" s="1137" customFormat="1" ht="133.9" customHeight="1">
      <c r="A780" s="1280">
        <v>35</v>
      </c>
      <c r="B780" s="1128" t="s">
        <v>3025</v>
      </c>
      <c r="C780" s="1129">
        <f t="shared" si="360"/>
        <v>519420.24</v>
      </c>
      <c r="D780" s="1129">
        <f t="shared" si="361"/>
        <v>0</v>
      </c>
      <c r="E780" s="1145">
        <v>0</v>
      </c>
      <c r="F780" s="1145">
        <v>0</v>
      </c>
      <c r="G780" s="1145">
        <v>0</v>
      </c>
      <c r="H780" s="1145">
        <v>0</v>
      </c>
      <c r="I780" s="1145">
        <v>0</v>
      </c>
      <c r="J780" s="1145">
        <v>0</v>
      </c>
      <c r="K780" s="1136">
        <v>0</v>
      </c>
      <c r="L780" s="1145">
        <v>0</v>
      </c>
      <c r="M780" s="1136">
        <v>0</v>
      </c>
      <c r="N780" s="1145">
        <v>0</v>
      </c>
      <c r="O780" s="1145">
        <v>0</v>
      </c>
      <c r="P780" s="1145">
        <v>0</v>
      </c>
      <c r="Q780" s="1145">
        <v>300</v>
      </c>
      <c r="R780" s="1145">
        <v>481692.24</v>
      </c>
      <c r="S780" s="1145">
        <v>0</v>
      </c>
      <c r="T780" s="1145">
        <v>0</v>
      </c>
      <c r="U780" s="1145">
        <v>0</v>
      </c>
      <c r="V780" s="1145">
        <v>0</v>
      </c>
      <c r="W780" s="1167">
        <v>0</v>
      </c>
      <c r="X780" s="1145">
        <v>37728</v>
      </c>
      <c r="Y780" s="1145">
        <v>0</v>
      </c>
    </row>
    <row r="781" spans="1:25" s="1137" customFormat="1" ht="90" customHeight="1">
      <c r="A781" s="1280">
        <v>36</v>
      </c>
      <c r="B781" s="1128" t="s">
        <v>2479</v>
      </c>
      <c r="C781" s="1129">
        <f t="shared" si="360"/>
        <v>60340</v>
      </c>
      <c r="D781" s="1129">
        <f t="shared" si="361"/>
        <v>0</v>
      </c>
      <c r="E781" s="1145">
        <v>0</v>
      </c>
      <c r="F781" s="1145">
        <v>0</v>
      </c>
      <c r="G781" s="1145">
        <v>0</v>
      </c>
      <c r="H781" s="1145">
        <v>0</v>
      </c>
      <c r="I781" s="1145">
        <v>0</v>
      </c>
      <c r="J781" s="1145">
        <v>0</v>
      </c>
      <c r="K781" s="1136">
        <v>0</v>
      </c>
      <c r="L781" s="1145">
        <v>0</v>
      </c>
      <c r="M781" s="1136">
        <v>0</v>
      </c>
      <c r="N781" s="1145">
        <v>0</v>
      </c>
      <c r="O781" s="1145">
        <v>0</v>
      </c>
      <c r="P781" s="1145">
        <v>0</v>
      </c>
      <c r="Q781" s="1145">
        <v>0</v>
      </c>
      <c r="R781" s="1145">
        <v>0</v>
      </c>
      <c r="S781" s="1145">
        <v>0</v>
      </c>
      <c r="T781" s="1145">
        <v>0</v>
      </c>
      <c r="U781" s="1145">
        <v>0</v>
      </c>
      <c r="V781" s="1145">
        <v>0</v>
      </c>
      <c r="W781" s="1167">
        <v>0</v>
      </c>
      <c r="X781" s="1145">
        <v>60340</v>
      </c>
      <c r="Y781" s="1145">
        <v>0</v>
      </c>
    </row>
    <row r="782" spans="1:25" s="1137" customFormat="1" ht="90" customHeight="1">
      <c r="A782" s="1280">
        <v>37</v>
      </c>
      <c r="B782" s="1128" t="s">
        <v>2300</v>
      </c>
      <c r="C782" s="1129">
        <f t="shared" si="360"/>
        <v>1230835.42</v>
      </c>
      <c r="D782" s="1129">
        <f t="shared" si="361"/>
        <v>0</v>
      </c>
      <c r="E782" s="1145">
        <v>0</v>
      </c>
      <c r="F782" s="1145">
        <v>0</v>
      </c>
      <c r="G782" s="1145">
        <v>0</v>
      </c>
      <c r="H782" s="1145">
        <v>0</v>
      </c>
      <c r="I782" s="1145">
        <v>0</v>
      </c>
      <c r="J782" s="1145">
        <v>0</v>
      </c>
      <c r="K782" s="1136">
        <v>0</v>
      </c>
      <c r="L782" s="1145">
        <v>0</v>
      </c>
      <c r="M782" s="1136">
        <v>0</v>
      </c>
      <c r="N782" s="1145">
        <v>0</v>
      </c>
      <c r="O782" s="1145">
        <v>288.69</v>
      </c>
      <c r="P782" s="1145">
        <v>1141433.8999999999</v>
      </c>
      <c r="Q782" s="1145">
        <v>0</v>
      </c>
      <c r="R782" s="1145">
        <v>0</v>
      </c>
      <c r="S782" s="1145">
        <v>0</v>
      </c>
      <c r="T782" s="1145">
        <v>0</v>
      </c>
      <c r="U782" s="1145">
        <v>0</v>
      </c>
      <c r="V782" s="1145">
        <v>0</v>
      </c>
      <c r="W782" s="1167">
        <v>0</v>
      </c>
      <c r="X782" s="1145">
        <v>89401.52</v>
      </c>
      <c r="Y782" s="1145">
        <v>0</v>
      </c>
    </row>
    <row r="783" spans="1:25" s="1137" customFormat="1" ht="132" customHeight="1">
      <c r="A783" s="1280">
        <v>38</v>
      </c>
      <c r="B783" s="1128" t="s">
        <v>2480</v>
      </c>
      <c r="C783" s="1129">
        <f t="shared" si="360"/>
        <v>958754.61</v>
      </c>
      <c r="D783" s="1129">
        <f t="shared" si="361"/>
        <v>0</v>
      </c>
      <c r="E783" s="1145">
        <v>0</v>
      </c>
      <c r="F783" s="1145">
        <v>0</v>
      </c>
      <c r="G783" s="1145">
        <v>0</v>
      </c>
      <c r="H783" s="1145">
        <v>0</v>
      </c>
      <c r="I783" s="1145">
        <v>0</v>
      </c>
      <c r="J783" s="1145">
        <v>0</v>
      </c>
      <c r="K783" s="1136">
        <v>0</v>
      </c>
      <c r="L783" s="1145">
        <v>0</v>
      </c>
      <c r="M783" s="1136">
        <v>0</v>
      </c>
      <c r="N783" s="1145">
        <v>0</v>
      </c>
      <c r="O783" s="1145">
        <v>0</v>
      </c>
      <c r="P783" s="1145">
        <v>0</v>
      </c>
      <c r="Q783" s="1145">
        <v>0</v>
      </c>
      <c r="R783" s="1145">
        <v>0</v>
      </c>
      <c r="S783" s="1145">
        <v>303.2</v>
      </c>
      <c r="T783" s="1145">
        <v>889115.63</v>
      </c>
      <c r="U783" s="1145">
        <v>0</v>
      </c>
      <c r="V783" s="1145">
        <v>0</v>
      </c>
      <c r="W783" s="1167">
        <v>0</v>
      </c>
      <c r="X783" s="1145">
        <v>69638.98</v>
      </c>
      <c r="Y783" s="1145">
        <v>0</v>
      </c>
    </row>
    <row r="784" spans="1:25" s="1152" customFormat="1" ht="92.45" customHeight="1">
      <c r="A784" s="1280">
        <v>39</v>
      </c>
      <c r="B784" s="1128" t="s">
        <v>2481</v>
      </c>
      <c r="C784" s="1129">
        <f t="shared" si="360"/>
        <v>1496495.3099999998</v>
      </c>
      <c r="D784" s="1129">
        <f t="shared" si="361"/>
        <v>0</v>
      </c>
      <c r="E784" s="1145">
        <v>0</v>
      </c>
      <c r="F784" s="1145">
        <v>0</v>
      </c>
      <c r="G784" s="1145">
        <v>0</v>
      </c>
      <c r="H784" s="1145">
        <v>0</v>
      </c>
      <c r="I784" s="1145">
        <v>0</v>
      </c>
      <c r="J784" s="1145">
        <v>0</v>
      </c>
      <c r="K784" s="1136">
        <v>0</v>
      </c>
      <c r="L784" s="1145">
        <v>0</v>
      </c>
      <c r="M784" s="1136">
        <v>0</v>
      </c>
      <c r="N784" s="1145">
        <v>0</v>
      </c>
      <c r="O784" s="1145">
        <v>351</v>
      </c>
      <c r="P784" s="1145">
        <v>1387797.63</v>
      </c>
      <c r="Q784" s="1145">
        <v>0</v>
      </c>
      <c r="R784" s="1145">
        <v>0</v>
      </c>
      <c r="S784" s="1145">
        <v>0</v>
      </c>
      <c r="T784" s="1145">
        <v>0</v>
      </c>
      <c r="U784" s="1145">
        <v>0</v>
      </c>
      <c r="V784" s="1145">
        <v>0</v>
      </c>
      <c r="W784" s="1167">
        <v>0</v>
      </c>
      <c r="X784" s="1145">
        <v>108697.68</v>
      </c>
      <c r="Y784" s="1145">
        <v>0</v>
      </c>
    </row>
    <row r="785" spans="1:25" s="1152" customFormat="1" ht="88.9" customHeight="1">
      <c r="A785" s="1280">
        <v>40</v>
      </c>
      <c r="B785" s="1128" t="s">
        <v>2301</v>
      </c>
      <c r="C785" s="1129">
        <f t="shared" si="360"/>
        <v>1961218.9200000002</v>
      </c>
      <c r="D785" s="1129">
        <f t="shared" si="361"/>
        <v>0</v>
      </c>
      <c r="E785" s="1145">
        <v>0</v>
      </c>
      <c r="F785" s="1145">
        <v>0</v>
      </c>
      <c r="G785" s="1145">
        <v>0</v>
      </c>
      <c r="H785" s="1145">
        <v>0</v>
      </c>
      <c r="I785" s="1145">
        <v>0</v>
      </c>
      <c r="J785" s="1145">
        <v>0</v>
      </c>
      <c r="K785" s="1136">
        <v>0</v>
      </c>
      <c r="L785" s="1145">
        <v>0</v>
      </c>
      <c r="M785" s="1136">
        <v>0</v>
      </c>
      <c r="N785" s="1145">
        <v>0</v>
      </c>
      <c r="O785" s="1145">
        <v>460</v>
      </c>
      <c r="P785" s="1145">
        <v>1818766.12</v>
      </c>
      <c r="Q785" s="1145">
        <v>0</v>
      </c>
      <c r="R785" s="1145">
        <v>0</v>
      </c>
      <c r="S785" s="1145">
        <v>0</v>
      </c>
      <c r="T785" s="1145">
        <v>0</v>
      </c>
      <c r="U785" s="1145">
        <v>0</v>
      </c>
      <c r="V785" s="1145">
        <v>0</v>
      </c>
      <c r="W785" s="1167">
        <v>0</v>
      </c>
      <c r="X785" s="1145">
        <v>142452.79999999999</v>
      </c>
      <c r="Y785" s="1145">
        <v>0</v>
      </c>
    </row>
    <row r="786" spans="1:25" s="1152" customFormat="1" ht="98.45" customHeight="1">
      <c r="A786" s="1280">
        <v>41</v>
      </c>
      <c r="B786" s="1128" t="s">
        <v>2482</v>
      </c>
      <c r="C786" s="1129">
        <f t="shared" si="360"/>
        <v>3339052.7</v>
      </c>
      <c r="D786" s="1129">
        <f t="shared" si="361"/>
        <v>0</v>
      </c>
      <c r="E786" s="1145">
        <v>0</v>
      </c>
      <c r="F786" s="1145">
        <v>0</v>
      </c>
      <c r="G786" s="1145">
        <v>0</v>
      </c>
      <c r="H786" s="1145">
        <v>0</v>
      </c>
      <c r="I786" s="1145">
        <v>0</v>
      </c>
      <c r="J786" s="1145">
        <v>0</v>
      </c>
      <c r="K786" s="1136">
        <v>0</v>
      </c>
      <c r="L786" s="1145">
        <v>0</v>
      </c>
      <c r="M786" s="1136">
        <v>0</v>
      </c>
      <c r="N786" s="1145">
        <v>0</v>
      </c>
      <c r="O786" s="1145">
        <v>924</v>
      </c>
      <c r="P786" s="1145">
        <v>3096521.18</v>
      </c>
      <c r="Q786" s="1145">
        <v>0</v>
      </c>
      <c r="R786" s="1145">
        <v>0</v>
      </c>
      <c r="S786" s="1145">
        <v>0</v>
      </c>
      <c r="T786" s="1145">
        <v>0</v>
      </c>
      <c r="U786" s="1145">
        <v>0</v>
      </c>
      <c r="V786" s="1145">
        <v>0</v>
      </c>
      <c r="W786" s="1167">
        <v>0</v>
      </c>
      <c r="X786" s="1145">
        <v>242531.52</v>
      </c>
      <c r="Y786" s="1145">
        <v>0</v>
      </c>
    </row>
    <row r="787" spans="1:25" s="1152" customFormat="1" ht="172.9" customHeight="1">
      <c r="A787" s="1280">
        <v>42</v>
      </c>
      <c r="B787" s="1128" t="s">
        <v>3024</v>
      </c>
      <c r="C787" s="1129">
        <f t="shared" si="360"/>
        <v>1416852.77</v>
      </c>
      <c r="D787" s="1129">
        <f t="shared" si="361"/>
        <v>0</v>
      </c>
      <c r="E787" s="1145">
        <v>0</v>
      </c>
      <c r="F787" s="1145">
        <v>0</v>
      </c>
      <c r="G787" s="1145">
        <v>0</v>
      </c>
      <c r="H787" s="1145">
        <v>0</v>
      </c>
      <c r="I787" s="1145">
        <v>0</v>
      </c>
      <c r="J787" s="1145">
        <v>0</v>
      </c>
      <c r="K787" s="1136">
        <v>0</v>
      </c>
      <c r="L787" s="1145">
        <v>0</v>
      </c>
      <c r="M787" s="1136">
        <v>0</v>
      </c>
      <c r="N787" s="1145">
        <v>0</v>
      </c>
      <c r="O787" s="1145">
        <v>332.32</v>
      </c>
      <c r="P787" s="1145">
        <v>1313939.9099999999</v>
      </c>
      <c r="Q787" s="1145">
        <v>0</v>
      </c>
      <c r="R787" s="1145">
        <v>0</v>
      </c>
      <c r="S787" s="1145">
        <v>0</v>
      </c>
      <c r="T787" s="1145">
        <v>0</v>
      </c>
      <c r="U787" s="1145">
        <v>0</v>
      </c>
      <c r="V787" s="1145">
        <v>0</v>
      </c>
      <c r="W787" s="1167">
        <v>0</v>
      </c>
      <c r="X787" s="1145">
        <v>102912.86</v>
      </c>
      <c r="Y787" s="1145">
        <v>0</v>
      </c>
    </row>
    <row r="788" spans="1:25" s="1152" customFormat="1" ht="91.15" customHeight="1">
      <c r="A788" s="1280">
        <v>43</v>
      </c>
      <c r="B788" s="1128" t="s">
        <v>2483</v>
      </c>
      <c r="C788" s="1129">
        <f t="shared" si="360"/>
        <v>6158670.2299999995</v>
      </c>
      <c r="D788" s="1129">
        <f t="shared" si="361"/>
        <v>0</v>
      </c>
      <c r="E788" s="1145">
        <v>0</v>
      </c>
      <c r="F788" s="1145">
        <v>0</v>
      </c>
      <c r="G788" s="1145">
        <v>0</v>
      </c>
      <c r="H788" s="1145">
        <v>0</v>
      </c>
      <c r="I788" s="1145">
        <v>0</v>
      </c>
      <c r="J788" s="1145">
        <v>0</v>
      </c>
      <c r="K788" s="1136">
        <v>0</v>
      </c>
      <c r="L788" s="1145">
        <v>0</v>
      </c>
      <c r="M788" s="1136">
        <v>0</v>
      </c>
      <c r="N788" s="1145">
        <v>0</v>
      </c>
      <c r="O788" s="1145">
        <v>0</v>
      </c>
      <c r="P788" s="1145">
        <v>0</v>
      </c>
      <c r="Q788" s="1145">
        <v>0</v>
      </c>
      <c r="R788" s="1145">
        <v>0</v>
      </c>
      <c r="S788" s="1145">
        <v>1947.64</v>
      </c>
      <c r="T788" s="1145">
        <v>5711336.2699999996</v>
      </c>
      <c r="U788" s="1145">
        <v>0</v>
      </c>
      <c r="V788" s="1145">
        <v>0</v>
      </c>
      <c r="W788" s="1167">
        <v>0</v>
      </c>
      <c r="X788" s="1145">
        <v>447333.96</v>
      </c>
      <c r="Y788" s="1145">
        <v>0</v>
      </c>
    </row>
    <row r="789" spans="1:25" s="1152" customFormat="1" ht="130.15" customHeight="1">
      <c r="A789" s="1280">
        <v>44</v>
      </c>
      <c r="B789" s="1128" t="s">
        <v>3026</v>
      </c>
      <c r="C789" s="1129">
        <f t="shared" si="360"/>
        <v>2305340.34</v>
      </c>
      <c r="D789" s="1129">
        <f t="shared" si="361"/>
        <v>0</v>
      </c>
      <c r="E789" s="1145">
        <v>0</v>
      </c>
      <c r="F789" s="1145">
        <v>0</v>
      </c>
      <c r="G789" s="1145">
        <v>0</v>
      </c>
      <c r="H789" s="1145">
        <v>0</v>
      </c>
      <c r="I789" s="1145">
        <v>0</v>
      </c>
      <c r="J789" s="1145">
        <v>0</v>
      </c>
      <c r="K789" s="1136">
        <v>0</v>
      </c>
      <c r="L789" s="1145">
        <v>0</v>
      </c>
      <c r="M789" s="1136">
        <v>0</v>
      </c>
      <c r="N789" s="1145">
        <v>0</v>
      </c>
      <c r="O789" s="1145">
        <v>300</v>
      </c>
      <c r="P789" s="1145">
        <v>2137892.34</v>
      </c>
      <c r="Q789" s="1145">
        <v>0</v>
      </c>
      <c r="R789" s="1145">
        <v>0</v>
      </c>
      <c r="S789" s="1145">
        <v>0</v>
      </c>
      <c r="T789" s="1145">
        <v>0</v>
      </c>
      <c r="U789" s="1145">
        <v>0</v>
      </c>
      <c r="V789" s="1145">
        <v>0</v>
      </c>
      <c r="W789" s="1167">
        <v>0</v>
      </c>
      <c r="X789" s="1145">
        <v>167448</v>
      </c>
      <c r="Y789" s="1145">
        <v>0</v>
      </c>
    </row>
    <row r="790" spans="1:25" s="1152" customFormat="1" ht="96" customHeight="1">
      <c r="A790" s="1280">
        <v>45</v>
      </c>
      <c r="B790" s="1128" t="s">
        <v>2484</v>
      </c>
      <c r="C790" s="1129">
        <f t="shared" ref="C790:C793" si="362">D790+N790+P790+R790+T790+V790+X790</f>
        <v>1965482.44</v>
      </c>
      <c r="D790" s="1129">
        <f t="shared" ref="D790:D793" si="363">SUM(E790:J790)</f>
        <v>0</v>
      </c>
      <c r="E790" s="1145">
        <v>0</v>
      </c>
      <c r="F790" s="1145">
        <v>0</v>
      </c>
      <c r="G790" s="1145">
        <v>0</v>
      </c>
      <c r="H790" s="1145">
        <v>0</v>
      </c>
      <c r="I790" s="1145">
        <v>0</v>
      </c>
      <c r="J790" s="1145">
        <v>0</v>
      </c>
      <c r="K790" s="1136">
        <v>0</v>
      </c>
      <c r="L790" s="1145">
        <v>0</v>
      </c>
      <c r="M790" s="1136">
        <v>0</v>
      </c>
      <c r="N790" s="1145">
        <v>0</v>
      </c>
      <c r="O790" s="1145">
        <v>461</v>
      </c>
      <c r="P790" s="1145">
        <v>1822719.96</v>
      </c>
      <c r="Q790" s="1145">
        <v>0</v>
      </c>
      <c r="R790" s="1145">
        <v>0</v>
      </c>
      <c r="S790" s="1145">
        <v>0</v>
      </c>
      <c r="T790" s="1145">
        <v>0</v>
      </c>
      <c r="U790" s="1145">
        <v>0</v>
      </c>
      <c r="V790" s="1145">
        <v>0</v>
      </c>
      <c r="W790" s="1167">
        <v>0</v>
      </c>
      <c r="X790" s="1145">
        <v>142762.48000000001</v>
      </c>
      <c r="Y790" s="1145">
        <v>0</v>
      </c>
    </row>
    <row r="791" spans="1:25" s="1152" customFormat="1" ht="100.15" customHeight="1">
      <c r="A791" s="1280">
        <v>46</v>
      </c>
      <c r="B791" s="1128" t="s">
        <v>2193</v>
      </c>
      <c r="C791" s="1129">
        <f t="shared" si="362"/>
        <v>8130810.1500000004</v>
      </c>
      <c r="D791" s="1129">
        <f t="shared" si="363"/>
        <v>0</v>
      </c>
      <c r="E791" s="1145">
        <v>0</v>
      </c>
      <c r="F791" s="1145">
        <v>0</v>
      </c>
      <c r="G791" s="1145">
        <v>0</v>
      </c>
      <c r="H791" s="1145">
        <v>0</v>
      </c>
      <c r="I791" s="1145">
        <v>0</v>
      </c>
      <c r="J791" s="1145">
        <v>0</v>
      </c>
      <c r="K791" s="1136">
        <v>0</v>
      </c>
      <c r="L791" s="1145">
        <v>0</v>
      </c>
      <c r="M791" s="1136">
        <v>0</v>
      </c>
      <c r="N791" s="1145">
        <v>0</v>
      </c>
      <c r="O791" s="1145">
        <v>2250</v>
      </c>
      <c r="P791" s="1145">
        <v>7540230.1500000004</v>
      </c>
      <c r="Q791" s="1145">
        <v>0</v>
      </c>
      <c r="R791" s="1145">
        <v>0</v>
      </c>
      <c r="S791" s="1145">
        <v>0</v>
      </c>
      <c r="T791" s="1145">
        <v>0</v>
      </c>
      <c r="U791" s="1145">
        <v>0</v>
      </c>
      <c r="V791" s="1145">
        <v>0</v>
      </c>
      <c r="W791" s="1167">
        <v>0</v>
      </c>
      <c r="X791" s="1145">
        <v>590580</v>
      </c>
      <c r="Y791" s="1145">
        <v>0</v>
      </c>
    </row>
    <row r="792" spans="1:25" s="1152" customFormat="1" ht="98.45" customHeight="1">
      <c r="A792" s="1280">
        <v>47</v>
      </c>
      <c r="B792" s="1128" t="s">
        <v>1871</v>
      </c>
      <c r="C792" s="1129">
        <f t="shared" si="362"/>
        <v>204411.03000000003</v>
      </c>
      <c r="D792" s="1129">
        <f t="shared" si="363"/>
        <v>189563.67</v>
      </c>
      <c r="E792" s="1145">
        <v>0</v>
      </c>
      <c r="F792" s="1145">
        <v>0</v>
      </c>
      <c r="G792" s="1145">
        <v>0</v>
      </c>
      <c r="H792" s="1145">
        <v>0</v>
      </c>
      <c r="I792" s="1145">
        <v>0</v>
      </c>
      <c r="J792" s="1145">
        <v>189563.67</v>
      </c>
      <c r="K792" s="1136">
        <v>0</v>
      </c>
      <c r="L792" s="1145">
        <v>0</v>
      </c>
      <c r="M792" s="1136">
        <v>0</v>
      </c>
      <c r="N792" s="1145">
        <v>0</v>
      </c>
      <c r="O792" s="1145">
        <v>0</v>
      </c>
      <c r="P792" s="1145">
        <v>0</v>
      </c>
      <c r="Q792" s="1145">
        <v>0</v>
      </c>
      <c r="R792" s="1145">
        <v>0</v>
      </c>
      <c r="S792" s="1145">
        <v>0</v>
      </c>
      <c r="T792" s="1145">
        <v>0</v>
      </c>
      <c r="U792" s="1145">
        <v>0</v>
      </c>
      <c r="V792" s="1145">
        <v>0</v>
      </c>
      <c r="W792" s="1167">
        <v>0</v>
      </c>
      <c r="X792" s="1145">
        <v>14847.36</v>
      </c>
      <c r="Y792" s="1145">
        <v>0</v>
      </c>
    </row>
    <row r="793" spans="1:25" s="1152" customFormat="1" ht="93.6" customHeight="1">
      <c r="A793" s="1280">
        <v>48</v>
      </c>
      <c r="B793" s="1128" t="s">
        <v>1873</v>
      </c>
      <c r="C793" s="1129">
        <f t="shared" si="362"/>
        <v>2160751.63</v>
      </c>
      <c r="D793" s="1129">
        <f t="shared" si="363"/>
        <v>0</v>
      </c>
      <c r="E793" s="1145">
        <v>0</v>
      </c>
      <c r="F793" s="1145">
        <v>0</v>
      </c>
      <c r="G793" s="1145">
        <v>0</v>
      </c>
      <c r="H793" s="1145">
        <v>0</v>
      </c>
      <c r="I793" s="1145">
        <v>0</v>
      </c>
      <c r="J793" s="1145">
        <v>0</v>
      </c>
      <c r="K793" s="1136">
        <v>0</v>
      </c>
      <c r="L793" s="1145">
        <v>0</v>
      </c>
      <c r="M793" s="1136">
        <v>0</v>
      </c>
      <c r="N793" s="1145">
        <v>0</v>
      </c>
      <c r="O793" s="1145">
        <v>506.8</v>
      </c>
      <c r="P793" s="1145">
        <v>2003805.81</v>
      </c>
      <c r="Q793" s="1145">
        <v>0</v>
      </c>
      <c r="R793" s="1145">
        <v>0</v>
      </c>
      <c r="S793" s="1145">
        <v>0</v>
      </c>
      <c r="T793" s="1145">
        <v>0</v>
      </c>
      <c r="U793" s="1145">
        <v>0</v>
      </c>
      <c r="V793" s="1145">
        <v>0</v>
      </c>
      <c r="W793" s="1167">
        <v>0</v>
      </c>
      <c r="X793" s="1145">
        <v>156945.82</v>
      </c>
      <c r="Y793" s="1145">
        <v>0</v>
      </c>
    </row>
    <row r="794" spans="1:25" s="1152" customFormat="1" ht="93.6" customHeight="1">
      <c r="A794" s="1280"/>
      <c r="B794" s="1135" t="s">
        <v>2787</v>
      </c>
      <c r="C794" s="1129">
        <f>SUM(C795:C799)</f>
        <v>42663587.089999996</v>
      </c>
      <c r="D794" s="1129">
        <f t="shared" ref="D794:Y794" si="364">SUM(D795:D799)</f>
        <v>0</v>
      </c>
      <c r="E794" s="1129">
        <f t="shared" si="364"/>
        <v>0</v>
      </c>
      <c r="F794" s="1129">
        <f t="shared" si="364"/>
        <v>0</v>
      </c>
      <c r="G794" s="1129">
        <f t="shared" si="364"/>
        <v>0</v>
      </c>
      <c r="H794" s="1129">
        <f t="shared" si="364"/>
        <v>0</v>
      </c>
      <c r="I794" s="1129">
        <f t="shared" si="364"/>
        <v>0</v>
      </c>
      <c r="J794" s="1129">
        <f t="shared" si="364"/>
        <v>0</v>
      </c>
      <c r="K794" s="1129">
        <f t="shared" si="364"/>
        <v>0</v>
      </c>
      <c r="L794" s="1129">
        <f t="shared" si="364"/>
        <v>0</v>
      </c>
      <c r="M794" s="1129">
        <f t="shared" si="364"/>
        <v>0</v>
      </c>
      <c r="N794" s="1129">
        <f t="shared" si="364"/>
        <v>0</v>
      </c>
      <c r="O794" s="1129">
        <f t="shared" si="364"/>
        <v>4872.84</v>
      </c>
      <c r="P794" s="1129">
        <f t="shared" si="364"/>
        <v>26814478.25</v>
      </c>
      <c r="Q794" s="1129">
        <f t="shared" si="364"/>
        <v>0</v>
      </c>
      <c r="R794" s="1129">
        <f t="shared" si="364"/>
        <v>0</v>
      </c>
      <c r="S794" s="1129">
        <f t="shared" si="364"/>
        <v>4348</v>
      </c>
      <c r="T794" s="1129">
        <f t="shared" si="364"/>
        <v>12750246.51</v>
      </c>
      <c r="U794" s="1129">
        <f t="shared" si="364"/>
        <v>0</v>
      </c>
      <c r="V794" s="1129">
        <f t="shared" si="364"/>
        <v>0</v>
      </c>
      <c r="W794" s="1129">
        <f t="shared" si="364"/>
        <v>0</v>
      </c>
      <c r="X794" s="1129">
        <f t="shared" si="364"/>
        <v>3098862.33</v>
      </c>
      <c r="Y794" s="1129">
        <f t="shared" si="364"/>
        <v>0</v>
      </c>
    </row>
    <row r="795" spans="1:25" s="1152" customFormat="1" ht="93.6" customHeight="1">
      <c r="A795" s="1280">
        <v>49</v>
      </c>
      <c r="B795" s="1181" t="s">
        <v>2670</v>
      </c>
      <c r="C795" s="1129">
        <f t="shared" ref="C795:C796" si="365">D795+N795+P795+R795+T795+V795+X795</f>
        <v>11555142.049999999</v>
      </c>
      <c r="D795" s="1129">
        <f t="shared" ref="D795:D796" si="366">SUM(E795:J795)</f>
        <v>0</v>
      </c>
      <c r="E795" s="1145">
        <v>0</v>
      </c>
      <c r="F795" s="1145">
        <v>0</v>
      </c>
      <c r="G795" s="1145">
        <v>0</v>
      </c>
      <c r="H795" s="1145">
        <v>0</v>
      </c>
      <c r="I795" s="1145">
        <v>0</v>
      </c>
      <c r="J795" s="1145">
        <v>0</v>
      </c>
      <c r="K795" s="1136">
        <v>0</v>
      </c>
      <c r="L795" s="1145">
        <v>0</v>
      </c>
      <c r="M795" s="1136">
        <v>0</v>
      </c>
      <c r="N795" s="1145">
        <v>0</v>
      </c>
      <c r="O795" s="1145">
        <v>926</v>
      </c>
      <c r="P795" s="1145">
        <v>3103223.61</v>
      </c>
      <c r="Q795" s="1145">
        <v>0</v>
      </c>
      <c r="R795" s="1145">
        <v>0</v>
      </c>
      <c r="S795" s="1145">
        <v>2596</v>
      </c>
      <c r="T795" s="1145">
        <v>7612612.6799999997</v>
      </c>
      <c r="U795" s="1145">
        <v>0</v>
      </c>
      <c r="V795" s="1145">
        <v>0</v>
      </c>
      <c r="W795" s="1167">
        <v>0</v>
      </c>
      <c r="X795" s="1145">
        <v>839305.76</v>
      </c>
      <c r="Y795" s="1145">
        <v>0</v>
      </c>
    </row>
    <row r="796" spans="1:25" s="1152" customFormat="1" ht="93.6" customHeight="1">
      <c r="A796" s="1280">
        <v>50</v>
      </c>
      <c r="B796" s="1181" t="s">
        <v>2701</v>
      </c>
      <c r="C796" s="1129">
        <f t="shared" si="365"/>
        <v>8723563.8100000005</v>
      </c>
      <c r="D796" s="1129">
        <f t="shared" si="366"/>
        <v>0</v>
      </c>
      <c r="E796" s="1145">
        <v>0</v>
      </c>
      <c r="F796" s="1145">
        <v>0</v>
      </c>
      <c r="G796" s="1145">
        <v>0</v>
      </c>
      <c r="H796" s="1145">
        <v>0</v>
      </c>
      <c r="I796" s="1145">
        <v>0</v>
      </c>
      <c r="J796" s="1145">
        <v>0</v>
      </c>
      <c r="K796" s="1136">
        <v>0</v>
      </c>
      <c r="L796" s="1145">
        <v>0</v>
      </c>
      <c r="M796" s="1136">
        <v>0</v>
      </c>
      <c r="N796" s="1145">
        <v>0</v>
      </c>
      <c r="O796" s="1145">
        <v>620</v>
      </c>
      <c r="P796" s="1145">
        <v>2952295.42</v>
      </c>
      <c r="Q796" s="1145">
        <v>0</v>
      </c>
      <c r="R796" s="1145">
        <v>0</v>
      </c>
      <c r="S796" s="1145">
        <v>1752</v>
      </c>
      <c r="T796" s="1145">
        <v>5137633.83</v>
      </c>
      <c r="U796" s="1145">
        <v>0</v>
      </c>
      <c r="V796" s="1145">
        <v>0</v>
      </c>
      <c r="W796" s="1167">
        <v>0</v>
      </c>
      <c r="X796" s="1145">
        <v>633634.56000000006</v>
      </c>
      <c r="Y796" s="1145">
        <v>0</v>
      </c>
    </row>
    <row r="797" spans="1:25" s="1152" customFormat="1" ht="93.6" customHeight="1">
      <c r="A797" s="1280">
        <v>51</v>
      </c>
      <c r="B797" s="1181" t="s">
        <v>2995</v>
      </c>
      <c r="C797" s="1129">
        <f t="shared" ref="C797:C799" si="367">D797+N797+P797+R797+T797+V797+X797</f>
        <v>12909905.9</v>
      </c>
      <c r="D797" s="1129">
        <f t="shared" ref="D797:D799" si="368">SUM(E797:J797)</f>
        <v>0</v>
      </c>
      <c r="E797" s="1145">
        <v>0</v>
      </c>
      <c r="F797" s="1145">
        <v>0</v>
      </c>
      <c r="G797" s="1145">
        <v>0</v>
      </c>
      <c r="H797" s="1145">
        <v>0</v>
      </c>
      <c r="I797" s="1145">
        <v>0</v>
      </c>
      <c r="J797" s="1145">
        <v>0</v>
      </c>
      <c r="K797" s="1136">
        <v>0</v>
      </c>
      <c r="L797" s="1145">
        <v>0</v>
      </c>
      <c r="M797" s="1136">
        <v>0</v>
      </c>
      <c r="N797" s="1145">
        <v>0</v>
      </c>
      <c r="O797" s="1145">
        <v>1680</v>
      </c>
      <c r="P797" s="1145">
        <v>11972197.1</v>
      </c>
      <c r="Q797" s="1145">
        <v>0</v>
      </c>
      <c r="R797" s="1145">
        <v>0</v>
      </c>
      <c r="S797" s="1145">
        <v>0</v>
      </c>
      <c r="T797" s="1145">
        <v>0</v>
      </c>
      <c r="U797" s="1145">
        <v>0</v>
      </c>
      <c r="V797" s="1145">
        <v>0</v>
      </c>
      <c r="W797" s="1167">
        <v>0</v>
      </c>
      <c r="X797" s="1145">
        <v>937708.8</v>
      </c>
      <c r="Y797" s="1145">
        <v>0</v>
      </c>
    </row>
    <row r="798" spans="1:25" s="1152" customFormat="1" ht="93.6" customHeight="1">
      <c r="A798" s="1280">
        <v>52</v>
      </c>
      <c r="B798" s="1181" t="s">
        <v>3027</v>
      </c>
      <c r="C798" s="1129">
        <f t="shared" si="367"/>
        <v>5511607.6899999995</v>
      </c>
      <c r="D798" s="1129">
        <f t="shared" si="368"/>
        <v>0</v>
      </c>
      <c r="E798" s="1145">
        <v>0</v>
      </c>
      <c r="F798" s="1145">
        <v>0</v>
      </c>
      <c r="G798" s="1145">
        <v>0</v>
      </c>
      <c r="H798" s="1145">
        <v>0</v>
      </c>
      <c r="I798" s="1145">
        <v>0</v>
      </c>
      <c r="J798" s="1145">
        <v>0</v>
      </c>
      <c r="K798" s="1136">
        <v>0</v>
      </c>
      <c r="L798" s="1145">
        <v>0</v>
      </c>
      <c r="M798" s="1136">
        <v>0</v>
      </c>
      <c r="N798" s="1145">
        <v>0</v>
      </c>
      <c r="O798" s="1145">
        <v>717.24</v>
      </c>
      <c r="P798" s="1145">
        <v>5111273.01</v>
      </c>
      <c r="Q798" s="1145">
        <v>0</v>
      </c>
      <c r="R798" s="1145">
        <v>0</v>
      </c>
      <c r="S798" s="1145">
        <v>0</v>
      </c>
      <c r="T798" s="1145">
        <v>0</v>
      </c>
      <c r="U798" s="1145">
        <v>0</v>
      </c>
      <c r="V798" s="1145">
        <v>0</v>
      </c>
      <c r="W798" s="1167">
        <v>0</v>
      </c>
      <c r="X798" s="1145">
        <v>400334.68</v>
      </c>
      <c r="Y798" s="1145">
        <v>0</v>
      </c>
    </row>
    <row r="799" spans="1:25" s="1152" customFormat="1" ht="93.6" customHeight="1">
      <c r="A799" s="1280">
        <v>53</v>
      </c>
      <c r="B799" s="1181" t="s">
        <v>2671</v>
      </c>
      <c r="C799" s="1129">
        <f t="shared" si="367"/>
        <v>3963367.6399999997</v>
      </c>
      <c r="D799" s="1129">
        <f t="shared" si="368"/>
        <v>0</v>
      </c>
      <c r="E799" s="1145">
        <v>0</v>
      </c>
      <c r="F799" s="1145">
        <v>0</v>
      </c>
      <c r="G799" s="1145">
        <v>0</v>
      </c>
      <c r="H799" s="1145">
        <v>0</v>
      </c>
      <c r="I799" s="1145">
        <v>0</v>
      </c>
      <c r="J799" s="1145">
        <v>0</v>
      </c>
      <c r="K799" s="1136">
        <v>0</v>
      </c>
      <c r="L799" s="1145">
        <v>0</v>
      </c>
      <c r="M799" s="1136">
        <v>0</v>
      </c>
      <c r="N799" s="1145">
        <v>0</v>
      </c>
      <c r="O799" s="1145">
        <v>929.6</v>
      </c>
      <c r="P799" s="1145">
        <v>3675489.11</v>
      </c>
      <c r="Q799" s="1145">
        <v>0</v>
      </c>
      <c r="R799" s="1145">
        <v>0</v>
      </c>
      <c r="S799" s="1145">
        <v>0</v>
      </c>
      <c r="T799" s="1145">
        <v>0</v>
      </c>
      <c r="U799" s="1145">
        <v>0</v>
      </c>
      <c r="V799" s="1145">
        <v>0</v>
      </c>
      <c r="W799" s="1167">
        <v>0</v>
      </c>
      <c r="X799" s="1145">
        <v>287878.53000000003</v>
      </c>
      <c r="Y799" s="1145">
        <v>0</v>
      </c>
    </row>
    <row r="800" spans="1:25" s="1152" customFormat="1" ht="88.9" customHeight="1">
      <c r="A800" s="1280"/>
      <c r="B800" s="1135" t="s">
        <v>1872</v>
      </c>
      <c r="C800" s="1129">
        <f>SUM(C801:C813)</f>
        <v>25636485.390000001</v>
      </c>
      <c r="D800" s="1129">
        <f t="shared" ref="D800:Y800" si="369">SUM(D801:D813)</f>
        <v>559808.91</v>
      </c>
      <c r="E800" s="1129">
        <f t="shared" si="369"/>
        <v>0</v>
      </c>
      <c r="F800" s="1129">
        <f t="shared" si="369"/>
        <v>0</v>
      </c>
      <c r="G800" s="1129">
        <f t="shared" si="369"/>
        <v>0</v>
      </c>
      <c r="H800" s="1129">
        <f t="shared" si="369"/>
        <v>559808.91</v>
      </c>
      <c r="I800" s="1129">
        <f t="shared" si="369"/>
        <v>0</v>
      </c>
      <c r="J800" s="1129">
        <f t="shared" si="369"/>
        <v>0</v>
      </c>
      <c r="K800" s="1129">
        <f t="shared" si="369"/>
        <v>0</v>
      </c>
      <c r="L800" s="1129">
        <f t="shared" si="369"/>
        <v>0</v>
      </c>
      <c r="M800" s="1129">
        <f t="shared" si="369"/>
        <v>0</v>
      </c>
      <c r="N800" s="1129">
        <f t="shared" si="369"/>
        <v>0</v>
      </c>
      <c r="O800" s="1129">
        <f t="shared" si="369"/>
        <v>5419.45</v>
      </c>
      <c r="P800" s="1129">
        <f t="shared" si="369"/>
        <v>23159101.989999998</v>
      </c>
      <c r="Q800" s="1129">
        <f t="shared" si="369"/>
        <v>0</v>
      </c>
      <c r="R800" s="1129">
        <f t="shared" si="369"/>
        <v>0</v>
      </c>
      <c r="S800" s="1129">
        <f t="shared" si="369"/>
        <v>0</v>
      </c>
      <c r="T800" s="1129">
        <f t="shared" si="369"/>
        <v>0</v>
      </c>
      <c r="U800" s="1129">
        <f t="shared" si="369"/>
        <v>0</v>
      </c>
      <c r="V800" s="1129">
        <f t="shared" si="369"/>
        <v>0</v>
      </c>
      <c r="W800" s="1129">
        <f t="shared" si="369"/>
        <v>0</v>
      </c>
      <c r="X800" s="1129">
        <f t="shared" si="369"/>
        <v>1917574.4900000002</v>
      </c>
      <c r="Y800" s="1129">
        <f t="shared" si="369"/>
        <v>0</v>
      </c>
    </row>
    <row r="801" spans="1:25" s="1152" customFormat="1" ht="63" customHeight="1">
      <c r="A801" s="1280">
        <v>54</v>
      </c>
      <c r="B801" s="1128" t="s">
        <v>1282</v>
      </c>
      <c r="C801" s="1129">
        <f>D801+N801+P801+R801+T801+V801+X801</f>
        <v>603654.91</v>
      </c>
      <c r="D801" s="1129">
        <f>SUM(E801:J801)</f>
        <v>559808.91</v>
      </c>
      <c r="E801" s="1129">
        <v>0</v>
      </c>
      <c r="F801" s="1129">
        <v>0</v>
      </c>
      <c r="G801" s="1129">
        <v>0</v>
      </c>
      <c r="H801" s="1129">
        <v>559808.91</v>
      </c>
      <c r="I801" s="1129">
        <v>0</v>
      </c>
      <c r="J801" s="1129">
        <v>0</v>
      </c>
      <c r="K801" s="1136">
        <v>0</v>
      </c>
      <c r="L801" s="1129">
        <v>0</v>
      </c>
      <c r="M801" s="1136">
        <v>0</v>
      </c>
      <c r="N801" s="1129">
        <v>0</v>
      </c>
      <c r="O801" s="1129">
        <v>0</v>
      </c>
      <c r="P801" s="1129">
        <v>0</v>
      </c>
      <c r="Q801" s="1129">
        <v>0</v>
      </c>
      <c r="R801" s="1129">
        <v>0</v>
      </c>
      <c r="S801" s="1129">
        <v>0</v>
      </c>
      <c r="T801" s="1129">
        <v>0</v>
      </c>
      <c r="U801" s="1129">
        <v>0</v>
      </c>
      <c r="V801" s="1129">
        <v>0</v>
      </c>
      <c r="W801" s="1167">
        <v>0</v>
      </c>
      <c r="X801" s="1129">
        <v>43846</v>
      </c>
      <c r="Y801" s="1129">
        <v>0</v>
      </c>
    </row>
    <row r="802" spans="1:25" s="1152" customFormat="1" ht="60.6" customHeight="1">
      <c r="A802" s="1280">
        <v>55</v>
      </c>
      <c r="B802" s="1128" t="s">
        <v>1611</v>
      </c>
      <c r="C802" s="1129">
        <f t="shared" ref="C802:C811" si="370">D802+N802+P802+R802+T802+V802+X802</f>
        <v>713926.33000000007</v>
      </c>
      <c r="D802" s="1129">
        <f t="shared" ref="D802:D811" si="371">SUM(E802:J802)</f>
        <v>0</v>
      </c>
      <c r="E802" s="1129">
        <v>0</v>
      </c>
      <c r="F802" s="1129">
        <v>0</v>
      </c>
      <c r="G802" s="1129">
        <v>0</v>
      </c>
      <c r="H802" s="1129">
        <v>0</v>
      </c>
      <c r="I802" s="1129">
        <v>0</v>
      </c>
      <c r="J802" s="1129">
        <v>0</v>
      </c>
      <c r="K802" s="1136">
        <v>0</v>
      </c>
      <c r="L802" s="1129">
        <v>0</v>
      </c>
      <c r="M802" s="1136">
        <v>0</v>
      </c>
      <c r="N802" s="1129">
        <v>0</v>
      </c>
      <c r="O802" s="1129">
        <v>167.45</v>
      </c>
      <c r="P802" s="1129">
        <v>662070.41</v>
      </c>
      <c r="Q802" s="1129">
        <v>0</v>
      </c>
      <c r="R802" s="1129">
        <v>0</v>
      </c>
      <c r="S802" s="1129">
        <v>0</v>
      </c>
      <c r="T802" s="1129">
        <v>0</v>
      </c>
      <c r="U802" s="1129">
        <v>0</v>
      </c>
      <c r="V802" s="1129">
        <v>0</v>
      </c>
      <c r="W802" s="1167">
        <v>0</v>
      </c>
      <c r="X802" s="1129">
        <v>51855.92</v>
      </c>
      <c r="Y802" s="1129">
        <v>0</v>
      </c>
    </row>
    <row r="803" spans="1:25" s="1152" customFormat="1" ht="63" customHeight="1">
      <c r="A803" s="1280">
        <v>56</v>
      </c>
      <c r="B803" s="1128" t="s">
        <v>1612</v>
      </c>
      <c r="C803" s="1129">
        <f t="shared" si="370"/>
        <v>1782577.46</v>
      </c>
      <c r="D803" s="1129">
        <f t="shared" si="371"/>
        <v>0</v>
      </c>
      <c r="E803" s="1129">
        <v>0</v>
      </c>
      <c r="F803" s="1129">
        <v>0</v>
      </c>
      <c r="G803" s="1129">
        <v>0</v>
      </c>
      <c r="H803" s="1129">
        <v>0</v>
      </c>
      <c r="I803" s="1129">
        <v>0</v>
      </c>
      <c r="J803" s="1129">
        <v>0</v>
      </c>
      <c r="K803" s="1136">
        <v>0</v>
      </c>
      <c r="L803" s="1129">
        <v>0</v>
      </c>
      <c r="M803" s="1136">
        <v>0</v>
      </c>
      <c r="N803" s="1129">
        <v>0</v>
      </c>
      <c r="O803" s="1129">
        <v>418.1</v>
      </c>
      <c r="P803" s="1129">
        <v>1653100.25</v>
      </c>
      <c r="Q803" s="1129">
        <v>0</v>
      </c>
      <c r="R803" s="1129">
        <v>0</v>
      </c>
      <c r="S803" s="1129">
        <v>0</v>
      </c>
      <c r="T803" s="1129">
        <v>0</v>
      </c>
      <c r="U803" s="1129">
        <v>0</v>
      </c>
      <c r="V803" s="1129">
        <v>0</v>
      </c>
      <c r="W803" s="1167">
        <v>0</v>
      </c>
      <c r="X803" s="1129">
        <v>129477.21</v>
      </c>
      <c r="Y803" s="1129">
        <v>0</v>
      </c>
    </row>
    <row r="804" spans="1:25" s="1152" customFormat="1" ht="60.6" customHeight="1">
      <c r="A804" s="1280">
        <v>57</v>
      </c>
      <c r="B804" s="1128" t="s">
        <v>2279</v>
      </c>
      <c r="C804" s="1129">
        <f t="shared" si="370"/>
        <v>3180050.19</v>
      </c>
      <c r="D804" s="1129">
        <f t="shared" si="371"/>
        <v>0</v>
      </c>
      <c r="E804" s="1129">
        <v>0</v>
      </c>
      <c r="F804" s="1129">
        <v>0</v>
      </c>
      <c r="G804" s="1129">
        <v>0</v>
      </c>
      <c r="H804" s="1129">
        <v>0</v>
      </c>
      <c r="I804" s="1129">
        <v>0</v>
      </c>
      <c r="J804" s="1129">
        <v>0</v>
      </c>
      <c r="K804" s="1136">
        <v>0</v>
      </c>
      <c r="L804" s="1129">
        <v>0</v>
      </c>
      <c r="M804" s="1136">
        <v>0</v>
      </c>
      <c r="N804" s="1129">
        <v>0</v>
      </c>
      <c r="O804" s="1129">
        <v>880</v>
      </c>
      <c r="P804" s="1129">
        <v>2949067.79</v>
      </c>
      <c r="Q804" s="1129">
        <v>0</v>
      </c>
      <c r="R804" s="1129">
        <v>0</v>
      </c>
      <c r="S804" s="1129">
        <v>0</v>
      </c>
      <c r="T804" s="1129">
        <v>0</v>
      </c>
      <c r="U804" s="1129">
        <v>0</v>
      </c>
      <c r="V804" s="1129">
        <v>0</v>
      </c>
      <c r="W804" s="1167">
        <v>0</v>
      </c>
      <c r="X804" s="1129">
        <v>230982.39999999999</v>
      </c>
      <c r="Y804" s="1129">
        <v>0</v>
      </c>
    </row>
    <row r="805" spans="1:25" s="1152" customFormat="1" ht="77.25" customHeight="1">
      <c r="A805" s="1280">
        <v>58</v>
      </c>
      <c r="B805" s="1128" t="s">
        <v>1289</v>
      </c>
      <c r="C805" s="1129">
        <f t="shared" si="370"/>
        <v>59818</v>
      </c>
      <c r="D805" s="1129">
        <f t="shared" si="371"/>
        <v>0</v>
      </c>
      <c r="E805" s="1129">
        <v>0</v>
      </c>
      <c r="F805" s="1129">
        <v>0</v>
      </c>
      <c r="G805" s="1129">
        <v>0</v>
      </c>
      <c r="H805" s="1129">
        <v>0</v>
      </c>
      <c r="I805" s="1129">
        <v>0</v>
      </c>
      <c r="J805" s="1129">
        <v>0</v>
      </c>
      <c r="K805" s="1136">
        <v>0</v>
      </c>
      <c r="L805" s="1129">
        <v>0</v>
      </c>
      <c r="M805" s="1136">
        <v>0</v>
      </c>
      <c r="N805" s="1129">
        <v>0</v>
      </c>
      <c r="O805" s="1129">
        <v>0</v>
      </c>
      <c r="P805" s="1129">
        <v>0</v>
      </c>
      <c r="Q805" s="1129">
        <v>0</v>
      </c>
      <c r="R805" s="1129">
        <v>0</v>
      </c>
      <c r="S805" s="1129">
        <v>0</v>
      </c>
      <c r="T805" s="1129">
        <v>0</v>
      </c>
      <c r="U805" s="1129">
        <v>0</v>
      </c>
      <c r="V805" s="1129">
        <v>0</v>
      </c>
      <c r="W805" s="1167">
        <v>0</v>
      </c>
      <c r="X805" s="1129">
        <v>59818</v>
      </c>
      <c r="Y805" s="1129">
        <v>0</v>
      </c>
    </row>
    <row r="806" spans="1:25" s="1152" customFormat="1" ht="66" customHeight="1">
      <c r="A806" s="1280">
        <v>59</v>
      </c>
      <c r="B806" s="1128" t="s">
        <v>1290</v>
      </c>
      <c r="C806" s="1129">
        <f t="shared" si="370"/>
        <v>3143066.5100000002</v>
      </c>
      <c r="D806" s="1129">
        <f t="shared" si="371"/>
        <v>0</v>
      </c>
      <c r="E806" s="1129">
        <v>0</v>
      </c>
      <c r="F806" s="1129">
        <v>0</v>
      </c>
      <c r="G806" s="1129">
        <v>0</v>
      </c>
      <c r="H806" s="1129">
        <v>0</v>
      </c>
      <c r="I806" s="1129">
        <v>0</v>
      </c>
      <c r="J806" s="1129">
        <v>0</v>
      </c>
      <c r="K806" s="1136">
        <v>0</v>
      </c>
      <c r="L806" s="1129">
        <v>0</v>
      </c>
      <c r="M806" s="1136">
        <v>0</v>
      </c>
      <c r="N806" s="1129">
        <v>0</v>
      </c>
      <c r="O806" s="1129">
        <v>737.2</v>
      </c>
      <c r="P806" s="1129">
        <v>2914770.41</v>
      </c>
      <c r="Q806" s="1129">
        <v>0</v>
      </c>
      <c r="R806" s="1129">
        <v>0</v>
      </c>
      <c r="S806" s="1129">
        <v>0</v>
      </c>
      <c r="T806" s="1129">
        <v>0</v>
      </c>
      <c r="U806" s="1129">
        <v>0</v>
      </c>
      <c r="V806" s="1129">
        <v>0</v>
      </c>
      <c r="W806" s="1167">
        <v>0</v>
      </c>
      <c r="X806" s="1129">
        <v>228296.1</v>
      </c>
      <c r="Y806" s="1129">
        <v>0</v>
      </c>
    </row>
    <row r="807" spans="1:25" s="1152" customFormat="1" ht="66.75" customHeight="1">
      <c r="A807" s="1280">
        <v>60</v>
      </c>
      <c r="B807" s="1128" t="s">
        <v>1291</v>
      </c>
      <c r="C807" s="1129">
        <f t="shared" si="370"/>
        <v>1086771.0900000001</v>
      </c>
      <c r="D807" s="1129">
        <f t="shared" si="371"/>
        <v>0</v>
      </c>
      <c r="E807" s="1129">
        <v>0</v>
      </c>
      <c r="F807" s="1129">
        <v>0</v>
      </c>
      <c r="G807" s="1129">
        <v>0</v>
      </c>
      <c r="H807" s="1129">
        <v>0</v>
      </c>
      <c r="I807" s="1129">
        <v>0</v>
      </c>
      <c r="J807" s="1129">
        <v>0</v>
      </c>
      <c r="K807" s="1136">
        <v>0</v>
      </c>
      <c r="L807" s="1129">
        <v>0</v>
      </c>
      <c r="M807" s="1136">
        <v>0</v>
      </c>
      <c r="N807" s="1129">
        <v>0</v>
      </c>
      <c r="O807" s="1129">
        <v>254.9</v>
      </c>
      <c r="P807" s="1129">
        <v>1007833.66</v>
      </c>
      <c r="Q807" s="1129">
        <v>0</v>
      </c>
      <c r="R807" s="1129">
        <v>0</v>
      </c>
      <c r="S807" s="1129">
        <v>0</v>
      </c>
      <c r="T807" s="1129">
        <v>0</v>
      </c>
      <c r="U807" s="1129">
        <v>0</v>
      </c>
      <c r="V807" s="1129">
        <v>0</v>
      </c>
      <c r="W807" s="1167">
        <v>0</v>
      </c>
      <c r="X807" s="1129">
        <v>78937.429999999993</v>
      </c>
      <c r="Y807" s="1129">
        <v>0</v>
      </c>
    </row>
    <row r="808" spans="1:25" s="1152" customFormat="1" ht="58.15" customHeight="1">
      <c r="A808" s="1280">
        <v>61</v>
      </c>
      <c r="B808" s="1128" t="s">
        <v>1284</v>
      </c>
      <c r="C808" s="1129">
        <f t="shared" si="370"/>
        <v>2021760.9</v>
      </c>
      <c r="D808" s="1129">
        <f t="shared" si="371"/>
        <v>0</v>
      </c>
      <c r="E808" s="1129">
        <v>0</v>
      </c>
      <c r="F808" s="1129">
        <v>0</v>
      </c>
      <c r="G808" s="1129">
        <v>0</v>
      </c>
      <c r="H808" s="1129">
        <v>0</v>
      </c>
      <c r="I808" s="1129">
        <v>0</v>
      </c>
      <c r="J808" s="1129">
        <v>0</v>
      </c>
      <c r="K808" s="1136">
        <v>0</v>
      </c>
      <c r="L808" s="1129">
        <v>0</v>
      </c>
      <c r="M808" s="1136">
        <v>0</v>
      </c>
      <c r="N808" s="1129">
        <v>0</v>
      </c>
      <c r="O808" s="1129">
        <v>474.2</v>
      </c>
      <c r="P808" s="1129">
        <v>1874910.64</v>
      </c>
      <c r="Q808" s="1129">
        <v>0</v>
      </c>
      <c r="R808" s="1129">
        <v>0</v>
      </c>
      <c r="S808" s="1129">
        <v>0</v>
      </c>
      <c r="T808" s="1129">
        <v>0</v>
      </c>
      <c r="U808" s="1129">
        <v>0</v>
      </c>
      <c r="V808" s="1129">
        <v>0</v>
      </c>
      <c r="W808" s="1167">
        <v>0</v>
      </c>
      <c r="X808" s="1129">
        <v>146850.26</v>
      </c>
      <c r="Y808" s="1129">
        <v>0</v>
      </c>
    </row>
    <row r="809" spans="1:25" s="1152" customFormat="1" ht="55.9" customHeight="1">
      <c r="A809" s="1280">
        <v>62</v>
      </c>
      <c r="B809" s="1128" t="s">
        <v>1285</v>
      </c>
      <c r="C809" s="1129">
        <f t="shared" si="370"/>
        <v>1470914.1900000002</v>
      </c>
      <c r="D809" s="1129">
        <f t="shared" si="371"/>
        <v>0</v>
      </c>
      <c r="E809" s="1129">
        <v>0</v>
      </c>
      <c r="F809" s="1129">
        <v>0</v>
      </c>
      <c r="G809" s="1129">
        <v>0</v>
      </c>
      <c r="H809" s="1129">
        <v>0</v>
      </c>
      <c r="I809" s="1129">
        <v>0</v>
      </c>
      <c r="J809" s="1129">
        <v>0</v>
      </c>
      <c r="K809" s="1136">
        <v>0</v>
      </c>
      <c r="L809" s="1129">
        <v>0</v>
      </c>
      <c r="M809" s="1136">
        <v>0</v>
      </c>
      <c r="N809" s="1129">
        <v>0</v>
      </c>
      <c r="O809" s="1129">
        <v>345</v>
      </c>
      <c r="P809" s="1129">
        <v>1364074.59</v>
      </c>
      <c r="Q809" s="1129">
        <v>0</v>
      </c>
      <c r="R809" s="1129">
        <v>0</v>
      </c>
      <c r="S809" s="1129">
        <v>0</v>
      </c>
      <c r="T809" s="1129">
        <v>0</v>
      </c>
      <c r="U809" s="1129">
        <v>0</v>
      </c>
      <c r="V809" s="1129">
        <v>0</v>
      </c>
      <c r="W809" s="1167">
        <v>0</v>
      </c>
      <c r="X809" s="1129">
        <v>106839.6</v>
      </c>
      <c r="Y809" s="1129">
        <v>0</v>
      </c>
    </row>
    <row r="810" spans="1:25" s="1152" customFormat="1" ht="60.6" customHeight="1">
      <c r="A810" s="1280">
        <v>63</v>
      </c>
      <c r="B810" s="1128" t="s">
        <v>1286</v>
      </c>
      <c r="C810" s="1129">
        <f t="shared" si="370"/>
        <v>1556184.5799999998</v>
      </c>
      <c r="D810" s="1129">
        <f t="shared" si="371"/>
        <v>0</v>
      </c>
      <c r="E810" s="1129">
        <v>0</v>
      </c>
      <c r="F810" s="1129">
        <v>0</v>
      </c>
      <c r="G810" s="1129">
        <v>0</v>
      </c>
      <c r="H810" s="1129">
        <v>0</v>
      </c>
      <c r="I810" s="1129">
        <v>0</v>
      </c>
      <c r="J810" s="1129">
        <v>0</v>
      </c>
      <c r="K810" s="1136">
        <v>0</v>
      </c>
      <c r="L810" s="1129">
        <v>0</v>
      </c>
      <c r="M810" s="1136">
        <v>0</v>
      </c>
      <c r="N810" s="1129">
        <v>0</v>
      </c>
      <c r="O810" s="1129">
        <v>365</v>
      </c>
      <c r="P810" s="1129">
        <v>1443151.38</v>
      </c>
      <c r="Q810" s="1129">
        <v>0</v>
      </c>
      <c r="R810" s="1129">
        <v>0</v>
      </c>
      <c r="S810" s="1129">
        <v>0</v>
      </c>
      <c r="T810" s="1129">
        <v>0</v>
      </c>
      <c r="U810" s="1129">
        <v>0</v>
      </c>
      <c r="V810" s="1129">
        <v>0</v>
      </c>
      <c r="W810" s="1167">
        <v>0</v>
      </c>
      <c r="X810" s="1129">
        <v>113033.2</v>
      </c>
      <c r="Y810" s="1129">
        <v>0</v>
      </c>
    </row>
    <row r="811" spans="1:25" s="1152" customFormat="1" ht="61.9" customHeight="1">
      <c r="A811" s="1280">
        <v>64</v>
      </c>
      <c r="B811" s="1128" t="s">
        <v>1287</v>
      </c>
      <c r="C811" s="1129">
        <f t="shared" si="370"/>
        <v>2347493.7800000003</v>
      </c>
      <c r="D811" s="1129">
        <f t="shared" si="371"/>
        <v>0</v>
      </c>
      <c r="E811" s="1129">
        <v>0</v>
      </c>
      <c r="F811" s="1129">
        <v>0</v>
      </c>
      <c r="G811" s="1129">
        <v>0</v>
      </c>
      <c r="H811" s="1129">
        <v>0</v>
      </c>
      <c r="I811" s="1129">
        <v>0</v>
      </c>
      <c r="J811" s="1129">
        <v>0</v>
      </c>
      <c r="K811" s="1136">
        <v>0</v>
      </c>
      <c r="L811" s="1129">
        <v>0</v>
      </c>
      <c r="M811" s="1136">
        <v>0</v>
      </c>
      <c r="N811" s="1129">
        <v>0</v>
      </c>
      <c r="O811" s="1129">
        <v>550.6</v>
      </c>
      <c r="P811" s="1129">
        <v>2176983.9700000002</v>
      </c>
      <c r="Q811" s="1129">
        <v>0</v>
      </c>
      <c r="R811" s="1129">
        <v>0</v>
      </c>
      <c r="S811" s="1129">
        <v>0</v>
      </c>
      <c r="T811" s="1129">
        <v>0</v>
      </c>
      <c r="U811" s="1129">
        <v>0</v>
      </c>
      <c r="V811" s="1129">
        <v>0</v>
      </c>
      <c r="W811" s="1167">
        <v>0</v>
      </c>
      <c r="X811" s="1129">
        <v>170509.81</v>
      </c>
      <c r="Y811" s="1129">
        <v>0</v>
      </c>
    </row>
    <row r="812" spans="1:25" s="1152" customFormat="1" ht="52.15" customHeight="1">
      <c r="A812" s="1280">
        <v>65</v>
      </c>
      <c r="B812" s="1128" t="s">
        <v>1582</v>
      </c>
      <c r="C812" s="1129">
        <f>D812+N812+P812+R812+T812+V812+X812</f>
        <v>1561115.55</v>
      </c>
      <c r="D812" s="1129">
        <f>SUM(E812:J812)</f>
        <v>0</v>
      </c>
      <c r="E812" s="1129">
        <v>0</v>
      </c>
      <c r="F812" s="1129">
        <v>0</v>
      </c>
      <c r="G812" s="1129">
        <v>0</v>
      </c>
      <c r="H812" s="1129">
        <v>0</v>
      </c>
      <c r="I812" s="1129">
        <v>0</v>
      </c>
      <c r="J812" s="1129">
        <v>0</v>
      </c>
      <c r="K812" s="1136">
        <v>0</v>
      </c>
      <c r="L812" s="1129">
        <v>0</v>
      </c>
      <c r="M812" s="1136">
        <v>0</v>
      </c>
      <c r="N812" s="1129">
        <v>0</v>
      </c>
      <c r="O812" s="1129">
        <v>432</v>
      </c>
      <c r="P812" s="1129">
        <v>1447724.19</v>
      </c>
      <c r="Q812" s="1129">
        <v>0</v>
      </c>
      <c r="R812" s="1129">
        <v>0</v>
      </c>
      <c r="S812" s="1129">
        <v>0</v>
      </c>
      <c r="T812" s="1129">
        <v>0</v>
      </c>
      <c r="U812" s="1129">
        <v>0</v>
      </c>
      <c r="V812" s="1129">
        <v>0</v>
      </c>
      <c r="W812" s="1167">
        <v>0</v>
      </c>
      <c r="X812" s="1129">
        <v>113391.36</v>
      </c>
      <c r="Y812" s="1129">
        <v>0</v>
      </c>
    </row>
    <row r="813" spans="1:25" s="1152" customFormat="1" ht="80.25" customHeight="1">
      <c r="A813" s="1280">
        <v>66</v>
      </c>
      <c r="B813" s="1128" t="s">
        <v>2666</v>
      </c>
      <c r="C813" s="1129">
        <f t="shared" ref="C813" si="372">D813+N813+P813+R813+T813+V813+X813</f>
        <v>6109151.9000000004</v>
      </c>
      <c r="D813" s="1129">
        <f t="shared" ref="D813" si="373">SUM(E813:J813)</f>
        <v>0</v>
      </c>
      <c r="E813" s="1129">
        <v>0</v>
      </c>
      <c r="F813" s="1129">
        <v>0</v>
      </c>
      <c r="G813" s="1129">
        <v>0</v>
      </c>
      <c r="H813" s="1129">
        <v>0</v>
      </c>
      <c r="I813" s="1129">
        <v>0</v>
      </c>
      <c r="J813" s="1129">
        <v>0</v>
      </c>
      <c r="K813" s="1136">
        <v>0</v>
      </c>
      <c r="L813" s="1129">
        <v>0</v>
      </c>
      <c r="M813" s="1136">
        <v>0</v>
      </c>
      <c r="N813" s="1129">
        <v>0</v>
      </c>
      <c r="O813" s="1245">
        <v>795</v>
      </c>
      <c r="P813" s="1245">
        <v>5665414.7000000002</v>
      </c>
      <c r="Q813" s="1129">
        <v>0</v>
      </c>
      <c r="R813" s="1129">
        <v>0</v>
      </c>
      <c r="S813" s="1129">
        <v>0</v>
      </c>
      <c r="T813" s="1129">
        <v>0</v>
      </c>
      <c r="U813" s="1129">
        <v>0</v>
      </c>
      <c r="V813" s="1129">
        <v>0</v>
      </c>
      <c r="W813" s="1167">
        <v>0</v>
      </c>
      <c r="X813" s="1245">
        <v>443737.2</v>
      </c>
      <c r="Y813" s="1129">
        <v>0</v>
      </c>
    </row>
    <row r="814" spans="1:25" s="1152" customFormat="1" ht="97.15" customHeight="1">
      <c r="A814" s="1280"/>
      <c r="B814" s="1128" t="s">
        <v>2485</v>
      </c>
      <c r="C814" s="1129">
        <f>C815+C816+C817</f>
        <v>14315386.510000002</v>
      </c>
      <c r="D814" s="1129">
        <f t="shared" ref="D814:Y814" si="374">D815+D816+D817</f>
        <v>12289246.199999999</v>
      </c>
      <c r="E814" s="1129">
        <f t="shared" si="374"/>
        <v>0</v>
      </c>
      <c r="F814" s="1129">
        <f t="shared" si="374"/>
        <v>12289246.199999999</v>
      </c>
      <c r="G814" s="1129">
        <f t="shared" si="374"/>
        <v>0</v>
      </c>
      <c r="H814" s="1129">
        <f t="shared" si="374"/>
        <v>0</v>
      </c>
      <c r="I814" s="1129">
        <f t="shared" si="374"/>
        <v>0</v>
      </c>
      <c r="J814" s="1129">
        <f t="shared" si="374"/>
        <v>0</v>
      </c>
      <c r="K814" s="1136">
        <f>K815+K816+K817</f>
        <v>3</v>
      </c>
      <c r="L814" s="1129">
        <f>L815+L816+L817</f>
        <v>986346</v>
      </c>
      <c r="M814" s="1136">
        <v>0</v>
      </c>
      <c r="N814" s="1129">
        <f t="shared" si="374"/>
        <v>0</v>
      </c>
      <c r="O814" s="1129">
        <f t="shared" si="374"/>
        <v>0</v>
      </c>
      <c r="P814" s="1129">
        <f t="shared" si="374"/>
        <v>0</v>
      </c>
      <c r="Q814" s="1129">
        <f t="shared" si="374"/>
        <v>0</v>
      </c>
      <c r="R814" s="1129">
        <f t="shared" si="374"/>
        <v>0</v>
      </c>
      <c r="S814" s="1129">
        <f t="shared" si="374"/>
        <v>0</v>
      </c>
      <c r="T814" s="1129">
        <f t="shared" si="374"/>
        <v>0</v>
      </c>
      <c r="U814" s="1129">
        <f t="shared" si="374"/>
        <v>0</v>
      </c>
      <c r="V814" s="1129">
        <f t="shared" si="374"/>
        <v>0</v>
      </c>
      <c r="W814" s="1167">
        <v>0</v>
      </c>
      <c r="X814" s="1129">
        <f t="shared" si="374"/>
        <v>1039794.31</v>
      </c>
      <c r="Y814" s="1129">
        <f t="shared" si="374"/>
        <v>0</v>
      </c>
    </row>
    <row r="815" spans="1:25" s="1152" customFormat="1" ht="57" customHeight="1">
      <c r="A815" s="1280">
        <v>67</v>
      </c>
      <c r="B815" s="1135" t="s">
        <v>1331</v>
      </c>
      <c r="C815" s="1129">
        <f>D815+N815+P815+R815+T815+V815+X815+L815</f>
        <v>4452132.22</v>
      </c>
      <c r="D815" s="1129">
        <f>SUM(E815:J815)</f>
        <v>3799970.8</v>
      </c>
      <c r="E815" s="1129">
        <v>0</v>
      </c>
      <c r="F815" s="1129">
        <v>3799970.8</v>
      </c>
      <c r="G815" s="1129">
        <v>0</v>
      </c>
      <c r="H815" s="1129">
        <v>0</v>
      </c>
      <c r="I815" s="1129">
        <v>0</v>
      </c>
      <c r="J815" s="1129">
        <v>0</v>
      </c>
      <c r="K815" s="1136">
        <v>1</v>
      </c>
      <c r="L815" s="1129">
        <v>328782</v>
      </c>
      <c r="M815" s="1136">
        <v>0</v>
      </c>
      <c r="N815" s="1129">
        <v>0</v>
      </c>
      <c r="O815" s="1129">
        <v>0</v>
      </c>
      <c r="P815" s="1129">
        <v>0</v>
      </c>
      <c r="Q815" s="1129">
        <v>0</v>
      </c>
      <c r="R815" s="1129">
        <v>0</v>
      </c>
      <c r="S815" s="1129">
        <v>0</v>
      </c>
      <c r="T815" s="1129">
        <v>0</v>
      </c>
      <c r="U815" s="1129">
        <v>0</v>
      </c>
      <c r="V815" s="1129">
        <v>0</v>
      </c>
      <c r="W815" s="1167">
        <v>0</v>
      </c>
      <c r="X815" s="1129">
        <v>323379.42</v>
      </c>
      <c r="Y815" s="1129">
        <v>0</v>
      </c>
    </row>
    <row r="816" spans="1:25" s="1137" customFormat="1" ht="59.45" customHeight="1">
      <c r="A816" s="1280">
        <v>68</v>
      </c>
      <c r="B816" s="1135" t="s">
        <v>1332</v>
      </c>
      <c r="C816" s="1129">
        <f>D816+N816+P816+R816+T816+V816+X816+L816</f>
        <v>4980039.4000000004</v>
      </c>
      <c r="D816" s="1129">
        <f>SUM(E816:J816)</f>
        <v>4289533.54</v>
      </c>
      <c r="E816" s="1129">
        <v>0</v>
      </c>
      <c r="F816" s="1129">
        <v>4289533.54</v>
      </c>
      <c r="G816" s="1129">
        <v>0</v>
      </c>
      <c r="H816" s="1129">
        <v>0</v>
      </c>
      <c r="I816" s="1129">
        <v>0</v>
      </c>
      <c r="J816" s="1129">
        <v>0</v>
      </c>
      <c r="K816" s="1136">
        <v>1</v>
      </c>
      <c r="L816" s="1129">
        <v>328782</v>
      </c>
      <c r="M816" s="1136">
        <v>0</v>
      </c>
      <c r="N816" s="1129">
        <v>0</v>
      </c>
      <c r="O816" s="1129">
        <v>0</v>
      </c>
      <c r="P816" s="1129">
        <v>0</v>
      </c>
      <c r="Q816" s="1129">
        <v>0</v>
      </c>
      <c r="R816" s="1129">
        <v>0</v>
      </c>
      <c r="S816" s="1129">
        <v>0</v>
      </c>
      <c r="T816" s="1129">
        <v>0</v>
      </c>
      <c r="U816" s="1129">
        <v>0</v>
      </c>
      <c r="V816" s="1129">
        <v>0</v>
      </c>
      <c r="W816" s="1167">
        <v>0</v>
      </c>
      <c r="X816" s="1129">
        <v>361723.86</v>
      </c>
      <c r="Y816" s="1129">
        <v>0</v>
      </c>
    </row>
    <row r="817" spans="1:25" s="1143" customFormat="1" ht="61.9" customHeight="1">
      <c r="A817" s="1280">
        <v>69</v>
      </c>
      <c r="B817" s="1135" t="s">
        <v>1333</v>
      </c>
      <c r="C817" s="1129">
        <f>D817+N817+P817+R817+T817+V817+X817+L817</f>
        <v>4883214.8900000006</v>
      </c>
      <c r="D817" s="1129">
        <f>SUM(E817:J817)</f>
        <v>4199741.8600000003</v>
      </c>
      <c r="E817" s="1129">
        <v>0</v>
      </c>
      <c r="F817" s="1129">
        <v>4199741.8600000003</v>
      </c>
      <c r="G817" s="1129">
        <v>0</v>
      </c>
      <c r="H817" s="1129">
        <v>0</v>
      </c>
      <c r="I817" s="1129">
        <v>0</v>
      </c>
      <c r="J817" s="1129">
        <v>0</v>
      </c>
      <c r="K817" s="1136">
        <v>1</v>
      </c>
      <c r="L817" s="1129">
        <v>328782</v>
      </c>
      <c r="M817" s="1136">
        <v>0</v>
      </c>
      <c r="N817" s="1129">
        <v>0</v>
      </c>
      <c r="O817" s="1129">
        <v>0</v>
      </c>
      <c r="P817" s="1129">
        <v>0</v>
      </c>
      <c r="Q817" s="1129">
        <v>0</v>
      </c>
      <c r="R817" s="1129">
        <v>0</v>
      </c>
      <c r="S817" s="1129">
        <v>0</v>
      </c>
      <c r="T817" s="1129">
        <v>0</v>
      </c>
      <c r="U817" s="1129">
        <v>0</v>
      </c>
      <c r="V817" s="1129">
        <v>0</v>
      </c>
      <c r="W817" s="1167">
        <v>0</v>
      </c>
      <c r="X817" s="1129">
        <v>354691.03</v>
      </c>
      <c r="Y817" s="1129">
        <v>0</v>
      </c>
    </row>
    <row r="818" spans="1:25" s="1143" customFormat="1" ht="126" customHeight="1">
      <c r="A818" s="1280"/>
      <c r="B818" s="1128" t="s">
        <v>2639</v>
      </c>
      <c r="C818" s="1129">
        <f>C819</f>
        <v>11459859.27</v>
      </c>
      <c r="D818" s="1129">
        <f t="shared" ref="D818:Y818" si="375">D819</f>
        <v>0</v>
      </c>
      <c r="E818" s="1129">
        <f t="shared" si="375"/>
        <v>0</v>
      </c>
      <c r="F818" s="1129">
        <f t="shared" si="375"/>
        <v>0</v>
      </c>
      <c r="G818" s="1129">
        <f t="shared" si="375"/>
        <v>0</v>
      </c>
      <c r="H818" s="1129">
        <f t="shared" si="375"/>
        <v>0</v>
      </c>
      <c r="I818" s="1129">
        <f t="shared" si="375"/>
        <v>0</v>
      </c>
      <c r="J818" s="1129">
        <f t="shared" si="375"/>
        <v>0</v>
      </c>
      <c r="K818" s="1129">
        <f t="shared" si="375"/>
        <v>0</v>
      </c>
      <c r="L818" s="1129">
        <f t="shared" si="375"/>
        <v>0</v>
      </c>
      <c r="M818" s="1129">
        <f t="shared" si="375"/>
        <v>0</v>
      </c>
      <c r="N818" s="1129">
        <f t="shared" si="375"/>
        <v>0</v>
      </c>
      <c r="O818" s="1129">
        <f t="shared" si="375"/>
        <v>0</v>
      </c>
      <c r="P818" s="1129">
        <f t="shared" si="375"/>
        <v>0</v>
      </c>
      <c r="Q818" s="1129">
        <f t="shared" si="375"/>
        <v>0</v>
      </c>
      <c r="R818" s="1129">
        <f t="shared" si="375"/>
        <v>0</v>
      </c>
      <c r="S818" s="1129">
        <f t="shared" si="375"/>
        <v>1829.9</v>
      </c>
      <c r="T818" s="1129">
        <f t="shared" si="375"/>
        <v>10627474.359999999</v>
      </c>
      <c r="U818" s="1129">
        <f t="shared" si="375"/>
        <v>0</v>
      </c>
      <c r="V818" s="1129">
        <f t="shared" si="375"/>
        <v>0</v>
      </c>
      <c r="W818" s="1129">
        <f t="shared" si="375"/>
        <v>0</v>
      </c>
      <c r="X818" s="1129">
        <f t="shared" si="375"/>
        <v>832384.91</v>
      </c>
      <c r="Y818" s="1129">
        <f t="shared" si="375"/>
        <v>0</v>
      </c>
    </row>
    <row r="819" spans="1:25" s="1143" customFormat="1" ht="76.150000000000006" customHeight="1">
      <c r="A819" s="1280">
        <v>70</v>
      </c>
      <c r="B819" s="1135" t="s">
        <v>867</v>
      </c>
      <c r="C819" s="1129">
        <f>D819+N819+P819+R819+T819+V819+X819+L819</f>
        <v>11459859.27</v>
      </c>
      <c r="D819" s="1129">
        <f>SUM(E819:J819)</f>
        <v>0</v>
      </c>
      <c r="E819" s="1129">
        <v>0</v>
      </c>
      <c r="F819" s="1129">
        <v>0</v>
      </c>
      <c r="G819" s="1129">
        <v>0</v>
      </c>
      <c r="H819" s="1129">
        <v>0</v>
      </c>
      <c r="I819" s="1129">
        <v>0</v>
      </c>
      <c r="J819" s="1129">
        <v>0</v>
      </c>
      <c r="K819" s="1136">
        <v>0</v>
      </c>
      <c r="L819" s="1129">
        <v>0</v>
      </c>
      <c r="M819" s="1136">
        <v>0</v>
      </c>
      <c r="N819" s="1129">
        <v>0</v>
      </c>
      <c r="O819" s="1129">
        <v>0</v>
      </c>
      <c r="P819" s="1129">
        <v>0</v>
      </c>
      <c r="Q819" s="1129">
        <v>0</v>
      </c>
      <c r="R819" s="1129">
        <v>0</v>
      </c>
      <c r="S819" s="1129">
        <v>1829.9</v>
      </c>
      <c r="T819" s="1129">
        <v>10627474.359999999</v>
      </c>
      <c r="U819" s="1129">
        <v>0</v>
      </c>
      <c r="V819" s="1129">
        <v>0</v>
      </c>
      <c r="W819" s="1167">
        <v>0</v>
      </c>
      <c r="X819" s="1129">
        <v>832384.91</v>
      </c>
      <c r="Y819" s="1129">
        <v>0</v>
      </c>
    </row>
    <row r="820" spans="1:25" s="1143" customFormat="1" ht="88.9" customHeight="1">
      <c r="A820" s="1280"/>
      <c r="B820" s="1135" t="s">
        <v>1435</v>
      </c>
      <c r="C820" s="1129">
        <f>C821+C822</f>
        <v>3519986</v>
      </c>
      <c r="D820" s="1129">
        <f t="shared" ref="D820:Y820" si="376">D821+D822</f>
        <v>0</v>
      </c>
      <c r="E820" s="1129">
        <f t="shared" si="376"/>
        <v>0</v>
      </c>
      <c r="F820" s="1129">
        <f t="shared" si="376"/>
        <v>0</v>
      </c>
      <c r="G820" s="1129">
        <f t="shared" si="376"/>
        <v>0</v>
      </c>
      <c r="H820" s="1129">
        <f t="shared" si="376"/>
        <v>0</v>
      </c>
      <c r="I820" s="1129">
        <f t="shared" si="376"/>
        <v>0</v>
      </c>
      <c r="J820" s="1129">
        <f t="shared" si="376"/>
        <v>0</v>
      </c>
      <c r="K820" s="1136">
        <f t="shared" si="376"/>
        <v>0</v>
      </c>
      <c r="L820" s="1129">
        <f t="shared" si="376"/>
        <v>0</v>
      </c>
      <c r="M820" s="1136">
        <f t="shared" si="376"/>
        <v>0</v>
      </c>
      <c r="N820" s="1129">
        <f t="shared" si="376"/>
        <v>0</v>
      </c>
      <c r="O820" s="1129">
        <f t="shared" si="376"/>
        <v>1040</v>
      </c>
      <c r="P820" s="1129">
        <f t="shared" si="376"/>
        <v>3264313</v>
      </c>
      <c r="Q820" s="1129">
        <f t="shared" si="376"/>
        <v>0</v>
      </c>
      <c r="R820" s="1129">
        <f t="shared" si="376"/>
        <v>0</v>
      </c>
      <c r="S820" s="1129">
        <f t="shared" si="376"/>
        <v>0</v>
      </c>
      <c r="T820" s="1129">
        <f t="shared" si="376"/>
        <v>0</v>
      </c>
      <c r="U820" s="1129">
        <f t="shared" si="376"/>
        <v>0</v>
      </c>
      <c r="V820" s="1129">
        <f t="shared" si="376"/>
        <v>0</v>
      </c>
      <c r="W820" s="1167">
        <v>0</v>
      </c>
      <c r="X820" s="1129">
        <f t="shared" si="376"/>
        <v>255673</v>
      </c>
      <c r="Y820" s="1129">
        <f t="shared" si="376"/>
        <v>0</v>
      </c>
    </row>
    <row r="821" spans="1:25" s="1143" customFormat="1" ht="96" customHeight="1">
      <c r="A821" s="1280">
        <v>71</v>
      </c>
      <c r="B821" s="1135" t="s">
        <v>2486</v>
      </c>
      <c r="C821" s="1129">
        <f>D821+N821+P821+R821+T821+V821+X821</f>
        <v>1556917</v>
      </c>
      <c r="D821" s="1129">
        <f>SUM(E821:J821)</f>
        <v>0</v>
      </c>
      <c r="E821" s="1129">
        <v>0</v>
      </c>
      <c r="F821" s="1129">
        <v>0</v>
      </c>
      <c r="G821" s="1129">
        <v>0</v>
      </c>
      <c r="H821" s="1129">
        <v>0</v>
      </c>
      <c r="I821" s="1129">
        <v>0</v>
      </c>
      <c r="J821" s="1129">
        <v>0</v>
      </c>
      <c r="K821" s="1136">
        <v>0</v>
      </c>
      <c r="L821" s="1129">
        <v>0</v>
      </c>
      <c r="M821" s="1136">
        <v>0</v>
      </c>
      <c r="N821" s="1149">
        <v>0</v>
      </c>
      <c r="O821" s="1129">
        <v>460</v>
      </c>
      <c r="P821" s="1129">
        <v>1443831</v>
      </c>
      <c r="Q821" s="1129">
        <v>0</v>
      </c>
      <c r="R821" s="1129">
        <v>0</v>
      </c>
      <c r="S821" s="1129">
        <v>0</v>
      </c>
      <c r="T821" s="1129">
        <v>0</v>
      </c>
      <c r="U821" s="1129">
        <v>0</v>
      </c>
      <c r="V821" s="1129">
        <v>0</v>
      </c>
      <c r="W821" s="1167">
        <v>0</v>
      </c>
      <c r="X821" s="1129">
        <v>113086</v>
      </c>
      <c r="Y821" s="1129">
        <v>0</v>
      </c>
    </row>
    <row r="822" spans="1:25" s="1143" customFormat="1" ht="100.9" customHeight="1">
      <c r="A822" s="1280">
        <v>72</v>
      </c>
      <c r="B822" s="1135" t="s">
        <v>2487</v>
      </c>
      <c r="C822" s="1129">
        <f>D822+N822+P822+R822+T822+V822+X822</f>
        <v>1963069</v>
      </c>
      <c r="D822" s="1129">
        <f>SUM(E822:J822)</f>
        <v>0</v>
      </c>
      <c r="E822" s="1129">
        <v>0</v>
      </c>
      <c r="F822" s="1129">
        <v>0</v>
      </c>
      <c r="G822" s="1129">
        <v>0</v>
      </c>
      <c r="H822" s="1129">
        <v>0</v>
      </c>
      <c r="I822" s="1129">
        <v>0</v>
      </c>
      <c r="J822" s="1129">
        <v>0</v>
      </c>
      <c r="K822" s="1136">
        <v>0</v>
      </c>
      <c r="L822" s="1129">
        <v>0</v>
      </c>
      <c r="M822" s="1136">
        <v>0</v>
      </c>
      <c r="N822" s="1149">
        <v>0</v>
      </c>
      <c r="O822" s="1129">
        <v>580</v>
      </c>
      <c r="P822" s="1129">
        <v>1820482</v>
      </c>
      <c r="Q822" s="1129">
        <v>0</v>
      </c>
      <c r="R822" s="1129">
        <v>0</v>
      </c>
      <c r="S822" s="1129">
        <v>0</v>
      </c>
      <c r="T822" s="1129">
        <v>0</v>
      </c>
      <c r="U822" s="1129">
        <v>0</v>
      </c>
      <c r="V822" s="1129">
        <v>0</v>
      </c>
      <c r="W822" s="1167">
        <v>0</v>
      </c>
      <c r="X822" s="1129">
        <v>142587</v>
      </c>
      <c r="Y822" s="1129">
        <v>0</v>
      </c>
    </row>
    <row r="823" spans="1:25" s="1143" customFormat="1" ht="71.45" customHeight="1">
      <c r="A823" s="1280"/>
      <c r="B823" s="1128" t="s">
        <v>41</v>
      </c>
      <c r="C823" s="1129">
        <f>C824+C835</f>
        <v>51535617.820000008</v>
      </c>
      <c r="D823" s="1129">
        <f t="shared" ref="D823:Y823" si="377">D824+D835</f>
        <v>2407238.59</v>
      </c>
      <c r="E823" s="1129">
        <f t="shared" si="377"/>
        <v>1112940.1200000001</v>
      </c>
      <c r="F823" s="1129">
        <f t="shared" si="377"/>
        <v>0</v>
      </c>
      <c r="G823" s="1129">
        <f t="shared" si="377"/>
        <v>0</v>
      </c>
      <c r="H823" s="1129">
        <f t="shared" si="377"/>
        <v>1294298.47</v>
      </c>
      <c r="I823" s="1129">
        <f t="shared" si="377"/>
        <v>0</v>
      </c>
      <c r="J823" s="1129">
        <f t="shared" si="377"/>
        <v>0</v>
      </c>
      <c r="K823" s="1129">
        <f t="shared" si="377"/>
        <v>0</v>
      </c>
      <c r="L823" s="1129">
        <f t="shared" si="377"/>
        <v>0</v>
      </c>
      <c r="M823" s="1129">
        <f t="shared" si="377"/>
        <v>0</v>
      </c>
      <c r="N823" s="1129">
        <f t="shared" si="377"/>
        <v>0</v>
      </c>
      <c r="O823" s="1129">
        <f t="shared" si="377"/>
        <v>6856.59</v>
      </c>
      <c r="P823" s="1129">
        <f t="shared" si="377"/>
        <v>38021627.07</v>
      </c>
      <c r="Q823" s="1129">
        <f t="shared" si="377"/>
        <v>0</v>
      </c>
      <c r="R823" s="1129">
        <f t="shared" si="377"/>
        <v>0</v>
      </c>
      <c r="S823" s="1129">
        <f t="shared" si="377"/>
        <v>2511.04</v>
      </c>
      <c r="T823" s="1129">
        <f t="shared" si="377"/>
        <v>7363472.6299999999</v>
      </c>
      <c r="U823" s="1129">
        <f t="shared" si="377"/>
        <v>0</v>
      </c>
      <c r="V823" s="1129">
        <f t="shared" si="377"/>
        <v>0</v>
      </c>
      <c r="W823" s="1129">
        <f t="shared" si="377"/>
        <v>0</v>
      </c>
      <c r="X823" s="1129">
        <f t="shared" si="377"/>
        <v>3743279.5300000003</v>
      </c>
      <c r="Y823" s="1129">
        <f t="shared" si="377"/>
        <v>0</v>
      </c>
    </row>
    <row r="824" spans="1:25" s="1143" customFormat="1" ht="100.9" customHeight="1">
      <c r="A824" s="1280"/>
      <c r="B824" s="1128" t="s">
        <v>1063</v>
      </c>
      <c r="C824" s="1145">
        <f>SUM(C825:C834)</f>
        <v>48842910.820000008</v>
      </c>
      <c r="D824" s="1145">
        <f t="shared" ref="D824:Y824" si="378">SUM(D825:D834)</f>
        <v>2407238.59</v>
      </c>
      <c r="E824" s="1145">
        <f t="shared" si="378"/>
        <v>1112940.1200000001</v>
      </c>
      <c r="F824" s="1145">
        <f t="shared" si="378"/>
        <v>0</v>
      </c>
      <c r="G824" s="1145">
        <f t="shared" si="378"/>
        <v>0</v>
      </c>
      <c r="H824" s="1145">
        <f t="shared" si="378"/>
        <v>1294298.47</v>
      </c>
      <c r="I824" s="1145">
        <f t="shared" si="378"/>
        <v>0</v>
      </c>
      <c r="J824" s="1145">
        <f t="shared" si="378"/>
        <v>0</v>
      </c>
      <c r="K824" s="1145">
        <f t="shared" si="378"/>
        <v>0</v>
      </c>
      <c r="L824" s="1145">
        <f t="shared" si="378"/>
        <v>0</v>
      </c>
      <c r="M824" s="1145">
        <f t="shared" si="378"/>
        <v>0</v>
      </c>
      <c r="N824" s="1145">
        <f t="shared" si="378"/>
        <v>0</v>
      </c>
      <c r="O824" s="1145">
        <f t="shared" si="378"/>
        <v>6111.45</v>
      </c>
      <c r="P824" s="1145">
        <f t="shared" si="378"/>
        <v>35524504.07</v>
      </c>
      <c r="Q824" s="1145">
        <f t="shared" si="378"/>
        <v>0</v>
      </c>
      <c r="R824" s="1145">
        <f t="shared" si="378"/>
        <v>0</v>
      </c>
      <c r="S824" s="1145">
        <f t="shared" si="378"/>
        <v>2511.04</v>
      </c>
      <c r="T824" s="1145">
        <f t="shared" si="378"/>
        <v>7363472.6299999999</v>
      </c>
      <c r="U824" s="1145">
        <f t="shared" si="378"/>
        <v>0</v>
      </c>
      <c r="V824" s="1145">
        <f t="shared" si="378"/>
        <v>0</v>
      </c>
      <c r="W824" s="1145">
        <f t="shared" si="378"/>
        <v>0</v>
      </c>
      <c r="X824" s="1145">
        <f t="shared" si="378"/>
        <v>3547695.5300000003</v>
      </c>
      <c r="Y824" s="1145">
        <f t="shared" si="378"/>
        <v>0</v>
      </c>
    </row>
    <row r="825" spans="1:25" s="1143" customFormat="1" ht="65.45" customHeight="1">
      <c r="A825" s="1280">
        <v>73</v>
      </c>
      <c r="B825" s="1128" t="s">
        <v>1589</v>
      </c>
      <c r="C825" s="1129">
        <f>D825+N825+P825+R825+T825+V825+X825</f>
        <v>7940208.2999999998</v>
      </c>
      <c r="D825" s="1129">
        <f>SUM(E825:J825)</f>
        <v>0</v>
      </c>
      <c r="E825" s="1129">
        <v>0</v>
      </c>
      <c r="F825" s="1129">
        <v>0</v>
      </c>
      <c r="G825" s="1129">
        <v>0</v>
      </c>
      <c r="H825" s="1129">
        <v>0</v>
      </c>
      <c r="I825" s="1129">
        <v>0</v>
      </c>
      <c r="J825" s="1129">
        <v>0</v>
      </c>
      <c r="K825" s="1136">
        <v>0</v>
      </c>
      <c r="L825" s="1129">
        <v>0</v>
      </c>
      <c r="M825" s="1136">
        <v>0</v>
      </c>
      <c r="N825" s="1129">
        <v>0</v>
      </c>
      <c r="O825" s="1129">
        <v>0</v>
      </c>
      <c r="P825" s="1129">
        <v>0</v>
      </c>
      <c r="Q825" s="1129">
        <v>0</v>
      </c>
      <c r="R825" s="1129">
        <v>0</v>
      </c>
      <c r="S825" s="1129">
        <v>2511.04</v>
      </c>
      <c r="T825" s="1129">
        <v>7363472.6299999999</v>
      </c>
      <c r="U825" s="1129">
        <v>0</v>
      </c>
      <c r="V825" s="1129">
        <v>0</v>
      </c>
      <c r="W825" s="1167">
        <v>0</v>
      </c>
      <c r="X825" s="1129">
        <v>576735.67000000004</v>
      </c>
      <c r="Y825" s="1129">
        <v>0</v>
      </c>
    </row>
    <row r="826" spans="1:25" s="1143" customFormat="1" ht="61.9" customHeight="1">
      <c r="A826" s="1280">
        <v>74</v>
      </c>
      <c r="B826" s="1128" t="s">
        <v>1613</v>
      </c>
      <c r="C826" s="1129">
        <f t="shared" ref="C826:C834" si="379">D826+N826+P826+R826+T826+V826+X826</f>
        <v>3567608.1799999997</v>
      </c>
      <c r="D826" s="1129">
        <f t="shared" ref="D826:D834" si="380">SUM(E826:J826)</f>
        <v>0</v>
      </c>
      <c r="E826" s="1129">
        <v>0</v>
      </c>
      <c r="F826" s="1129">
        <v>0</v>
      </c>
      <c r="G826" s="1129">
        <v>0</v>
      </c>
      <c r="H826" s="1129">
        <v>0</v>
      </c>
      <c r="I826" s="1129">
        <v>0</v>
      </c>
      <c r="J826" s="1129">
        <v>0</v>
      </c>
      <c r="K826" s="1136">
        <v>0</v>
      </c>
      <c r="L826" s="1129">
        <v>0</v>
      </c>
      <c r="M826" s="1136">
        <v>0</v>
      </c>
      <c r="N826" s="1129">
        <v>0</v>
      </c>
      <c r="O826" s="1129">
        <v>694.8</v>
      </c>
      <c r="P826" s="1129">
        <v>3308475.57</v>
      </c>
      <c r="Q826" s="1129">
        <v>0</v>
      </c>
      <c r="R826" s="1129">
        <v>0</v>
      </c>
      <c r="S826" s="1129">
        <v>0</v>
      </c>
      <c r="T826" s="1129">
        <v>0</v>
      </c>
      <c r="U826" s="1129">
        <v>0</v>
      </c>
      <c r="V826" s="1129">
        <v>0</v>
      </c>
      <c r="W826" s="1167">
        <v>0</v>
      </c>
      <c r="X826" s="1129">
        <v>259132.61</v>
      </c>
      <c r="Y826" s="1129">
        <v>0</v>
      </c>
    </row>
    <row r="827" spans="1:25" s="1137" customFormat="1" ht="61.9" customHeight="1">
      <c r="A827" s="1280">
        <v>75</v>
      </c>
      <c r="B827" s="1128" t="s">
        <v>1614</v>
      </c>
      <c r="C827" s="1129">
        <f t="shared" si="379"/>
        <v>2922326.26</v>
      </c>
      <c r="D827" s="1129">
        <f t="shared" si="380"/>
        <v>0</v>
      </c>
      <c r="E827" s="1129">
        <v>0</v>
      </c>
      <c r="F827" s="1129">
        <v>0</v>
      </c>
      <c r="G827" s="1129">
        <v>0</v>
      </c>
      <c r="H827" s="1129">
        <v>0</v>
      </c>
      <c r="I827" s="1129">
        <v>0</v>
      </c>
      <c r="J827" s="1129">
        <v>0</v>
      </c>
      <c r="K827" s="1136">
        <v>0</v>
      </c>
      <c r="L827" s="1129">
        <v>0</v>
      </c>
      <c r="M827" s="1136">
        <v>0</v>
      </c>
      <c r="N827" s="1129">
        <v>0</v>
      </c>
      <c r="O827" s="1129">
        <v>380.29</v>
      </c>
      <c r="P827" s="1129">
        <v>2710063.59</v>
      </c>
      <c r="Q827" s="1129">
        <v>0</v>
      </c>
      <c r="R827" s="1129">
        <v>0</v>
      </c>
      <c r="S827" s="1129">
        <v>0</v>
      </c>
      <c r="T827" s="1129">
        <v>0</v>
      </c>
      <c r="U827" s="1129">
        <v>0</v>
      </c>
      <c r="V827" s="1129">
        <v>0</v>
      </c>
      <c r="W827" s="1167">
        <v>0</v>
      </c>
      <c r="X827" s="1129">
        <v>212262.67</v>
      </c>
      <c r="Y827" s="1129">
        <v>0</v>
      </c>
    </row>
    <row r="828" spans="1:25" s="1143" customFormat="1" ht="90" customHeight="1">
      <c r="A828" s="1280">
        <v>76</v>
      </c>
      <c r="B828" s="1128" t="s">
        <v>1874</v>
      </c>
      <c r="C828" s="1129">
        <f t="shared" si="379"/>
        <v>6004689.1299999999</v>
      </c>
      <c r="D828" s="1129">
        <f t="shared" si="380"/>
        <v>2407238.59</v>
      </c>
      <c r="E828" s="1129">
        <v>1112940.1200000001</v>
      </c>
      <c r="F828" s="1129">
        <v>0</v>
      </c>
      <c r="G828" s="1129">
        <v>0</v>
      </c>
      <c r="H828" s="1129">
        <v>1294298.47</v>
      </c>
      <c r="I828" s="1129">
        <v>0</v>
      </c>
      <c r="J828" s="1129">
        <v>0</v>
      </c>
      <c r="K828" s="1136">
        <v>0</v>
      </c>
      <c r="L828" s="1129">
        <v>0</v>
      </c>
      <c r="M828" s="1136">
        <v>0</v>
      </c>
      <c r="N828" s="1129">
        <v>0</v>
      </c>
      <c r="O828" s="1129">
        <v>443.61</v>
      </c>
      <c r="P828" s="1129">
        <v>3161301.4</v>
      </c>
      <c r="Q828" s="1129">
        <v>0</v>
      </c>
      <c r="R828" s="1129">
        <v>0</v>
      </c>
      <c r="S828" s="1129">
        <v>0</v>
      </c>
      <c r="T828" s="1129">
        <v>0</v>
      </c>
      <c r="U828" s="1129">
        <v>0</v>
      </c>
      <c r="V828" s="1129">
        <v>0</v>
      </c>
      <c r="W828" s="1167">
        <v>0</v>
      </c>
      <c r="X828" s="1129">
        <v>436149.14</v>
      </c>
      <c r="Y828" s="1129">
        <v>0</v>
      </c>
    </row>
    <row r="829" spans="1:25" s="1143" customFormat="1" ht="94.9" customHeight="1">
      <c r="A829" s="1280">
        <v>77</v>
      </c>
      <c r="B829" s="1128" t="s">
        <v>1616</v>
      </c>
      <c r="C829" s="1129">
        <f t="shared" si="379"/>
        <v>4859505.4399999995</v>
      </c>
      <c r="D829" s="1129">
        <f t="shared" si="380"/>
        <v>0</v>
      </c>
      <c r="E829" s="1129">
        <v>0</v>
      </c>
      <c r="F829" s="1129">
        <v>0</v>
      </c>
      <c r="G829" s="1129">
        <v>0</v>
      </c>
      <c r="H829" s="1129">
        <v>0</v>
      </c>
      <c r="I829" s="1129">
        <v>0</v>
      </c>
      <c r="J829" s="1129">
        <v>0</v>
      </c>
      <c r="K829" s="1136">
        <v>0</v>
      </c>
      <c r="L829" s="1129">
        <v>0</v>
      </c>
      <c r="M829" s="1136">
        <v>0</v>
      </c>
      <c r="N829" s="1129">
        <v>0</v>
      </c>
      <c r="O829" s="1129">
        <v>946.4</v>
      </c>
      <c r="P829" s="1129">
        <v>4506536.0999999996</v>
      </c>
      <c r="Q829" s="1129">
        <v>0</v>
      </c>
      <c r="R829" s="1129">
        <v>0</v>
      </c>
      <c r="S829" s="1129">
        <v>0</v>
      </c>
      <c r="T829" s="1129">
        <v>0</v>
      </c>
      <c r="U829" s="1129">
        <v>0</v>
      </c>
      <c r="V829" s="1129">
        <v>0</v>
      </c>
      <c r="W829" s="1167">
        <v>0</v>
      </c>
      <c r="X829" s="1129">
        <v>352969.34</v>
      </c>
      <c r="Y829" s="1129">
        <v>0</v>
      </c>
    </row>
    <row r="830" spans="1:25" s="1143" customFormat="1" ht="90" customHeight="1">
      <c r="A830" s="1280">
        <v>78</v>
      </c>
      <c r="B830" s="1139" t="s">
        <v>1523</v>
      </c>
      <c r="C830" s="1129">
        <f t="shared" si="379"/>
        <v>6693171</v>
      </c>
      <c r="D830" s="1129">
        <f t="shared" si="380"/>
        <v>0</v>
      </c>
      <c r="E830" s="1129">
        <v>0</v>
      </c>
      <c r="F830" s="1129">
        <v>0</v>
      </c>
      <c r="G830" s="1129">
        <v>0</v>
      </c>
      <c r="H830" s="1129">
        <v>0</v>
      </c>
      <c r="I830" s="1129">
        <v>0</v>
      </c>
      <c r="J830" s="1129">
        <v>0</v>
      </c>
      <c r="K830" s="1136">
        <v>0</v>
      </c>
      <c r="L830" s="1129">
        <v>0</v>
      </c>
      <c r="M830" s="1136">
        <v>0</v>
      </c>
      <c r="N830" s="1129">
        <v>0</v>
      </c>
      <c r="O830" s="1129">
        <v>871</v>
      </c>
      <c r="P830" s="1129">
        <v>6207014</v>
      </c>
      <c r="Q830" s="1129">
        <v>0</v>
      </c>
      <c r="R830" s="1129">
        <v>0</v>
      </c>
      <c r="S830" s="1129">
        <v>0</v>
      </c>
      <c r="T830" s="1129">
        <v>0</v>
      </c>
      <c r="U830" s="1129">
        <v>0</v>
      </c>
      <c r="V830" s="1129">
        <v>0</v>
      </c>
      <c r="W830" s="1167">
        <v>0</v>
      </c>
      <c r="X830" s="1129">
        <v>486157</v>
      </c>
      <c r="Y830" s="1129">
        <v>0</v>
      </c>
    </row>
    <row r="831" spans="1:25" s="1143" customFormat="1" ht="75.599999999999994" customHeight="1">
      <c r="A831" s="1280">
        <v>79</v>
      </c>
      <c r="B831" s="1139" t="s">
        <v>1978</v>
      </c>
      <c r="C831" s="1129">
        <f t="shared" si="379"/>
        <v>5148593</v>
      </c>
      <c r="D831" s="1129">
        <f t="shared" si="380"/>
        <v>0</v>
      </c>
      <c r="E831" s="1129">
        <v>0</v>
      </c>
      <c r="F831" s="1129">
        <v>0</v>
      </c>
      <c r="G831" s="1129">
        <v>0</v>
      </c>
      <c r="H831" s="1129">
        <v>0</v>
      </c>
      <c r="I831" s="1129">
        <v>0</v>
      </c>
      <c r="J831" s="1129">
        <v>0</v>
      </c>
      <c r="K831" s="1136">
        <v>0</v>
      </c>
      <c r="L831" s="1129">
        <v>0</v>
      </c>
      <c r="M831" s="1136">
        <v>0</v>
      </c>
      <c r="N831" s="1129">
        <v>0</v>
      </c>
      <c r="O831" s="1129">
        <v>670</v>
      </c>
      <c r="P831" s="1129">
        <v>4774626</v>
      </c>
      <c r="Q831" s="1129">
        <v>0</v>
      </c>
      <c r="R831" s="1129">
        <v>0</v>
      </c>
      <c r="S831" s="1129">
        <v>0</v>
      </c>
      <c r="T831" s="1129">
        <v>0</v>
      </c>
      <c r="U831" s="1129">
        <v>0</v>
      </c>
      <c r="V831" s="1129">
        <v>0</v>
      </c>
      <c r="W831" s="1167">
        <v>0</v>
      </c>
      <c r="X831" s="1129">
        <v>373967</v>
      </c>
      <c r="Y831" s="1129">
        <v>0</v>
      </c>
    </row>
    <row r="832" spans="1:25" s="1137" customFormat="1" ht="75" customHeight="1">
      <c r="A832" s="1280">
        <v>80</v>
      </c>
      <c r="B832" s="1128" t="s">
        <v>1976</v>
      </c>
      <c r="C832" s="1129">
        <f t="shared" si="379"/>
        <v>2701628.34</v>
      </c>
      <c r="D832" s="1129">
        <f t="shared" si="380"/>
        <v>0</v>
      </c>
      <c r="E832" s="1129">
        <v>0</v>
      </c>
      <c r="F832" s="1129">
        <v>0</v>
      </c>
      <c r="G832" s="1129">
        <v>0</v>
      </c>
      <c r="H832" s="1129">
        <v>0</v>
      </c>
      <c r="I832" s="1129">
        <v>0</v>
      </c>
      <c r="J832" s="1129">
        <v>0</v>
      </c>
      <c r="K832" s="1136">
        <v>0</v>
      </c>
      <c r="L832" s="1129">
        <v>0</v>
      </c>
      <c r="M832" s="1136">
        <v>0</v>
      </c>
      <c r="N832" s="1129">
        <v>0</v>
      </c>
      <c r="O832" s="1129">
        <v>351.57</v>
      </c>
      <c r="P832" s="1129">
        <v>2505396.0299999998</v>
      </c>
      <c r="Q832" s="1129">
        <v>0</v>
      </c>
      <c r="R832" s="1129">
        <v>0</v>
      </c>
      <c r="S832" s="1129">
        <v>0</v>
      </c>
      <c r="T832" s="1129">
        <v>0</v>
      </c>
      <c r="U832" s="1129">
        <v>0</v>
      </c>
      <c r="V832" s="1129">
        <v>0</v>
      </c>
      <c r="W832" s="1129">
        <v>0</v>
      </c>
      <c r="X832" s="1129">
        <v>196232.31</v>
      </c>
      <c r="Y832" s="1129">
        <v>0</v>
      </c>
    </row>
    <row r="833" spans="1:25" s="1137" customFormat="1" ht="85.15" customHeight="1">
      <c r="A833" s="1280">
        <v>81</v>
      </c>
      <c r="B833" s="1128" t="s">
        <v>2567</v>
      </c>
      <c r="C833" s="1129">
        <f t="shared" si="379"/>
        <v>3815102.01</v>
      </c>
      <c r="D833" s="1129">
        <f t="shared" si="380"/>
        <v>0</v>
      </c>
      <c r="E833" s="1129">
        <v>0</v>
      </c>
      <c r="F833" s="1129">
        <v>0</v>
      </c>
      <c r="G833" s="1129">
        <v>0</v>
      </c>
      <c r="H833" s="1129">
        <v>0</v>
      </c>
      <c r="I833" s="1129">
        <v>0</v>
      </c>
      <c r="J833" s="1129">
        <v>0</v>
      </c>
      <c r="K833" s="1136">
        <v>0</v>
      </c>
      <c r="L833" s="1129">
        <v>0</v>
      </c>
      <c r="M833" s="1136">
        <v>0</v>
      </c>
      <c r="N833" s="1129">
        <v>0</v>
      </c>
      <c r="O833" s="1129">
        <v>743</v>
      </c>
      <c r="P833" s="1129">
        <v>3537992.73</v>
      </c>
      <c r="Q833" s="1129">
        <v>0</v>
      </c>
      <c r="R833" s="1129">
        <v>0</v>
      </c>
      <c r="S833" s="1129">
        <v>0</v>
      </c>
      <c r="T833" s="1129">
        <v>0</v>
      </c>
      <c r="U833" s="1129">
        <v>0</v>
      </c>
      <c r="V833" s="1129">
        <v>0</v>
      </c>
      <c r="W833" s="1129">
        <v>0</v>
      </c>
      <c r="X833" s="1129">
        <v>277109.28000000003</v>
      </c>
      <c r="Y833" s="1129">
        <v>0</v>
      </c>
    </row>
    <row r="834" spans="1:25" s="1137" customFormat="1" ht="85.15" customHeight="1">
      <c r="A834" s="1280">
        <v>82</v>
      </c>
      <c r="B834" s="1128" t="s">
        <v>2624</v>
      </c>
      <c r="C834" s="1129">
        <f t="shared" si="379"/>
        <v>5190079.16</v>
      </c>
      <c r="D834" s="1129">
        <f t="shared" si="380"/>
        <v>0</v>
      </c>
      <c r="E834" s="1129">
        <v>0</v>
      </c>
      <c r="F834" s="1129">
        <v>0</v>
      </c>
      <c r="G834" s="1129">
        <v>0</v>
      </c>
      <c r="H834" s="1129">
        <v>0</v>
      </c>
      <c r="I834" s="1129">
        <v>0</v>
      </c>
      <c r="J834" s="1129">
        <v>0</v>
      </c>
      <c r="K834" s="1136">
        <v>0</v>
      </c>
      <c r="L834" s="1129">
        <v>0</v>
      </c>
      <c r="M834" s="1136">
        <v>0</v>
      </c>
      <c r="N834" s="1129">
        <v>0</v>
      </c>
      <c r="O834" s="1129">
        <v>1010.78</v>
      </c>
      <c r="P834" s="1129">
        <v>4813098.6500000004</v>
      </c>
      <c r="Q834" s="1129">
        <v>0</v>
      </c>
      <c r="R834" s="1129">
        <v>0</v>
      </c>
      <c r="S834" s="1129">
        <v>0</v>
      </c>
      <c r="T834" s="1129">
        <v>0</v>
      </c>
      <c r="U834" s="1129">
        <v>0</v>
      </c>
      <c r="V834" s="1129">
        <v>0</v>
      </c>
      <c r="W834" s="1129">
        <v>0</v>
      </c>
      <c r="X834" s="1129">
        <v>376980.51</v>
      </c>
      <c r="Y834" s="1129">
        <v>0</v>
      </c>
    </row>
    <row r="835" spans="1:25" s="1137" customFormat="1" ht="131.25" customHeight="1">
      <c r="A835" s="1280"/>
      <c r="B835" s="1128" t="s">
        <v>2640</v>
      </c>
      <c r="C835" s="1129">
        <f>C836</f>
        <v>2692707</v>
      </c>
      <c r="D835" s="1129">
        <f t="shared" ref="D835:Y835" si="381">D836</f>
        <v>0</v>
      </c>
      <c r="E835" s="1129">
        <f t="shared" si="381"/>
        <v>0</v>
      </c>
      <c r="F835" s="1129">
        <f t="shared" si="381"/>
        <v>0</v>
      </c>
      <c r="G835" s="1129">
        <f t="shared" si="381"/>
        <v>0</v>
      </c>
      <c r="H835" s="1129">
        <f t="shared" si="381"/>
        <v>0</v>
      </c>
      <c r="I835" s="1129">
        <f t="shared" si="381"/>
        <v>0</v>
      </c>
      <c r="J835" s="1129">
        <f t="shared" si="381"/>
        <v>0</v>
      </c>
      <c r="K835" s="1129">
        <f t="shared" si="381"/>
        <v>0</v>
      </c>
      <c r="L835" s="1129">
        <f t="shared" si="381"/>
        <v>0</v>
      </c>
      <c r="M835" s="1129">
        <f t="shared" si="381"/>
        <v>0</v>
      </c>
      <c r="N835" s="1129">
        <f t="shared" si="381"/>
        <v>0</v>
      </c>
      <c r="O835" s="1129">
        <f t="shared" si="381"/>
        <v>745.14</v>
      </c>
      <c r="P835" s="1129">
        <f t="shared" si="381"/>
        <v>2497123</v>
      </c>
      <c r="Q835" s="1129">
        <f t="shared" si="381"/>
        <v>0</v>
      </c>
      <c r="R835" s="1129">
        <f t="shared" si="381"/>
        <v>0</v>
      </c>
      <c r="S835" s="1129">
        <f t="shared" si="381"/>
        <v>0</v>
      </c>
      <c r="T835" s="1129">
        <f t="shared" si="381"/>
        <v>0</v>
      </c>
      <c r="U835" s="1129">
        <f t="shared" si="381"/>
        <v>0</v>
      </c>
      <c r="V835" s="1129">
        <f t="shared" si="381"/>
        <v>0</v>
      </c>
      <c r="W835" s="1129">
        <f t="shared" si="381"/>
        <v>0</v>
      </c>
      <c r="X835" s="1129">
        <f t="shared" si="381"/>
        <v>195584</v>
      </c>
      <c r="Y835" s="1129">
        <f t="shared" si="381"/>
        <v>0</v>
      </c>
    </row>
    <row r="836" spans="1:25" s="1137" customFormat="1" ht="85.15" customHeight="1">
      <c r="A836" s="1280">
        <v>83</v>
      </c>
      <c r="B836" s="1128" t="s">
        <v>2641</v>
      </c>
      <c r="C836" s="1129">
        <f t="shared" ref="C836" si="382">D836+N836+P836+R836+T836+V836+X836</f>
        <v>2692707</v>
      </c>
      <c r="D836" s="1129">
        <f t="shared" ref="D836" si="383">SUM(E836:J836)</f>
        <v>0</v>
      </c>
      <c r="E836" s="1129">
        <v>0</v>
      </c>
      <c r="F836" s="1129">
        <v>0</v>
      </c>
      <c r="G836" s="1129">
        <v>0</v>
      </c>
      <c r="H836" s="1129">
        <v>0</v>
      </c>
      <c r="I836" s="1129">
        <v>0</v>
      </c>
      <c r="J836" s="1129">
        <v>0</v>
      </c>
      <c r="K836" s="1136">
        <v>0</v>
      </c>
      <c r="L836" s="1129">
        <v>0</v>
      </c>
      <c r="M836" s="1136">
        <v>0</v>
      </c>
      <c r="N836" s="1129">
        <v>0</v>
      </c>
      <c r="O836" s="1129">
        <v>745.14</v>
      </c>
      <c r="P836" s="1129">
        <v>2497123</v>
      </c>
      <c r="Q836" s="1129">
        <v>0</v>
      </c>
      <c r="R836" s="1129">
        <v>0</v>
      </c>
      <c r="S836" s="1129">
        <v>0</v>
      </c>
      <c r="T836" s="1129">
        <v>0</v>
      </c>
      <c r="U836" s="1129">
        <v>0</v>
      </c>
      <c r="V836" s="1129">
        <v>0</v>
      </c>
      <c r="W836" s="1129">
        <v>0</v>
      </c>
      <c r="X836" s="1129">
        <v>195584</v>
      </c>
      <c r="Y836" s="1129">
        <v>0</v>
      </c>
    </row>
    <row r="837" spans="1:25" s="1143" customFormat="1" ht="124.5" customHeight="1">
      <c r="A837" s="1280"/>
      <c r="B837" s="1135" t="s">
        <v>2673</v>
      </c>
      <c r="C837" s="1129">
        <f>C838+C839</f>
        <v>431415.73999999993</v>
      </c>
      <c r="D837" s="1129">
        <f t="shared" ref="D837:Y837" si="384">D838+D839</f>
        <v>400079.92999999993</v>
      </c>
      <c r="E837" s="1129">
        <f t="shared" si="384"/>
        <v>400079.92999999993</v>
      </c>
      <c r="F837" s="1129">
        <f t="shared" si="384"/>
        <v>0</v>
      </c>
      <c r="G837" s="1129">
        <f t="shared" si="384"/>
        <v>0</v>
      </c>
      <c r="H837" s="1129">
        <f t="shared" si="384"/>
        <v>0</v>
      </c>
      <c r="I837" s="1129">
        <f t="shared" si="384"/>
        <v>0</v>
      </c>
      <c r="J837" s="1129">
        <f t="shared" si="384"/>
        <v>0</v>
      </c>
      <c r="K837" s="1129">
        <f t="shared" si="384"/>
        <v>0</v>
      </c>
      <c r="L837" s="1129">
        <f t="shared" si="384"/>
        <v>0</v>
      </c>
      <c r="M837" s="1129">
        <f t="shared" si="384"/>
        <v>0</v>
      </c>
      <c r="N837" s="1129">
        <f t="shared" si="384"/>
        <v>0</v>
      </c>
      <c r="O837" s="1129">
        <f t="shared" si="384"/>
        <v>0</v>
      </c>
      <c r="P837" s="1129">
        <f t="shared" si="384"/>
        <v>0</v>
      </c>
      <c r="Q837" s="1129">
        <f t="shared" si="384"/>
        <v>0</v>
      </c>
      <c r="R837" s="1129">
        <f t="shared" si="384"/>
        <v>0</v>
      </c>
      <c r="S837" s="1129">
        <f t="shared" si="384"/>
        <v>0</v>
      </c>
      <c r="T837" s="1129">
        <f t="shared" si="384"/>
        <v>0</v>
      </c>
      <c r="U837" s="1129">
        <f t="shared" si="384"/>
        <v>0</v>
      </c>
      <c r="V837" s="1129">
        <f t="shared" si="384"/>
        <v>0</v>
      </c>
      <c r="W837" s="1129">
        <f t="shared" si="384"/>
        <v>0</v>
      </c>
      <c r="X837" s="1129">
        <f t="shared" si="384"/>
        <v>31335.809999999998</v>
      </c>
      <c r="Y837" s="1129">
        <f t="shared" si="384"/>
        <v>0</v>
      </c>
    </row>
    <row r="838" spans="1:25" s="1143" customFormat="1" ht="112.5" customHeight="1">
      <c r="A838" s="1280">
        <v>84</v>
      </c>
      <c r="B838" s="1135" t="s">
        <v>2996</v>
      </c>
      <c r="C838" s="1129">
        <f t="shared" ref="C838" si="385">D838+N838+P838+R838+T838+V838+X838</f>
        <v>286827.57999999996</v>
      </c>
      <c r="D838" s="1129">
        <f t="shared" ref="D838" si="386">SUM(E838:J838)</f>
        <v>265993.90999999997</v>
      </c>
      <c r="E838" s="1129">
        <v>265993.90999999997</v>
      </c>
      <c r="F838" s="1129">
        <v>0</v>
      </c>
      <c r="G838" s="1129">
        <v>0</v>
      </c>
      <c r="H838" s="1129">
        <v>0</v>
      </c>
      <c r="I838" s="1129">
        <v>0</v>
      </c>
      <c r="J838" s="1129">
        <v>0</v>
      </c>
      <c r="K838" s="1136">
        <v>0</v>
      </c>
      <c r="L838" s="1129">
        <v>0</v>
      </c>
      <c r="M838" s="1136">
        <v>0</v>
      </c>
      <c r="N838" s="1129">
        <v>0</v>
      </c>
      <c r="O838" s="1129">
        <v>0</v>
      </c>
      <c r="P838" s="1129">
        <v>0</v>
      </c>
      <c r="Q838" s="1129">
        <v>0</v>
      </c>
      <c r="R838" s="1129">
        <v>0</v>
      </c>
      <c r="S838" s="1129">
        <v>0</v>
      </c>
      <c r="T838" s="1129">
        <v>0</v>
      </c>
      <c r="U838" s="1129">
        <v>0</v>
      </c>
      <c r="V838" s="1129">
        <v>0</v>
      </c>
      <c r="W838" s="1167">
        <v>0</v>
      </c>
      <c r="X838" s="1129">
        <v>20833.669999999998</v>
      </c>
      <c r="Y838" s="1129">
        <v>0</v>
      </c>
    </row>
    <row r="839" spans="1:25" s="1143" customFormat="1" ht="104.25" customHeight="1">
      <c r="A839" s="1280">
        <v>85</v>
      </c>
      <c r="B839" s="1135" t="s">
        <v>2697</v>
      </c>
      <c r="C839" s="1129">
        <f t="shared" ref="C839" si="387">D839+N839+P839+R839+T839+V839+X839</f>
        <v>144588.15999999997</v>
      </c>
      <c r="D839" s="1129">
        <f t="shared" ref="D839" si="388">SUM(E839:J839)</f>
        <v>134086.01999999999</v>
      </c>
      <c r="E839" s="1129">
        <v>134086.01999999999</v>
      </c>
      <c r="F839" s="1129">
        <v>0</v>
      </c>
      <c r="G839" s="1129">
        <v>0</v>
      </c>
      <c r="H839" s="1129">
        <v>0</v>
      </c>
      <c r="I839" s="1129">
        <v>0</v>
      </c>
      <c r="J839" s="1129">
        <v>0</v>
      </c>
      <c r="K839" s="1136">
        <v>0</v>
      </c>
      <c r="L839" s="1129">
        <v>0</v>
      </c>
      <c r="M839" s="1136">
        <v>0</v>
      </c>
      <c r="N839" s="1129">
        <v>0</v>
      </c>
      <c r="O839" s="1129">
        <v>0</v>
      </c>
      <c r="P839" s="1129">
        <v>0</v>
      </c>
      <c r="Q839" s="1129">
        <v>0</v>
      </c>
      <c r="R839" s="1129">
        <v>0</v>
      </c>
      <c r="S839" s="1129">
        <v>0</v>
      </c>
      <c r="T839" s="1129">
        <v>0</v>
      </c>
      <c r="U839" s="1129">
        <v>0</v>
      </c>
      <c r="V839" s="1129">
        <v>0</v>
      </c>
      <c r="W839" s="1167">
        <v>0</v>
      </c>
      <c r="X839" s="1129">
        <v>10502.14</v>
      </c>
      <c r="Y839" s="1129">
        <v>0</v>
      </c>
    </row>
    <row r="840" spans="1:25" s="1143" customFormat="1" ht="66.599999999999994" customHeight="1">
      <c r="A840" s="1280"/>
      <c r="B840" s="1135" t="s">
        <v>43</v>
      </c>
      <c r="C840" s="1129">
        <f>C841</f>
        <v>18668404</v>
      </c>
      <c r="D840" s="1129">
        <f t="shared" ref="D840:Y840" si="389">D841</f>
        <v>7038634</v>
      </c>
      <c r="E840" s="1129">
        <f t="shared" si="389"/>
        <v>378564</v>
      </c>
      <c r="F840" s="1129">
        <f t="shared" si="389"/>
        <v>6381683</v>
      </c>
      <c r="G840" s="1129">
        <f t="shared" si="389"/>
        <v>0</v>
      </c>
      <c r="H840" s="1129">
        <f t="shared" si="389"/>
        <v>0</v>
      </c>
      <c r="I840" s="1129">
        <f t="shared" si="389"/>
        <v>0</v>
      </c>
      <c r="J840" s="1129">
        <f t="shared" si="389"/>
        <v>278387</v>
      </c>
      <c r="K840" s="1136">
        <f t="shared" si="389"/>
        <v>0</v>
      </c>
      <c r="L840" s="1129">
        <f t="shared" si="389"/>
        <v>0</v>
      </c>
      <c r="M840" s="1136">
        <f t="shared" si="389"/>
        <v>0</v>
      </c>
      <c r="N840" s="1129">
        <f t="shared" si="389"/>
        <v>0</v>
      </c>
      <c r="O840" s="1129">
        <f t="shared" si="389"/>
        <v>3293.6000000000004</v>
      </c>
      <c r="P840" s="1129">
        <f t="shared" si="389"/>
        <v>9560835</v>
      </c>
      <c r="Q840" s="1129">
        <f t="shared" si="389"/>
        <v>0</v>
      </c>
      <c r="R840" s="1129">
        <f t="shared" si="389"/>
        <v>0</v>
      </c>
      <c r="S840" s="1129">
        <f t="shared" si="389"/>
        <v>186</v>
      </c>
      <c r="T840" s="1129">
        <f t="shared" si="389"/>
        <v>458993</v>
      </c>
      <c r="U840" s="1129">
        <f t="shared" si="389"/>
        <v>0</v>
      </c>
      <c r="V840" s="1129">
        <f t="shared" si="389"/>
        <v>0</v>
      </c>
      <c r="W840" s="1167">
        <v>0</v>
      </c>
      <c r="X840" s="1129">
        <f t="shared" si="389"/>
        <v>1457015</v>
      </c>
      <c r="Y840" s="1129">
        <f t="shared" si="389"/>
        <v>152927</v>
      </c>
    </row>
    <row r="841" spans="1:25" s="1143" customFormat="1" ht="96" customHeight="1">
      <c r="A841" s="1280"/>
      <c r="B841" s="1135" t="s">
        <v>1090</v>
      </c>
      <c r="C841" s="1145">
        <f>SUM(C842:C851)</f>
        <v>18668404</v>
      </c>
      <c r="D841" s="1145">
        <f t="shared" ref="D841:Y841" si="390">SUM(D842:D851)</f>
        <v>7038634</v>
      </c>
      <c r="E841" s="1145">
        <f t="shared" si="390"/>
        <v>378564</v>
      </c>
      <c r="F841" s="1145">
        <f t="shared" si="390"/>
        <v>6381683</v>
      </c>
      <c r="G841" s="1145">
        <f t="shared" si="390"/>
        <v>0</v>
      </c>
      <c r="H841" s="1145">
        <f t="shared" si="390"/>
        <v>0</v>
      </c>
      <c r="I841" s="1145">
        <f t="shared" si="390"/>
        <v>0</v>
      </c>
      <c r="J841" s="1145">
        <f t="shared" si="390"/>
        <v>278387</v>
      </c>
      <c r="K841" s="1163">
        <f t="shared" si="390"/>
        <v>0</v>
      </c>
      <c r="L841" s="1145">
        <f t="shared" si="390"/>
        <v>0</v>
      </c>
      <c r="M841" s="1163">
        <f t="shared" si="390"/>
        <v>0</v>
      </c>
      <c r="N841" s="1145">
        <f t="shared" si="390"/>
        <v>0</v>
      </c>
      <c r="O841" s="1145">
        <f t="shared" si="390"/>
        <v>3293.6000000000004</v>
      </c>
      <c r="P841" s="1145">
        <f t="shared" si="390"/>
        <v>9560835</v>
      </c>
      <c r="Q841" s="1145">
        <f t="shared" si="390"/>
        <v>0</v>
      </c>
      <c r="R841" s="1145">
        <f t="shared" si="390"/>
        <v>0</v>
      </c>
      <c r="S841" s="1145">
        <f t="shared" si="390"/>
        <v>186</v>
      </c>
      <c r="T841" s="1145">
        <f t="shared" si="390"/>
        <v>458993</v>
      </c>
      <c r="U841" s="1145">
        <f t="shared" si="390"/>
        <v>0</v>
      </c>
      <c r="V841" s="1145">
        <f t="shared" si="390"/>
        <v>0</v>
      </c>
      <c r="W841" s="1145">
        <f t="shared" si="390"/>
        <v>0</v>
      </c>
      <c r="X841" s="1145">
        <f t="shared" si="390"/>
        <v>1457015</v>
      </c>
      <c r="Y841" s="1145">
        <f t="shared" si="390"/>
        <v>152927</v>
      </c>
    </row>
    <row r="842" spans="1:25" s="1143" customFormat="1" ht="59.45" customHeight="1">
      <c r="A842" s="1280">
        <v>86</v>
      </c>
      <c r="B842" s="1135" t="s">
        <v>1341</v>
      </c>
      <c r="C842" s="1129">
        <f t="shared" ref="C842:C846" si="391">D842+N842+P842+R842+T842+V842+X842</f>
        <v>1523071</v>
      </c>
      <c r="D842" s="1129">
        <f t="shared" ref="D842:D846" si="392">SUM(E842:J842)</f>
        <v>0</v>
      </c>
      <c r="E842" s="1129">
        <v>0</v>
      </c>
      <c r="F842" s="1129">
        <v>0</v>
      </c>
      <c r="G842" s="1129">
        <v>0</v>
      </c>
      <c r="H842" s="1129">
        <v>0</v>
      </c>
      <c r="I842" s="1129">
        <v>0</v>
      </c>
      <c r="J842" s="1129">
        <v>0</v>
      </c>
      <c r="K842" s="1136">
        <v>0</v>
      </c>
      <c r="L842" s="1129">
        <v>0</v>
      </c>
      <c r="M842" s="1136">
        <v>0</v>
      </c>
      <c r="N842" s="1129">
        <v>0</v>
      </c>
      <c r="O842" s="1129">
        <v>450</v>
      </c>
      <c r="P842" s="1129">
        <v>1412443</v>
      </c>
      <c r="Q842" s="1129">
        <v>0</v>
      </c>
      <c r="R842" s="1129">
        <v>0</v>
      </c>
      <c r="S842" s="1129">
        <v>0</v>
      </c>
      <c r="T842" s="1129">
        <v>0</v>
      </c>
      <c r="U842" s="1129">
        <v>0</v>
      </c>
      <c r="V842" s="1129">
        <v>0</v>
      </c>
      <c r="W842" s="1167">
        <v>0</v>
      </c>
      <c r="X842" s="1129">
        <v>110628</v>
      </c>
      <c r="Y842" s="1129">
        <v>0</v>
      </c>
    </row>
    <row r="843" spans="1:25" s="1143" customFormat="1" ht="66.599999999999994" customHeight="1">
      <c r="A843" s="1280">
        <v>87</v>
      </c>
      <c r="B843" s="1135" t="s">
        <v>1342</v>
      </c>
      <c r="C843" s="1129">
        <f t="shared" si="391"/>
        <v>1967908</v>
      </c>
      <c r="D843" s="1129">
        <f t="shared" si="392"/>
        <v>0</v>
      </c>
      <c r="E843" s="1129">
        <v>0</v>
      </c>
      <c r="F843" s="1129">
        <v>0</v>
      </c>
      <c r="G843" s="1129">
        <v>0</v>
      </c>
      <c r="H843" s="1129">
        <v>0</v>
      </c>
      <c r="I843" s="1129">
        <v>0</v>
      </c>
      <c r="J843" s="1129">
        <v>0</v>
      </c>
      <c r="K843" s="1136">
        <v>0</v>
      </c>
      <c r="L843" s="1129">
        <v>0</v>
      </c>
      <c r="M843" s="1136">
        <v>0</v>
      </c>
      <c r="N843" s="1129">
        <v>0</v>
      </c>
      <c r="O843" s="1129">
        <v>493.3</v>
      </c>
      <c r="P843" s="1129">
        <v>1824969</v>
      </c>
      <c r="Q843" s="1129">
        <v>0</v>
      </c>
      <c r="R843" s="1129">
        <v>0</v>
      </c>
      <c r="S843" s="1129">
        <v>0</v>
      </c>
      <c r="T843" s="1129">
        <v>0</v>
      </c>
      <c r="U843" s="1129">
        <v>0</v>
      </c>
      <c r="V843" s="1129">
        <v>0</v>
      </c>
      <c r="W843" s="1167">
        <v>0</v>
      </c>
      <c r="X843" s="1129">
        <v>142939</v>
      </c>
      <c r="Y843" s="1129">
        <v>0</v>
      </c>
    </row>
    <row r="844" spans="1:25" s="1143" customFormat="1" ht="67.900000000000006" customHeight="1">
      <c r="A844" s="1280">
        <v>88</v>
      </c>
      <c r="B844" s="1135" t="s">
        <v>1617</v>
      </c>
      <c r="C844" s="1129">
        <f t="shared" si="391"/>
        <v>2193560</v>
      </c>
      <c r="D844" s="1129">
        <f t="shared" si="392"/>
        <v>0</v>
      </c>
      <c r="E844" s="1129">
        <v>0</v>
      </c>
      <c r="F844" s="1129">
        <v>0</v>
      </c>
      <c r="G844" s="1129">
        <v>0</v>
      </c>
      <c r="H844" s="1129">
        <v>0</v>
      </c>
      <c r="I844" s="1129">
        <v>0</v>
      </c>
      <c r="J844" s="1129">
        <v>0</v>
      </c>
      <c r="K844" s="1136">
        <v>0</v>
      </c>
      <c r="L844" s="1129">
        <v>0</v>
      </c>
      <c r="M844" s="1136">
        <v>0</v>
      </c>
      <c r="N844" s="1129">
        <v>0</v>
      </c>
      <c r="O844" s="1129">
        <v>648.1</v>
      </c>
      <c r="P844" s="1129">
        <v>2034231</v>
      </c>
      <c r="Q844" s="1129">
        <v>0</v>
      </c>
      <c r="R844" s="1129">
        <v>0</v>
      </c>
      <c r="S844" s="1129">
        <v>0</v>
      </c>
      <c r="T844" s="1129">
        <v>0</v>
      </c>
      <c r="U844" s="1129">
        <v>0</v>
      </c>
      <c r="V844" s="1129">
        <v>0</v>
      </c>
      <c r="W844" s="1167">
        <v>0</v>
      </c>
      <c r="X844" s="1129">
        <v>159329</v>
      </c>
      <c r="Y844" s="1129">
        <v>0</v>
      </c>
    </row>
    <row r="845" spans="1:25" s="1143" customFormat="1" ht="63" customHeight="1">
      <c r="A845" s="1280">
        <v>89</v>
      </c>
      <c r="B845" s="1135" t="s">
        <v>1302</v>
      </c>
      <c r="C845" s="1129">
        <f t="shared" si="391"/>
        <v>53033</v>
      </c>
      <c r="D845" s="1129">
        <f t="shared" si="392"/>
        <v>0</v>
      </c>
      <c r="E845" s="1129">
        <v>0</v>
      </c>
      <c r="F845" s="1129">
        <v>0</v>
      </c>
      <c r="G845" s="1129">
        <v>0</v>
      </c>
      <c r="H845" s="1129">
        <v>0</v>
      </c>
      <c r="I845" s="1129">
        <v>0</v>
      </c>
      <c r="J845" s="1129">
        <v>0</v>
      </c>
      <c r="K845" s="1136">
        <v>0</v>
      </c>
      <c r="L845" s="1129">
        <v>0</v>
      </c>
      <c r="M845" s="1136">
        <v>0</v>
      </c>
      <c r="N845" s="1129">
        <v>0</v>
      </c>
      <c r="O845" s="1129">
        <v>0</v>
      </c>
      <c r="P845" s="1129">
        <v>0</v>
      </c>
      <c r="Q845" s="1129">
        <v>0</v>
      </c>
      <c r="R845" s="1129">
        <v>0</v>
      </c>
      <c r="S845" s="1129">
        <v>0</v>
      </c>
      <c r="T845" s="1129">
        <v>0</v>
      </c>
      <c r="U845" s="1129">
        <v>0</v>
      </c>
      <c r="V845" s="1129">
        <v>0</v>
      </c>
      <c r="W845" s="1167">
        <v>0</v>
      </c>
      <c r="X845" s="1129">
        <v>53033</v>
      </c>
      <c r="Y845" s="1129">
        <v>0</v>
      </c>
    </row>
    <row r="846" spans="1:25" s="1143" customFormat="1" ht="63" customHeight="1">
      <c r="A846" s="1280">
        <v>90</v>
      </c>
      <c r="B846" s="1135" t="s">
        <v>1031</v>
      </c>
      <c r="C846" s="1129">
        <f t="shared" si="391"/>
        <v>67897</v>
      </c>
      <c r="D846" s="1129">
        <f t="shared" si="392"/>
        <v>0</v>
      </c>
      <c r="E846" s="1129">
        <v>0</v>
      </c>
      <c r="F846" s="1129">
        <v>0</v>
      </c>
      <c r="G846" s="1129">
        <v>0</v>
      </c>
      <c r="H846" s="1129">
        <v>0</v>
      </c>
      <c r="I846" s="1129">
        <v>0</v>
      </c>
      <c r="J846" s="1129">
        <v>0</v>
      </c>
      <c r="K846" s="1136">
        <v>0</v>
      </c>
      <c r="L846" s="1129">
        <v>0</v>
      </c>
      <c r="M846" s="1136">
        <v>0</v>
      </c>
      <c r="N846" s="1129">
        <v>0</v>
      </c>
      <c r="O846" s="1129">
        <v>0</v>
      </c>
      <c r="P846" s="1129">
        <v>0</v>
      </c>
      <c r="Q846" s="1129">
        <v>0</v>
      </c>
      <c r="R846" s="1129">
        <v>0</v>
      </c>
      <c r="S846" s="1129">
        <v>0</v>
      </c>
      <c r="T846" s="1129">
        <v>0</v>
      </c>
      <c r="U846" s="1129">
        <v>0</v>
      </c>
      <c r="V846" s="1129">
        <v>0</v>
      </c>
      <c r="W846" s="1167">
        <v>0</v>
      </c>
      <c r="X846" s="1129">
        <v>67897</v>
      </c>
      <c r="Y846" s="1129">
        <v>0</v>
      </c>
    </row>
    <row r="847" spans="1:25" s="1143" customFormat="1" ht="65.45" customHeight="1">
      <c r="A847" s="1280">
        <v>91</v>
      </c>
      <c r="B847" s="1135" t="s">
        <v>758</v>
      </c>
      <c r="C847" s="1129">
        <f t="shared" ref="C847:C850" si="393">D847+N847+P847+R847+T847+V847+X847</f>
        <v>708406</v>
      </c>
      <c r="D847" s="1129">
        <f t="shared" ref="D847:D850" si="394">SUM(E847:J847)</f>
        <v>656951</v>
      </c>
      <c r="E847" s="1129">
        <v>378564</v>
      </c>
      <c r="F847" s="1129">
        <v>0</v>
      </c>
      <c r="G847" s="1129">
        <v>0</v>
      </c>
      <c r="H847" s="1129">
        <v>0</v>
      </c>
      <c r="I847" s="1129">
        <v>0</v>
      </c>
      <c r="J847" s="1129">
        <v>278387</v>
      </c>
      <c r="K847" s="1136">
        <v>0</v>
      </c>
      <c r="L847" s="1129">
        <v>0</v>
      </c>
      <c r="M847" s="1136">
        <v>0</v>
      </c>
      <c r="N847" s="1129">
        <v>0</v>
      </c>
      <c r="O847" s="1129">
        <v>0</v>
      </c>
      <c r="P847" s="1129">
        <v>0</v>
      </c>
      <c r="Q847" s="1129">
        <v>0</v>
      </c>
      <c r="R847" s="1129">
        <v>0</v>
      </c>
      <c r="S847" s="1129">
        <v>0</v>
      </c>
      <c r="T847" s="1129">
        <v>0</v>
      </c>
      <c r="U847" s="1129">
        <v>0</v>
      </c>
      <c r="V847" s="1129">
        <v>0</v>
      </c>
      <c r="W847" s="1167">
        <v>0</v>
      </c>
      <c r="X847" s="1129">
        <v>51455</v>
      </c>
      <c r="Y847" s="1129">
        <v>0</v>
      </c>
    </row>
    <row r="848" spans="1:25" s="1143" customFormat="1" ht="65.45" customHeight="1">
      <c r="A848" s="1280">
        <v>92</v>
      </c>
      <c r="B848" s="1135" t="s">
        <v>1343</v>
      </c>
      <c r="C848" s="1129">
        <f t="shared" si="393"/>
        <v>2037865</v>
      </c>
      <c r="D848" s="1129">
        <f t="shared" si="394"/>
        <v>0</v>
      </c>
      <c r="E848" s="1129">
        <v>0</v>
      </c>
      <c r="F848" s="1129">
        <v>0</v>
      </c>
      <c r="G848" s="1129">
        <v>0</v>
      </c>
      <c r="H848" s="1129">
        <v>0</v>
      </c>
      <c r="I848" s="1129">
        <v>0</v>
      </c>
      <c r="J848" s="1129">
        <v>0</v>
      </c>
      <c r="K848" s="1136">
        <v>0</v>
      </c>
      <c r="L848" s="1129">
        <v>0</v>
      </c>
      <c r="M848" s="1136">
        <v>0</v>
      </c>
      <c r="N848" s="1129">
        <v>0</v>
      </c>
      <c r="O848" s="1129">
        <v>750</v>
      </c>
      <c r="P848" s="1129">
        <v>1889845</v>
      </c>
      <c r="Q848" s="1129">
        <v>0</v>
      </c>
      <c r="R848" s="1129">
        <v>0</v>
      </c>
      <c r="S848" s="1129">
        <v>0</v>
      </c>
      <c r="T848" s="1129">
        <v>0</v>
      </c>
      <c r="U848" s="1129">
        <v>0</v>
      </c>
      <c r="V848" s="1129">
        <v>0</v>
      </c>
      <c r="W848" s="1167">
        <v>0</v>
      </c>
      <c r="X848" s="1129">
        <v>148020</v>
      </c>
      <c r="Y848" s="1129">
        <v>0</v>
      </c>
    </row>
    <row r="849" spans="1:25" s="1143" customFormat="1" ht="58.15" customHeight="1">
      <c r="A849" s="1280">
        <v>93</v>
      </c>
      <c r="B849" s="1135" t="s">
        <v>1273</v>
      </c>
      <c r="C849" s="1129">
        <f t="shared" si="393"/>
        <v>2587273</v>
      </c>
      <c r="D849" s="1129">
        <f t="shared" si="394"/>
        <v>0</v>
      </c>
      <c r="E849" s="1129">
        <v>0</v>
      </c>
      <c r="F849" s="1129">
        <v>0</v>
      </c>
      <c r="G849" s="1129">
        <v>0</v>
      </c>
      <c r="H849" s="1129">
        <v>0</v>
      </c>
      <c r="I849" s="1129">
        <v>0</v>
      </c>
      <c r="J849" s="1129">
        <v>0</v>
      </c>
      <c r="K849" s="1136">
        <v>0</v>
      </c>
      <c r="L849" s="1129">
        <v>0</v>
      </c>
      <c r="M849" s="1136">
        <v>0</v>
      </c>
      <c r="N849" s="1129">
        <v>0</v>
      </c>
      <c r="O849" s="1129">
        <v>952.2</v>
      </c>
      <c r="P849" s="1129">
        <v>2399347</v>
      </c>
      <c r="Q849" s="1129">
        <v>0</v>
      </c>
      <c r="R849" s="1129">
        <v>0</v>
      </c>
      <c r="S849" s="1129">
        <v>0</v>
      </c>
      <c r="T849" s="1129">
        <v>0</v>
      </c>
      <c r="U849" s="1129">
        <v>0</v>
      </c>
      <c r="V849" s="1129">
        <v>0</v>
      </c>
      <c r="W849" s="1167">
        <v>0</v>
      </c>
      <c r="X849" s="1129">
        <v>187926</v>
      </c>
      <c r="Y849" s="1129">
        <v>0</v>
      </c>
    </row>
    <row r="850" spans="1:25" s="1143" customFormat="1" ht="64.150000000000006" customHeight="1">
      <c r="A850" s="1280">
        <v>94</v>
      </c>
      <c r="B850" s="1135" t="s">
        <v>1344</v>
      </c>
      <c r="C850" s="1129">
        <f t="shared" si="393"/>
        <v>6881521</v>
      </c>
      <c r="D850" s="1129">
        <f t="shared" si="394"/>
        <v>6381683</v>
      </c>
      <c r="E850" s="1129">
        <v>0</v>
      </c>
      <c r="F850" s="1129">
        <v>6381683</v>
      </c>
      <c r="G850" s="1129">
        <v>0</v>
      </c>
      <c r="H850" s="1129">
        <v>0</v>
      </c>
      <c r="I850" s="1129">
        <v>0</v>
      </c>
      <c r="J850" s="1129">
        <v>0</v>
      </c>
      <c r="K850" s="1136">
        <v>0</v>
      </c>
      <c r="L850" s="1129">
        <v>0</v>
      </c>
      <c r="M850" s="1136">
        <v>0</v>
      </c>
      <c r="N850" s="1129">
        <v>0</v>
      </c>
      <c r="O850" s="1129">
        <v>0</v>
      </c>
      <c r="P850" s="1129">
        <v>0</v>
      </c>
      <c r="Q850" s="1129">
        <v>0</v>
      </c>
      <c r="R850" s="1129">
        <v>0</v>
      </c>
      <c r="S850" s="1129">
        <v>0</v>
      </c>
      <c r="T850" s="1129">
        <v>0</v>
      </c>
      <c r="U850" s="1129">
        <v>0</v>
      </c>
      <c r="V850" s="1129">
        <v>0</v>
      </c>
      <c r="W850" s="1167">
        <v>0</v>
      </c>
      <c r="X850" s="1129">
        <v>499838</v>
      </c>
      <c r="Y850" s="1129">
        <v>0</v>
      </c>
    </row>
    <row r="851" spans="1:25" s="1143" customFormat="1" ht="65.45" customHeight="1">
      <c r="A851" s="1280">
        <v>95</v>
      </c>
      <c r="B851" s="1135" t="s">
        <v>1026</v>
      </c>
      <c r="C851" s="1129">
        <f>D851+N851+P851+R851+T851+V851+X851+Y851</f>
        <v>647870</v>
      </c>
      <c r="D851" s="1129">
        <f t="shared" ref="D851" si="395">SUM(E851:J851)</f>
        <v>0</v>
      </c>
      <c r="E851" s="1129">
        <v>0</v>
      </c>
      <c r="F851" s="1129">
        <v>0</v>
      </c>
      <c r="G851" s="1129">
        <v>0</v>
      </c>
      <c r="H851" s="1129">
        <v>0</v>
      </c>
      <c r="I851" s="1129">
        <v>0</v>
      </c>
      <c r="J851" s="1129">
        <v>0</v>
      </c>
      <c r="K851" s="1136">
        <v>0</v>
      </c>
      <c r="L851" s="1129">
        <v>0</v>
      </c>
      <c r="M851" s="1136">
        <v>0</v>
      </c>
      <c r="N851" s="1129">
        <v>0</v>
      </c>
      <c r="O851" s="1129">
        <v>0</v>
      </c>
      <c r="P851" s="1129">
        <v>0</v>
      </c>
      <c r="Q851" s="1129">
        <v>0</v>
      </c>
      <c r="R851" s="1129">
        <v>0</v>
      </c>
      <c r="S851" s="1129">
        <v>186</v>
      </c>
      <c r="T851" s="1129">
        <v>458993</v>
      </c>
      <c r="U851" s="1129">
        <v>0</v>
      </c>
      <c r="V851" s="1129">
        <v>0</v>
      </c>
      <c r="W851" s="1167">
        <v>0</v>
      </c>
      <c r="X851" s="1129">
        <v>35950</v>
      </c>
      <c r="Y851" s="1129">
        <v>152927</v>
      </c>
    </row>
    <row r="852" spans="1:25" s="1143" customFormat="1" ht="85.15" customHeight="1">
      <c r="A852" s="1280"/>
      <c r="B852" s="1135" t="s">
        <v>1370</v>
      </c>
      <c r="C852" s="1129">
        <f>C853+C854</f>
        <v>4515059.4800000004</v>
      </c>
      <c r="D852" s="1129">
        <f t="shared" ref="D852:Y852" si="396">D853+D854</f>
        <v>0</v>
      </c>
      <c r="E852" s="1129">
        <f t="shared" si="396"/>
        <v>0</v>
      </c>
      <c r="F852" s="1129">
        <f t="shared" si="396"/>
        <v>0</v>
      </c>
      <c r="G852" s="1129">
        <f t="shared" si="396"/>
        <v>0</v>
      </c>
      <c r="H852" s="1129">
        <f t="shared" si="396"/>
        <v>0</v>
      </c>
      <c r="I852" s="1129">
        <f t="shared" si="396"/>
        <v>0</v>
      </c>
      <c r="J852" s="1129">
        <f t="shared" si="396"/>
        <v>0</v>
      </c>
      <c r="K852" s="1136">
        <f t="shared" si="396"/>
        <v>0</v>
      </c>
      <c r="L852" s="1129">
        <f t="shared" si="396"/>
        <v>0</v>
      </c>
      <c r="M852" s="1136">
        <f t="shared" si="396"/>
        <v>0</v>
      </c>
      <c r="N852" s="1129">
        <f t="shared" si="396"/>
        <v>0</v>
      </c>
      <c r="O852" s="1129">
        <f t="shared" si="396"/>
        <v>723</v>
      </c>
      <c r="P852" s="1129">
        <f t="shared" si="396"/>
        <v>2858625.89</v>
      </c>
      <c r="Q852" s="1129">
        <f t="shared" si="396"/>
        <v>0</v>
      </c>
      <c r="R852" s="1129">
        <f t="shared" si="396"/>
        <v>0</v>
      </c>
      <c r="S852" s="1129">
        <f t="shared" si="396"/>
        <v>453.03</v>
      </c>
      <c r="T852" s="1129">
        <f t="shared" si="396"/>
        <v>1328483.02</v>
      </c>
      <c r="U852" s="1129">
        <f t="shared" si="396"/>
        <v>0</v>
      </c>
      <c r="V852" s="1129">
        <f t="shared" si="396"/>
        <v>0</v>
      </c>
      <c r="W852" s="1167">
        <v>0</v>
      </c>
      <c r="X852" s="1129">
        <f t="shared" si="396"/>
        <v>327950.57</v>
      </c>
      <c r="Y852" s="1129">
        <f t="shared" si="396"/>
        <v>0</v>
      </c>
    </row>
    <row r="853" spans="1:25" s="1143" customFormat="1" ht="87.6" customHeight="1">
      <c r="A853" s="1280">
        <v>96</v>
      </c>
      <c r="B853" s="1135" t="s">
        <v>2488</v>
      </c>
      <c r="C853" s="1129">
        <f>D853+N853+P853+R853+T853+V853+X853</f>
        <v>1432534.95</v>
      </c>
      <c r="D853" s="1129">
        <v>0</v>
      </c>
      <c r="E853" s="1129">
        <v>0</v>
      </c>
      <c r="F853" s="1129">
        <v>0</v>
      </c>
      <c r="G853" s="1129">
        <v>0</v>
      </c>
      <c r="H853" s="1129">
        <v>0</v>
      </c>
      <c r="I853" s="1129">
        <v>0</v>
      </c>
      <c r="J853" s="1129">
        <v>0</v>
      </c>
      <c r="K853" s="1136">
        <v>0</v>
      </c>
      <c r="L853" s="1129">
        <v>0</v>
      </c>
      <c r="M853" s="1136">
        <v>0</v>
      </c>
      <c r="N853" s="1129">
        <v>0</v>
      </c>
      <c r="O853" s="1129">
        <v>0</v>
      </c>
      <c r="P853" s="1129">
        <v>0</v>
      </c>
      <c r="Q853" s="1129">
        <v>0</v>
      </c>
      <c r="R853" s="1129">
        <v>0</v>
      </c>
      <c r="S853" s="1129">
        <v>453.03</v>
      </c>
      <c r="T853" s="1129">
        <v>1328483.02</v>
      </c>
      <c r="U853" s="1129">
        <v>0</v>
      </c>
      <c r="V853" s="1129">
        <v>0</v>
      </c>
      <c r="W853" s="1167">
        <v>0</v>
      </c>
      <c r="X853" s="1129">
        <v>104051.93</v>
      </c>
      <c r="Y853" s="1129">
        <v>0</v>
      </c>
    </row>
    <row r="854" spans="1:25" s="1143" customFormat="1" ht="88.9" customHeight="1">
      <c r="A854" s="1280">
        <v>97</v>
      </c>
      <c r="B854" s="1135" t="s">
        <v>2489</v>
      </c>
      <c r="C854" s="1129">
        <f>D854+N854+P854+R854+T854+V854+X854</f>
        <v>3082524.5300000003</v>
      </c>
      <c r="D854" s="1129">
        <v>0</v>
      </c>
      <c r="E854" s="1129">
        <v>0</v>
      </c>
      <c r="F854" s="1129">
        <v>0</v>
      </c>
      <c r="G854" s="1129">
        <v>0</v>
      </c>
      <c r="H854" s="1129">
        <v>0</v>
      </c>
      <c r="I854" s="1129">
        <v>0</v>
      </c>
      <c r="J854" s="1129">
        <v>0</v>
      </c>
      <c r="K854" s="1136">
        <v>0</v>
      </c>
      <c r="L854" s="1129">
        <v>0</v>
      </c>
      <c r="M854" s="1136">
        <v>0</v>
      </c>
      <c r="N854" s="1129">
        <v>0</v>
      </c>
      <c r="O854" s="1129">
        <v>723</v>
      </c>
      <c r="P854" s="1129">
        <v>2858625.89</v>
      </c>
      <c r="Q854" s="1129">
        <v>0</v>
      </c>
      <c r="R854" s="1129">
        <v>0</v>
      </c>
      <c r="S854" s="1129">
        <v>0</v>
      </c>
      <c r="T854" s="1129">
        <v>0</v>
      </c>
      <c r="U854" s="1129">
        <v>0</v>
      </c>
      <c r="V854" s="1129">
        <v>0</v>
      </c>
      <c r="W854" s="1167">
        <v>0</v>
      </c>
      <c r="X854" s="1129">
        <v>223898.64</v>
      </c>
      <c r="Y854" s="1129">
        <v>0</v>
      </c>
    </row>
    <row r="855" spans="1:25" s="1143" customFormat="1" ht="64.150000000000006" customHeight="1">
      <c r="A855" s="1280"/>
      <c r="B855" s="1135" t="s">
        <v>46</v>
      </c>
      <c r="C855" s="1129">
        <f>C856</f>
        <v>2688304.17</v>
      </c>
      <c r="D855" s="1129">
        <f t="shared" ref="D855:Y856" si="397">D856</f>
        <v>2493039.66</v>
      </c>
      <c r="E855" s="1129">
        <f t="shared" si="397"/>
        <v>0</v>
      </c>
      <c r="F855" s="1129">
        <f t="shared" si="397"/>
        <v>2493039.66</v>
      </c>
      <c r="G855" s="1129">
        <f t="shared" si="397"/>
        <v>0</v>
      </c>
      <c r="H855" s="1129">
        <f t="shared" si="397"/>
        <v>0</v>
      </c>
      <c r="I855" s="1129">
        <f t="shared" si="397"/>
        <v>0</v>
      </c>
      <c r="J855" s="1129">
        <f t="shared" si="397"/>
        <v>0</v>
      </c>
      <c r="K855" s="1136">
        <v>0</v>
      </c>
      <c r="L855" s="1129">
        <v>0</v>
      </c>
      <c r="M855" s="1136">
        <f t="shared" si="397"/>
        <v>0</v>
      </c>
      <c r="N855" s="1129">
        <f t="shared" si="397"/>
        <v>0</v>
      </c>
      <c r="O855" s="1129">
        <f t="shared" si="397"/>
        <v>0</v>
      </c>
      <c r="P855" s="1129">
        <f t="shared" si="397"/>
        <v>0</v>
      </c>
      <c r="Q855" s="1129">
        <f t="shared" si="397"/>
        <v>0</v>
      </c>
      <c r="R855" s="1129">
        <f t="shared" si="397"/>
        <v>0</v>
      </c>
      <c r="S855" s="1129">
        <f t="shared" si="397"/>
        <v>0</v>
      </c>
      <c r="T855" s="1129">
        <f t="shared" si="397"/>
        <v>0</v>
      </c>
      <c r="U855" s="1129">
        <f t="shared" si="397"/>
        <v>0</v>
      </c>
      <c r="V855" s="1129">
        <f t="shared" si="397"/>
        <v>0</v>
      </c>
      <c r="W855" s="1167">
        <v>0</v>
      </c>
      <c r="X855" s="1129">
        <f t="shared" si="397"/>
        <v>195264.51</v>
      </c>
      <c r="Y855" s="1129">
        <f t="shared" si="397"/>
        <v>0</v>
      </c>
    </row>
    <row r="856" spans="1:25" s="1143" customFormat="1" ht="125.45" customHeight="1">
      <c r="A856" s="1280"/>
      <c r="B856" s="1135" t="s">
        <v>2490</v>
      </c>
      <c r="C856" s="1129">
        <f>C857</f>
        <v>2688304.17</v>
      </c>
      <c r="D856" s="1129">
        <f t="shared" si="397"/>
        <v>2493039.66</v>
      </c>
      <c r="E856" s="1129">
        <f t="shared" si="397"/>
        <v>0</v>
      </c>
      <c r="F856" s="1129">
        <f t="shared" si="397"/>
        <v>2493039.66</v>
      </c>
      <c r="G856" s="1129">
        <f t="shared" si="397"/>
        <v>0</v>
      </c>
      <c r="H856" s="1129">
        <f t="shared" si="397"/>
        <v>0</v>
      </c>
      <c r="I856" s="1129">
        <f t="shared" si="397"/>
        <v>0</v>
      </c>
      <c r="J856" s="1129">
        <f t="shared" si="397"/>
        <v>0</v>
      </c>
      <c r="K856" s="1136">
        <f t="shared" si="397"/>
        <v>0</v>
      </c>
      <c r="L856" s="1129">
        <f t="shared" si="397"/>
        <v>0</v>
      </c>
      <c r="M856" s="1136">
        <f t="shared" si="397"/>
        <v>0</v>
      </c>
      <c r="N856" s="1129">
        <f t="shared" si="397"/>
        <v>0</v>
      </c>
      <c r="O856" s="1129">
        <f t="shared" si="397"/>
        <v>0</v>
      </c>
      <c r="P856" s="1129">
        <f t="shared" si="397"/>
        <v>0</v>
      </c>
      <c r="Q856" s="1129">
        <f t="shared" si="397"/>
        <v>0</v>
      </c>
      <c r="R856" s="1129">
        <f t="shared" si="397"/>
        <v>0</v>
      </c>
      <c r="S856" s="1129">
        <f t="shared" si="397"/>
        <v>0</v>
      </c>
      <c r="T856" s="1129">
        <f t="shared" si="397"/>
        <v>0</v>
      </c>
      <c r="U856" s="1129">
        <f t="shared" si="397"/>
        <v>0</v>
      </c>
      <c r="V856" s="1129">
        <f t="shared" si="397"/>
        <v>0</v>
      </c>
      <c r="W856" s="1167">
        <v>0</v>
      </c>
      <c r="X856" s="1129">
        <f t="shared" si="397"/>
        <v>195264.51</v>
      </c>
      <c r="Y856" s="1129">
        <f t="shared" si="397"/>
        <v>0</v>
      </c>
    </row>
    <row r="857" spans="1:25" s="1143" customFormat="1" ht="71.45" customHeight="1">
      <c r="A857" s="1280">
        <v>98</v>
      </c>
      <c r="B857" s="1135" t="s">
        <v>1202</v>
      </c>
      <c r="C857" s="1129">
        <f t="shared" ref="C857" si="398">D857+N857+P857+R857+T857+V857+X857</f>
        <v>2688304.17</v>
      </c>
      <c r="D857" s="1129">
        <f t="shared" ref="D857" si="399">SUM(E857:J857)</f>
        <v>2493039.66</v>
      </c>
      <c r="E857" s="1129">
        <v>0</v>
      </c>
      <c r="F857" s="1129">
        <v>2493039.66</v>
      </c>
      <c r="G857" s="1129">
        <v>0</v>
      </c>
      <c r="H857" s="1129">
        <v>0</v>
      </c>
      <c r="I857" s="1129">
        <v>0</v>
      </c>
      <c r="J857" s="1129">
        <v>0</v>
      </c>
      <c r="K857" s="1136">
        <v>0</v>
      </c>
      <c r="L857" s="1129">
        <v>0</v>
      </c>
      <c r="M857" s="1136">
        <v>0</v>
      </c>
      <c r="N857" s="1129">
        <v>0</v>
      </c>
      <c r="O857" s="1129">
        <v>0</v>
      </c>
      <c r="P857" s="1129">
        <v>0</v>
      </c>
      <c r="Q857" s="1129">
        <v>0</v>
      </c>
      <c r="R857" s="1129">
        <v>0</v>
      </c>
      <c r="S857" s="1129">
        <v>0</v>
      </c>
      <c r="T857" s="1129">
        <v>0</v>
      </c>
      <c r="U857" s="1129">
        <v>0</v>
      </c>
      <c r="V857" s="1129">
        <v>0</v>
      </c>
      <c r="W857" s="1167">
        <v>0</v>
      </c>
      <c r="X857" s="1129">
        <v>195264.51</v>
      </c>
      <c r="Y857" s="1129">
        <v>0</v>
      </c>
    </row>
    <row r="858" spans="1:25" s="1143" customFormat="1" ht="98.45" customHeight="1">
      <c r="A858" s="1280"/>
      <c r="B858" s="1135" t="s">
        <v>1649</v>
      </c>
      <c r="C858" s="1129">
        <f>C859+C860</f>
        <v>5475851.4199999999</v>
      </c>
      <c r="D858" s="1129">
        <f t="shared" ref="D858:Y858" si="400">D859+D860</f>
        <v>640110.46</v>
      </c>
      <c r="E858" s="1129">
        <f t="shared" si="400"/>
        <v>640110.46</v>
      </c>
      <c r="F858" s="1129">
        <f t="shared" si="400"/>
        <v>0</v>
      </c>
      <c r="G858" s="1129">
        <f t="shared" si="400"/>
        <v>0</v>
      </c>
      <c r="H858" s="1129">
        <f t="shared" si="400"/>
        <v>0</v>
      </c>
      <c r="I858" s="1129">
        <f t="shared" si="400"/>
        <v>0</v>
      </c>
      <c r="J858" s="1129">
        <f t="shared" si="400"/>
        <v>0</v>
      </c>
      <c r="K858" s="1136">
        <f t="shared" si="400"/>
        <v>0</v>
      </c>
      <c r="L858" s="1129">
        <f t="shared" si="400"/>
        <v>0</v>
      </c>
      <c r="M858" s="1136">
        <f t="shared" si="400"/>
        <v>0</v>
      </c>
      <c r="N858" s="1129">
        <f t="shared" si="400"/>
        <v>0</v>
      </c>
      <c r="O858" s="1129">
        <f t="shared" si="400"/>
        <v>1220</v>
      </c>
      <c r="P858" s="1129">
        <f t="shared" si="400"/>
        <v>4438003.43</v>
      </c>
      <c r="Q858" s="1129">
        <f t="shared" si="400"/>
        <v>0</v>
      </c>
      <c r="R858" s="1129">
        <f t="shared" si="400"/>
        <v>0</v>
      </c>
      <c r="S858" s="1129">
        <f t="shared" si="400"/>
        <v>0</v>
      </c>
      <c r="T858" s="1129">
        <f t="shared" si="400"/>
        <v>0</v>
      </c>
      <c r="U858" s="1129">
        <f t="shared" si="400"/>
        <v>0</v>
      </c>
      <c r="V858" s="1129">
        <f t="shared" si="400"/>
        <v>0</v>
      </c>
      <c r="W858" s="1167">
        <v>0</v>
      </c>
      <c r="X858" s="1129">
        <f t="shared" si="400"/>
        <v>397737.53</v>
      </c>
      <c r="Y858" s="1129">
        <f t="shared" si="400"/>
        <v>0</v>
      </c>
    </row>
    <row r="859" spans="1:25" s="1143" customFormat="1" ht="94.9" customHeight="1">
      <c r="A859" s="1280">
        <v>99</v>
      </c>
      <c r="B859" s="1135" t="s">
        <v>2491</v>
      </c>
      <c r="C859" s="1129">
        <f>D859+N859+P859+R859+T859+V859+X859</f>
        <v>2312763.7800000003</v>
      </c>
      <c r="D859" s="1129">
        <v>0</v>
      </c>
      <c r="E859" s="1129">
        <v>0</v>
      </c>
      <c r="F859" s="1129">
        <v>0</v>
      </c>
      <c r="G859" s="1129">
        <v>0</v>
      </c>
      <c r="H859" s="1129">
        <v>0</v>
      </c>
      <c r="I859" s="1129">
        <v>0</v>
      </c>
      <c r="J859" s="1129">
        <v>0</v>
      </c>
      <c r="K859" s="1136">
        <v>0</v>
      </c>
      <c r="L859" s="1129">
        <v>0</v>
      </c>
      <c r="M859" s="1136">
        <v>0</v>
      </c>
      <c r="N859" s="1129">
        <v>0</v>
      </c>
      <c r="O859" s="1129">
        <v>640</v>
      </c>
      <c r="P859" s="1129">
        <v>2144776.58</v>
      </c>
      <c r="Q859" s="1129">
        <v>0</v>
      </c>
      <c r="R859" s="1129">
        <v>0</v>
      </c>
      <c r="S859" s="1129">
        <v>0</v>
      </c>
      <c r="T859" s="1129">
        <v>0</v>
      </c>
      <c r="U859" s="1129">
        <v>0</v>
      </c>
      <c r="V859" s="1129">
        <v>0</v>
      </c>
      <c r="W859" s="1167">
        <v>0</v>
      </c>
      <c r="X859" s="1129">
        <v>167987.20000000001</v>
      </c>
      <c r="Y859" s="1129">
        <v>0</v>
      </c>
    </row>
    <row r="860" spans="1:25" s="1143" customFormat="1" ht="85.15" customHeight="1">
      <c r="A860" s="1280">
        <v>100</v>
      </c>
      <c r="B860" s="1128" t="s">
        <v>2492</v>
      </c>
      <c r="C860" s="1129">
        <f>D860+N860+P860+R860+T860+V860+X860</f>
        <v>3163087.64</v>
      </c>
      <c r="D860" s="1129">
        <f>SUM(E860:J860)</f>
        <v>640110.46</v>
      </c>
      <c r="E860" s="1129">
        <v>640110.46</v>
      </c>
      <c r="F860" s="1129">
        <v>0</v>
      </c>
      <c r="G860" s="1129">
        <v>0</v>
      </c>
      <c r="H860" s="1129">
        <v>0</v>
      </c>
      <c r="I860" s="1129">
        <v>0</v>
      </c>
      <c r="J860" s="1129">
        <v>0</v>
      </c>
      <c r="K860" s="1136">
        <v>0</v>
      </c>
      <c r="L860" s="1129">
        <v>0</v>
      </c>
      <c r="M860" s="1136">
        <v>0</v>
      </c>
      <c r="N860" s="1129">
        <v>0</v>
      </c>
      <c r="O860" s="1129">
        <v>580</v>
      </c>
      <c r="P860" s="1129">
        <v>2293226.85</v>
      </c>
      <c r="Q860" s="1129">
        <v>0</v>
      </c>
      <c r="R860" s="1129">
        <v>0</v>
      </c>
      <c r="S860" s="1129">
        <v>0</v>
      </c>
      <c r="T860" s="1129">
        <v>0</v>
      </c>
      <c r="U860" s="1129">
        <v>0</v>
      </c>
      <c r="V860" s="1129">
        <v>0</v>
      </c>
      <c r="W860" s="1167">
        <v>0</v>
      </c>
      <c r="X860" s="1129">
        <v>229750.33</v>
      </c>
      <c r="Y860" s="1129">
        <v>0</v>
      </c>
    </row>
    <row r="861" spans="1:25" s="1143" customFormat="1" ht="85.15" customHeight="1">
      <c r="A861" s="1280"/>
      <c r="B861" s="1128" t="s">
        <v>2674</v>
      </c>
      <c r="C861" s="1129">
        <f>C862</f>
        <v>1861026</v>
      </c>
      <c r="D861" s="1129">
        <f t="shared" ref="D861:Y861" si="401">D862</f>
        <v>0</v>
      </c>
      <c r="E861" s="1129">
        <f t="shared" si="401"/>
        <v>0</v>
      </c>
      <c r="F861" s="1129">
        <f t="shared" si="401"/>
        <v>0</v>
      </c>
      <c r="G861" s="1129">
        <f t="shared" si="401"/>
        <v>0</v>
      </c>
      <c r="H861" s="1129">
        <f t="shared" si="401"/>
        <v>0</v>
      </c>
      <c r="I861" s="1129">
        <f t="shared" si="401"/>
        <v>0</v>
      </c>
      <c r="J861" s="1129">
        <f t="shared" si="401"/>
        <v>0</v>
      </c>
      <c r="K861" s="1129">
        <f t="shared" si="401"/>
        <v>0</v>
      </c>
      <c r="L861" s="1129">
        <f t="shared" si="401"/>
        <v>0</v>
      </c>
      <c r="M861" s="1129">
        <f t="shared" si="401"/>
        <v>0</v>
      </c>
      <c r="N861" s="1129">
        <f t="shared" si="401"/>
        <v>0</v>
      </c>
      <c r="O861" s="1129">
        <f t="shared" si="401"/>
        <v>662.8</v>
      </c>
      <c r="P861" s="1129">
        <f t="shared" si="401"/>
        <v>1725851</v>
      </c>
      <c r="Q861" s="1129">
        <f t="shared" si="401"/>
        <v>0</v>
      </c>
      <c r="R861" s="1129">
        <f t="shared" si="401"/>
        <v>0</v>
      </c>
      <c r="S861" s="1129">
        <f t="shared" si="401"/>
        <v>0</v>
      </c>
      <c r="T861" s="1129">
        <f t="shared" si="401"/>
        <v>0</v>
      </c>
      <c r="U861" s="1129">
        <f t="shared" si="401"/>
        <v>0</v>
      </c>
      <c r="V861" s="1129">
        <f t="shared" si="401"/>
        <v>0</v>
      </c>
      <c r="W861" s="1129">
        <f t="shared" si="401"/>
        <v>0</v>
      </c>
      <c r="X861" s="1129">
        <f t="shared" si="401"/>
        <v>135175</v>
      </c>
      <c r="Y861" s="1129">
        <f t="shared" si="401"/>
        <v>0</v>
      </c>
    </row>
    <row r="862" spans="1:25" s="1143" customFormat="1" ht="111" customHeight="1">
      <c r="A862" s="1280">
        <v>101</v>
      </c>
      <c r="B862" s="1128" t="s">
        <v>3028</v>
      </c>
      <c r="C862" s="1129">
        <f t="shared" ref="C862" si="402">D862+N862+P862+R862+T862+V862+X862</f>
        <v>1861026</v>
      </c>
      <c r="D862" s="1129">
        <f t="shared" ref="D862" si="403">SUM(E862:J862)</f>
        <v>0</v>
      </c>
      <c r="E862" s="1129">
        <v>0</v>
      </c>
      <c r="F862" s="1129">
        <v>0</v>
      </c>
      <c r="G862" s="1129">
        <v>0</v>
      </c>
      <c r="H862" s="1129">
        <v>0</v>
      </c>
      <c r="I862" s="1129">
        <v>0</v>
      </c>
      <c r="J862" s="1129">
        <v>0</v>
      </c>
      <c r="K862" s="1136">
        <v>0</v>
      </c>
      <c r="L862" s="1129">
        <v>0</v>
      </c>
      <c r="M862" s="1136">
        <v>0</v>
      </c>
      <c r="N862" s="1129">
        <v>0</v>
      </c>
      <c r="O862" s="1129">
        <v>662.8</v>
      </c>
      <c r="P862" s="1129">
        <v>1725851</v>
      </c>
      <c r="Q862" s="1129">
        <v>0</v>
      </c>
      <c r="R862" s="1129">
        <v>0</v>
      </c>
      <c r="S862" s="1129">
        <v>0</v>
      </c>
      <c r="T862" s="1129">
        <v>0</v>
      </c>
      <c r="U862" s="1129">
        <v>0</v>
      </c>
      <c r="V862" s="1129">
        <v>0</v>
      </c>
      <c r="W862" s="1167">
        <v>0</v>
      </c>
      <c r="X862" s="1129">
        <v>135175</v>
      </c>
      <c r="Y862" s="1129">
        <v>0</v>
      </c>
    </row>
    <row r="863" spans="1:25" s="1143" customFormat="1" ht="94.9" customHeight="1">
      <c r="A863" s="1280"/>
      <c r="B863" s="1135" t="s">
        <v>49</v>
      </c>
      <c r="C863" s="1129">
        <f>C864+C866+C875+C877+C880+C869+C873</f>
        <v>36973838.799999997</v>
      </c>
      <c r="D863" s="1129">
        <f t="shared" ref="D863:Y863" si="404">D864+D866+D875+D877+D880+D869+D873</f>
        <v>5657701</v>
      </c>
      <c r="E863" s="1129">
        <f t="shared" si="404"/>
        <v>0</v>
      </c>
      <c r="F863" s="1129">
        <f t="shared" si="404"/>
        <v>5657701</v>
      </c>
      <c r="G863" s="1129">
        <f t="shared" si="404"/>
        <v>0</v>
      </c>
      <c r="H863" s="1129">
        <f t="shared" si="404"/>
        <v>0</v>
      </c>
      <c r="I863" s="1129">
        <f t="shared" si="404"/>
        <v>0</v>
      </c>
      <c r="J863" s="1129">
        <f t="shared" si="404"/>
        <v>0</v>
      </c>
      <c r="K863" s="1129">
        <f t="shared" si="404"/>
        <v>0</v>
      </c>
      <c r="L863" s="1129">
        <f t="shared" si="404"/>
        <v>0</v>
      </c>
      <c r="M863" s="1129">
        <f t="shared" si="404"/>
        <v>0</v>
      </c>
      <c r="N863" s="1129">
        <f t="shared" si="404"/>
        <v>0</v>
      </c>
      <c r="O863" s="1129">
        <f t="shared" si="404"/>
        <v>8273.48</v>
      </c>
      <c r="P863" s="1129">
        <f t="shared" si="404"/>
        <v>28630549.759999998</v>
      </c>
      <c r="Q863" s="1129">
        <f t="shared" si="404"/>
        <v>0</v>
      </c>
      <c r="R863" s="1129">
        <f t="shared" si="404"/>
        <v>0</v>
      </c>
      <c r="S863" s="1129">
        <f t="shared" si="404"/>
        <v>0</v>
      </c>
      <c r="T863" s="1129">
        <f t="shared" si="404"/>
        <v>0</v>
      </c>
      <c r="U863" s="1129">
        <f t="shared" si="404"/>
        <v>0</v>
      </c>
      <c r="V863" s="1129">
        <f t="shared" si="404"/>
        <v>0</v>
      </c>
      <c r="W863" s="1129">
        <f t="shared" si="404"/>
        <v>0</v>
      </c>
      <c r="X863" s="1129">
        <f t="shared" si="404"/>
        <v>2685588.04</v>
      </c>
      <c r="Y863" s="1129">
        <f t="shared" si="404"/>
        <v>0</v>
      </c>
    </row>
    <row r="864" spans="1:25" s="1143" customFormat="1" ht="104.45" customHeight="1">
      <c r="A864" s="1280"/>
      <c r="B864" s="1135" t="s">
        <v>1065</v>
      </c>
      <c r="C864" s="1129">
        <f>C865</f>
        <v>2485631.81</v>
      </c>
      <c r="D864" s="1129">
        <f t="shared" ref="D864:Y864" si="405">D865</f>
        <v>0</v>
      </c>
      <c r="E864" s="1129">
        <f t="shared" si="405"/>
        <v>0</v>
      </c>
      <c r="F864" s="1129">
        <f t="shared" si="405"/>
        <v>0</v>
      </c>
      <c r="G864" s="1129">
        <f t="shared" si="405"/>
        <v>0</v>
      </c>
      <c r="H864" s="1129">
        <f t="shared" si="405"/>
        <v>0</v>
      </c>
      <c r="I864" s="1129">
        <f t="shared" si="405"/>
        <v>0</v>
      </c>
      <c r="J864" s="1129">
        <f t="shared" si="405"/>
        <v>0</v>
      </c>
      <c r="K864" s="1136">
        <v>0</v>
      </c>
      <c r="L864" s="1129">
        <v>0</v>
      </c>
      <c r="M864" s="1136">
        <v>0</v>
      </c>
      <c r="N864" s="1129">
        <f t="shared" si="405"/>
        <v>0</v>
      </c>
      <c r="O864" s="1129">
        <f t="shared" si="405"/>
        <v>583</v>
      </c>
      <c r="P864" s="1129">
        <f t="shared" si="405"/>
        <v>2305088.37</v>
      </c>
      <c r="Q864" s="1129">
        <f t="shared" si="405"/>
        <v>0</v>
      </c>
      <c r="R864" s="1129">
        <f t="shared" si="405"/>
        <v>0</v>
      </c>
      <c r="S864" s="1129">
        <f t="shared" si="405"/>
        <v>0</v>
      </c>
      <c r="T864" s="1129">
        <f t="shared" si="405"/>
        <v>0</v>
      </c>
      <c r="U864" s="1129">
        <f t="shared" si="405"/>
        <v>0</v>
      </c>
      <c r="V864" s="1129">
        <f t="shared" si="405"/>
        <v>0</v>
      </c>
      <c r="W864" s="1167">
        <v>0</v>
      </c>
      <c r="X864" s="1129">
        <f t="shared" si="405"/>
        <v>180543.44</v>
      </c>
      <c r="Y864" s="1129">
        <f t="shared" si="405"/>
        <v>0</v>
      </c>
    </row>
    <row r="865" spans="1:25" s="1143" customFormat="1" ht="85.15" customHeight="1">
      <c r="A865" s="1280">
        <v>102</v>
      </c>
      <c r="B865" s="1135" t="s">
        <v>1186</v>
      </c>
      <c r="C865" s="1129">
        <f>D865+N865+P865+R865+T865+V865+X865</f>
        <v>2485631.81</v>
      </c>
      <c r="D865" s="1129">
        <v>0</v>
      </c>
      <c r="E865" s="1129">
        <v>0</v>
      </c>
      <c r="F865" s="1129">
        <v>0</v>
      </c>
      <c r="G865" s="1129">
        <v>0</v>
      </c>
      <c r="H865" s="1129">
        <v>0</v>
      </c>
      <c r="I865" s="1129">
        <v>0</v>
      </c>
      <c r="J865" s="1129">
        <v>0</v>
      </c>
      <c r="K865" s="1136">
        <v>0</v>
      </c>
      <c r="L865" s="1129">
        <v>0</v>
      </c>
      <c r="M865" s="1136">
        <v>0</v>
      </c>
      <c r="N865" s="1129">
        <v>0</v>
      </c>
      <c r="O865" s="1129">
        <v>583</v>
      </c>
      <c r="P865" s="1129">
        <v>2305088.37</v>
      </c>
      <c r="Q865" s="1129">
        <v>0</v>
      </c>
      <c r="R865" s="1129">
        <v>0</v>
      </c>
      <c r="S865" s="1129">
        <v>0</v>
      </c>
      <c r="T865" s="1129">
        <v>0</v>
      </c>
      <c r="U865" s="1129">
        <v>0</v>
      </c>
      <c r="V865" s="1129">
        <v>0</v>
      </c>
      <c r="W865" s="1167">
        <v>0</v>
      </c>
      <c r="X865" s="1129">
        <v>180543.44</v>
      </c>
      <c r="Y865" s="1129">
        <v>0</v>
      </c>
    </row>
    <row r="866" spans="1:25" s="1143" customFormat="1" ht="140.44999999999999" customHeight="1">
      <c r="A866" s="1280"/>
      <c r="B866" s="1135" t="s">
        <v>1125</v>
      </c>
      <c r="C866" s="1129">
        <f>C867+C868</f>
        <v>5275992.25</v>
      </c>
      <c r="D866" s="1129">
        <f t="shared" ref="D866:Y866" si="406">D867+D868</f>
        <v>0</v>
      </c>
      <c r="E866" s="1129">
        <f t="shared" si="406"/>
        <v>0</v>
      </c>
      <c r="F866" s="1129">
        <f t="shared" si="406"/>
        <v>0</v>
      </c>
      <c r="G866" s="1129">
        <f t="shared" si="406"/>
        <v>0</v>
      </c>
      <c r="H866" s="1129">
        <f t="shared" si="406"/>
        <v>0</v>
      </c>
      <c r="I866" s="1129">
        <f t="shared" si="406"/>
        <v>0</v>
      </c>
      <c r="J866" s="1129">
        <f t="shared" si="406"/>
        <v>0</v>
      </c>
      <c r="K866" s="1129">
        <f t="shared" si="406"/>
        <v>0</v>
      </c>
      <c r="L866" s="1129">
        <f t="shared" si="406"/>
        <v>0</v>
      </c>
      <c r="M866" s="1129">
        <f t="shared" si="406"/>
        <v>0</v>
      </c>
      <c r="N866" s="1129">
        <f t="shared" si="406"/>
        <v>0</v>
      </c>
      <c r="O866" s="1129">
        <f t="shared" si="406"/>
        <v>1460</v>
      </c>
      <c r="P866" s="1129">
        <f t="shared" si="406"/>
        <v>4892771.6500000004</v>
      </c>
      <c r="Q866" s="1129">
        <f t="shared" si="406"/>
        <v>0</v>
      </c>
      <c r="R866" s="1129">
        <f t="shared" si="406"/>
        <v>0</v>
      </c>
      <c r="S866" s="1129">
        <f t="shared" si="406"/>
        <v>0</v>
      </c>
      <c r="T866" s="1129">
        <f t="shared" si="406"/>
        <v>0</v>
      </c>
      <c r="U866" s="1129">
        <f t="shared" si="406"/>
        <v>0</v>
      </c>
      <c r="V866" s="1129">
        <f t="shared" si="406"/>
        <v>0</v>
      </c>
      <c r="W866" s="1129">
        <f t="shared" si="406"/>
        <v>0</v>
      </c>
      <c r="X866" s="1129">
        <f t="shared" si="406"/>
        <v>383220.6</v>
      </c>
      <c r="Y866" s="1129">
        <f t="shared" si="406"/>
        <v>0</v>
      </c>
    </row>
    <row r="867" spans="1:25" s="1143" customFormat="1" ht="66.599999999999994" customHeight="1">
      <c r="A867" s="1280">
        <v>103</v>
      </c>
      <c r="B867" s="1128" t="s">
        <v>1217</v>
      </c>
      <c r="C867" s="1129">
        <f>D867+N867+P867+R867+T867+V867+X867</f>
        <v>2601859.25</v>
      </c>
      <c r="D867" s="1129">
        <v>0</v>
      </c>
      <c r="E867" s="1129">
        <v>0</v>
      </c>
      <c r="F867" s="1129">
        <v>0</v>
      </c>
      <c r="G867" s="1129">
        <v>0</v>
      </c>
      <c r="H867" s="1129">
        <v>0</v>
      </c>
      <c r="I867" s="1129">
        <v>0</v>
      </c>
      <c r="J867" s="1129">
        <v>0</v>
      </c>
      <c r="K867" s="1136">
        <v>0</v>
      </c>
      <c r="L867" s="1129">
        <v>0</v>
      </c>
      <c r="M867" s="1136">
        <v>0</v>
      </c>
      <c r="N867" s="1129">
        <v>0</v>
      </c>
      <c r="O867" s="1129">
        <v>720</v>
      </c>
      <c r="P867" s="1129">
        <v>2412873.65</v>
      </c>
      <c r="Q867" s="1129">
        <v>0</v>
      </c>
      <c r="R867" s="1129">
        <v>0</v>
      </c>
      <c r="S867" s="1129">
        <v>0</v>
      </c>
      <c r="T867" s="1129">
        <v>0</v>
      </c>
      <c r="U867" s="1129">
        <v>0</v>
      </c>
      <c r="V867" s="1129">
        <v>0</v>
      </c>
      <c r="W867" s="1167">
        <v>0</v>
      </c>
      <c r="X867" s="1129">
        <v>188985.60000000001</v>
      </c>
      <c r="Y867" s="1129">
        <v>0</v>
      </c>
    </row>
    <row r="868" spans="1:25" s="1143" customFormat="1" ht="66.599999999999994" customHeight="1">
      <c r="A868" s="1280">
        <v>104</v>
      </c>
      <c r="B868" s="1128" t="s">
        <v>2631</v>
      </c>
      <c r="C868" s="1129">
        <f>D868+N868+P868+R868+T868+V868+X868</f>
        <v>2674133</v>
      </c>
      <c r="D868" s="1129">
        <v>0</v>
      </c>
      <c r="E868" s="1129"/>
      <c r="F868" s="1129"/>
      <c r="G868" s="1129"/>
      <c r="H868" s="1129"/>
      <c r="I868" s="1129"/>
      <c r="J868" s="1129"/>
      <c r="K868" s="1136"/>
      <c r="L868" s="1129"/>
      <c r="M868" s="1136"/>
      <c r="N868" s="1129"/>
      <c r="O868" s="1129">
        <v>740</v>
      </c>
      <c r="P868" s="1129">
        <v>2479898</v>
      </c>
      <c r="Q868" s="1129"/>
      <c r="R868" s="1129"/>
      <c r="S868" s="1129"/>
      <c r="T868" s="1129"/>
      <c r="U868" s="1129"/>
      <c r="V868" s="1129"/>
      <c r="W868" s="1167"/>
      <c r="X868" s="1129">
        <v>194235</v>
      </c>
      <c r="Y868" s="1129"/>
    </row>
    <row r="869" spans="1:25" s="1143" customFormat="1" ht="111.6" customHeight="1">
      <c r="A869" s="1280"/>
      <c r="B869" s="1135" t="s">
        <v>1317</v>
      </c>
      <c r="C869" s="1129">
        <f>C870+C871+C872</f>
        <v>11161450</v>
      </c>
      <c r="D869" s="1129">
        <f t="shared" ref="D869:Y869" si="407">D870+D871+D872</f>
        <v>5657701</v>
      </c>
      <c r="E869" s="1129">
        <f t="shared" si="407"/>
        <v>0</v>
      </c>
      <c r="F869" s="1129">
        <f t="shared" si="407"/>
        <v>5657701</v>
      </c>
      <c r="G869" s="1129">
        <f t="shared" si="407"/>
        <v>0</v>
      </c>
      <c r="H869" s="1129">
        <f t="shared" si="407"/>
        <v>0</v>
      </c>
      <c r="I869" s="1129">
        <f t="shared" si="407"/>
        <v>0</v>
      </c>
      <c r="J869" s="1129">
        <f t="shared" si="407"/>
        <v>0</v>
      </c>
      <c r="K869" s="1129">
        <f t="shared" si="407"/>
        <v>0</v>
      </c>
      <c r="L869" s="1129">
        <f t="shared" si="407"/>
        <v>0</v>
      </c>
      <c r="M869" s="1129">
        <f t="shared" si="407"/>
        <v>0</v>
      </c>
      <c r="N869" s="1129">
        <f t="shared" si="407"/>
        <v>0</v>
      </c>
      <c r="O869" s="1129">
        <f t="shared" si="407"/>
        <v>1400.4</v>
      </c>
      <c r="P869" s="1129">
        <f t="shared" si="407"/>
        <v>4693039</v>
      </c>
      <c r="Q869" s="1129">
        <f t="shared" si="407"/>
        <v>0</v>
      </c>
      <c r="R869" s="1129">
        <f t="shared" si="407"/>
        <v>0</v>
      </c>
      <c r="S869" s="1129">
        <f t="shared" si="407"/>
        <v>0</v>
      </c>
      <c r="T869" s="1129">
        <f t="shared" si="407"/>
        <v>0</v>
      </c>
      <c r="U869" s="1129">
        <f t="shared" si="407"/>
        <v>0</v>
      </c>
      <c r="V869" s="1129">
        <f t="shared" si="407"/>
        <v>0</v>
      </c>
      <c r="W869" s="1129">
        <f t="shared" si="407"/>
        <v>0</v>
      </c>
      <c r="X869" s="1129">
        <f t="shared" si="407"/>
        <v>810710</v>
      </c>
      <c r="Y869" s="1129">
        <f t="shared" si="407"/>
        <v>0</v>
      </c>
    </row>
    <row r="870" spans="1:25" s="1143" customFormat="1" ht="66.599999999999994" customHeight="1">
      <c r="A870" s="1280">
        <v>105</v>
      </c>
      <c r="B870" s="1128" t="s">
        <v>2625</v>
      </c>
      <c r="C870" s="1129">
        <f>D870+N870+P870+R870+T870+V870+X870</f>
        <v>2523803</v>
      </c>
      <c r="D870" s="1129">
        <f t="shared" ref="D870:D872" si="408">SUM(E870:J870)</f>
        <v>0</v>
      </c>
      <c r="E870" s="1129">
        <v>0</v>
      </c>
      <c r="F870" s="1129">
        <v>0</v>
      </c>
      <c r="G870" s="1129">
        <v>0</v>
      </c>
      <c r="H870" s="1129">
        <v>0</v>
      </c>
      <c r="I870" s="1129">
        <v>0</v>
      </c>
      <c r="J870" s="1129">
        <v>0</v>
      </c>
      <c r="K870" s="1136">
        <v>0</v>
      </c>
      <c r="L870" s="1129">
        <v>0</v>
      </c>
      <c r="M870" s="1136">
        <v>0</v>
      </c>
      <c r="N870" s="1129">
        <v>0</v>
      </c>
      <c r="O870" s="1129">
        <v>698.4</v>
      </c>
      <c r="P870" s="1129">
        <v>2340487</v>
      </c>
      <c r="Q870" s="1129">
        <v>0</v>
      </c>
      <c r="R870" s="1129">
        <v>0</v>
      </c>
      <c r="S870" s="1129">
        <v>0</v>
      </c>
      <c r="T870" s="1129">
        <v>0</v>
      </c>
      <c r="U870" s="1129">
        <v>0</v>
      </c>
      <c r="V870" s="1129">
        <v>0</v>
      </c>
      <c r="W870" s="1167">
        <v>0</v>
      </c>
      <c r="X870" s="1129">
        <v>183316</v>
      </c>
      <c r="Y870" s="1129">
        <v>0</v>
      </c>
    </row>
    <row r="871" spans="1:25" s="1143" customFormat="1" ht="66.599999999999994" customHeight="1">
      <c r="A871" s="1280">
        <v>106</v>
      </c>
      <c r="B871" s="1128" t="s">
        <v>2626</v>
      </c>
      <c r="C871" s="1129">
        <f>D871+N871+P871+R871+T871+V871+X871</f>
        <v>2536813</v>
      </c>
      <c r="D871" s="1129">
        <f t="shared" si="408"/>
        <v>0</v>
      </c>
      <c r="E871" s="1129">
        <v>0</v>
      </c>
      <c r="F871" s="1129">
        <v>0</v>
      </c>
      <c r="G871" s="1129">
        <v>0</v>
      </c>
      <c r="H871" s="1129">
        <v>0</v>
      </c>
      <c r="I871" s="1129">
        <v>0</v>
      </c>
      <c r="J871" s="1129">
        <v>0</v>
      </c>
      <c r="K871" s="1136">
        <v>0</v>
      </c>
      <c r="L871" s="1129">
        <v>0</v>
      </c>
      <c r="M871" s="1136">
        <v>0</v>
      </c>
      <c r="N871" s="1129">
        <v>0</v>
      </c>
      <c r="O871" s="1129">
        <v>702</v>
      </c>
      <c r="P871" s="1129">
        <v>2352552</v>
      </c>
      <c r="Q871" s="1129">
        <v>0</v>
      </c>
      <c r="R871" s="1129">
        <v>0</v>
      </c>
      <c r="S871" s="1129">
        <v>0</v>
      </c>
      <c r="T871" s="1129">
        <v>0</v>
      </c>
      <c r="U871" s="1129">
        <v>0</v>
      </c>
      <c r="V871" s="1129">
        <v>0</v>
      </c>
      <c r="W871" s="1167">
        <v>0</v>
      </c>
      <c r="X871" s="1129">
        <v>184261</v>
      </c>
      <c r="Y871" s="1129">
        <v>0</v>
      </c>
    </row>
    <row r="872" spans="1:25" s="1143" customFormat="1" ht="66.599999999999994" customHeight="1">
      <c r="A872" s="1280">
        <v>107</v>
      </c>
      <c r="B872" s="1128" t="s">
        <v>2627</v>
      </c>
      <c r="C872" s="1129">
        <f>D872+N872+P872+R872+T872+V872+X872</f>
        <v>6100834</v>
      </c>
      <c r="D872" s="1129">
        <f t="shared" si="408"/>
        <v>5657701</v>
      </c>
      <c r="E872" s="1129">
        <v>0</v>
      </c>
      <c r="F872" s="1129">
        <v>5657701</v>
      </c>
      <c r="G872" s="1129">
        <v>0</v>
      </c>
      <c r="H872" s="1129">
        <v>0</v>
      </c>
      <c r="I872" s="1129">
        <v>0</v>
      </c>
      <c r="J872" s="1129">
        <v>0</v>
      </c>
      <c r="K872" s="1136">
        <v>0</v>
      </c>
      <c r="L872" s="1129">
        <v>0</v>
      </c>
      <c r="M872" s="1136">
        <v>0</v>
      </c>
      <c r="N872" s="1129">
        <v>0</v>
      </c>
      <c r="O872" s="1129">
        <v>0</v>
      </c>
      <c r="P872" s="1129">
        <v>0</v>
      </c>
      <c r="Q872" s="1129">
        <v>0</v>
      </c>
      <c r="R872" s="1129">
        <v>0</v>
      </c>
      <c r="S872" s="1129">
        <v>0</v>
      </c>
      <c r="T872" s="1129">
        <v>0</v>
      </c>
      <c r="U872" s="1129">
        <v>0</v>
      </c>
      <c r="V872" s="1129">
        <v>0</v>
      </c>
      <c r="W872" s="1167">
        <v>0</v>
      </c>
      <c r="X872" s="1129">
        <v>443133</v>
      </c>
      <c r="Y872" s="1129">
        <v>0</v>
      </c>
    </row>
    <row r="873" spans="1:25" s="1143" customFormat="1" ht="105.6" customHeight="1">
      <c r="A873" s="1280"/>
      <c r="B873" s="1135" t="s">
        <v>2655</v>
      </c>
      <c r="C873" s="1129">
        <f>C874</f>
        <v>1808834</v>
      </c>
      <c r="D873" s="1129">
        <f t="shared" ref="D873:Y875" si="409">D874</f>
        <v>0</v>
      </c>
      <c r="E873" s="1129">
        <f t="shared" si="409"/>
        <v>0</v>
      </c>
      <c r="F873" s="1129">
        <f t="shared" si="409"/>
        <v>0</v>
      </c>
      <c r="G873" s="1129">
        <f t="shared" si="409"/>
        <v>0</v>
      </c>
      <c r="H873" s="1129">
        <f t="shared" si="409"/>
        <v>0</v>
      </c>
      <c r="I873" s="1129">
        <f t="shared" si="409"/>
        <v>0</v>
      </c>
      <c r="J873" s="1129">
        <f t="shared" si="409"/>
        <v>0</v>
      </c>
      <c r="K873" s="1136">
        <f t="shared" si="409"/>
        <v>0</v>
      </c>
      <c r="L873" s="1129">
        <f t="shared" si="409"/>
        <v>0</v>
      </c>
      <c r="M873" s="1136">
        <f t="shared" si="409"/>
        <v>0</v>
      </c>
      <c r="N873" s="1129">
        <f t="shared" si="409"/>
        <v>0</v>
      </c>
      <c r="O873" s="1129">
        <f t="shared" si="409"/>
        <v>500.55</v>
      </c>
      <c r="P873" s="1129">
        <f t="shared" si="409"/>
        <v>1677450</v>
      </c>
      <c r="Q873" s="1129">
        <f t="shared" si="409"/>
        <v>0</v>
      </c>
      <c r="R873" s="1129">
        <f t="shared" si="409"/>
        <v>0</v>
      </c>
      <c r="S873" s="1129">
        <f t="shared" si="409"/>
        <v>0</v>
      </c>
      <c r="T873" s="1129">
        <f t="shared" si="409"/>
        <v>0</v>
      </c>
      <c r="U873" s="1129">
        <f t="shared" si="409"/>
        <v>0</v>
      </c>
      <c r="V873" s="1129">
        <f t="shared" si="409"/>
        <v>0</v>
      </c>
      <c r="W873" s="1129">
        <f t="shared" si="409"/>
        <v>0</v>
      </c>
      <c r="X873" s="1129">
        <f t="shared" si="409"/>
        <v>131384</v>
      </c>
      <c r="Y873" s="1129">
        <f t="shared" si="409"/>
        <v>0</v>
      </c>
    </row>
    <row r="874" spans="1:25" s="1143" customFormat="1" ht="120" customHeight="1">
      <c r="A874" s="1280">
        <v>108</v>
      </c>
      <c r="B874" s="1135" t="s">
        <v>3029</v>
      </c>
      <c r="C874" s="1129">
        <f>D874+N874+P874+R874+T874+V874+X874</f>
        <v>1808834</v>
      </c>
      <c r="D874" s="1129">
        <f>SUM(E874:J874)</f>
        <v>0</v>
      </c>
      <c r="E874" s="1129">
        <v>0</v>
      </c>
      <c r="F874" s="1129">
        <v>0</v>
      </c>
      <c r="G874" s="1129">
        <v>0</v>
      </c>
      <c r="H874" s="1129">
        <v>0</v>
      </c>
      <c r="I874" s="1129">
        <v>0</v>
      </c>
      <c r="J874" s="1129">
        <v>0</v>
      </c>
      <c r="K874" s="1136">
        <v>0</v>
      </c>
      <c r="L874" s="1129">
        <v>0</v>
      </c>
      <c r="M874" s="1136">
        <v>0</v>
      </c>
      <c r="N874" s="1129">
        <v>0</v>
      </c>
      <c r="O874" s="1129">
        <v>500.55</v>
      </c>
      <c r="P874" s="1129">
        <v>1677450</v>
      </c>
      <c r="Q874" s="1129">
        <v>0</v>
      </c>
      <c r="R874" s="1129">
        <v>0</v>
      </c>
      <c r="S874" s="1129">
        <v>0</v>
      </c>
      <c r="T874" s="1129">
        <v>0</v>
      </c>
      <c r="U874" s="1129">
        <v>0</v>
      </c>
      <c r="V874" s="1129">
        <v>0</v>
      </c>
      <c r="W874" s="1129">
        <v>0</v>
      </c>
      <c r="X874" s="1129">
        <v>131384</v>
      </c>
      <c r="Y874" s="1129">
        <v>0</v>
      </c>
    </row>
    <row r="875" spans="1:25" s="1152" customFormat="1" ht="126" customHeight="1">
      <c r="A875" s="1280"/>
      <c r="B875" s="1135" t="s">
        <v>1140</v>
      </c>
      <c r="C875" s="1129">
        <f>C876</f>
        <v>1921117</v>
      </c>
      <c r="D875" s="1129">
        <f t="shared" si="409"/>
        <v>0</v>
      </c>
      <c r="E875" s="1129">
        <f t="shared" si="409"/>
        <v>0</v>
      </c>
      <c r="F875" s="1129">
        <f t="shared" si="409"/>
        <v>0</v>
      </c>
      <c r="G875" s="1129">
        <f t="shared" si="409"/>
        <v>0</v>
      </c>
      <c r="H875" s="1129">
        <f t="shared" si="409"/>
        <v>0</v>
      </c>
      <c r="I875" s="1129">
        <f t="shared" si="409"/>
        <v>0</v>
      </c>
      <c r="J875" s="1129">
        <f t="shared" si="409"/>
        <v>0</v>
      </c>
      <c r="K875" s="1136">
        <f t="shared" si="409"/>
        <v>0</v>
      </c>
      <c r="L875" s="1129">
        <f t="shared" si="409"/>
        <v>0</v>
      </c>
      <c r="M875" s="1136">
        <f t="shared" si="409"/>
        <v>0</v>
      </c>
      <c r="N875" s="1129">
        <f t="shared" si="409"/>
        <v>0</v>
      </c>
      <c r="O875" s="1129">
        <f t="shared" si="409"/>
        <v>366.6</v>
      </c>
      <c r="P875" s="1129">
        <f t="shared" si="409"/>
        <v>1781577</v>
      </c>
      <c r="Q875" s="1129">
        <f t="shared" si="409"/>
        <v>0</v>
      </c>
      <c r="R875" s="1129">
        <f t="shared" si="409"/>
        <v>0</v>
      </c>
      <c r="S875" s="1129">
        <f t="shared" si="409"/>
        <v>0</v>
      </c>
      <c r="T875" s="1129">
        <f t="shared" si="409"/>
        <v>0</v>
      </c>
      <c r="U875" s="1129">
        <f t="shared" si="409"/>
        <v>0</v>
      </c>
      <c r="V875" s="1129">
        <f t="shared" si="409"/>
        <v>0</v>
      </c>
      <c r="W875" s="1129">
        <f t="shared" si="409"/>
        <v>0</v>
      </c>
      <c r="X875" s="1129">
        <f t="shared" si="409"/>
        <v>139540</v>
      </c>
      <c r="Y875" s="1129">
        <f t="shared" si="409"/>
        <v>0</v>
      </c>
    </row>
    <row r="876" spans="1:25" s="1152" customFormat="1" ht="114" customHeight="1">
      <c r="A876" s="1280">
        <v>109</v>
      </c>
      <c r="B876" s="1135" t="s">
        <v>2493</v>
      </c>
      <c r="C876" s="1129">
        <f>D876+N876+P876+R876+T876+V876+X876</f>
        <v>1921117</v>
      </c>
      <c r="D876" s="1129">
        <f>SUM(E876:J876)</f>
        <v>0</v>
      </c>
      <c r="E876" s="1129">
        <v>0</v>
      </c>
      <c r="F876" s="1129">
        <v>0</v>
      </c>
      <c r="G876" s="1129">
        <v>0</v>
      </c>
      <c r="H876" s="1129">
        <v>0</v>
      </c>
      <c r="I876" s="1129">
        <v>0</v>
      </c>
      <c r="J876" s="1129">
        <v>0</v>
      </c>
      <c r="K876" s="1136">
        <v>0</v>
      </c>
      <c r="L876" s="1129">
        <v>0</v>
      </c>
      <c r="M876" s="1136">
        <v>0</v>
      </c>
      <c r="N876" s="1129">
        <v>0</v>
      </c>
      <c r="O876" s="1129">
        <v>366.6</v>
      </c>
      <c r="P876" s="1129">
        <v>1781577</v>
      </c>
      <c r="Q876" s="1129">
        <v>0</v>
      </c>
      <c r="R876" s="1129">
        <v>0</v>
      </c>
      <c r="S876" s="1129">
        <v>0</v>
      </c>
      <c r="T876" s="1129">
        <v>0</v>
      </c>
      <c r="U876" s="1129">
        <v>0</v>
      </c>
      <c r="V876" s="1129">
        <v>0</v>
      </c>
      <c r="W876" s="1129">
        <v>0</v>
      </c>
      <c r="X876" s="1129">
        <v>139540</v>
      </c>
      <c r="Y876" s="1129">
        <v>0</v>
      </c>
    </row>
    <row r="877" spans="1:25" s="1152" customFormat="1" ht="127.15" customHeight="1">
      <c r="A877" s="1280"/>
      <c r="B877" s="1135" t="s">
        <v>1356</v>
      </c>
      <c r="C877" s="1129">
        <f>C878+C879</f>
        <v>4383048.74</v>
      </c>
      <c r="D877" s="1129">
        <f t="shared" ref="D877:Y877" si="410">D878+D879</f>
        <v>0</v>
      </c>
      <c r="E877" s="1129">
        <f t="shared" si="410"/>
        <v>0</v>
      </c>
      <c r="F877" s="1129">
        <f t="shared" si="410"/>
        <v>0</v>
      </c>
      <c r="G877" s="1129">
        <f t="shared" si="410"/>
        <v>0</v>
      </c>
      <c r="H877" s="1129">
        <f t="shared" si="410"/>
        <v>0</v>
      </c>
      <c r="I877" s="1129">
        <f t="shared" si="410"/>
        <v>0</v>
      </c>
      <c r="J877" s="1129">
        <f t="shared" si="410"/>
        <v>0</v>
      </c>
      <c r="K877" s="1129">
        <f t="shared" si="410"/>
        <v>0</v>
      </c>
      <c r="L877" s="1129">
        <f t="shared" si="410"/>
        <v>0</v>
      </c>
      <c r="M877" s="1129">
        <f t="shared" si="410"/>
        <v>0</v>
      </c>
      <c r="N877" s="1129">
        <f t="shared" si="410"/>
        <v>0</v>
      </c>
      <c r="O877" s="1129">
        <f t="shared" si="410"/>
        <v>1212.9000000000001</v>
      </c>
      <c r="P877" s="1129">
        <f t="shared" si="410"/>
        <v>4064686.74</v>
      </c>
      <c r="Q877" s="1129">
        <f t="shared" si="410"/>
        <v>0</v>
      </c>
      <c r="R877" s="1129">
        <f t="shared" si="410"/>
        <v>0</v>
      </c>
      <c r="S877" s="1129">
        <f t="shared" si="410"/>
        <v>0</v>
      </c>
      <c r="T877" s="1129">
        <f t="shared" si="410"/>
        <v>0</v>
      </c>
      <c r="U877" s="1129">
        <f t="shared" si="410"/>
        <v>0</v>
      </c>
      <c r="V877" s="1129">
        <f t="shared" si="410"/>
        <v>0</v>
      </c>
      <c r="W877" s="1129">
        <f t="shared" si="410"/>
        <v>0</v>
      </c>
      <c r="X877" s="1129">
        <f t="shared" si="410"/>
        <v>318362</v>
      </c>
      <c r="Y877" s="1129">
        <f t="shared" si="410"/>
        <v>0</v>
      </c>
    </row>
    <row r="878" spans="1:25" s="1152" customFormat="1" ht="70.900000000000006" customHeight="1">
      <c r="A878" s="1280">
        <v>110</v>
      </c>
      <c r="B878" s="1135" t="s">
        <v>2200</v>
      </c>
      <c r="C878" s="1129">
        <f t="shared" ref="C878:C879" si="411">D878+N878+P878+R878+T878+V878+X878</f>
        <v>2191524.37</v>
      </c>
      <c r="D878" s="1129">
        <f>SUM(E878:J878)</f>
        <v>0</v>
      </c>
      <c r="E878" s="1129">
        <v>0</v>
      </c>
      <c r="F878" s="1129">
        <v>0</v>
      </c>
      <c r="G878" s="1129">
        <v>0</v>
      </c>
      <c r="H878" s="1129">
        <v>0</v>
      </c>
      <c r="I878" s="1129">
        <v>0</v>
      </c>
      <c r="J878" s="1129">
        <v>0</v>
      </c>
      <c r="K878" s="1136">
        <v>0</v>
      </c>
      <c r="L878" s="1129">
        <v>0</v>
      </c>
      <c r="M878" s="1136">
        <v>0</v>
      </c>
      <c r="N878" s="1129">
        <v>0</v>
      </c>
      <c r="O878" s="1129">
        <v>606.45000000000005</v>
      </c>
      <c r="P878" s="1129">
        <v>2032343.37</v>
      </c>
      <c r="Q878" s="1129">
        <v>0</v>
      </c>
      <c r="R878" s="1129">
        <v>0</v>
      </c>
      <c r="S878" s="1129">
        <v>0</v>
      </c>
      <c r="T878" s="1129">
        <v>0</v>
      </c>
      <c r="U878" s="1129">
        <v>0</v>
      </c>
      <c r="V878" s="1129">
        <v>0</v>
      </c>
      <c r="W878" s="1129">
        <v>0</v>
      </c>
      <c r="X878" s="1129">
        <v>159181</v>
      </c>
      <c r="Y878" s="1129">
        <v>0</v>
      </c>
    </row>
    <row r="879" spans="1:25" s="1152" customFormat="1" ht="75.599999999999994" customHeight="1">
      <c r="A879" s="1280">
        <v>111</v>
      </c>
      <c r="B879" s="1135" t="s">
        <v>2201</v>
      </c>
      <c r="C879" s="1129">
        <f t="shared" si="411"/>
        <v>2191524.37</v>
      </c>
      <c r="D879" s="1129">
        <f>SUM(E879:J879)</f>
        <v>0</v>
      </c>
      <c r="E879" s="1129">
        <v>0</v>
      </c>
      <c r="F879" s="1129">
        <v>0</v>
      </c>
      <c r="G879" s="1129">
        <v>0</v>
      </c>
      <c r="H879" s="1129">
        <v>0</v>
      </c>
      <c r="I879" s="1129">
        <v>0</v>
      </c>
      <c r="J879" s="1129">
        <v>0</v>
      </c>
      <c r="K879" s="1136">
        <v>0</v>
      </c>
      <c r="L879" s="1129">
        <v>0</v>
      </c>
      <c r="M879" s="1136">
        <v>0</v>
      </c>
      <c r="N879" s="1129">
        <v>0</v>
      </c>
      <c r="O879" s="1129">
        <v>606.45000000000005</v>
      </c>
      <c r="P879" s="1129">
        <v>2032343.37</v>
      </c>
      <c r="Q879" s="1129">
        <v>0</v>
      </c>
      <c r="R879" s="1129">
        <v>0</v>
      </c>
      <c r="S879" s="1129">
        <v>0</v>
      </c>
      <c r="T879" s="1129">
        <v>0</v>
      </c>
      <c r="U879" s="1129">
        <v>0</v>
      </c>
      <c r="V879" s="1129">
        <v>0</v>
      </c>
      <c r="W879" s="1129">
        <v>0</v>
      </c>
      <c r="X879" s="1129">
        <v>159181</v>
      </c>
      <c r="Y879" s="1129">
        <v>0</v>
      </c>
    </row>
    <row r="880" spans="1:25" s="1152" customFormat="1" ht="144.75" customHeight="1">
      <c r="A880" s="1280"/>
      <c r="B880" s="1135" t="s">
        <v>1151</v>
      </c>
      <c r="C880" s="1129">
        <f>C881+C882</f>
        <v>9937765</v>
      </c>
      <c r="D880" s="1129">
        <f t="shared" ref="D880:Y880" si="412">D881+D882</f>
        <v>0</v>
      </c>
      <c r="E880" s="1129">
        <f t="shared" si="412"/>
        <v>0</v>
      </c>
      <c r="F880" s="1129">
        <f t="shared" si="412"/>
        <v>0</v>
      </c>
      <c r="G880" s="1129">
        <f t="shared" si="412"/>
        <v>0</v>
      </c>
      <c r="H880" s="1129">
        <f t="shared" si="412"/>
        <v>0</v>
      </c>
      <c r="I880" s="1129">
        <f t="shared" si="412"/>
        <v>0</v>
      </c>
      <c r="J880" s="1129">
        <f t="shared" si="412"/>
        <v>0</v>
      </c>
      <c r="K880" s="1129">
        <f t="shared" si="412"/>
        <v>0</v>
      </c>
      <c r="L880" s="1129">
        <f t="shared" si="412"/>
        <v>0</v>
      </c>
      <c r="M880" s="1129">
        <f t="shared" si="412"/>
        <v>0</v>
      </c>
      <c r="N880" s="1129">
        <f t="shared" si="412"/>
        <v>0</v>
      </c>
      <c r="O880" s="1129">
        <f t="shared" si="412"/>
        <v>2750.0299999999997</v>
      </c>
      <c r="P880" s="1129">
        <f t="shared" si="412"/>
        <v>9215937</v>
      </c>
      <c r="Q880" s="1129">
        <f t="shared" si="412"/>
        <v>0</v>
      </c>
      <c r="R880" s="1129">
        <f t="shared" si="412"/>
        <v>0</v>
      </c>
      <c r="S880" s="1129">
        <f t="shared" si="412"/>
        <v>0</v>
      </c>
      <c r="T880" s="1129">
        <f t="shared" si="412"/>
        <v>0</v>
      </c>
      <c r="U880" s="1129">
        <f t="shared" si="412"/>
        <v>0</v>
      </c>
      <c r="V880" s="1129">
        <f t="shared" si="412"/>
        <v>0</v>
      </c>
      <c r="W880" s="1129">
        <f t="shared" si="412"/>
        <v>0</v>
      </c>
      <c r="X880" s="1129">
        <f t="shared" si="412"/>
        <v>721828</v>
      </c>
      <c r="Y880" s="1129">
        <f t="shared" si="412"/>
        <v>0</v>
      </c>
    </row>
    <row r="881" spans="1:25" s="1152" customFormat="1" ht="75.599999999999994" customHeight="1">
      <c r="A881" s="1280">
        <v>112</v>
      </c>
      <c r="B881" s="1128" t="s">
        <v>1975</v>
      </c>
      <c r="C881" s="1129">
        <f t="shared" ref="C881" si="413">D881+N881+P881+R881+T881+V881+X881</f>
        <v>7203283</v>
      </c>
      <c r="D881" s="1129">
        <f>SUM(E881:J881)</f>
        <v>0</v>
      </c>
      <c r="E881" s="1129">
        <v>0</v>
      </c>
      <c r="F881" s="1129">
        <v>0</v>
      </c>
      <c r="G881" s="1129">
        <v>0</v>
      </c>
      <c r="H881" s="1129">
        <v>0</v>
      </c>
      <c r="I881" s="1129">
        <v>0</v>
      </c>
      <c r="J881" s="1129">
        <v>0</v>
      </c>
      <c r="K881" s="1136">
        <v>0</v>
      </c>
      <c r="L881" s="1129">
        <v>0</v>
      </c>
      <c r="M881" s="1136">
        <v>0</v>
      </c>
      <c r="N881" s="1129">
        <v>0</v>
      </c>
      <c r="O881" s="1129">
        <v>1993.33</v>
      </c>
      <c r="P881" s="1129">
        <v>6680074</v>
      </c>
      <c r="Q881" s="1129">
        <v>0</v>
      </c>
      <c r="R881" s="1129">
        <v>0</v>
      </c>
      <c r="S881" s="1129">
        <v>0</v>
      </c>
      <c r="T881" s="1129">
        <v>0</v>
      </c>
      <c r="U881" s="1129">
        <v>0</v>
      </c>
      <c r="V881" s="1129">
        <v>0</v>
      </c>
      <c r="W881" s="1129">
        <v>0</v>
      </c>
      <c r="X881" s="1129">
        <v>523209</v>
      </c>
      <c r="Y881" s="1129">
        <v>0</v>
      </c>
    </row>
    <row r="882" spans="1:25" s="1152" customFormat="1" ht="75.599999999999994" customHeight="1">
      <c r="A882" s="1280">
        <v>113</v>
      </c>
      <c r="B882" s="1128" t="s">
        <v>2202</v>
      </c>
      <c r="C882" s="1129">
        <f t="shared" ref="C882" si="414">D882+N882+P882+R882+T882+V882+X882</f>
        <v>2734482</v>
      </c>
      <c r="D882" s="1129">
        <f>SUM(E882:J882)</f>
        <v>0</v>
      </c>
      <c r="E882" s="1129">
        <v>0</v>
      </c>
      <c r="F882" s="1129">
        <v>0</v>
      </c>
      <c r="G882" s="1129">
        <v>0</v>
      </c>
      <c r="H882" s="1129">
        <v>0</v>
      </c>
      <c r="I882" s="1129">
        <v>0</v>
      </c>
      <c r="J882" s="1129">
        <v>0</v>
      </c>
      <c r="K882" s="1136">
        <v>0</v>
      </c>
      <c r="L882" s="1129">
        <v>0</v>
      </c>
      <c r="M882" s="1136">
        <v>0</v>
      </c>
      <c r="N882" s="1129">
        <v>0</v>
      </c>
      <c r="O882" s="1129">
        <v>756.7</v>
      </c>
      <c r="P882" s="1129">
        <v>2535863</v>
      </c>
      <c r="Q882" s="1129">
        <v>0</v>
      </c>
      <c r="R882" s="1129">
        <v>0</v>
      </c>
      <c r="S882" s="1129">
        <v>0</v>
      </c>
      <c r="T882" s="1129">
        <v>0</v>
      </c>
      <c r="U882" s="1129">
        <v>0</v>
      </c>
      <c r="V882" s="1129">
        <v>0</v>
      </c>
      <c r="W882" s="1129">
        <v>0</v>
      </c>
      <c r="X882" s="1129">
        <v>198619</v>
      </c>
      <c r="Y882" s="1129">
        <v>0</v>
      </c>
    </row>
    <row r="883" spans="1:25" s="1143" customFormat="1" ht="73.900000000000006" customHeight="1">
      <c r="A883" s="1280"/>
      <c r="B883" s="1135" t="s">
        <v>50</v>
      </c>
      <c r="C883" s="1129">
        <f>C884</f>
        <v>9952296.6600000001</v>
      </c>
      <c r="D883" s="1129">
        <f t="shared" ref="D883:Y883" si="415">D884</f>
        <v>0</v>
      </c>
      <c r="E883" s="1129">
        <f t="shared" si="415"/>
        <v>0</v>
      </c>
      <c r="F883" s="1129">
        <f t="shared" si="415"/>
        <v>0</v>
      </c>
      <c r="G883" s="1129">
        <f t="shared" si="415"/>
        <v>0</v>
      </c>
      <c r="H883" s="1129">
        <f t="shared" si="415"/>
        <v>0</v>
      </c>
      <c r="I883" s="1129">
        <f t="shared" si="415"/>
        <v>0</v>
      </c>
      <c r="J883" s="1129">
        <f t="shared" si="415"/>
        <v>0</v>
      </c>
      <c r="K883" s="1136">
        <v>0</v>
      </c>
      <c r="L883" s="1129">
        <v>0</v>
      </c>
      <c r="M883" s="1136">
        <v>0</v>
      </c>
      <c r="N883" s="1129">
        <f t="shared" si="415"/>
        <v>0</v>
      </c>
      <c r="O883" s="1129">
        <f t="shared" si="415"/>
        <v>2562</v>
      </c>
      <c r="P883" s="1129">
        <f t="shared" si="415"/>
        <v>9229413.3000000007</v>
      </c>
      <c r="Q883" s="1129">
        <f t="shared" si="415"/>
        <v>0</v>
      </c>
      <c r="R883" s="1129">
        <f t="shared" si="415"/>
        <v>0</v>
      </c>
      <c r="S883" s="1129">
        <f t="shared" si="415"/>
        <v>0</v>
      </c>
      <c r="T883" s="1129">
        <f t="shared" si="415"/>
        <v>0</v>
      </c>
      <c r="U883" s="1129">
        <f t="shared" si="415"/>
        <v>0</v>
      </c>
      <c r="V883" s="1129">
        <f t="shared" si="415"/>
        <v>0</v>
      </c>
      <c r="W883" s="1167">
        <v>0</v>
      </c>
      <c r="X883" s="1129">
        <f t="shared" si="415"/>
        <v>722883.36</v>
      </c>
      <c r="Y883" s="1129">
        <f t="shared" si="415"/>
        <v>0</v>
      </c>
    </row>
    <row r="884" spans="1:25" s="1143" customFormat="1" ht="100.15" customHeight="1">
      <c r="A884" s="1280"/>
      <c r="B884" s="1135" t="s">
        <v>1067</v>
      </c>
      <c r="C884" s="1129">
        <f>C885+C886+C887</f>
        <v>9952296.6600000001</v>
      </c>
      <c r="D884" s="1129">
        <f t="shared" ref="D884:Y884" si="416">D885+D886+D887</f>
        <v>0</v>
      </c>
      <c r="E884" s="1129">
        <f t="shared" si="416"/>
        <v>0</v>
      </c>
      <c r="F884" s="1129">
        <f t="shared" si="416"/>
        <v>0</v>
      </c>
      <c r="G884" s="1129">
        <f t="shared" si="416"/>
        <v>0</v>
      </c>
      <c r="H884" s="1129">
        <f t="shared" si="416"/>
        <v>0</v>
      </c>
      <c r="I884" s="1129">
        <f t="shared" si="416"/>
        <v>0</v>
      </c>
      <c r="J884" s="1129">
        <f t="shared" si="416"/>
        <v>0</v>
      </c>
      <c r="K884" s="1136">
        <f t="shared" si="416"/>
        <v>0</v>
      </c>
      <c r="L884" s="1129">
        <f t="shared" si="416"/>
        <v>0</v>
      </c>
      <c r="M884" s="1136">
        <f t="shared" si="416"/>
        <v>0</v>
      </c>
      <c r="N884" s="1129">
        <f t="shared" si="416"/>
        <v>0</v>
      </c>
      <c r="O884" s="1129">
        <f t="shared" si="416"/>
        <v>2562</v>
      </c>
      <c r="P884" s="1129">
        <f t="shared" si="416"/>
        <v>9229413.3000000007</v>
      </c>
      <c r="Q884" s="1129">
        <f t="shared" si="416"/>
        <v>0</v>
      </c>
      <c r="R884" s="1129">
        <f t="shared" si="416"/>
        <v>0</v>
      </c>
      <c r="S884" s="1129">
        <f t="shared" si="416"/>
        <v>0</v>
      </c>
      <c r="T884" s="1129">
        <f t="shared" si="416"/>
        <v>0</v>
      </c>
      <c r="U884" s="1129">
        <f t="shared" si="416"/>
        <v>0</v>
      </c>
      <c r="V884" s="1129">
        <f t="shared" si="416"/>
        <v>0</v>
      </c>
      <c r="W884" s="1167">
        <v>0</v>
      </c>
      <c r="X884" s="1129">
        <f t="shared" si="416"/>
        <v>722883.36</v>
      </c>
      <c r="Y884" s="1129">
        <f t="shared" si="416"/>
        <v>0</v>
      </c>
    </row>
    <row r="885" spans="1:25" s="1143" customFormat="1" ht="64.150000000000006" customHeight="1">
      <c r="A885" s="1280">
        <v>114</v>
      </c>
      <c r="B885" s="1172" t="s">
        <v>1256</v>
      </c>
      <c r="C885" s="1129">
        <f t="shared" ref="C885:C887" si="417">D885+N885+P885+R885+T885+V885+X885</f>
        <v>5398857.9400000004</v>
      </c>
      <c r="D885" s="1129">
        <v>0</v>
      </c>
      <c r="E885" s="1129">
        <v>0</v>
      </c>
      <c r="F885" s="1129">
        <v>0</v>
      </c>
      <c r="G885" s="1129">
        <v>0</v>
      </c>
      <c r="H885" s="1129">
        <v>0</v>
      </c>
      <c r="I885" s="1129">
        <v>0</v>
      </c>
      <c r="J885" s="1129">
        <v>0</v>
      </c>
      <c r="K885" s="1136">
        <v>0</v>
      </c>
      <c r="L885" s="1129">
        <v>0</v>
      </c>
      <c r="M885" s="1136">
        <v>0</v>
      </c>
      <c r="N885" s="1129">
        <v>0</v>
      </c>
      <c r="O885" s="1178">
        <v>1494</v>
      </c>
      <c r="P885" s="1129">
        <v>5006712.82</v>
      </c>
      <c r="Q885" s="1129">
        <v>0</v>
      </c>
      <c r="R885" s="1129">
        <v>0</v>
      </c>
      <c r="S885" s="1129">
        <v>0</v>
      </c>
      <c r="T885" s="1129">
        <v>0</v>
      </c>
      <c r="U885" s="1129">
        <v>0</v>
      </c>
      <c r="V885" s="1129">
        <v>0</v>
      </c>
      <c r="W885" s="1167">
        <v>0</v>
      </c>
      <c r="X885" s="1129">
        <v>392145.12</v>
      </c>
      <c r="Y885" s="1129">
        <v>0</v>
      </c>
    </row>
    <row r="886" spans="1:25" s="1143" customFormat="1" ht="60.6" customHeight="1">
      <c r="A886" s="1280">
        <v>115</v>
      </c>
      <c r="B886" s="1172" t="s">
        <v>1257</v>
      </c>
      <c r="C886" s="1129">
        <f t="shared" si="417"/>
        <v>2506949.4099999997</v>
      </c>
      <c r="D886" s="1129">
        <v>0</v>
      </c>
      <c r="E886" s="1129">
        <v>0</v>
      </c>
      <c r="F886" s="1129">
        <v>0</v>
      </c>
      <c r="G886" s="1129">
        <v>0</v>
      </c>
      <c r="H886" s="1129">
        <v>0</v>
      </c>
      <c r="I886" s="1129">
        <v>0</v>
      </c>
      <c r="J886" s="1129">
        <v>0</v>
      </c>
      <c r="K886" s="1136">
        <v>0</v>
      </c>
      <c r="L886" s="1129">
        <v>0</v>
      </c>
      <c r="M886" s="1136">
        <v>0</v>
      </c>
      <c r="N886" s="1129">
        <v>0</v>
      </c>
      <c r="O886" s="1178">
        <v>588</v>
      </c>
      <c r="P886" s="1129">
        <v>2324857.5699999998</v>
      </c>
      <c r="Q886" s="1129">
        <v>0</v>
      </c>
      <c r="R886" s="1129">
        <v>0</v>
      </c>
      <c r="S886" s="1129">
        <v>0</v>
      </c>
      <c r="T886" s="1129">
        <v>0</v>
      </c>
      <c r="U886" s="1129">
        <v>0</v>
      </c>
      <c r="V886" s="1129">
        <v>0</v>
      </c>
      <c r="W886" s="1167">
        <v>0</v>
      </c>
      <c r="X886" s="1129">
        <v>182091.84</v>
      </c>
      <c r="Y886" s="1129">
        <v>0</v>
      </c>
    </row>
    <row r="887" spans="1:25" s="1143" customFormat="1" ht="69" customHeight="1">
      <c r="A887" s="1280">
        <v>116</v>
      </c>
      <c r="B887" s="1172" t="s">
        <v>1258</v>
      </c>
      <c r="C887" s="1129">
        <f t="shared" si="417"/>
        <v>2046489.3099999998</v>
      </c>
      <c r="D887" s="1129">
        <v>0</v>
      </c>
      <c r="E887" s="1129">
        <v>0</v>
      </c>
      <c r="F887" s="1129">
        <v>0</v>
      </c>
      <c r="G887" s="1129">
        <v>0</v>
      </c>
      <c r="H887" s="1129">
        <v>0</v>
      </c>
      <c r="I887" s="1129">
        <v>0</v>
      </c>
      <c r="J887" s="1129">
        <v>0</v>
      </c>
      <c r="K887" s="1136">
        <v>0</v>
      </c>
      <c r="L887" s="1129">
        <v>0</v>
      </c>
      <c r="M887" s="1136">
        <v>0</v>
      </c>
      <c r="N887" s="1129">
        <v>0</v>
      </c>
      <c r="O887" s="1178">
        <v>480</v>
      </c>
      <c r="P887" s="1129">
        <v>1897842.91</v>
      </c>
      <c r="Q887" s="1129">
        <v>0</v>
      </c>
      <c r="R887" s="1129">
        <v>0</v>
      </c>
      <c r="S887" s="1129">
        <v>0</v>
      </c>
      <c r="T887" s="1129">
        <v>0</v>
      </c>
      <c r="U887" s="1129">
        <v>0</v>
      </c>
      <c r="V887" s="1129">
        <v>0</v>
      </c>
      <c r="W887" s="1167">
        <v>0</v>
      </c>
      <c r="X887" s="1129">
        <v>148646.39999999999</v>
      </c>
      <c r="Y887" s="1129">
        <v>0</v>
      </c>
    </row>
    <row r="888" spans="1:25" s="1143" customFormat="1" ht="94.15" customHeight="1">
      <c r="A888" s="1280"/>
      <c r="B888" s="1135" t="s">
        <v>1169</v>
      </c>
      <c r="C888" s="1129">
        <f>C889+C890+C891+C892+C893+C894+C895+C896+C897+C898</f>
        <v>19159112.059999999</v>
      </c>
      <c r="D888" s="1129">
        <f t="shared" ref="D888:Y888" si="418">D889+D890+D891+D892+D893+D894+D895+D896+D897+D898</f>
        <v>0</v>
      </c>
      <c r="E888" s="1129">
        <f t="shared" si="418"/>
        <v>0</v>
      </c>
      <c r="F888" s="1129">
        <f t="shared" si="418"/>
        <v>0</v>
      </c>
      <c r="G888" s="1129">
        <f t="shared" si="418"/>
        <v>0</v>
      </c>
      <c r="H888" s="1129">
        <f t="shared" si="418"/>
        <v>0</v>
      </c>
      <c r="I888" s="1129">
        <f t="shared" si="418"/>
        <v>0</v>
      </c>
      <c r="J888" s="1129">
        <f t="shared" si="418"/>
        <v>0</v>
      </c>
      <c r="K888" s="1136">
        <f t="shared" si="418"/>
        <v>0</v>
      </c>
      <c r="L888" s="1129">
        <f t="shared" si="418"/>
        <v>0</v>
      </c>
      <c r="M888" s="1136">
        <f t="shared" si="418"/>
        <v>0</v>
      </c>
      <c r="N888" s="1129">
        <f t="shared" si="418"/>
        <v>0</v>
      </c>
      <c r="O888" s="1129">
        <f t="shared" si="418"/>
        <v>5587.25</v>
      </c>
      <c r="P888" s="1129">
        <f t="shared" si="418"/>
        <v>17767492.390000001</v>
      </c>
      <c r="Q888" s="1129">
        <f t="shared" si="418"/>
        <v>0</v>
      </c>
      <c r="R888" s="1129">
        <f t="shared" si="418"/>
        <v>0</v>
      </c>
      <c r="S888" s="1129">
        <f t="shared" si="418"/>
        <v>0</v>
      </c>
      <c r="T888" s="1129">
        <f t="shared" si="418"/>
        <v>0</v>
      </c>
      <c r="U888" s="1129">
        <f t="shared" si="418"/>
        <v>0</v>
      </c>
      <c r="V888" s="1129">
        <f t="shared" si="418"/>
        <v>0</v>
      </c>
      <c r="W888" s="1129">
        <f t="shared" si="418"/>
        <v>0</v>
      </c>
      <c r="X888" s="1129">
        <f t="shared" si="418"/>
        <v>1391619.67</v>
      </c>
      <c r="Y888" s="1129">
        <f t="shared" si="418"/>
        <v>0</v>
      </c>
    </row>
    <row r="889" spans="1:25" s="1143" customFormat="1" ht="99.6" customHeight="1">
      <c r="A889" s="1280">
        <v>117</v>
      </c>
      <c r="B889" s="1135" t="s">
        <v>2494</v>
      </c>
      <c r="C889" s="1129">
        <f t="shared" ref="C889" si="419">D889+N889+P889+R889+T889+V889+X889</f>
        <v>2799891</v>
      </c>
      <c r="D889" s="1129">
        <f t="shared" ref="D889" si="420">SUM(E889:J889)</f>
        <v>0</v>
      </c>
      <c r="E889" s="1129">
        <v>0</v>
      </c>
      <c r="F889" s="1129">
        <v>0</v>
      </c>
      <c r="G889" s="1129">
        <v>0</v>
      </c>
      <c r="H889" s="1129">
        <v>0</v>
      </c>
      <c r="I889" s="1129">
        <v>0</v>
      </c>
      <c r="J889" s="1129">
        <v>0</v>
      </c>
      <c r="K889" s="1136">
        <v>0</v>
      </c>
      <c r="L889" s="1129">
        <v>0</v>
      </c>
      <c r="M889" s="1136">
        <v>0</v>
      </c>
      <c r="N889" s="1129">
        <v>0</v>
      </c>
      <c r="O889" s="1129">
        <v>1030.45</v>
      </c>
      <c r="P889" s="1129">
        <v>2596521</v>
      </c>
      <c r="Q889" s="1129">
        <v>0</v>
      </c>
      <c r="R889" s="1129">
        <v>0</v>
      </c>
      <c r="S889" s="1129">
        <v>0</v>
      </c>
      <c r="T889" s="1129">
        <v>0</v>
      </c>
      <c r="U889" s="1129">
        <v>0</v>
      </c>
      <c r="V889" s="1129">
        <v>0</v>
      </c>
      <c r="W889" s="1167">
        <v>0</v>
      </c>
      <c r="X889" s="1129">
        <v>203370</v>
      </c>
      <c r="Y889" s="1129">
        <v>0</v>
      </c>
    </row>
    <row r="890" spans="1:25" s="1143" customFormat="1" ht="99.6" customHeight="1">
      <c r="A890" s="1280">
        <v>118</v>
      </c>
      <c r="B890" s="1128" t="s">
        <v>2495</v>
      </c>
      <c r="C890" s="1129">
        <f t="shared" ref="C890:C893" si="421">D890+N890+P890+R890+T890+V890+X890</f>
        <v>2498424</v>
      </c>
      <c r="D890" s="1129">
        <f t="shared" ref="D890:D893" si="422">SUM(E890:J890)</f>
        <v>0</v>
      </c>
      <c r="E890" s="1129">
        <v>0</v>
      </c>
      <c r="F890" s="1129">
        <v>0</v>
      </c>
      <c r="G890" s="1129">
        <v>0</v>
      </c>
      <c r="H890" s="1129">
        <v>0</v>
      </c>
      <c r="I890" s="1129">
        <v>0</v>
      </c>
      <c r="J890" s="1129">
        <v>0</v>
      </c>
      <c r="K890" s="1136">
        <v>0</v>
      </c>
      <c r="L890" s="1129">
        <v>0</v>
      </c>
      <c r="M890" s="1136">
        <v>0</v>
      </c>
      <c r="N890" s="1129">
        <v>0</v>
      </c>
      <c r="O890" s="1129">
        <v>471</v>
      </c>
      <c r="P890" s="1129">
        <v>2316951</v>
      </c>
      <c r="Q890" s="1129">
        <v>0</v>
      </c>
      <c r="R890" s="1129">
        <v>0</v>
      </c>
      <c r="S890" s="1129">
        <v>0</v>
      </c>
      <c r="T890" s="1129">
        <v>0</v>
      </c>
      <c r="U890" s="1129">
        <v>0</v>
      </c>
      <c r="V890" s="1129">
        <v>0</v>
      </c>
      <c r="W890" s="1167">
        <v>0</v>
      </c>
      <c r="X890" s="1129">
        <v>181473</v>
      </c>
      <c r="Y890" s="1129">
        <v>0</v>
      </c>
    </row>
    <row r="891" spans="1:25" s="1143" customFormat="1" ht="86.45" customHeight="1">
      <c r="A891" s="1280">
        <v>119</v>
      </c>
      <c r="B891" s="1135" t="s">
        <v>2496</v>
      </c>
      <c r="C891" s="1129">
        <f t="shared" si="421"/>
        <v>2503042</v>
      </c>
      <c r="D891" s="1129">
        <f t="shared" si="422"/>
        <v>0</v>
      </c>
      <c r="E891" s="1129">
        <v>0</v>
      </c>
      <c r="F891" s="1129">
        <v>0</v>
      </c>
      <c r="G891" s="1129">
        <v>0</v>
      </c>
      <c r="H891" s="1129">
        <v>0</v>
      </c>
      <c r="I891" s="1129">
        <v>0</v>
      </c>
      <c r="J891" s="1129">
        <v>0</v>
      </c>
      <c r="K891" s="1136">
        <v>0</v>
      </c>
      <c r="L891" s="1129">
        <v>0</v>
      </c>
      <c r="M891" s="1136">
        <v>0</v>
      </c>
      <c r="N891" s="1129">
        <v>0</v>
      </c>
      <c r="O891" s="1129">
        <v>919.5</v>
      </c>
      <c r="P891" s="1129">
        <v>2321234</v>
      </c>
      <c r="Q891" s="1129">
        <v>0</v>
      </c>
      <c r="R891" s="1129">
        <v>0</v>
      </c>
      <c r="S891" s="1129">
        <v>0</v>
      </c>
      <c r="T891" s="1129">
        <v>0</v>
      </c>
      <c r="U891" s="1129">
        <v>0</v>
      </c>
      <c r="V891" s="1129">
        <v>0</v>
      </c>
      <c r="W891" s="1167">
        <v>0</v>
      </c>
      <c r="X891" s="1129">
        <v>181808</v>
      </c>
      <c r="Y891" s="1129">
        <v>0</v>
      </c>
    </row>
    <row r="892" spans="1:25" s="1143" customFormat="1" ht="96.6" customHeight="1">
      <c r="A892" s="1280">
        <v>120</v>
      </c>
      <c r="B892" s="1135" t="s">
        <v>2497</v>
      </c>
      <c r="C892" s="1129">
        <f t="shared" si="421"/>
        <v>2503586</v>
      </c>
      <c r="D892" s="1129">
        <f t="shared" si="422"/>
        <v>0</v>
      </c>
      <c r="E892" s="1129">
        <v>0</v>
      </c>
      <c r="F892" s="1129">
        <v>0</v>
      </c>
      <c r="G892" s="1129">
        <v>0</v>
      </c>
      <c r="H892" s="1129">
        <v>0</v>
      </c>
      <c r="I892" s="1129">
        <v>0</v>
      </c>
      <c r="J892" s="1129">
        <v>0</v>
      </c>
      <c r="K892" s="1136">
        <v>0</v>
      </c>
      <c r="L892" s="1129">
        <v>0</v>
      </c>
      <c r="M892" s="1136">
        <v>0</v>
      </c>
      <c r="N892" s="1129">
        <v>0</v>
      </c>
      <c r="O892" s="1129">
        <v>921.2</v>
      </c>
      <c r="P892" s="1129">
        <v>2321738</v>
      </c>
      <c r="Q892" s="1129">
        <v>0</v>
      </c>
      <c r="R892" s="1129">
        <v>0</v>
      </c>
      <c r="S892" s="1129">
        <v>0</v>
      </c>
      <c r="T892" s="1129">
        <v>0</v>
      </c>
      <c r="U892" s="1129">
        <v>0</v>
      </c>
      <c r="V892" s="1129">
        <v>0</v>
      </c>
      <c r="W892" s="1167">
        <v>0</v>
      </c>
      <c r="X892" s="1129">
        <v>181848</v>
      </c>
      <c r="Y892" s="1129">
        <v>0</v>
      </c>
    </row>
    <row r="893" spans="1:25" s="1143" customFormat="1" ht="99.6" customHeight="1">
      <c r="A893" s="1280">
        <v>121</v>
      </c>
      <c r="B893" s="1128" t="s">
        <v>2807</v>
      </c>
      <c r="C893" s="1129">
        <f t="shared" si="421"/>
        <v>1502425</v>
      </c>
      <c r="D893" s="1129">
        <f t="shared" si="422"/>
        <v>0</v>
      </c>
      <c r="E893" s="1129">
        <v>0</v>
      </c>
      <c r="F893" s="1129">
        <v>0</v>
      </c>
      <c r="G893" s="1129">
        <v>0</v>
      </c>
      <c r="H893" s="1129">
        <v>0</v>
      </c>
      <c r="I893" s="1129">
        <v>0</v>
      </c>
      <c r="J893" s="1129">
        <v>0</v>
      </c>
      <c r="K893" s="1136">
        <v>0</v>
      </c>
      <c r="L893" s="1129">
        <v>0</v>
      </c>
      <c r="M893" s="1136">
        <v>0</v>
      </c>
      <c r="N893" s="1129">
        <v>0</v>
      </c>
      <c r="O893" s="1129">
        <v>443.9</v>
      </c>
      <c r="P893" s="1129">
        <v>1393297</v>
      </c>
      <c r="Q893" s="1129">
        <v>0</v>
      </c>
      <c r="R893" s="1129">
        <v>0</v>
      </c>
      <c r="S893" s="1129">
        <v>0</v>
      </c>
      <c r="T893" s="1129">
        <v>0</v>
      </c>
      <c r="U893" s="1129">
        <v>0</v>
      </c>
      <c r="V893" s="1129">
        <v>0</v>
      </c>
      <c r="W893" s="1167">
        <v>0</v>
      </c>
      <c r="X893" s="1129">
        <v>109128</v>
      </c>
      <c r="Y893" s="1129">
        <v>0</v>
      </c>
    </row>
    <row r="894" spans="1:25" s="1143" customFormat="1" ht="93.6" customHeight="1">
      <c r="A894" s="1280">
        <v>122</v>
      </c>
      <c r="B894" s="1128" t="s">
        <v>2281</v>
      </c>
      <c r="C894" s="1129">
        <f t="shared" ref="C894:C898" si="423">D894+N894+P894+R894+T894+V894+X894</f>
        <v>2425090</v>
      </c>
      <c r="D894" s="1129">
        <f t="shared" ref="D894:D898" si="424">SUM(E894:J894)</f>
        <v>0</v>
      </c>
      <c r="E894" s="1129">
        <v>0</v>
      </c>
      <c r="F894" s="1129">
        <v>0</v>
      </c>
      <c r="G894" s="1129">
        <v>0</v>
      </c>
      <c r="H894" s="1129">
        <v>0</v>
      </c>
      <c r="I894" s="1129">
        <v>0</v>
      </c>
      <c r="J894" s="1129">
        <v>0</v>
      </c>
      <c r="K894" s="1136">
        <v>0</v>
      </c>
      <c r="L894" s="1129">
        <v>0</v>
      </c>
      <c r="M894" s="1136">
        <v>0</v>
      </c>
      <c r="N894" s="1129">
        <v>0</v>
      </c>
      <c r="O894" s="1129">
        <v>568.79999999999995</v>
      </c>
      <c r="P894" s="1129">
        <v>2248944</v>
      </c>
      <c r="Q894" s="1129">
        <v>0</v>
      </c>
      <c r="R894" s="1129">
        <v>0</v>
      </c>
      <c r="S894" s="1129">
        <v>0</v>
      </c>
      <c r="T894" s="1129">
        <v>0</v>
      </c>
      <c r="U894" s="1129">
        <v>0</v>
      </c>
      <c r="V894" s="1129">
        <v>0</v>
      </c>
      <c r="W894" s="1167">
        <v>0</v>
      </c>
      <c r="X894" s="1129">
        <v>176146</v>
      </c>
      <c r="Y894" s="1129">
        <v>0</v>
      </c>
    </row>
    <row r="895" spans="1:25" s="1137" customFormat="1" ht="93.6" customHeight="1">
      <c r="A895" s="1280">
        <v>123</v>
      </c>
      <c r="B895" s="1211" t="s">
        <v>2498</v>
      </c>
      <c r="C895" s="1129">
        <f t="shared" si="423"/>
        <v>807936.92999999993</v>
      </c>
      <c r="D895" s="1129">
        <f t="shared" si="424"/>
        <v>0</v>
      </c>
      <c r="E895" s="1129">
        <v>0</v>
      </c>
      <c r="F895" s="1129">
        <v>0</v>
      </c>
      <c r="G895" s="1129">
        <v>0</v>
      </c>
      <c r="H895" s="1129">
        <v>0</v>
      </c>
      <c r="I895" s="1129">
        <v>0</v>
      </c>
      <c r="J895" s="1129">
        <v>0</v>
      </c>
      <c r="K895" s="1136">
        <v>0</v>
      </c>
      <c r="L895" s="1129">
        <v>0</v>
      </c>
      <c r="M895" s="1136">
        <v>0</v>
      </c>
      <c r="N895" s="1129">
        <v>0</v>
      </c>
      <c r="O895" s="1129">
        <v>189.5</v>
      </c>
      <c r="P895" s="1129">
        <v>749252.57</v>
      </c>
      <c r="Q895" s="1129">
        <v>0</v>
      </c>
      <c r="R895" s="1129">
        <v>0</v>
      </c>
      <c r="S895" s="1129">
        <v>0</v>
      </c>
      <c r="T895" s="1129">
        <v>0</v>
      </c>
      <c r="U895" s="1129">
        <v>0</v>
      </c>
      <c r="V895" s="1129">
        <v>0</v>
      </c>
      <c r="W895" s="1129">
        <v>0</v>
      </c>
      <c r="X895" s="1157">
        <v>58684.36</v>
      </c>
      <c r="Y895" s="1157">
        <v>0</v>
      </c>
    </row>
    <row r="896" spans="1:25" s="1137" customFormat="1" ht="92.45" customHeight="1">
      <c r="A896" s="1280">
        <v>124</v>
      </c>
      <c r="B896" s="1211" t="s">
        <v>2129</v>
      </c>
      <c r="C896" s="1129">
        <f t="shared" si="423"/>
        <v>1822385.5799999998</v>
      </c>
      <c r="D896" s="1129">
        <f t="shared" si="424"/>
        <v>0</v>
      </c>
      <c r="E896" s="1129">
        <v>0</v>
      </c>
      <c r="F896" s="1129">
        <v>0</v>
      </c>
      <c r="G896" s="1129">
        <v>0</v>
      </c>
      <c r="H896" s="1129">
        <v>0</v>
      </c>
      <c r="I896" s="1129">
        <v>0</v>
      </c>
      <c r="J896" s="1129">
        <v>0</v>
      </c>
      <c r="K896" s="1136">
        <v>0</v>
      </c>
      <c r="L896" s="1129">
        <v>0</v>
      </c>
      <c r="M896" s="1136">
        <v>0</v>
      </c>
      <c r="N896" s="1129">
        <v>0</v>
      </c>
      <c r="O896" s="1129">
        <v>504.3</v>
      </c>
      <c r="P896" s="1129">
        <v>1690016.92</v>
      </c>
      <c r="Q896" s="1129">
        <v>0</v>
      </c>
      <c r="R896" s="1129">
        <v>0</v>
      </c>
      <c r="S896" s="1129">
        <v>0</v>
      </c>
      <c r="T896" s="1129">
        <v>0</v>
      </c>
      <c r="U896" s="1129">
        <v>0</v>
      </c>
      <c r="V896" s="1129">
        <v>0</v>
      </c>
      <c r="W896" s="1129">
        <v>0</v>
      </c>
      <c r="X896" s="1157">
        <v>132368.66</v>
      </c>
      <c r="Y896" s="1157">
        <v>0</v>
      </c>
    </row>
    <row r="897" spans="1:25" s="1165" customFormat="1" ht="85.15" customHeight="1">
      <c r="A897" s="1280">
        <v>125</v>
      </c>
      <c r="B897" s="1211" t="s">
        <v>2499</v>
      </c>
      <c r="C897" s="1129">
        <f t="shared" si="423"/>
        <v>1256032.82</v>
      </c>
      <c r="D897" s="1129">
        <f t="shared" si="424"/>
        <v>0</v>
      </c>
      <c r="E897" s="1129">
        <v>0</v>
      </c>
      <c r="F897" s="1129">
        <v>0</v>
      </c>
      <c r="G897" s="1129">
        <v>0</v>
      </c>
      <c r="H897" s="1129">
        <v>0</v>
      </c>
      <c r="I897" s="1129">
        <v>0</v>
      </c>
      <c r="J897" s="1129">
        <v>0</v>
      </c>
      <c r="K897" s="1136">
        <v>0</v>
      </c>
      <c r="L897" s="1129">
        <v>0</v>
      </c>
      <c r="M897" s="1136">
        <v>0</v>
      </c>
      <c r="N897" s="1129">
        <v>0</v>
      </c>
      <c r="O897" s="1129">
        <v>294.60000000000002</v>
      </c>
      <c r="P897" s="1129">
        <v>1164801.0900000001</v>
      </c>
      <c r="Q897" s="1129">
        <v>0</v>
      </c>
      <c r="R897" s="1129">
        <v>0</v>
      </c>
      <c r="S897" s="1129">
        <v>0</v>
      </c>
      <c r="T897" s="1129">
        <v>0</v>
      </c>
      <c r="U897" s="1129">
        <v>0</v>
      </c>
      <c r="V897" s="1129">
        <v>0</v>
      </c>
      <c r="W897" s="1129">
        <v>0</v>
      </c>
      <c r="X897" s="1157">
        <v>91231.73</v>
      </c>
      <c r="Y897" s="1157">
        <v>0</v>
      </c>
    </row>
    <row r="898" spans="1:25" s="1165" customFormat="1" ht="65.45" customHeight="1">
      <c r="A898" s="1280">
        <v>126</v>
      </c>
      <c r="B898" s="1211" t="s">
        <v>1974</v>
      </c>
      <c r="C898" s="1129">
        <f t="shared" si="423"/>
        <v>1040298.7300000001</v>
      </c>
      <c r="D898" s="1129">
        <f t="shared" si="424"/>
        <v>0</v>
      </c>
      <c r="E898" s="1129">
        <v>0</v>
      </c>
      <c r="F898" s="1129">
        <v>0</v>
      </c>
      <c r="G898" s="1129">
        <v>0</v>
      </c>
      <c r="H898" s="1129">
        <v>0</v>
      </c>
      <c r="I898" s="1129">
        <v>0</v>
      </c>
      <c r="J898" s="1129">
        <v>0</v>
      </c>
      <c r="K898" s="1136">
        <v>0</v>
      </c>
      <c r="L898" s="1129">
        <v>0</v>
      </c>
      <c r="M898" s="1136">
        <v>0</v>
      </c>
      <c r="N898" s="1129">
        <v>0</v>
      </c>
      <c r="O898" s="1129">
        <v>244</v>
      </c>
      <c r="P898" s="1129">
        <v>964736.81</v>
      </c>
      <c r="Q898" s="1129">
        <v>0</v>
      </c>
      <c r="R898" s="1129">
        <v>0</v>
      </c>
      <c r="S898" s="1129">
        <v>0</v>
      </c>
      <c r="T898" s="1129">
        <v>0</v>
      </c>
      <c r="U898" s="1129">
        <v>0</v>
      </c>
      <c r="V898" s="1129">
        <v>0</v>
      </c>
      <c r="W898" s="1129">
        <v>0</v>
      </c>
      <c r="X898" s="1157">
        <v>75561.919999999998</v>
      </c>
      <c r="Y898" s="1157">
        <v>0</v>
      </c>
    </row>
    <row r="899" spans="1:25" s="1143" customFormat="1" ht="67.900000000000006" customHeight="1">
      <c r="A899" s="1280"/>
      <c r="B899" s="1135" t="s">
        <v>53</v>
      </c>
      <c r="C899" s="1129">
        <f>C900+C918+C912+C914+C916+C920+C910</f>
        <v>116429677.81999998</v>
      </c>
      <c r="D899" s="1129">
        <f t="shared" ref="D899:Y899" si="425">D900+D918+D912+D914+D916+D920+D910</f>
        <v>13996052.589999998</v>
      </c>
      <c r="E899" s="1129">
        <f t="shared" si="425"/>
        <v>386488.36</v>
      </c>
      <c r="F899" s="1129">
        <f t="shared" si="425"/>
        <v>5867882.8399999999</v>
      </c>
      <c r="G899" s="1129">
        <f t="shared" si="425"/>
        <v>314899.65999999997</v>
      </c>
      <c r="H899" s="1129">
        <f t="shared" si="425"/>
        <v>2713730.7</v>
      </c>
      <c r="I899" s="1129">
        <f t="shared" si="425"/>
        <v>2713730.7</v>
      </c>
      <c r="J899" s="1129">
        <f t="shared" si="425"/>
        <v>1999320.33</v>
      </c>
      <c r="K899" s="1136">
        <f t="shared" si="425"/>
        <v>0</v>
      </c>
      <c r="L899" s="1129">
        <f t="shared" si="425"/>
        <v>0</v>
      </c>
      <c r="M899" s="1136">
        <f t="shared" si="425"/>
        <v>9</v>
      </c>
      <c r="N899" s="1129">
        <f t="shared" si="425"/>
        <v>25288652.620000001</v>
      </c>
      <c r="O899" s="1129">
        <f t="shared" si="425"/>
        <v>11159.99</v>
      </c>
      <c r="P899" s="1129">
        <f t="shared" si="425"/>
        <v>39975913.789999999</v>
      </c>
      <c r="Q899" s="1129">
        <f t="shared" si="425"/>
        <v>0</v>
      </c>
      <c r="R899" s="1129">
        <f t="shared" si="425"/>
        <v>0</v>
      </c>
      <c r="S899" s="1129">
        <f t="shared" si="425"/>
        <v>5640</v>
      </c>
      <c r="T899" s="1129">
        <f t="shared" si="425"/>
        <v>29241420.369999997</v>
      </c>
      <c r="U899" s="1129">
        <f t="shared" si="425"/>
        <v>0</v>
      </c>
      <c r="V899" s="1129">
        <f t="shared" si="425"/>
        <v>0</v>
      </c>
      <c r="W899" s="1129">
        <f t="shared" si="425"/>
        <v>0</v>
      </c>
      <c r="X899" s="1129">
        <f t="shared" si="425"/>
        <v>7927638.4500000002</v>
      </c>
      <c r="Y899" s="1129">
        <f t="shared" si="425"/>
        <v>0</v>
      </c>
    </row>
    <row r="900" spans="1:25" s="1143" customFormat="1" ht="130.15" customHeight="1">
      <c r="A900" s="1280"/>
      <c r="B900" s="1135" t="s">
        <v>2856</v>
      </c>
      <c r="C900" s="1129">
        <f>SUM(C901:C909)</f>
        <v>94534565.969999984</v>
      </c>
      <c r="D900" s="1129">
        <f t="shared" ref="D900:Y900" si="426">SUM(D901:D909)</f>
        <v>13996052.589999998</v>
      </c>
      <c r="E900" s="1129">
        <f t="shared" si="426"/>
        <v>386488.36</v>
      </c>
      <c r="F900" s="1129">
        <f t="shared" si="426"/>
        <v>5867882.8399999999</v>
      </c>
      <c r="G900" s="1129">
        <f t="shared" si="426"/>
        <v>314899.65999999997</v>
      </c>
      <c r="H900" s="1129">
        <f t="shared" si="426"/>
        <v>2713730.7</v>
      </c>
      <c r="I900" s="1129">
        <f t="shared" si="426"/>
        <v>2713730.7</v>
      </c>
      <c r="J900" s="1129">
        <f t="shared" si="426"/>
        <v>1999320.33</v>
      </c>
      <c r="K900" s="1129">
        <f t="shared" si="426"/>
        <v>0</v>
      </c>
      <c r="L900" s="1129">
        <f t="shared" si="426"/>
        <v>0</v>
      </c>
      <c r="M900" s="1129">
        <f t="shared" si="426"/>
        <v>9</v>
      </c>
      <c r="N900" s="1129">
        <f t="shared" si="426"/>
        <v>25288652.620000001</v>
      </c>
      <c r="O900" s="1129">
        <f t="shared" si="426"/>
        <v>5054.3899999999994</v>
      </c>
      <c r="P900" s="1129">
        <f t="shared" si="426"/>
        <v>19671149.82</v>
      </c>
      <c r="Q900" s="1129">
        <f t="shared" si="426"/>
        <v>0</v>
      </c>
      <c r="R900" s="1129">
        <f t="shared" si="426"/>
        <v>0</v>
      </c>
      <c r="S900" s="1129">
        <f t="shared" si="426"/>
        <v>5640</v>
      </c>
      <c r="T900" s="1129">
        <f t="shared" si="426"/>
        <v>29241420.369999997</v>
      </c>
      <c r="U900" s="1129">
        <f t="shared" si="426"/>
        <v>0</v>
      </c>
      <c r="V900" s="1129">
        <f t="shared" si="426"/>
        <v>0</v>
      </c>
      <c r="W900" s="1129">
        <f t="shared" si="426"/>
        <v>0</v>
      </c>
      <c r="X900" s="1129">
        <f t="shared" si="426"/>
        <v>6337290.5699999994</v>
      </c>
      <c r="Y900" s="1129">
        <f t="shared" si="426"/>
        <v>0</v>
      </c>
    </row>
    <row r="901" spans="1:25" s="1143" customFormat="1" ht="55.9" customHeight="1">
      <c r="A901" s="1280">
        <v>127</v>
      </c>
      <c r="B901" s="1135" t="s">
        <v>2282</v>
      </c>
      <c r="C901" s="1145">
        <f t="shared" ref="C901:C905" si="427">D901+N901+P901+R901+T901+V901+X901</f>
        <v>14449200.52</v>
      </c>
      <c r="D901" s="1145">
        <f t="shared" ref="D901:D905" si="428">SUM(E901:J901)</f>
        <v>0</v>
      </c>
      <c r="E901" s="1145">
        <v>0</v>
      </c>
      <c r="F901" s="1145">
        <v>0</v>
      </c>
      <c r="G901" s="1145">
        <v>0</v>
      </c>
      <c r="H901" s="1145">
        <v>0</v>
      </c>
      <c r="I901" s="1145">
        <v>0</v>
      </c>
      <c r="J901" s="1145">
        <v>0</v>
      </c>
      <c r="K901" s="1136">
        <v>0</v>
      </c>
      <c r="L901" s="1145">
        <v>0</v>
      </c>
      <c r="M901" s="1136">
        <v>5</v>
      </c>
      <c r="N901" s="1145">
        <v>13399685.32</v>
      </c>
      <c r="O901" s="1145">
        <v>0</v>
      </c>
      <c r="P901" s="1145">
        <v>0</v>
      </c>
      <c r="Q901" s="1145">
        <v>0</v>
      </c>
      <c r="R901" s="1145">
        <v>0</v>
      </c>
      <c r="S901" s="1145">
        <v>0</v>
      </c>
      <c r="T901" s="1145">
        <v>0</v>
      </c>
      <c r="U901" s="1145">
        <v>0</v>
      </c>
      <c r="V901" s="1145">
        <v>0</v>
      </c>
      <c r="W901" s="1167">
        <v>0</v>
      </c>
      <c r="X901" s="1145">
        <v>1049515.2</v>
      </c>
      <c r="Y901" s="1145">
        <v>0</v>
      </c>
    </row>
    <row r="902" spans="1:25" s="1143" customFormat="1" ht="57" customHeight="1">
      <c r="A902" s="1280">
        <v>128</v>
      </c>
      <c r="B902" s="1135" t="s">
        <v>1300</v>
      </c>
      <c r="C902" s="1145">
        <f t="shared" si="427"/>
        <v>20028876.719999999</v>
      </c>
      <c r="D902" s="1145">
        <f t="shared" si="428"/>
        <v>0</v>
      </c>
      <c r="E902" s="1145">
        <v>0</v>
      </c>
      <c r="F902" s="1145">
        <v>0</v>
      </c>
      <c r="G902" s="1145">
        <v>0</v>
      </c>
      <c r="H902" s="1145">
        <v>0</v>
      </c>
      <c r="I902" s="1145">
        <v>0</v>
      </c>
      <c r="J902" s="1145">
        <v>0</v>
      </c>
      <c r="K902" s="1136">
        <v>0</v>
      </c>
      <c r="L902" s="1145">
        <v>0</v>
      </c>
      <c r="M902" s="1136">
        <v>0</v>
      </c>
      <c r="N902" s="1145">
        <v>0</v>
      </c>
      <c r="O902" s="1145">
        <v>1060</v>
      </c>
      <c r="P902" s="1145">
        <v>4191069.76</v>
      </c>
      <c r="Q902" s="1145">
        <v>0</v>
      </c>
      <c r="R902" s="1145">
        <v>0</v>
      </c>
      <c r="S902" s="1145">
        <v>2829</v>
      </c>
      <c r="T902" s="1145">
        <v>14593053.939999999</v>
      </c>
      <c r="U902" s="1145">
        <v>0</v>
      </c>
      <c r="V902" s="1145">
        <v>0</v>
      </c>
      <c r="W902" s="1167">
        <v>0</v>
      </c>
      <c r="X902" s="1145">
        <v>1244753.02</v>
      </c>
      <c r="Y902" s="1145">
        <v>0</v>
      </c>
    </row>
    <row r="903" spans="1:25" s="1143" customFormat="1" ht="59.45" customHeight="1">
      <c r="A903" s="1280">
        <v>129</v>
      </c>
      <c r="B903" s="1135" t="s">
        <v>1301</v>
      </c>
      <c r="C903" s="1145">
        <f t="shared" si="427"/>
        <v>19395373.649999999</v>
      </c>
      <c r="D903" s="1145">
        <f t="shared" si="428"/>
        <v>0</v>
      </c>
      <c r="E903" s="1145">
        <v>0</v>
      </c>
      <c r="F903" s="1145">
        <v>0</v>
      </c>
      <c r="G903" s="1145">
        <v>0</v>
      </c>
      <c r="H903" s="1145">
        <v>0</v>
      </c>
      <c r="I903" s="1145">
        <v>0</v>
      </c>
      <c r="J903" s="1145">
        <v>0</v>
      </c>
      <c r="K903" s="1136">
        <v>0</v>
      </c>
      <c r="L903" s="1145">
        <v>0</v>
      </c>
      <c r="M903" s="1136">
        <v>0</v>
      </c>
      <c r="N903" s="1145">
        <v>0</v>
      </c>
      <c r="O903" s="1145">
        <v>1060</v>
      </c>
      <c r="P903" s="1145">
        <v>3552286.2</v>
      </c>
      <c r="Q903" s="1145">
        <v>0</v>
      </c>
      <c r="R903" s="1145">
        <v>0</v>
      </c>
      <c r="S903" s="1145">
        <v>2811</v>
      </c>
      <c r="T903" s="1145">
        <v>14648366.43</v>
      </c>
      <c r="U903" s="1145">
        <v>0</v>
      </c>
      <c r="V903" s="1145">
        <v>0</v>
      </c>
      <c r="W903" s="1167">
        <v>0</v>
      </c>
      <c r="X903" s="1145">
        <v>1194721.02</v>
      </c>
      <c r="Y903" s="1145">
        <v>0</v>
      </c>
    </row>
    <row r="904" spans="1:25" s="1143" customFormat="1" ht="65.45" customHeight="1">
      <c r="A904" s="1280">
        <v>130</v>
      </c>
      <c r="B904" s="1135" t="s">
        <v>1302</v>
      </c>
      <c r="C904" s="1145">
        <f t="shared" si="427"/>
        <v>13916269.27</v>
      </c>
      <c r="D904" s="1145">
        <f t="shared" si="428"/>
        <v>13010575.229999999</v>
      </c>
      <c r="E904" s="1145">
        <v>0</v>
      </c>
      <c r="F904" s="1145">
        <v>5867882.8399999999</v>
      </c>
      <c r="G904" s="1145">
        <v>0</v>
      </c>
      <c r="H904" s="1145">
        <v>2713730.7</v>
      </c>
      <c r="I904" s="1145">
        <v>2713730.7</v>
      </c>
      <c r="J904" s="1145">
        <v>1715230.99</v>
      </c>
      <c r="K904" s="1136">
        <v>0</v>
      </c>
      <c r="L904" s="1145">
        <v>0</v>
      </c>
      <c r="M904" s="1136">
        <v>0</v>
      </c>
      <c r="N904" s="1145">
        <v>0</v>
      </c>
      <c r="O904" s="1145">
        <v>0</v>
      </c>
      <c r="P904" s="1145">
        <v>0</v>
      </c>
      <c r="Q904" s="1145">
        <v>0</v>
      </c>
      <c r="R904" s="1145">
        <v>0</v>
      </c>
      <c r="S904" s="1145">
        <v>0</v>
      </c>
      <c r="T904" s="1145">
        <v>0</v>
      </c>
      <c r="U904" s="1145">
        <v>0</v>
      </c>
      <c r="V904" s="1145">
        <v>0</v>
      </c>
      <c r="W904" s="1167">
        <v>0</v>
      </c>
      <c r="X904" s="1145">
        <v>905694.04</v>
      </c>
      <c r="Y904" s="1145">
        <v>0</v>
      </c>
    </row>
    <row r="905" spans="1:25" s="1143" customFormat="1" ht="66.599999999999994" customHeight="1">
      <c r="A905" s="1280">
        <v>131</v>
      </c>
      <c r="B905" s="1135" t="s">
        <v>1303</v>
      </c>
      <c r="C905" s="1145">
        <f t="shared" si="427"/>
        <v>8669520.3100000005</v>
      </c>
      <c r="D905" s="1145">
        <f t="shared" si="428"/>
        <v>0</v>
      </c>
      <c r="E905" s="1145">
        <v>0</v>
      </c>
      <c r="F905" s="1145">
        <v>0</v>
      </c>
      <c r="G905" s="1145">
        <v>0</v>
      </c>
      <c r="H905" s="1145">
        <v>0</v>
      </c>
      <c r="I905" s="1145">
        <v>0</v>
      </c>
      <c r="J905" s="1145">
        <v>0</v>
      </c>
      <c r="K905" s="1136">
        <v>0</v>
      </c>
      <c r="L905" s="1145">
        <v>0</v>
      </c>
      <c r="M905" s="1136">
        <v>3</v>
      </c>
      <c r="N905" s="1145">
        <v>8039811.1900000004</v>
      </c>
      <c r="O905" s="1145">
        <v>0</v>
      </c>
      <c r="P905" s="1145">
        <v>0</v>
      </c>
      <c r="Q905" s="1145">
        <v>0</v>
      </c>
      <c r="R905" s="1145">
        <v>0</v>
      </c>
      <c r="S905" s="1145">
        <v>0</v>
      </c>
      <c r="T905" s="1145">
        <v>0</v>
      </c>
      <c r="U905" s="1145">
        <v>0</v>
      </c>
      <c r="V905" s="1145">
        <v>0</v>
      </c>
      <c r="W905" s="1167">
        <v>0</v>
      </c>
      <c r="X905" s="1145">
        <v>629709.12</v>
      </c>
      <c r="Y905" s="1145">
        <v>0</v>
      </c>
    </row>
    <row r="906" spans="1:25" s="1143" customFormat="1" ht="66.599999999999994" customHeight="1">
      <c r="A906" s="1280">
        <v>132</v>
      </c>
      <c r="B906" s="1135" t="s">
        <v>759</v>
      </c>
      <c r="C906" s="1145">
        <f t="shared" ref="C906:C908" si="429">D906+N906+P906+R906+T906+V906+X906</f>
        <v>4150636.9099999997</v>
      </c>
      <c r="D906" s="1145">
        <f t="shared" ref="D906:D908" si="430">SUM(E906:J906)</f>
        <v>0</v>
      </c>
      <c r="E906" s="1145">
        <v>0</v>
      </c>
      <c r="F906" s="1145">
        <v>0</v>
      </c>
      <c r="G906" s="1145">
        <v>0</v>
      </c>
      <c r="H906" s="1145">
        <v>0</v>
      </c>
      <c r="I906" s="1145">
        <v>0</v>
      </c>
      <c r="J906" s="1145">
        <v>0</v>
      </c>
      <c r="K906" s="1136">
        <v>0</v>
      </c>
      <c r="L906" s="1145">
        <v>0</v>
      </c>
      <c r="M906" s="1136">
        <v>1</v>
      </c>
      <c r="N906" s="1145">
        <v>3849156.11</v>
      </c>
      <c r="O906" s="1145">
        <v>0</v>
      </c>
      <c r="P906" s="1145">
        <v>0</v>
      </c>
      <c r="Q906" s="1145">
        <v>0</v>
      </c>
      <c r="R906" s="1145">
        <v>0</v>
      </c>
      <c r="S906" s="1145">
        <v>0</v>
      </c>
      <c r="T906" s="1145">
        <v>0</v>
      </c>
      <c r="U906" s="1145">
        <v>0</v>
      </c>
      <c r="V906" s="1145">
        <v>0</v>
      </c>
      <c r="W906" s="1167">
        <v>0</v>
      </c>
      <c r="X906" s="1145">
        <v>301480.8</v>
      </c>
      <c r="Y906" s="1145">
        <v>0</v>
      </c>
    </row>
    <row r="907" spans="1:25" s="1143" customFormat="1" ht="66.599999999999994" customHeight="1">
      <c r="A907" s="1280">
        <v>133</v>
      </c>
      <c r="B907" s="1135" t="s">
        <v>2628</v>
      </c>
      <c r="C907" s="1145">
        <f t="shared" si="429"/>
        <v>3605381.9099999997</v>
      </c>
      <c r="D907" s="1145">
        <f t="shared" si="430"/>
        <v>0</v>
      </c>
      <c r="E907" s="1145">
        <v>0</v>
      </c>
      <c r="F907" s="1145">
        <v>0</v>
      </c>
      <c r="G907" s="1145">
        <v>0</v>
      </c>
      <c r="H907" s="1145">
        <v>0</v>
      </c>
      <c r="I907" s="1145">
        <v>0</v>
      </c>
      <c r="J907" s="1145">
        <v>0</v>
      </c>
      <c r="K907" s="1136">
        <v>0</v>
      </c>
      <c r="L907" s="1145">
        <v>0</v>
      </c>
      <c r="M907" s="1136">
        <v>0</v>
      </c>
      <c r="N907" s="1145">
        <v>0</v>
      </c>
      <c r="O907" s="1145">
        <v>997.7</v>
      </c>
      <c r="P907" s="1145">
        <v>3343505.61</v>
      </c>
      <c r="Q907" s="1145">
        <v>0</v>
      </c>
      <c r="R907" s="1145">
        <v>0</v>
      </c>
      <c r="S907" s="1145">
        <v>0</v>
      </c>
      <c r="T907" s="1145">
        <v>0</v>
      </c>
      <c r="U907" s="1145">
        <v>0</v>
      </c>
      <c r="V907" s="1145">
        <v>0</v>
      </c>
      <c r="W907" s="1167">
        <v>0</v>
      </c>
      <c r="X907" s="1145">
        <v>261876.3</v>
      </c>
      <c r="Y907" s="1145">
        <v>0</v>
      </c>
    </row>
    <row r="908" spans="1:25" s="1143" customFormat="1" ht="66.599999999999994" customHeight="1">
      <c r="A908" s="1280">
        <v>134</v>
      </c>
      <c r="B908" s="1135" t="s">
        <v>2629</v>
      </c>
      <c r="C908" s="1145">
        <f t="shared" si="429"/>
        <v>4428285.97</v>
      </c>
      <c r="D908" s="1145">
        <f t="shared" si="430"/>
        <v>985477.3600000001</v>
      </c>
      <c r="E908" s="1145">
        <v>386488.36</v>
      </c>
      <c r="F908" s="1145">
        <v>0</v>
      </c>
      <c r="G908" s="1145">
        <v>314899.65999999997</v>
      </c>
      <c r="H908" s="1145">
        <v>0</v>
      </c>
      <c r="I908" s="1145">
        <v>0</v>
      </c>
      <c r="J908" s="1145">
        <v>284089.34000000003</v>
      </c>
      <c r="K908" s="1136">
        <v>0</v>
      </c>
      <c r="L908" s="1145">
        <v>0</v>
      </c>
      <c r="M908" s="1136">
        <v>0</v>
      </c>
      <c r="N908" s="1145">
        <v>0</v>
      </c>
      <c r="O908" s="1145">
        <v>789.4</v>
      </c>
      <c r="P908" s="1145">
        <v>3121160.82</v>
      </c>
      <c r="Q908" s="1145">
        <v>0</v>
      </c>
      <c r="R908" s="1145">
        <v>0</v>
      </c>
      <c r="S908" s="1145">
        <v>0</v>
      </c>
      <c r="T908" s="1145">
        <v>0</v>
      </c>
      <c r="U908" s="1145">
        <v>0</v>
      </c>
      <c r="V908" s="1145">
        <v>0</v>
      </c>
      <c r="W908" s="1167">
        <v>0</v>
      </c>
      <c r="X908" s="1145">
        <v>321647.78999999998</v>
      </c>
      <c r="Y908" s="1145">
        <v>0</v>
      </c>
    </row>
    <row r="909" spans="1:25" s="1143" customFormat="1" ht="66.599999999999994" customHeight="1">
      <c r="A909" s="1280">
        <v>135</v>
      </c>
      <c r="B909" s="1135" t="s">
        <v>2672</v>
      </c>
      <c r="C909" s="1145">
        <f t="shared" ref="C909" si="431">D909+N909+P909+R909+T909+V909+X909</f>
        <v>5891020.71</v>
      </c>
      <c r="D909" s="1145">
        <f t="shared" ref="D909" si="432">SUM(E909:J909)</f>
        <v>0</v>
      </c>
      <c r="E909" s="1145">
        <v>0</v>
      </c>
      <c r="F909" s="1145">
        <v>0</v>
      </c>
      <c r="G909" s="1145">
        <v>0</v>
      </c>
      <c r="H909" s="1145">
        <v>0</v>
      </c>
      <c r="I909" s="1145">
        <v>0</v>
      </c>
      <c r="J909" s="1145">
        <v>0</v>
      </c>
      <c r="K909" s="1136">
        <v>0</v>
      </c>
      <c r="L909" s="1145">
        <v>0</v>
      </c>
      <c r="M909" s="1136">
        <v>0</v>
      </c>
      <c r="N909" s="1145">
        <v>0</v>
      </c>
      <c r="O909" s="1145">
        <v>1147.29</v>
      </c>
      <c r="P909" s="1145">
        <v>5463127.4299999997</v>
      </c>
      <c r="Q909" s="1145">
        <v>0</v>
      </c>
      <c r="R909" s="1145">
        <v>0</v>
      </c>
      <c r="S909" s="1145">
        <v>0</v>
      </c>
      <c r="T909" s="1145">
        <v>0</v>
      </c>
      <c r="U909" s="1145">
        <v>0</v>
      </c>
      <c r="V909" s="1145">
        <v>0</v>
      </c>
      <c r="W909" s="1167">
        <v>0</v>
      </c>
      <c r="X909" s="1145">
        <v>427893.28</v>
      </c>
      <c r="Y909" s="1145">
        <v>0</v>
      </c>
    </row>
    <row r="910" spans="1:25" s="1143" customFormat="1" ht="135" customHeight="1">
      <c r="A910" s="1280"/>
      <c r="B910" s="1135" t="s">
        <v>2831</v>
      </c>
      <c r="C910" s="1129">
        <f>SUM(C911:C911)</f>
        <v>3410816</v>
      </c>
      <c r="D910" s="1129">
        <f t="shared" ref="D910:Y910" si="433">SUM(D911:D911)</f>
        <v>0</v>
      </c>
      <c r="E910" s="1129">
        <f t="shared" si="433"/>
        <v>0</v>
      </c>
      <c r="F910" s="1129">
        <f t="shared" si="433"/>
        <v>0</v>
      </c>
      <c r="G910" s="1129">
        <f t="shared" si="433"/>
        <v>0</v>
      </c>
      <c r="H910" s="1129">
        <f t="shared" si="433"/>
        <v>0</v>
      </c>
      <c r="I910" s="1129">
        <f t="shared" si="433"/>
        <v>0</v>
      </c>
      <c r="J910" s="1129">
        <f t="shared" si="433"/>
        <v>0</v>
      </c>
      <c r="K910" s="1136">
        <f t="shared" si="433"/>
        <v>0</v>
      </c>
      <c r="L910" s="1129">
        <f t="shared" si="433"/>
        <v>0</v>
      </c>
      <c r="M910" s="1136">
        <f t="shared" si="433"/>
        <v>0</v>
      </c>
      <c r="N910" s="1129">
        <f t="shared" si="433"/>
        <v>0</v>
      </c>
      <c r="O910" s="1129">
        <f t="shared" si="433"/>
        <v>800</v>
      </c>
      <c r="P910" s="1129">
        <f t="shared" si="433"/>
        <v>3163072</v>
      </c>
      <c r="Q910" s="1129">
        <f t="shared" si="433"/>
        <v>0</v>
      </c>
      <c r="R910" s="1129">
        <f t="shared" si="433"/>
        <v>0</v>
      </c>
      <c r="S910" s="1129">
        <f t="shared" si="433"/>
        <v>0</v>
      </c>
      <c r="T910" s="1129">
        <f t="shared" si="433"/>
        <v>0</v>
      </c>
      <c r="U910" s="1129">
        <f t="shared" si="433"/>
        <v>0</v>
      </c>
      <c r="V910" s="1129">
        <f t="shared" si="433"/>
        <v>0</v>
      </c>
      <c r="W910" s="1129">
        <f t="shared" si="433"/>
        <v>0</v>
      </c>
      <c r="X910" s="1129">
        <f t="shared" si="433"/>
        <v>247744</v>
      </c>
      <c r="Y910" s="1129">
        <f t="shared" si="433"/>
        <v>0</v>
      </c>
    </row>
    <row r="911" spans="1:25" s="1143" customFormat="1" ht="67.900000000000006" customHeight="1">
      <c r="A911" s="1280">
        <v>136</v>
      </c>
      <c r="B911" s="1135" t="s">
        <v>1994</v>
      </c>
      <c r="C911" s="1145">
        <f t="shared" ref="C911" si="434">D911+N911+P911+R911+T911+V911+X911</f>
        <v>3410816</v>
      </c>
      <c r="D911" s="1145">
        <f t="shared" ref="D911" si="435">SUM(E911:J911)</f>
        <v>0</v>
      </c>
      <c r="E911" s="1145">
        <v>0</v>
      </c>
      <c r="F911" s="1145">
        <v>0</v>
      </c>
      <c r="G911" s="1145">
        <v>0</v>
      </c>
      <c r="H911" s="1145">
        <v>0</v>
      </c>
      <c r="I911" s="1145">
        <v>0</v>
      </c>
      <c r="J911" s="1145">
        <v>0</v>
      </c>
      <c r="K911" s="1136">
        <v>0</v>
      </c>
      <c r="L911" s="1145">
        <v>0</v>
      </c>
      <c r="M911" s="1136">
        <v>0</v>
      </c>
      <c r="N911" s="1145">
        <v>0</v>
      </c>
      <c r="O911" s="1145">
        <v>800</v>
      </c>
      <c r="P911" s="1145">
        <v>3163072</v>
      </c>
      <c r="Q911" s="1145">
        <v>0</v>
      </c>
      <c r="R911" s="1145">
        <v>0</v>
      </c>
      <c r="S911" s="1145">
        <v>0</v>
      </c>
      <c r="T911" s="1145">
        <v>0</v>
      </c>
      <c r="U911" s="1145">
        <v>0</v>
      </c>
      <c r="V911" s="1145">
        <v>0</v>
      </c>
      <c r="W911" s="1167">
        <v>0</v>
      </c>
      <c r="X911" s="1145">
        <v>247744</v>
      </c>
      <c r="Y911" s="1145">
        <v>0</v>
      </c>
    </row>
    <row r="912" spans="1:25" s="1143" customFormat="1" ht="125.45" customHeight="1">
      <c r="A912" s="1280"/>
      <c r="B912" s="1135" t="s">
        <v>1074</v>
      </c>
      <c r="C912" s="1129">
        <f>C913</f>
        <v>4569906.8500000006</v>
      </c>
      <c r="D912" s="1129">
        <f t="shared" ref="D912:Y912" si="436">D913</f>
        <v>0</v>
      </c>
      <c r="E912" s="1129">
        <f t="shared" si="436"/>
        <v>0</v>
      </c>
      <c r="F912" s="1129">
        <f t="shared" si="436"/>
        <v>0</v>
      </c>
      <c r="G912" s="1129">
        <f t="shared" si="436"/>
        <v>0</v>
      </c>
      <c r="H912" s="1129">
        <f t="shared" si="436"/>
        <v>0</v>
      </c>
      <c r="I912" s="1129">
        <f t="shared" si="436"/>
        <v>0</v>
      </c>
      <c r="J912" s="1129">
        <f t="shared" si="436"/>
        <v>0</v>
      </c>
      <c r="K912" s="1136">
        <f t="shared" si="436"/>
        <v>0</v>
      </c>
      <c r="L912" s="1129">
        <f t="shared" si="436"/>
        <v>0</v>
      </c>
      <c r="M912" s="1136">
        <f t="shared" si="436"/>
        <v>0</v>
      </c>
      <c r="N912" s="1129">
        <f t="shared" si="436"/>
        <v>0</v>
      </c>
      <c r="O912" s="1129">
        <f t="shared" si="436"/>
        <v>890</v>
      </c>
      <c r="P912" s="1129">
        <f t="shared" si="436"/>
        <v>4237972.45</v>
      </c>
      <c r="Q912" s="1129">
        <f t="shared" si="436"/>
        <v>0</v>
      </c>
      <c r="R912" s="1129">
        <f t="shared" si="436"/>
        <v>0</v>
      </c>
      <c r="S912" s="1129">
        <f t="shared" si="436"/>
        <v>0</v>
      </c>
      <c r="T912" s="1129">
        <f t="shared" si="436"/>
        <v>0</v>
      </c>
      <c r="U912" s="1129">
        <f t="shared" si="436"/>
        <v>0</v>
      </c>
      <c r="V912" s="1129">
        <f t="shared" si="436"/>
        <v>0</v>
      </c>
      <c r="W912" s="1167">
        <v>0</v>
      </c>
      <c r="X912" s="1129">
        <f t="shared" si="436"/>
        <v>331934.40000000002</v>
      </c>
      <c r="Y912" s="1129">
        <f t="shared" si="436"/>
        <v>0</v>
      </c>
    </row>
    <row r="913" spans="1:25" s="1143" customFormat="1" ht="94.15" customHeight="1">
      <c r="A913" s="1280">
        <v>137</v>
      </c>
      <c r="B913" s="1128" t="s">
        <v>1355</v>
      </c>
      <c r="C913" s="1145">
        <f t="shared" ref="C913" si="437">D913+N913+P913+R913+T913+V913+X913</f>
        <v>4569906.8500000006</v>
      </c>
      <c r="D913" s="1145">
        <f t="shared" ref="D913" si="438">SUM(E913:J913)</f>
        <v>0</v>
      </c>
      <c r="E913" s="1129">
        <v>0</v>
      </c>
      <c r="F913" s="1129">
        <v>0</v>
      </c>
      <c r="G913" s="1129">
        <v>0</v>
      </c>
      <c r="H913" s="1129">
        <v>0</v>
      </c>
      <c r="I913" s="1129">
        <v>0</v>
      </c>
      <c r="J913" s="1129">
        <v>0</v>
      </c>
      <c r="K913" s="1136">
        <v>0</v>
      </c>
      <c r="L913" s="1129">
        <v>0</v>
      </c>
      <c r="M913" s="1136">
        <v>0</v>
      </c>
      <c r="N913" s="1129">
        <v>0</v>
      </c>
      <c r="O913" s="1129">
        <v>890</v>
      </c>
      <c r="P913" s="1129">
        <v>4237972.45</v>
      </c>
      <c r="Q913" s="1129">
        <v>0</v>
      </c>
      <c r="R913" s="1129">
        <v>0</v>
      </c>
      <c r="S913" s="1129">
        <v>0</v>
      </c>
      <c r="T913" s="1129">
        <v>0</v>
      </c>
      <c r="U913" s="1129">
        <v>0</v>
      </c>
      <c r="V913" s="1129">
        <v>0</v>
      </c>
      <c r="W913" s="1167">
        <v>0</v>
      </c>
      <c r="X913" s="1129">
        <v>331934.40000000002</v>
      </c>
      <c r="Y913" s="1129">
        <v>0</v>
      </c>
    </row>
    <row r="914" spans="1:25" s="1143" customFormat="1" ht="95.45" customHeight="1">
      <c r="A914" s="1280"/>
      <c r="B914" s="1135" t="s">
        <v>1073</v>
      </c>
      <c r="C914" s="1145">
        <f>C915</f>
        <v>8518278</v>
      </c>
      <c r="D914" s="1145">
        <f t="shared" ref="D914:Y914" si="439">D915</f>
        <v>0</v>
      </c>
      <c r="E914" s="1145">
        <f t="shared" si="439"/>
        <v>0</v>
      </c>
      <c r="F914" s="1145">
        <f t="shared" si="439"/>
        <v>0</v>
      </c>
      <c r="G914" s="1145">
        <f t="shared" si="439"/>
        <v>0</v>
      </c>
      <c r="H914" s="1145">
        <f t="shared" si="439"/>
        <v>0</v>
      </c>
      <c r="I914" s="1145">
        <f t="shared" si="439"/>
        <v>0</v>
      </c>
      <c r="J914" s="1145">
        <f t="shared" si="439"/>
        <v>0</v>
      </c>
      <c r="K914" s="1136">
        <f t="shared" si="439"/>
        <v>0</v>
      </c>
      <c r="L914" s="1145">
        <f t="shared" si="439"/>
        <v>0</v>
      </c>
      <c r="M914" s="1136">
        <f t="shared" si="439"/>
        <v>0</v>
      </c>
      <c r="N914" s="1145">
        <f t="shared" si="439"/>
        <v>0</v>
      </c>
      <c r="O914" s="1145">
        <f t="shared" si="439"/>
        <v>3135</v>
      </c>
      <c r="P914" s="1145">
        <f t="shared" si="439"/>
        <v>7899554</v>
      </c>
      <c r="Q914" s="1145">
        <f t="shared" si="439"/>
        <v>0</v>
      </c>
      <c r="R914" s="1145">
        <f t="shared" si="439"/>
        <v>0</v>
      </c>
      <c r="S914" s="1145">
        <f t="shared" si="439"/>
        <v>0</v>
      </c>
      <c r="T914" s="1145">
        <f t="shared" si="439"/>
        <v>0</v>
      </c>
      <c r="U914" s="1145">
        <f t="shared" si="439"/>
        <v>0</v>
      </c>
      <c r="V914" s="1145">
        <f t="shared" si="439"/>
        <v>0</v>
      </c>
      <c r="W914" s="1167">
        <v>0</v>
      </c>
      <c r="X914" s="1145">
        <f t="shared" si="439"/>
        <v>618724</v>
      </c>
      <c r="Y914" s="1145">
        <f t="shared" si="439"/>
        <v>0</v>
      </c>
    </row>
    <row r="915" spans="1:25" s="1143" customFormat="1" ht="72.599999999999994" customHeight="1">
      <c r="A915" s="1280">
        <v>138</v>
      </c>
      <c r="B915" s="1128" t="s">
        <v>1041</v>
      </c>
      <c r="C915" s="1145">
        <f>D915+N915+P915+R915+T915+V915+X915+L915</f>
        <v>8518278</v>
      </c>
      <c r="D915" s="1145">
        <f t="shared" ref="D915" si="440">SUM(E915:J915)</f>
        <v>0</v>
      </c>
      <c r="E915" s="1129">
        <v>0</v>
      </c>
      <c r="F915" s="1129">
        <v>0</v>
      </c>
      <c r="G915" s="1129">
        <v>0</v>
      </c>
      <c r="H915" s="1129">
        <v>0</v>
      </c>
      <c r="I915" s="1129">
        <v>0</v>
      </c>
      <c r="J915" s="1129">
        <v>0</v>
      </c>
      <c r="K915" s="1136">
        <v>0</v>
      </c>
      <c r="L915" s="1129">
        <v>0</v>
      </c>
      <c r="M915" s="1136">
        <v>0</v>
      </c>
      <c r="N915" s="1129">
        <v>0</v>
      </c>
      <c r="O915" s="1129">
        <v>3135</v>
      </c>
      <c r="P915" s="1129">
        <v>7899554</v>
      </c>
      <c r="Q915" s="1129">
        <v>0</v>
      </c>
      <c r="R915" s="1129">
        <v>0</v>
      </c>
      <c r="S915" s="1129">
        <v>0</v>
      </c>
      <c r="T915" s="1129">
        <v>0</v>
      </c>
      <c r="U915" s="1129">
        <v>0</v>
      </c>
      <c r="V915" s="1129">
        <v>0</v>
      </c>
      <c r="W915" s="1167">
        <v>0</v>
      </c>
      <c r="X915" s="1129">
        <v>618724</v>
      </c>
      <c r="Y915" s="1129">
        <v>0</v>
      </c>
    </row>
    <row r="916" spans="1:25" s="1143" customFormat="1" ht="120.6" customHeight="1">
      <c r="A916" s="1280"/>
      <c r="B916" s="1135" t="s">
        <v>1644</v>
      </c>
      <c r="C916" s="1145">
        <f>C917</f>
        <v>1992274</v>
      </c>
      <c r="D916" s="1145">
        <f t="shared" ref="D916:Y916" si="441">D917</f>
        <v>0</v>
      </c>
      <c r="E916" s="1145">
        <f t="shared" si="441"/>
        <v>0</v>
      </c>
      <c r="F916" s="1145">
        <f t="shared" si="441"/>
        <v>0</v>
      </c>
      <c r="G916" s="1145">
        <f t="shared" si="441"/>
        <v>0</v>
      </c>
      <c r="H916" s="1145">
        <f t="shared" si="441"/>
        <v>0</v>
      </c>
      <c r="I916" s="1145">
        <f t="shared" si="441"/>
        <v>0</v>
      </c>
      <c r="J916" s="1145">
        <f t="shared" si="441"/>
        <v>0</v>
      </c>
      <c r="K916" s="1136">
        <f t="shared" si="441"/>
        <v>0</v>
      </c>
      <c r="L916" s="1145">
        <f t="shared" si="441"/>
        <v>0</v>
      </c>
      <c r="M916" s="1136">
        <f t="shared" si="441"/>
        <v>0</v>
      </c>
      <c r="N916" s="1145">
        <f t="shared" si="441"/>
        <v>0</v>
      </c>
      <c r="O916" s="1145">
        <f t="shared" si="441"/>
        <v>388</v>
      </c>
      <c r="P916" s="1145">
        <f t="shared" si="441"/>
        <v>1847565.52</v>
      </c>
      <c r="Q916" s="1145">
        <f t="shared" si="441"/>
        <v>0</v>
      </c>
      <c r="R916" s="1145">
        <f t="shared" si="441"/>
        <v>0</v>
      </c>
      <c r="S916" s="1145">
        <f t="shared" si="441"/>
        <v>0</v>
      </c>
      <c r="T916" s="1145">
        <f t="shared" si="441"/>
        <v>0</v>
      </c>
      <c r="U916" s="1145">
        <f t="shared" si="441"/>
        <v>0</v>
      </c>
      <c r="V916" s="1145">
        <f t="shared" si="441"/>
        <v>0</v>
      </c>
      <c r="W916" s="1167">
        <v>0</v>
      </c>
      <c r="X916" s="1145">
        <f t="shared" si="441"/>
        <v>144708.48000000001</v>
      </c>
      <c r="Y916" s="1145">
        <f t="shared" si="441"/>
        <v>0</v>
      </c>
    </row>
    <row r="917" spans="1:25" s="1143" customFormat="1" ht="97.15" customHeight="1">
      <c r="A917" s="1280">
        <v>139</v>
      </c>
      <c r="B917" s="1135" t="s">
        <v>1875</v>
      </c>
      <c r="C917" s="1145">
        <f t="shared" ref="C917" si="442">D917+N917+P917+R917+T917+V917+X917</f>
        <v>1992274</v>
      </c>
      <c r="D917" s="1145">
        <f t="shared" ref="D917" si="443">SUM(E917:J917)</f>
        <v>0</v>
      </c>
      <c r="E917" s="1129">
        <v>0</v>
      </c>
      <c r="F917" s="1129">
        <v>0</v>
      </c>
      <c r="G917" s="1129">
        <v>0</v>
      </c>
      <c r="H917" s="1129">
        <v>0</v>
      </c>
      <c r="I917" s="1129">
        <v>0</v>
      </c>
      <c r="J917" s="1129">
        <v>0</v>
      </c>
      <c r="K917" s="1136">
        <v>0</v>
      </c>
      <c r="L917" s="1129">
        <v>0</v>
      </c>
      <c r="M917" s="1136">
        <v>0</v>
      </c>
      <c r="N917" s="1129">
        <v>0</v>
      </c>
      <c r="O917" s="1129">
        <v>388</v>
      </c>
      <c r="P917" s="1129">
        <v>1847565.52</v>
      </c>
      <c r="Q917" s="1129">
        <v>0</v>
      </c>
      <c r="R917" s="1129">
        <v>0</v>
      </c>
      <c r="S917" s="1129">
        <v>0</v>
      </c>
      <c r="T917" s="1129">
        <v>0</v>
      </c>
      <c r="U917" s="1129">
        <v>0</v>
      </c>
      <c r="V917" s="1129">
        <v>0</v>
      </c>
      <c r="W917" s="1167">
        <v>0</v>
      </c>
      <c r="X917" s="1129">
        <v>144708.48000000001</v>
      </c>
      <c r="Y917" s="1129">
        <v>0</v>
      </c>
    </row>
    <row r="918" spans="1:25" s="1143" customFormat="1" ht="96.75" customHeight="1">
      <c r="A918" s="1280"/>
      <c r="B918" s="1135" t="s">
        <v>1109</v>
      </c>
      <c r="C918" s="1129">
        <f>C919</f>
        <v>1039583</v>
      </c>
      <c r="D918" s="1129">
        <f t="shared" ref="D918:Y918" si="444">D919</f>
        <v>0</v>
      </c>
      <c r="E918" s="1129">
        <f t="shared" si="444"/>
        <v>0</v>
      </c>
      <c r="F918" s="1129">
        <f t="shared" si="444"/>
        <v>0</v>
      </c>
      <c r="G918" s="1129">
        <f t="shared" si="444"/>
        <v>0</v>
      </c>
      <c r="H918" s="1129">
        <f t="shared" si="444"/>
        <v>0</v>
      </c>
      <c r="I918" s="1129">
        <f t="shared" si="444"/>
        <v>0</v>
      </c>
      <c r="J918" s="1129">
        <f t="shared" si="444"/>
        <v>0</v>
      </c>
      <c r="K918" s="1136">
        <f t="shared" si="444"/>
        <v>0</v>
      </c>
      <c r="L918" s="1129">
        <f t="shared" si="444"/>
        <v>0</v>
      </c>
      <c r="M918" s="1136">
        <f t="shared" si="444"/>
        <v>0</v>
      </c>
      <c r="N918" s="1129">
        <f t="shared" si="444"/>
        <v>0</v>
      </c>
      <c r="O918" s="1129">
        <f t="shared" si="444"/>
        <v>382.6</v>
      </c>
      <c r="P918" s="1129">
        <f t="shared" si="444"/>
        <v>964073</v>
      </c>
      <c r="Q918" s="1129">
        <f t="shared" si="444"/>
        <v>0</v>
      </c>
      <c r="R918" s="1129">
        <f t="shared" si="444"/>
        <v>0</v>
      </c>
      <c r="S918" s="1129">
        <f t="shared" si="444"/>
        <v>0</v>
      </c>
      <c r="T918" s="1129">
        <f t="shared" si="444"/>
        <v>0</v>
      </c>
      <c r="U918" s="1129">
        <f t="shared" si="444"/>
        <v>0</v>
      </c>
      <c r="V918" s="1129">
        <f t="shared" si="444"/>
        <v>0</v>
      </c>
      <c r="W918" s="1167">
        <v>0</v>
      </c>
      <c r="X918" s="1129">
        <f t="shared" si="444"/>
        <v>75510</v>
      </c>
      <c r="Y918" s="1129">
        <f t="shared" si="444"/>
        <v>0</v>
      </c>
    </row>
    <row r="919" spans="1:25" s="1143" customFormat="1" ht="60.6" customHeight="1">
      <c r="A919" s="1280">
        <v>140</v>
      </c>
      <c r="B919" s="1128" t="s">
        <v>1656</v>
      </c>
      <c r="C919" s="1129">
        <f>D919+N919+P919+R919+T919+V919+X919</f>
        <v>1039583</v>
      </c>
      <c r="D919" s="1129">
        <f>SUM(E919:J919)</f>
        <v>0</v>
      </c>
      <c r="E919" s="1129">
        <v>0</v>
      </c>
      <c r="F919" s="1129">
        <v>0</v>
      </c>
      <c r="G919" s="1129">
        <v>0</v>
      </c>
      <c r="H919" s="1129">
        <v>0</v>
      </c>
      <c r="I919" s="1129">
        <v>0</v>
      </c>
      <c r="J919" s="1129">
        <v>0</v>
      </c>
      <c r="K919" s="1136">
        <v>0</v>
      </c>
      <c r="L919" s="1129">
        <v>0</v>
      </c>
      <c r="M919" s="1136">
        <v>0</v>
      </c>
      <c r="N919" s="1129">
        <v>0</v>
      </c>
      <c r="O919" s="1129">
        <v>382.6</v>
      </c>
      <c r="P919" s="1129">
        <v>964073</v>
      </c>
      <c r="Q919" s="1129">
        <v>0</v>
      </c>
      <c r="R919" s="1129">
        <v>0</v>
      </c>
      <c r="S919" s="1129">
        <v>0</v>
      </c>
      <c r="T919" s="1129">
        <v>0</v>
      </c>
      <c r="U919" s="1129">
        <v>0</v>
      </c>
      <c r="V919" s="1129">
        <v>0</v>
      </c>
      <c r="W919" s="1167">
        <v>0</v>
      </c>
      <c r="X919" s="1129">
        <v>75510</v>
      </c>
      <c r="Y919" s="1129">
        <v>0</v>
      </c>
    </row>
    <row r="920" spans="1:25" s="1143" customFormat="1" ht="124.15" customHeight="1">
      <c r="A920" s="1280"/>
      <c r="B920" s="1135" t="s">
        <v>1971</v>
      </c>
      <c r="C920" s="1129">
        <f>C921</f>
        <v>2364254</v>
      </c>
      <c r="D920" s="1129">
        <f t="shared" ref="D920:Y920" si="445">D921</f>
        <v>0</v>
      </c>
      <c r="E920" s="1129">
        <f t="shared" si="445"/>
        <v>0</v>
      </c>
      <c r="F920" s="1129">
        <f t="shared" si="445"/>
        <v>0</v>
      </c>
      <c r="G920" s="1129">
        <f t="shared" si="445"/>
        <v>0</v>
      </c>
      <c r="H920" s="1129">
        <f t="shared" si="445"/>
        <v>0</v>
      </c>
      <c r="I920" s="1129">
        <f t="shared" si="445"/>
        <v>0</v>
      </c>
      <c r="J920" s="1129">
        <f t="shared" si="445"/>
        <v>0</v>
      </c>
      <c r="K920" s="1136">
        <f t="shared" si="445"/>
        <v>0</v>
      </c>
      <c r="L920" s="1129">
        <f t="shared" si="445"/>
        <v>0</v>
      </c>
      <c r="M920" s="1136">
        <f t="shared" si="445"/>
        <v>0</v>
      </c>
      <c r="N920" s="1129">
        <f t="shared" si="445"/>
        <v>0</v>
      </c>
      <c r="O920" s="1129">
        <f t="shared" si="445"/>
        <v>510</v>
      </c>
      <c r="P920" s="1129">
        <f t="shared" si="445"/>
        <v>2192527</v>
      </c>
      <c r="Q920" s="1129">
        <f t="shared" si="445"/>
        <v>0</v>
      </c>
      <c r="R920" s="1129">
        <f t="shared" si="445"/>
        <v>0</v>
      </c>
      <c r="S920" s="1129">
        <f t="shared" si="445"/>
        <v>0</v>
      </c>
      <c r="T920" s="1129">
        <f t="shared" si="445"/>
        <v>0</v>
      </c>
      <c r="U920" s="1129">
        <f t="shared" si="445"/>
        <v>0</v>
      </c>
      <c r="V920" s="1129">
        <f t="shared" si="445"/>
        <v>0</v>
      </c>
      <c r="W920" s="1129">
        <f t="shared" si="445"/>
        <v>0</v>
      </c>
      <c r="X920" s="1129">
        <f t="shared" si="445"/>
        <v>171727</v>
      </c>
      <c r="Y920" s="1129">
        <f t="shared" si="445"/>
        <v>0</v>
      </c>
    </row>
    <row r="921" spans="1:25" s="1143" customFormat="1" ht="85.15" customHeight="1">
      <c r="A921" s="1280">
        <v>141</v>
      </c>
      <c r="B921" s="1135" t="s">
        <v>2832</v>
      </c>
      <c r="C921" s="1129">
        <f>D921+N921+P921+R921+T921+V921+X921</f>
        <v>2364254</v>
      </c>
      <c r="D921" s="1129">
        <f>SUM(E921:J921)</f>
        <v>0</v>
      </c>
      <c r="E921" s="1129">
        <v>0</v>
      </c>
      <c r="F921" s="1129">
        <v>0</v>
      </c>
      <c r="G921" s="1129">
        <v>0</v>
      </c>
      <c r="H921" s="1129">
        <v>0</v>
      </c>
      <c r="I921" s="1129">
        <v>0</v>
      </c>
      <c r="J921" s="1129">
        <v>0</v>
      </c>
      <c r="K921" s="1136">
        <v>0</v>
      </c>
      <c r="L921" s="1129">
        <v>0</v>
      </c>
      <c r="M921" s="1136">
        <v>0</v>
      </c>
      <c r="N921" s="1129">
        <v>0</v>
      </c>
      <c r="O921" s="1129">
        <v>510</v>
      </c>
      <c r="P921" s="1129">
        <v>2192527</v>
      </c>
      <c r="Q921" s="1129">
        <v>0</v>
      </c>
      <c r="R921" s="1129">
        <v>0</v>
      </c>
      <c r="S921" s="1129">
        <v>0</v>
      </c>
      <c r="T921" s="1129">
        <v>0</v>
      </c>
      <c r="U921" s="1129">
        <v>0</v>
      </c>
      <c r="V921" s="1129">
        <v>0</v>
      </c>
      <c r="W921" s="1167">
        <v>0</v>
      </c>
      <c r="X921" s="1129">
        <v>171727</v>
      </c>
      <c r="Y921" s="1129">
        <v>0</v>
      </c>
    </row>
    <row r="922" spans="1:25" s="1143" customFormat="1" ht="76.150000000000006" customHeight="1">
      <c r="A922" s="1280"/>
      <c r="B922" s="1135" t="s">
        <v>55</v>
      </c>
      <c r="C922" s="1129">
        <f>C923</f>
        <v>5986278</v>
      </c>
      <c r="D922" s="1129">
        <f t="shared" ref="D922:Y922" si="446">D923</f>
        <v>0</v>
      </c>
      <c r="E922" s="1129">
        <f t="shared" si="446"/>
        <v>0</v>
      </c>
      <c r="F922" s="1129">
        <f t="shared" si="446"/>
        <v>0</v>
      </c>
      <c r="G922" s="1129">
        <f t="shared" si="446"/>
        <v>0</v>
      </c>
      <c r="H922" s="1129">
        <f t="shared" si="446"/>
        <v>0</v>
      </c>
      <c r="I922" s="1129">
        <f t="shared" si="446"/>
        <v>0</v>
      </c>
      <c r="J922" s="1129">
        <f t="shared" si="446"/>
        <v>0</v>
      </c>
      <c r="K922" s="1136">
        <v>0</v>
      </c>
      <c r="L922" s="1129">
        <v>0</v>
      </c>
      <c r="M922" s="1136">
        <v>0</v>
      </c>
      <c r="N922" s="1129">
        <f t="shared" si="446"/>
        <v>0</v>
      </c>
      <c r="O922" s="1129">
        <f t="shared" si="446"/>
        <v>0</v>
      </c>
      <c r="P922" s="1129">
        <f t="shared" si="446"/>
        <v>0</v>
      </c>
      <c r="Q922" s="1129">
        <f t="shared" si="446"/>
        <v>0</v>
      </c>
      <c r="R922" s="1129">
        <f t="shared" si="446"/>
        <v>0</v>
      </c>
      <c r="S922" s="1129">
        <f t="shared" si="446"/>
        <v>1110.3</v>
      </c>
      <c r="T922" s="1129">
        <f t="shared" si="446"/>
        <v>2739890</v>
      </c>
      <c r="U922" s="1129">
        <f t="shared" si="446"/>
        <v>0</v>
      </c>
      <c r="V922" s="1129">
        <f t="shared" si="446"/>
        <v>0</v>
      </c>
      <c r="W922" s="1167">
        <v>0</v>
      </c>
      <c r="X922" s="1129">
        <f t="shared" si="446"/>
        <v>214599</v>
      </c>
      <c r="Y922" s="1129">
        <f t="shared" si="446"/>
        <v>0</v>
      </c>
    </row>
    <row r="923" spans="1:25" s="1143" customFormat="1" ht="131.25" customHeight="1">
      <c r="A923" s="1280"/>
      <c r="B923" s="1135" t="s">
        <v>1876</v>
      </c>
      <c r="C923" s="1129">
        <f>C925+C924+C926</f>
        <v>5986278</v>
      </c>
      <c r="D923" s="1129">
        <f t="shared" ref="D923:V923" si="447">D925</f>
        <v>0</v>
      </c>
      <c r="E923" s="1129">
        <f t="shared" si="447"/>
        <v>0</v>
      </c>
      <c r="F923" s="1129">
        <f t="shared" si="447"/>
        <v>0</v>
      </c>
      <c r="G923" s="1129">
        <f t="shared" si="447"/>
        <v>0</v>
      </c>
      <c r="H923" s="1129">
        <f t="shared" si="447"/>
        <v>0</v>
      </c>
      <c r="I923" s="1129">
        <f t="shared" si="447"/>
        <v>0</v>
      </c>
      <c r="J923" s="1129">
        <f t="shared" si="447"/>
        <v>0</v>
      </c>
      <c r="K923" s="1136">
        <v>0</v>
      </c>
      <c r="L923" s="1129">
        <v>0</v>
      </c>
      <c r="M923" s="1136">
        <v>0</v>
      </c>
      <c r="N923" s="1129">
        <f t="shared" si="447"/>
        <v>0</v>
      </c>
      <c r="O923" s="1129">
        <f t="shared" si="447"/>
        <v>0</v>
      </c>
      <c r="P923" s="1129">
        <f t="shared" si="447"/>
        <v>0</v>
      </c>
      <c r="Q923" s="1129">
        <f t="shared" si="447"/>
        <v>0</v>
      </c>
      <c r="R923" s="1129">
        <f t="shared" si="447"/>
        <v>0</v>
      </c>
      <c r="S923" s="1129">
        <f t="shared" si="447"/>
        <v>1110.3</v>
      </c>
      <c r="T923" s="1129">
        <f t="shared" si="447"/>
        <v>2739890</v>
      </c>
      <c r="U923" s="1129">
        <f t="shared" si="447"/>
        <v>0</v>
      </c>
      <c r="V923" s="1129">
        <f t="shared" si="447"/>
        <v>0</v>
      </c>
      <c r="W923" s="1167">
        <v>0</v>
      </c>
      <c r="X923" s="1129">
        <f t="shared" ref="X923:Y923" si="448">X925</f>
        <v>214599</v>
      </c>
      <c r="Y923" s="1129">
        <f t="shared" si="448"/>
        <v>0</v>
      </c>
    </row>
    <row r="924" spans="1:25" s="1143" customFormat="1" ht="78.599999999999994" customHeight="1">
      <c r="A924" s="1280">
        <v>142</v>
      </c>
      <c r="B924" s="1135" t="s">
        <v>1324</v>
      </c>
      <c r="C924" s="1129">
        <f>D924+N924+P924+R924+T924+V924+X924</f>
        <v>2114314</v>
      </c>
      <c r="D924" s="1129">
        <f>SUM(E924:J924)</f>
        <v>0</v>
      </c>
      <c r="E924" s="1129">
        <v>0</v>
      </c>
      <c r="F924" s="1129">
        <v>0</v>
      </c>
      <c r="G924" s="1129">
        <v>0</v>
      </c>
      <c r="H924" s="1129">
        <v>0</v>
      </c>
      <c r="I924" s="1129">
        <v>0</v>
      </c>
      <c r="J924" s="1129">
        <v>0</v>
      </c>
      <c r="K924" s="1136">
        <v>0</v>
      </c>
      <c r="L924" s="1129">
        <v>0</v>
      </c>
      <c r="M924" s="1136">
        <v>0</v>
      </c>
      <c r="N924" s="1129">
        <v>0</v>
      </c>
      <c r="O924" s="1129">
        <v>530</v>
      </c>
      <c r="P924" s="1129">
        <v>1960741</v>
      </c>
      <c r="Q924" s="1129">
        <v>0</v>
      </c>
      <c r="R924" s="1129">
        <v>0</v>
      </c>
      <c r="S924" s="1129">
        <v>0</v>
      </c>
      <c r="T924" s="1129">
        <v>0</v>
      </c>
      <c r="U924" s="1129">
        <v>0</v>
      </c>
      <c r="V924" s="1129">
        <v>0</v>
      </c>
      <c r="W924" s="1167">
        <v>0</v>
      </c>
      <c r="X924" s="1129">
        <v>153573</v>
      </c>
      <c r="Y924" s="1129">
        <v>0</v>
      </c>
    </row>
    <row r="925" spans="1:25" s="1143" customFormat="1" ht="63" customHeight="1">
      <c r="A925" s="1280">
        <v>143</v>
      </c>
      <c r="B925" s="1135" t="s">
        <v>390</v>
      </c>
      <c r="C925" s="1129">
        <f>D925+N925+P925+R925+T925+V925+X925</f>
        <v>2954489</v>
      </c>
      <c r="D925" s="1129">
        <f>SUM(E925:J925)</f>
        <v>0</v>
      </c>
      <c r="E925" s="1129">
        <v>0</v>
      </c>
      <c r="F925" s="1129">
        <v>0</v>
      </c>
      <c r="G925" s="1129">
        <v>0</v>
      </c>
      <c r="H925" s="1129">
        <v>0</v>
      </c>
      <c r="I925" s="1129">
        <v>0</v>
      </c>
      <c r="J925" s="1129">
        <v>0</v>
      </c>
      <c r="K925" s="1136">
        <v>0</v>
      </c>
      <c r="L925" s="1129">
        <v>0</v>
      </c>
      <c r="M925" s="1136">
        <v>0</v>
      </c>
      <c r="N925" s="1129">
        <v>0</v>
      </c>
      <c r="O925" s="1129">
        <v>0</v>
      </c>
      <c r="P925" s="1129">
        <v>0</v>
      </c>
      <c r="Q925" s="1129">
        <v>0</v>
      </c>
      <c r="R925" s="1129">
        <v>0</v>
      </c>
      <c r="S925" s="1129">
        <v>1110.3</v>
      </c>
      <c r="T925" s="1129">
        <v>2739890</v>
      </c>
      <c r="U925" s="1129">
        <v>0</v>
      </c>
      <c r="V925" s="1129">
        <v>0</v>
      </c>
      <c r="W925" s="1167">
        <v>0</v>
      </c>
      <c r="X925" s="1129">
        <v>214599</v>
      </c>
      <c r="Y925" s="1129">
        <v>0</v>
      </c>
    </row>
    <row r="926" spans="1:25" s="1143" customFormat="1" ht="72.599999999999994" customHeight="1">
      <c r="A926" s="1280">
        <v>144</v>
      </c>
      <c r="B926" s="1135" t="s">
        <v>1112</v>
      </c>
      <c r="C926" s="1129">
        <f>D926+N926+P926+R926+T926+V926+X926</f>
        <v>917475</v>
      </c>
      <c r="D926" s="1129">
        <f>SUM(E926:J926)</f>
        <v>0</v>
      </c>
      <c r="E926" s="1129">
        <v>0</v>
      </c>
      <c r="F926" s="1129">
        <v>0</v>
      </c>
      <c r="G926" s="1129">
        <v>0</v>
      </c>
      <c r="H926" s="1129">
        <v>0</v>
      </c>
      <c r="I926" s="1129">
        <v>0</v>
      </c>
      <c r="J926" s="1129">
        <v>0</v>
      </c>
      <c r="K926" s="1136">
        <v>0</v>
      </c>
      <c r="L926" s="1129">
        <v>0</v>
      </c>
      <c r="M926" s="1136">
        <v>0</v>
      </c>
      <c r="N926" s="1129">
        <v>0</v>
      </c>
      <c r="O926" s="1129">
        <v>0</v>
      </c>
      <c r="P926" s="1129">
        <v>0</v>
      </c>
      <c r="Q926" s="1129">
        <v>0</v>
      </c>
      <c r="R926" s="1129">
        <v>0</v>
      </c>
      <c r="S926" s="1129">
        <v>415.9</v>
      </c>
      <c r="T926" s="1129">
        <v>850834</v>
      </c>
      <c r="U926" s="1129">
        <v>0</v>
      </c>
      <c r="V926" s="1129">
        <v>0</v>
      </c>
      <c r="W926" s="1167">
        <v>0</v>
      </c>
      <c r="X926" s="1129">
        <v>66641</v>
      </c>
      <c r="Y926" s="1129">
        <v>0</v>
      </c>
    </row>
    <row r="927" spans="1:25" s="1137" customFormat="1" ht="102" customHeight="1">
      <c r="A927" s="1280"/>
      <c r="B927" s="1135" t="s">
        <v>1652</v>
      </c>
      <c r="C927" s="1129">
        <f>C928</f>
        <v>201991.25</v>
      </c>
      <c r="D927" s="1129">
        <f t="shared" ref="D927:Y927" si="449">D928</f>
        <v>187319.65</v>
      </c>
      <c r="E927" s="1129">
        <f t="shared" si="449"/>
        <v>187319.65</v>
      </c>
      <c r="F927" s="1129">
        <f t="shared" si="449"/>
        <v>0</v>
      </c>
      <c r="G927" s="1129">
        <f t="shared" si="449"/>
        <v>0</v>
      </c>
      <c r="H927" s="1129">
        <f t="shared" si="449"/>
        <v>0</v>
      </c>
      <c r="I927" s="1129">
        <f t="shared" si="449"/>
        <v>0</v>
      </c>
      <c r="J927" s="1129">
        <f t="shared" si="449"/>
        <v>0</v>
      </c>
      <c r="K927" s="1136">
        <f t="shared" si="449"/>
        <v>0</v>
      </c>
      <c r="L927" s="1129">
        <f t="shared" si="449"/>
        <v>0</v>
      </c>
      <c r="M927" s="1136">
        <f t="shared" si="449"/>
        <v>0</v>
      </c>
      <c r="N927" s="1129">
        <f t="shared" si="449"/>
        <v>0</v>
      </c>
      <c r="O927" s="1129">
        <f t="shared" si="449"/>
        <v>0</v>
      </c>
      <c r="P927" s="1129">
        <f t="shared" si="449"/>
        <v>0</v>
      </c>
      <c r="Q927" s="1129">
        <f t="shared" si="449"/>
        <v>0</v>
      </c>
      <c r="R927" s="1129">
        <f t="shared" si="449"/>
        <v>0</v>
      </c>
      <c r="S927" s="1129">
        <f t="shared" si="449"/>
        <v>0</v>
      </c>
      <c r="T927" s="1129">
        <f t="shared" si="449"/>
        <v>0</v>
      </c>
      <c r="U927" s="1129">
        <f t="shared" si="449"/>
        <v>0</v>
      </c>
      <c r="V927" s="1129">
        <f t="shared" si="449"/>
        <v>0</v>
      </c>
      <c r="W927" s="1167">
        <v>0</v>
      </c>
      <c r="X927" s="1129">
        <f t="shared" si="449"/>
        <v>14671.6</v>
      </c>
      <c r="Y927" s="1129">
        <f t="shared" si="449"/>
        <v>0</v>
      </c>
    </row>
    <row r="928" spans="1:25" s="1137" customFormat="1" ht="143.44999999999999" customHeight="1">
      <c r="A928" s="1280">
        <v>145</v>
      </c>
      <c r="B928" s="1135" t="s">
        <v>2500</v>
      </c>
      <c r="C928" s="1129">
        <f>D928+N928+P928+R928+T928+V928+X928</f>
        <v>201991.25</v>
      </c>
      <c r="D928" s="1129">
        <f>SUM(E928:J928)</f>
        <v>187319.65</v>
      </c>
      <c r="E928" s="1129">
        <v>187319.65</v>
      </c>
      <c r="F928" s="1129">
        <v>0</v>
      </c>
      <c r="G928" s="1129">
        <v>0</v>
      </c>
      <c r="H928" s="1129">
        <v>0</v>
      </c>
      <c r="I928" s="1129">
        <v>0</v>
      </c>
      <c r="J928" s="1129">
        <v>0</v>
      </c>
      <c r="K928" s="1136">
        <v>0</v>
      </c>
      <c r="L928" s="1129">
        <v>0</v>
      </c>
      <c r="M928" s="1136">
        <v>0</v>
      </c>
      <c r="N928" s="1129">
        <v>0</v>
      </c>
      <c r="O928" s="1129">
        <v>0</v>
      </c>
      <c r="P928" s="1129">
        <v>0</v>
      </c>
      <c r="Q928" s="1129">
        <v>0</v>
      </c>
      <c r="R928" s="1129">
        <v>0</v>
      </c>
      <c r="S928" s="1129">
        <v>0</v>
      </c>
      <c r="T928" s="1129">
        <v>0</v>
      </c>
      <c r="U928" s="1129">
        <v>0</v>
      </c>
      <c r="V928" s="1129">
        <v>0</v>
      </c>
      <c r="W928" s="1167">
        <v>0</v>
      </c>
      <c r="X928" s="1129">
        <v>14671.6</v>
      </c>
      <c r="Y928" s="1129">
        <v>0</v>
      </c>
    </row>
    <row r="929" spans="1:25" s="1137" customFormat="1" ht="93.6" customHeight="1">
      <c r="A929" s="1280"/>
      <c r="B929" s="1135" t="s">
        <v>1991</v>
      </c>
      <c r="C929" s="1129">
        <f>C930+C932+C935+C938</f>
        <v>15850714.51</v>
      </c>
      <c r="D929" s="1129">
        <f t="shared" ref="D929:Y929" si="450">D930+D932+D935+D938</f>
        <v>8298329.5499999998</v>
      </c>
      <c r="E929" s="1129">
        <f t="shared" si="450"/>
        <v>2709077.81</v>
      </c>
      <c r="F929" s="1129">
        <f t="shared" si="450"/>
        <v>0</v>
      </c>
      <c r="G929" s="1129">
        <f t="shared" si="450"/>
        <v>0</v>
      </c>
      <c r="H929" s="1129">
        <f t="shared" si="450"/>
        <v>3150533.63</v>
      </c>
      <c r="I929" s="1129">
        <f t="shared" si="450"/>
        <v>0</v>
      </c>
      <c r="J929" s="1129">
        <f t="shared" si="450"/>
        <v>2438718.1100000003</v>
      </c>
      <c r="K929" s="1136">
        <f t="shared" si="450"/>
        <v>0</v>
      </c>
      <c r="L929" s="1129">
        <f t="shared" si="450"/>
        <v>0</v>
      </c>
      <c r="M929" s="1136">
        <f t="shared" si="450"/>
        <v>0</v>
      </c>
      <c r="N929" s="1129">
        <f t="shared" si="450"/>
        <v>0</v>
      </c>
      <c r="O929" s="1129">
        <f t="shared" si="450"/>
        <v>2264.4</v>
      </c>
      <c r="P929" s="1129">
        <f t="shared" si="450"/>
        <v>6401072</v>
      </c>
      <c r="Q929" s="1129">
        <f t="shared" si="450"/>
        <v>0</v>
      </c>
      <c r="R929" s="1129">
        <f t="shared" si="450"/>
        <v>0</v>
      </c>
      <c r="S929" s="1129">
        <f t="shared" si="450"/>
        <v>0</v>
      </c>
      <c r="T929" s="1129">
        <f t="shared" si="450"/>
        <v>0</v>
      </c>
      <c r="U929" s="1129">
        <f t="shared" si="450"/>
        <v>0</v>
      </c>
      <c r="V929" s="1129">
        <f t="shared" si="450"/>
        <v>0</v>
      </c>
      <c r="W929" s="1167">
        <v>0</v>
      </c>
      <c r="X929" s="1129">
        <f t="shared" si="450"/>
        <v>1151312.96</v>
      </c>
      <c r="Y929" s="1129">
        <f t="shared" si="450"/>
        <v>0</v>
      </c>
    </row>
    <row r="930" spans="1:25" s="1137" customFormat="1" ht="103.15" customHeight="1">
      <c r="A930" s="1280"/>
      <c r="B930" s="1135" t="s">
        <v>2435</v>
      </c>
      <c r="C930" s="1129">
        <f>C931</f>
        <v>8465841.5099999998</v>
      </c>
      <c r="D930" s="1129">
        <f t="shared" ref="D930:Y930" si="451">D931</f>
        <v>7850926.5499999998</v>
      </c>
      <c r="E930" s="1129">
        <f t="shared" si="451"/>
        <v>2709077.81</v>
      </c>
      <c r="F930" s="1129">
        <f t="shared" si="451"/>
        <v>0</v>
      </c>
      <c r="G930" s="1129">
        <f t="shared" si="451"/>
        <v>0</v>
      </c>
      <c r="H930" s="1129">
        <f t="shared" si="451"/>
        <v>3150533.63</v>
      </c>
      <c r="I930" s="1129">
        <f t="shared" si="451"/>
        <v>0</v>
      </c>
      <c r="J930" s="1129">
        <f t="shared" si="451"/>
        <v>1991315.11</v>
      </c>
      <c r="K930" s="1136">
        <f t="shared" si="451"/>
        <v>0</v>
      </c>
      <c r="L930" s="1129">
        <f t="shared" si="451"/>
        <v>0</v>
      </c>
      <c r="M930" s="1136">
        <f t="shared" si="451"/>
        <v>0</v>
      </c>
      <c r="N930" s="1129">
        <f t="shared" si="451"/>
        <v>0</v>
      </c>
      <c r="O930" s="1129">
        <f t="shared" si="451"/>
        <v>0</v>
      </c>
      <c r="P930" s="1129">
        <f t="shared" si="451"/>
        <v>0</v>
      </c>
      <c r="Q930" s="1129">
        <f t="shared" si="451"/>
        <v>0</v>
      </c>
      <c r="R930" s="1129">
        <f t="shared" si="451"/>
        <v>0</v>
      </c>
      <c r="S930" s="1129">
        <f t="shared" si="451"/>
        <v>0</v>
      </c>
      <c r="T930" s="1129">
        <f t="shared" si="451"/>
        <v>0</v>
      </c>
      <c r="U930" s="1129">
        <f t="shared" si="451"/>
        <v>0</v>
      </c>
      <c r="V930" s="1129">
        <f t="shared" si="451"/>
        <v>0</v>
      </c>
      <c r="W930" s="1167">
        <v>0</v>
      </c>
      <c r="X930" s="1129">
        <f t="shared" si="451"/>
        <v>614914.96</v>
      </c>
      <c r="Y930" s="1129">
        <f t="shared" si="451"/>
        <v>0</v>
      </c>
    </row>
    <row r="931" spans="1:25" s="1152" customFormat="1" ht="132.6" customHeight="1">
      <c r="A931" s="1280">
        <v>146</v>
      </c>
      <c r="B931" s="1135" t="s">
        <v>2501</v>
      </c>
      <c r="C931" s="1129">
        <f>D931+X931</f>
        <v>8465841.5099999998</v>
      </c>
      <c r="D931" s="1129">
        <f>E931+F931+G931+H931+I931+J931</f>
        <v>7850926.5499999998</v>
      </c>
      <c r="E931" s="1129">
        <v>2709077.81</v>
      </c>
      <c r="F931" s="1129">
        <v>0</v>
      </c>
      <c r="G931" s="1129">
        <v>0</v>
      </c>
      <c r="H931" s="1129">
        <v>3150533.63</v>
      </c>
      <c r="I931" s="1129">
        <v>0</v>
      </c>
      <c r="J931" s="1129">
        <v>1991315.11</v>
      </c>
      <c r="K931" s="1136">
        <v>0</v>
      </c>
      <c r="L931" s="1129">
        <v>0</v>
      </c>
      <c r="M931" s="1136">
        <v>0</v>
      </c>
      <c r="N931" s="1129">
        <v>0</v>
      </c>
      <c r="O931" s="1129">
        <v>0</v>
      </c>
      <c r="P931" s="1129">
        <v>0</v>
      </c>
      <c r="Q931" s="1129">
        <v>0</v>
      </c>
      <c r="R931" s="1129">
        <v>0</v>
      </c>
      <c r="S931" s="1129">
        <v>0</v>
      </c>
      <c r="T931" s="1129">
        <v>0</v>
      </c>
      <c r="U931" s="1129">
        <v>0</v>
      </c>
      <c r="V931" s="1129">
        <v>0</v>
      </c>
      <c r="W931" s="1167">
        <v>0</v>
      </c>
      <c r="X931" s="1129">
        <v>614914.96</v>
      </c>
      <c r="Y931" s="1129">
        <v>0</v>
      </c>
    </row>
    <row r="932" spans="1:25" s="1152" customFormat="1" ht="97.15" customHeight="1">
      <c r="A932" s="1280"/>
      <c r="B932" s="1135" t="s">
        <v>2438</v>
      </c>
      <c r="C932" s="1129">
        <f>C933+C934</f>
        <v>3625770</v>
      </c>
      <c r="D932" s="1129">
        <f t="shared" ref="D932:Y932" si="452">D933+D934</f>
        <v>0</v>
      </c>
      <c r="E932" s="1129">
        <f t="shared" si="452"/>
        <v>0</v>
      </c>
      <c r="F932" s="1129">
        <f t="shared" si="452"/>
        <v>0</v>
      </c>
      <c r="G932" s="1129">
        <f t="shared" si="452"/>
        <v>0</v>
      </c>
      <c r="H932" s="1129">
        <f t="shared" si="452"/>
        <v>0</v>
      </c>
      <c r="I932" s="1129">
        <f t="shared" si="452"/>
        <v>0</v>
      </c>
      <c r="J932" s="1129">
        <f t="shared" si="452"/>
        <v>0</v>
      </c>
      <c r="K932" s="1136">
        <f t="shared" si="452"/>
        <v>0</v>
      </c>
      <c r="L932" s="1129">
        <f t="shared" si="452"/>
        <v>0</v>
      </c>
      <c r="M932" s="1136">
        <f t="shared" si="452"/>
        <v>0</v>
      </c>
      <c r="N932" s="1129">
        <f t="shared" si="452"/>
        <v>0</v>
      </c>
      <c r="O932" s="1129">
        <f t="shared" si="452"/>
        <v>1334.4</v>
      </c>
      <c r="P932" s="1129">
        <f t="shared" si="452"/>
        <v>3362413</v>
      </c>
      <c r="Q932" s="1129">
        <f t="shared" si="452"/>
        <v>0</v>
      </c>
      <c r="R932" s="1129">
        <f t="shared" si="452"/>
        <v>0</v>
      </c>
      <c r="S932" s="1129">
        <f t="shared" si="452"/>
        <v>0</v>
      </c>
      <c r="T932" s="1129">
        <f t="shared" si="452"/>
        <v>0</v>
      </c>
      <c r="U932" s="1129">
        <f t="shared" si="452"/>
        <v>0</v>
      </c>
      <c r="V932" s="1129">
        <f t="shared" si="452"/>
        <v>0</v>
      </c>
      <c r="W932" s="1167">
        <v>0</v>
      </c>
      <c r="X932" s="1129">
        <f t="shared" si="452"/>
        <v>263357</v>
      </c>
      <c r="Y932" s="1129">
        <f t="shared" si="452"/>
        <v>0</v>
      </c>
    </row>
    <row r="933" spans="1:25" s="1152" customFormat="1" ht="97.15" customHeight="1">
      <c r="A933" s="1280">
        <v>147</v>
      </c>
      <c r="B933" s="1135" t="s">
        <v>2502</v>
      </c>
      <c r="C933" s="1129">
        <f>D933+N933+P933+R933+T933+V933+X933</f>
        <v>2382401</v>
      </c>
      <c r="D933" s="1129">
        <f>SUM(E933:J933)</f>
        <v>0</v>
      </c>
      <c r="E933" s="1129">
        <v>0</v>
      </c>
      <c r="F933" s="1129">
        <v>0</v>
      </c>
      <c r="G933" s="1129">
        <v>0</v>
      </c>
      <c r="H933" s="1129">
        <v>0</v>
      </c>
      <c r="I933" s="1129">
        <v>0</v>
      </c>
      <c r="J933" s="1129">
        <v>0</v>
      </c>
      <c r="K933" s="1136">
        <v>0</v>
      </c>
      <c r="L933" s="1129">
        <v>0</v>
      </c>
      <c r="M933" s="1136">
        <v>0</v>
      </c>
      <c r="N933" s="1129">
        <v>0</v>
      </c>
      <c r="O933" s="1129">
        <v>876.8</v>
      </c>
      <c r="P933" s="1129">
        <v>2209356</v>
      </c>
      <c r="Q933" s="1129">
        <v>0</v>
      </c>
      <c r="R933" s="1129">
        <v>0</v>
      </c>
      <c r="S933" s="1129">
        <v>0</v>
      </c>
      <c r="T933" s="1129">
        <v>0</v>
      </c>
      <c r="U933" s="1129">
        <v>0</v>
      </c>
      <c r="V933" s="1129">
        <v>0</v>
      </c>
      <c r="W933" s="1167">
        <v>0</v>
      </c>
      <c r="X933" s="1129">
        <v>173045</v>
      </c>
      <c r="Y933" s="1129">
        <v>0</v>
      </c>
    </row>
    <row r="934" spans="1:25" s="1152" customFormat="1" ht="98.45" customHeight="1">
      <c r="A934" s="1280">
        <v>148</v>
      </c>
      <c r="B934" s="1135" t="s">
        <v>2302</v>
      </c>
      <c r="C934" s="1129">
        <f>D934+N934+P934+R934+T934+V934+X934</f>
        <v>1243369</v>
      </c>
      <c r="D934" s="1129">
        <f>SUM(E934:J934)</f>
        <v>0</v>
      </c>
      <c r="E934" s="1129">
        <v>0</v>
      </c>
      <c r="F934" s="1129">
        <v>0</v>
      </c>
      <c r="G934" s="1129">
        <v>0</v>
      </c>
      <c r="H934" s="1129">
        <v>0</v>
      </c>
      <c r="I934" s="1129">
        <v>0</v>
      </c>
      <c r="J934" s="1129">
        <v>0</v>
      </c>
      <c r="K934" s="1136">
        <v>0</v>
      </c>
      <c r="L934" s="1129">
        <v>0</v>
      </c>
      <c r="M934" s="1136">
        <v>0</v>
      </c>
      <c r="N934" s="1129">
        <v>0</v>
      </c>
      <c r="O934" s="1129">
        <v>457.6</v>
      </c>
      <c r="P934" s="1129">
        <v>1153057</v>
      </c>
      <c r="Q934" s="1129">
        <v>0</v>
      </c>
      <c r="R934" s="1129">
        <v>0</v>
      </c>
      <c r="S934" s="1129">
        <v>0</v>
      </c>
      <c r="T934" s="1129">
        <v>0</v>
      </c>
      <c r="U934" s="1129">
        <v>0</v>
      </c>
      <c r="V934" s="1129">
        <v>0</v>
      </c>
      <c r="W934" s="1167">
        <v>0</v>
      </c>
      <c r="X934" s="1129">
        <v>90312</v>
      </c>
      <c r="Y934" s="1129">
        <v>0</v>
      </c>
    </row>
    <row r="935" spans="1:25" s="1152" customFormat="1" ht="99.6" customHeight="1">
      <c r="A935" s="1280"/>
      <c r="B935" s="1135" t="s">
        <v>807</v>
      </c>
      <c r="C935" s="1129">
        <f>C936+C937</f>
        <v>3276658</v>
      </c>
      <c r="D935" s="1129">
        <f t="shared" ref="D935:Y935" si="453">D936+D937</f>
        <v>0</v>
      </c>
      <c r="E935" s="1129">
        <f t="shared" si="453"/>
        <v>0</v>
      </c>
      <c r="F935" s="1129">
        <f t="shared" si="453"/>
        <v>0</v>
      </c>
      <c r="G935" s="1129">
        <f t="shared" si="453"/>
        <v>0</v>
      </c>
      <c r="H935" s="1129">
        <f t="shared" si="453"/>
        <v>0</v>
      </c>
      <c r="I935" s="1129">
        <f t="shared" si="453"/>
        <v>0</v>
      </c>
      <c r="J935" s="1129">
        <f t="shared" si="453"/>
        <v>0</v>
      </c>
      <c r="K935" s="1136">
        <f t="shared" si="453"/>
        <v>0</v>
      </c>
      <c r="L935" s="1129">
        <f t="shared" si="453"/>
        <v>0</v>
      </c>
      <c r="M935" s="1136">
        <f t="shared" si="453"/>
        <v>0</v>
      </c>
      <c r="N935" s="1129">
        <f t="shared" si="453"/>
        <v>0</v>
      </c>
      <c r="O935" s="1129">
        <f t="shared" si="453"/>
        <v>930</v>
      </c>
      <c r="P935" s="1129">
        <f t="shared" si="453"/>
        <v>3038659</v>
      </c>
      <c r="Q935" s="1129">
        <f t="shared" si="453"/>
        <v>0</v>
      </c>
      <c r="R935" s="1129">
        <f t="shared" si="453"/>
        <v>0</v>
      </c>
      <c r="S935" s="1129">
        <f t="shared" si="453"/>
        <v>0</v>
      </c>
      <c r="T935" s="1129">
        <f t="shared" si="453"/>
        <v>0</v>
      </c>
      <c r="U935" s="1129">
        <f t="shared" si="453"/>
        <v>0</v>
      </c>
      <c r="V935" s="1129">
        <f t="shared" si="453"/>
        <v>0</v>
      </c>
      <c r="W935" s="1129">
        <f t="shared" si="453"/>
        <v>0</v>
      </c>
      <c r="X935" s="1129">
        <f t="shared" si="453"/>
        <v>237999</v>
      </c>
      <c r="Y935" s="1129">
        <f t="shared" si="453"/>
        <v>0</v>
      </c>
    </row>
    <row r="936" spans="1:25" s="1152" customFormat="1" ht="91.15" customHeight="1">
      <c r="A936" s="1280">
        <v>149</v>
      </c>
      <c r="B936" s="1135" t="s">
        <v>1877</v>
      </c>
      <c r="C936" s="1129">
        <f>D936+N936+P936+R936+T936+V936+X936</f>
        <v>1242149</v>
      </c>
      <c r="D936" s="1129">
        <f>SUM(E936:J936)</f>
        <v>0</v>
      </c>
      <c r="E936" s="1129">
        <v>0</v>
      </c>
      <c r="F936" s="1129">
        <v>0</v>
      </c>
      <c r="G936" s="1129">
        <v>0</v>
      </c>
      <c r="H936" s="1129">
        <v>0</v>
      </c>
      <c r="I936" s="1129">
        <v>0</v>
      </c>
      <c r="J936" s="1129">
        <v>0</v>
      </c>
      <c r="K936" s="1136">
        <v>0</v>
      </c>
      <c r="L936" s="1129">
        <v>0</v>
      </c>
      <c r="M936" s="1136">
        <v>0</v>
      </c>
      <c r="N936" s="1129">
        <v>0</v>
      </c>
      <c r="O936" s="1129">
        <v>367</v>
      </c>
      <c r="P936" s="1129">
        <v>1151926</v>
      </c>
      <c r="Q936" s="1129">
        <v>0</v>
      </c>
      <c r="R936" s="1129">
        <v>0</v>
      </c>
      <c r="S936" s="1129">
        <v>0</v>
      </c>
      <c r="T936" s="1129">
        <v>0</v>
      </c>
      <c r="U936" s="1129">
        <v>0</v>
      </c>
      <c r="V936" s="1129">
        <v>0</v>
      </c>
      <c r="W936" s="1167">
        <v>0</v>
      </c>
      <c r="X936" s="1129">
        <v>90223</v>
      </c>
      <c r="Y936" s="1129">
        <v>0</v>
      </c>
    </row>
    <row r="937" spans="1:25" s="1152" customFormat="1" ht="97.15" customHeight="1">
      <c r="A937" s="1280">
        <v>150</v>
      </c>
      <c r="B937" s="1135" t="s">
        <v>1999</v>
      </c>
      <c r="C937" s="1129">
        <f>D937+N937+P937+R937+T937+V937+X937</f>
        <v>2034509</v>
      </c>
      <c r="D937" s="1129">
        <f>SUM(E937:J937)</f>
        <v>0</v>
      </c>
      <c r="E937" s="1129">
        <v>0</v>
      </c>
      <c r="F937" s="1129">
        <v>0</v>
      </c>
      <c r="G937" s="1129">
        <v>0</v>
      </c>
      <c r="H937" s="1129">
        <v>0</v>
      </c>
      <c r="I937" s="1129">
        <v>0</v>
      </c>
      <c r="J937" s="1129">
        <v>0</v>
      </c>
      <c r="K937" s="1136">
        <v>0</v>
      </c>
      <c r="L937" s="1129">
        <v>0</v>
      </c>
      <c r="M937" s="1136">
        <v>0</v>
      </c>
      <c r="N937" s="1129">
        <v>0</v>
      </c>
      <c r="O937" s="1129">
        <v>563</v>
      </c>
      <c r="P937" s="1129">
        <v>1886733</v>
      </c>
      <c r="Q937" s="1129">
        <v>0</v>
      </c>
      <c r="R937" s="1129">
        <v>0</v>
      </c>
      <c r="S937" s="1129">
        <v>0</v>
      </c>
      <c r="T937" s="1129">
        <v>0</v>
      </c>
      <c r="U937" s="1129">
        <v>0</v>
      </c>
      <c r="V937" s="1129">
        <v>0</v>
      </c>
      <c r="W937" s="1167">
        <v>0</v>
      </c>
      <c r="X937" s="1129">
        <v>147776</v>
      </c>
      <c r="Y937" s="1129">
        <v>0</v>
      </c>
    </row>
    <row r="938" spans="1:25" s="1152" customFormat="1" ht="88.9" customHeight="1">
      <c r="A938" s="1280"/>
      <c r="B938" s="1135" t="s">
        <v>2026</v>
      </c>
      <c r="C938" s="1129">
        <f>C939</f>
        <v>482445</v>
      </c>
      <c r="D938" s="1129">
        <f t="shared" ref="D938:Y938" si="454">D939</f>
        <v>447403</v>
      </c>
      <c r="E938" s="1129">
        <f t="shared" si="454"/>
        <v>0</v>
      </c>
      <c r="F938" s="1129">
        <f t="shared" si="454"/>
        <v>0</v>
      </c>
      <c r="G938" s="1129">
        <f t="shared" si="454"/>
        <v>0</v>
      </c>
      <c r="H938" s="1129">
        <f t="shared" si="454"/>
        <v>0</v>
      </c>
      <c r="I938" s="1129">
        <f t="shared" si="454"/>
        <v>0</v>
      </c>
      <c r="J938" s="1129">
        <f t="shared" si="454"/>
        <v>447403</v>
      </c>
      <c r="K938" s="1136">
        <f t="shared" si="454"/>
        <v>0</v>
      </c>
      <c r="L938" s="1129">
        <f t="shared" si="454"/>
        <v>0</v>
      </c>
      <c r="M938" s="1136">
        <f t="shared" si="454"/>
        <v>0</v>
      </c>
      <c r="N938" s="1129">
        <f t="shared" si="454"/>
        <v>0</v>
      </c>
      <c r="O938" s="1129">
        <f t="shared" si="454"/>
        <v>0</v>
      </c>
      <c r="P938" s="1129">
        <f t="shared" si="454"/>
        <v>0</v>
      </c>
      <c r="Q938" s="1129">
        <f t="shared" si="454"/>
        <v>0</v>
      </c>
      <c r="R938" s="1129">
        <f t="shared" si="454"/>
        <v>0</v>
      </c>
      <c r="S938" s="1129">
        <f t="shared" si="454"/>
        <v>0</v>
      </c>
      <c r="T938" s="1129">
        <f t="shared" si="454"/>
        <v>0</v>
      </c>
      <c r="U938" s="1129">
        <f t="shared" si="454"/>
        <v>0</v>
      </c>
      <c r="V938" s="1129">
        <f t="shared" si="454"/>
        <v>0</v>
      </c>
      <c r="W938" s="1167">
        <v>0</v>
      </c>
      <c r="X938" s="1129">
        <f t="shared" si="454"/>
        <v>35042</v>
      </c>
      <c r="Y938" s="1129">
        <f t="shared" si="454"/>
        <v>0</v>
      </c>
    </row>
    <row r="939" spans="1:25" s="1152" customFormat="1" ht="78" customHeight="1">
      <c r="A939" s="1280">
        <v>151</v>
      </c>
      <c r="B939" s="1135" t="s">
        <v>1232</v>
      </c>
      <c r="C939" s="1129">
        <f>D939+N939+P939+R939+T939+V939+X939</f>
        <v>482445</v>
      </c>
      <c r="D939" s="1129">
        <f>SUM(E939:J939)</f>
        <v>447403</v>
      </c>
      <c r="E939" s="1129">
        <v>0</v>
      </c>
      <c r="F939" s="1129">
        <v>0</v>
      </c>
      <c r="G939" s="1129">
        <v>0</v>
      </c>
      <c r="H939" s="1129">
        <v>0</v>
      </c>
      <c r="I939" s="1129">
        <v>0</v>
      </c>
      <c r="J939" s="1129">
        <v>447403</v>
      </c>
      <c r="K939" s="1136">
        <v>0</v>
      </c>
      <c r="L939" s="1129">
        <v>0</v>
      </c>
      <c r="M939" s="1136">
        <v>0</v>
      </c>
      <c r="N939" s="1129">
        <v>0</v>
      </c>
      <c r="O939" s="1129">
        <v>0</v>
      </c>
      <c r="P939" s="1129">
        <v>0</v>
      </c>
      <c r="Q939" s="1129">
        <v>0</v>
      </c>
      <c r="R939" s="1129">
        <v>0</v>
      </c>
      <c r="S939" s="1129">
        <v>0</v>
      </c>
      <c r="T939" s="1129">
        <v>0</v>
      </c>
      <c r="U939" s="1129">
        <v>0</v>
      </c>
      <c r="V939" s="1129">
        <v>0</v>
      </c>
      <c r="W939" s="1167">
        <v>0</v>
      </c>
      <c r="X939" s="1129">
        <v>35042</v>
      </c>
      <c r="Y939" s="1129">
        <v>0</v>
      </c>
    </row>
    <row r="940" spans="1:25" s="1152" customFormat="1" ht="113.45" customHeight="1">
      <c r="A940" s="1280"/>
      <c r="B940" s="1135" t="s">
        <v>2676</v>
      </c>
      <c r="C940" s="1129">
        <f>C941</f>
        <v>3004703.75</v>
      </c>
      <c r="D940" s="1129">
        <f t="shared" ref="D940:Y940" si="455">D941</f>
        <v>0</v>
      </c>
      <c r="E940" s="1129">
        <f t="shared" si="455"/>
        <v>0</v>
      </c>
      <c r="F940" s="1129">
        <f t="shared" si="455"/>
        <v>0</v>
      </c>
      <c r="G940" s="1129">
        <f t="shared" si="455"/>
        <v>0</v>
      </c>
      <c r="H940" s="1129">
        <f t="shared" si="455"/>
        <v>0</v>
      </c>
      <c r="I940" s="1129">
        <f t="shared" si="455"/>
        <v>0</v>
      </c>
      <c r="J940" s="1129">
        <f t="shared" si="455"/>
        <v>0</v>
      </c>
      <c r="K940" s="1129">
        <f t="shared" si="455"/>
        <v>0</v>
      </c>
      <c r="L940" s="1129">
        <f t="shared" si="455"/>
        <v>0</v>
      </c>
      <c r="M940" s="1129">
        <f t="shared" si="455"/>
        <v>0</v>
      </c>
      <c r="N940" s="1129">
        <f t="shared" si="455"/>
        <v>0</v>
      </c>
      <c r="O940" s="1129">
        <f t="shared" si="455"/>
        <v>391</v>
      </c>
      <c r="P940" s="1129">
        <f t="shared" si="455"/>
        <v>2786457.61</v>
      </c>
      <c r="Q940" s="1129">
        <f t="shared" si="455"/>
        <v>0</v>
      </c>
      <c r="R940" s="1129">
        <f t="shared" si="455"/>
        <v>0</v>
      </c>
      <c r="S940" s="1129">
        <f t="shared" si="455"/>
        <v>0</v>
      </c>
      <c r="T940" s="1129">
        <f t="shared" si="455"/>
        <v>0</v>
      </c>
      <c r="U940" s="1129">
        <f t="shared" si="455"/>
        <v>0</v>
      </c>
      <c r="V940" s="1129">
        <f t="shared" si="455"/>
        <v>0</v>
      </c>
      <c r="W940" s="1129">
        <f t="shared" si="455"/>
        <v>0</v>
      </c>
      <c r="X940" s="1129">
        <f t="shared" si="455"/>
        <v>218246.14</v>
      </c>
      <c r="Y940" s="1129">
        <f t="shared" si="455"/>
        <v>0</v>
      </c>
    </row>
    <row r="941" spans="1:25" s="1152" customFormat="1" ht="114.75" customHeight="1">
      <c r="A941" s="1280">
        <v>152</v>
      </c>
      <c r="B941" s="1128" t="s">
        <v>2833</v>
      </c>
      <c r="C941" s="1129">
        <f>D941+N941+P941+R941+T941+V941+X941</f>
        <v>3004703.75</v>
      </c>
      <c r="D941" s="1129">
        <v>0</v>
      </c>
      <c r="E941" s="1129">
        <v>0</v>
      </c>
      <c r="F941" s="1129">
        <v>0</v>
      </c>
      <c r="G941" s="1129">
        <v>0</v>
      </c>
      <c r="H941" s="1129">
        <v>0</v>
      </c>
      <c r="I941" s="1129">
        <v>0</v>
      </c>
      <c r="J941" s="1129">
        <v>0</v>
      </c>
      <c r="K941" s="1136">
        <v>0</v>
      </c>
      <c r="L941" s="1129">
        <v>0</v>
      </c>
      <c r="M941" s="1136">
        <v>0</v>
      </c>
      <c r="N941" s="1129">
        <v>0</v>
      </c>
      <c r="O941" s="1129">
        <v>391</v>
      </c>
      <c r="P941" s="1129">
        <v>2786457.61</v>
      </c>
      <c r="Q941" s="1129">
        <v>0</v>
      </c>
      <c r="R941" s="1129">
        <v>0</v>
      </c>
      <c r="S941" s="1129">
        <v>0</v>
      </c>
      <c r="T941" s="1129">
        <v>0</v>
      </c>
      <c r="U941" s="1129">
        <v>0</v>
      </c>
      <c r="V941" s="1129">
        <v>0</v>
      </c>
      <c r="W941" s="1167">
        <v>0</v>
      </c>
      <c r="X941" s="1129">
        <v>218246.14</v>
      </c>
      <c r="Y941" s="1129">
        <v>0</v>
      </c>
    </row>
    <row r="942" spans="1:25" s="1152" customFormat="1" ht="129" customHeight="1">
      <c r="A942" s="1280"/>
      <c r="B942" s="1135" t="s">
        <v>1168</v>
      </c>
      <c r="C942" s="1129">
        <f>C943+C944</f>
        <v>5202205.28</v>
      </c>
      <c r="D942" s="1129">
        <f t="shared" ref="D942:Y942" si="456">D943+D944</f>
        <v>0</v>
      </c>
      <c r="E942" s="1129">
        <f t="shared" si="456"/>
        <v>0</v>
      </c>
      <c r="F942" s="1129">
        <f t="shared" si="456"/>
        <v>0</v>
      </c>
      <c r="G942" s="1129">
        <f t="shared" si="456"/>
        <v>0</v>
      </c>
      <c r="H942" s="1129">
        <f t="shared" si="456"/>
        <v>0</v>
      </c>
      <c r="I942" s="1129">
        <f t="shared" si="456"/>
        <v>0</v>
      </c>
      <c r="J942" s="1129">
        <f t="shared" si="456"/>
        <v>0</v>
      </c>
      <c r="K942" s="1136">
        <f t="shared" si="456"/>
        <v>0</v>
      </c>
      <c r="L942" s="1129">
        <f t="shared" si="456"/>
        <v>0</v>
      </c>
      <c r="M942" s="1136">
        <f t="shared" si="456"/>
        <v>0</v>
      </c>
      <c r="N942" s="1129">
        <f t="shared" si="456"/>
        <v>0</v>
      </c>
      <c r="O942" s="1129">
        <f t="shared" si="456"/>
        <v>850</v>
      </c>
      <c r="P942" s="1129">
        <f t="shared" si="456"/>
        <v>3360763.49</v>
      </c>
      <c r="Q942" s="1129">
        <f t="shared" si="456"/>
        <v>0</v>
      </c>
      <c r="R942" s="1129">
        <f t="shared" si="456"/>
        <v>0</v>
      </c>
      <c r="S942" s="1129">
        <f t="shared" si="456"/>
        <v>499.1</v>
      </c>
      <c r="T942" s="1129">
        <f t="shared" si="456"/>
        <v>1463580.5</v>
      </c>
      <c r="U942" s="1129">
        <f t="shared" si="456"/>
        <v>0</v>
      </c>
      <c r="V942" s="1129">
        <f t="shared" si="456"/>
        <v>0</v>
      </c>
      <c r="W942" s="1129">
        <f t="shared" si="456"/>
        <v>0</v>
      </c>
      <c r="X942" s="1129">
        <f t="shared" si="456"/>
        <v>377861.29</v>
      </c>
      <c r="Y942" s="1129">
        <f t="shared" si="456"/>
        <v>0</v>
      </c>
    </row>
    <row r="943" spans="1:25" s="1152" customFormat="1" ht="98.45" customHeight="1">
      <c r="A943" s="1280">
        <v>153</v>
      </c>
      <c r="B943" s="1135" t="s">
        <v>2504</v>
      </c>
      <c r="C943" s="1145">
        <f t="shared" ref="C943:C944" si="457">D943+N943+P943+R943+T943+V943+X943+L943</f>
        <v>3623991.49</v>
      </c>
      <c r="D943" s="1145">
        <f t="shared" ref="D943:D944" si="458">SUM(E943:J943)</f>
        <v>0</v>
      </c>
      <c r="E943" s="1129">
        <v>0</v>
      </c>
      <c r="F943" s="1129">
        <v>0</v>
      </c>
      <c r="G943" s="1129">
        <v>0</v>
      </c>
      <c r="H943" s="1129">
        <v>0</v>
      </c>
      <c r="I943" s="1129">
        <v>0</v>
      </c>
      <c r="J943" s="1129">
        <v>0</v>
      </c>
      <c r="K943" s="1136">
        <v>0</v>
      </c>
      <c r="L943" s="1129">
        <v>0</v>
      </c>
      <c r="M943" s="1136">
        <v>0</v>
      </c>
      <c r="N943" s="1129">
        <v>0</v>
      </c>
      <c r="O943" s="1129">
        <v>850</v>
      </c>
      <c r="P943" s="1129">
        <v>3360763.49</v>
      </c>
      <c r="Q943" s="1129">
        <v>0</v>
      </c>
      <c r="R943" s="1129">
        <v>0</v>
      </c>
      <c r="S943" s="1129">
        <v>0</v>
      </c>
      <c r="T943" s="1129">
        <v>0</v>
      </c>
      <c r="U943" s="1129">
        <v>0</v>
      </c>
      <c r="V943" s="1129">
        <v>0</v>
      </c>
      <c r="W943" s="1167">
        <v>0</v>
      </c>
      <c r="X943" s="1129">
        <v>263228</v>
      </c>
      <c r="Y943" s="1129">
        <v>0</v>
      </c>
    </row>
    <row r="944" spans="1:25" s="1152" customFormat="1" ht="96" customHeight="1">
      <c r="A944" s="1280">
        <v>154</v>
      </c>
      <c r="B944" s="1135" t="s">
        <v>2503</v>
      </c>
      <c r="C944" s="1145">
        <f t="shared" si="457"/>
        <v>1578213.79</v>
      </c>
      <c r="D944" s="1145">
        <f t="shared" si="458"/>
        <v>0</v>
      </c>
      <c r="E944" s="1129">
        <v>0</v>
      </c>
      <c r="F944" s="1129">
        <v>0</v>
      </c>
      <c r="G944" s="1129">
        <v>0</v>
      </c>
      <c r="H944" s="1129">
        <v>0</v>
      </c>
      <c r="I944" s="1129">
        <v>0</v>
      </c>
      <c r="J944" s="1129">
        <v>0</v>
      </c>
      <c r="K944" s="1136">
        <v>0</v>
      </c>
      <c r="L944" s="1129">
        <v>0</v>
      </c>
      <c r="M944" s="1136">
        <v>0</v>
      </c>
      <c r="N944" s="1129">
        <v>0</v>
      </c>
      <c r="O944" s="1129">
        <v>0</v>
      </c>
      <c r="P944" s="1129">
        <v>0</v>
      </c>
      <c r="Q944" s="1129">
        <v>0</v>
      </c>
      <c r="R944" s="1129">
        <v>0</v>
      </c>
      <c r="S944" s="1129">
        <v>499.1</v>
      </c>
      <c r="T944" s="1129">
        <v>1463580.5</v>
      </c>
      <c r="U944" s="1129">
        <v>0</v>
      </c>
      <c r="V944" s="1129">
        <v>0</v>
      </c>
      <c r="W944" s="1167">
        <v>0</v>
      </c>
      <c r="X944" s="1129">
        <v>114633.29</v>
      </c>
      <c r="Y944" s="1129">
        <v>0</v>
      </c>
    </row>
    <row r="945" spans="1:25" s="1152" customFormat="1" ht="117.6" customHeight="1">
      <c r="A945" s="1280"/>
      <c r="B945" s="1135" t="s">
        <v>1969</v>
      </c>
      <c r="C945" s="1129">
        <f>SUM(C946:C958)</f>
        <v>6173012</v>
      </c>
      <c r="D945" s="1129">
        <f t="shared" ref="D945:Y945" si="459">SUM(D946:D958)</f>
        <v>2327232</v>
      </c>
      <c r="E945" s="1129">
        <f t="shared" si="459"/>
        <v>254670</v>
      </c>
      <c r="F945" s="1129">
        <f t="shared" si="459"/>
        <v>1285104</v>
      </c>
      <c r="G945" s="1129">
        <f t="shared" si="459"/>
        <v>0</v>
      </c>
      <c r="H945" s="1129">
        <f t="shared" si="459"/>
        <v>235965</v>
      </c>
      <c r="I945" s="1129">
        <f t="shared" si="459"/>
        <v>0</v>
      </c>
      <c r="J945" s="1129">
        <f t="shared" si="459"/>
        <v>374346</v>
      </c>
      <c r="K945" s="1129">
        <f t="shared" si="459"/>
        <v>0</v>
      </c>
      <c r="L945" s="1129">
        <f t="shared" si="459"/>
        <v>0</v>
      </c>
      <c r="M945" s="1129">
        <f t="shared" si="459"/>
        <v>0</v>
      </c>
      <c r="N945" s="1129">
        <f t="shared" si="459"/>
        <v>0</v>
      </c>
      <c r="O945" s="1129">
        <f t="shared" si="459"/>
        <v>1860</v>
      </c>
      <c r="P945" s="1129">
        <f t="shared" si="459"/>
        <v>2739780</v>
      </c>
      <c r="Q945" s="1129">
        <f t="shared" si="459"/>
        <v>0</v>
      </c>
      <c r="R945" s="1129">
        <f t="shared" si="459"/>
        <v>0</v>
      </c>
      <c r="S945" s="1129">
        <f t="shared" si="459"/>
        <v>0</v>
      </c>
      <c r="T945" s="1129">
        <f t="shared" si="459"/>
        <v>0</v>
      </c>
      <c r="U945" s="1129">
        <f t="shared" si="459"/>
        <v>0</v>
      </c>
      <c r="V945" s="1129">
        <f t="shared" si="459"/>
        <v>1106000</v>
      </c>
      <c r="W945" s="1129">
        <f t="shared" si="459"/>
        <v>0</v>
      </c>
      <c r="X945" s="1129">
        <f t="shared" si="459"/>
        <v>0</v>
      </c>
      <c r="Y945" s="1129">
        <f t="shared" si="459"/>
        <v>0</v>
      </c>
    </row>
    <row r="946" spans="1:25" s="1152" customFormat="1" ht="96" customHeight="1">
      <c r="A946" s="1280">
        <v>155</v>
      </c>
      <c r="B946" s="1135" t="s">
        <v>2505</v>
      </c>
      <c r="C946" s="1145">
        <f t="shared" ref="C946" si="460">D946+N946+P946+R946+T946+V946+X946+L946</f>
        <v>845502</v>
      </c>
      <c r="D946" s="1145">
        <f t="shared" ref="D946" si="461">SUM(E946:J946)</f>
        <v>0</v>
      </c>
      <c r="E946" s="1129">
        <v>0</v>
      </c>
      <c r="F946" s="1129">
        <v>0</v>
      </c>
      <c r="G946" s="1129">
        <v>0</v>
      </c>
      <c r="H946" s="1129">
        <v>0</v>
      </c>
      <c r="I946" s="1129">
        <v>0</v>
      </c>
      <c r="J946" s="1129">
        <v>0</v>
      </c>
      <c r="K946" s="1136">
        <v>0</v>
      </c>
      <c r="L946" s="1129">
        <v>0</v>
      </c>
      <c r="M946" s="1136">
        <v>0</v>
      </c>
      <c r="N946" s="1129">
        <v>0</v>
      </c>
      <c r="O946" s="1129">
        <v>574</v>
      </c>
      <c r="P946" s="1129">
        <v>845502</v>
      </c>
      <c r="Q946" s="1129">
        <v>0</v>
      </c>
      <c r="R946" s="1129">
        <v>0</v>
      </c>
      <c r="S946" s="1129">
        <v>0</v>
      </c>
      <c r="T946" s="1129">
        <v>0</v>
      </c>
      <c r="U946" s="1129">
        <v>0</v>
      </c>
      <c r="V946" s="1129">
        <v>0</v>
      </c>
      <c r="W946" s="1167">
        <v>0</v>
      </c>
      <c r="X946" s="1129">
        <v>0</v>
      </c>
      <c r="Y946" s="1129">
        <v>0</v>
      </c>
    </row>
    <row r="947" spans="1:25" s="1152" customFormat="1" ht="96" customHeight="1">
      <c r="A947" s="1280">
        <v>156</v>
      </c>
      <c r="B947" s="1128" t="s">
        <v>3030</v>
      </c>
      <c r="C947" s="1129">
        <v>936828</v>
      </c>
      <c r="D947" s="1129">
        <v>0</v>
      </c>
      <c r="E947" s="1129">
        <v>0</v>
      </c>
      <c r="F947" s="1129">
        <v>0</v>
      </c>
      <c r="G947" s="1129">
        <v>0</v>
      </c>
      <c r="H947" s="1129">
        <v>0</v>
      </c>
      <c r="I947" s="1129">
        <v>0</v>
      </c>
      <c r="J947" s="1129">
        <v>0</v>
      </c>
      <c r="K947" s="1129">
        <v>0</v>
      </c>
      <c r="L947" s="1129">
        <v>0</v>
      </c>
      <c r="M947" s="1129">
        <v>0</v>
      </c>
      <c r="N947" s="1212">
        <v>0</v>
      </c>
      <c r="O947" s="1212">
        <v>636</v>
      </c>
      <c r="P947" s="1157">
        <v>936828</v>
      </c>
      <c r="Q947" s="1129">
        <v>0</v>
      </c>
      <c r="R947" s="1129">
        <v>0</v>
      </c>
      <c r="S947" s="1129">
        <v>0</v>
      </c>
      <c r="T947" s="1129">
        <v>0</v>
      </c>
      <c r="U947" s="1129">
        <v>0</v>
      </c>
      <c r="V947" s="1129">
        <v>0</v>
      </c>
      <c r="W947" s="1129">
        <v>0</v>
      </c>
      <c r="X947" s="1129"/>
      <c r="Y947" s="1129">
        <v>0</v>
      </c>
    </row>
    <row r="948" spans="1:25" s="1152" customFormat="1" ht="96" customHeight="1">
      <c r="A948" s="1280">
        <v>157</v>
      </c>
      <c r="B948" s="1128" t="s">
        <v>2834</v>
      </c>
      <c r="C948" s="1129">
        <v>254670</v>
      </c>
      <c r="D948" s="1129">
        <v>254670</v>
      </c>
      <c r="E948" s="1129">
        <v>254670</v>
      </c>
      <c r="F948" s="1129">
        <v>0</v>
      </c>
      <c r="G948" s="1129">
        <v>0</v>
      </c>
      <c r="H948" s="1129">
        <v>0</v>
      </c>
      <c r="I948" s="1129">
        <v>0</v>
      </c>
      <c r="J948" s="1129">
        <v>0</v>
      </c>
      <c r="K948" s="1129">
        <v>0</v>
      </c>
      <c r="L948" s="1129">
        <v>0</v>
      </c>
      <c r="M948" s="1129">
        <v>0</v>
      </c>
      <c r="N948" s="1212">
        <v>0</v>
      </c>
      <c r="O948" s="1212">
        <v>0</v>
      </c>
      <c r="P948" s="1157">
        <v>0</v>
      </c>
      <c r="Q948" s="1129">
        <v>0</v>
      </c>
      <c r="R948" s="1129">
        <v>0</v>
      </c>
      <c r="S948" s="1129">
        <v>0</v>
      </c>
      <c r="T948" s="1129">
        <v>0</v>
      </c>
      <c r="U948" s="1129">
        <v>0</v>
      </c>
      <c r="V948" s="1129">
        <v>0</v>
      </c>
      <c r="W948" s="1129">
        <v>0</v>
      </c>
      <c r="X948" s="1129">
        <v>0</v>
      </c>
      <c r="Y948" s="1129">
        <v>0</v>
      </c>
    </row>
    <row r="949" spans="1:25" s="1152" customFormat="1" ht="96" customHeight="1">
      <c r="A949" s="1280">
        <v>158</v>
      </c>
      <c r="B949" s="1128" t="s">
        <v>2835</v>
      </c>
      <c r="C949" s="1129">
        <v>524226</v>
      </c>
      <c r="D949" s="1129">
        <v>524226</v>
      </c>
      <c r="E949" s="1129">
        <v>0</v>
      </c>
      <c r="F949" s="1129">
        <v>524226</v>
      </c>
      <c r="G949" s="1129">
        <v>0</v>
      </c>
      <c r="H949" s="1129">
        <v>0</v>
      </c>
      <c r="I949" s="1129">
        <v>0</v>
      </c>
      <c r="J949" s="1129">
        <v>0</v>
      </c>
      <c r="K949" s="1129">
        <v>0</v>
      </c>
      <c r="L949" s="1129">
        <v>0</v>
      </c>
      <c r="M949" s="1129">
        <v>0</v>
      </c>
      <c r="N949" s="1212">
        <v>0</v>
      </c>
      <c r="O949" s="1212">
        <v>0</v>
      </c>
      <c r="P949" s="1157">
        <v>0</v>
      </c>
      <c r="Q949" s="1129">
        <v>0</v>
      </c>
      <c r="R949" s="1129">
        <v>0</v>
      </c>
      <c r="S949" s="1129">
        <v>0</v>
      </c>
      <c r="T949" s="1129">
        <v>0</v>
      </c>
      <c r="U949" s="1129">
        <v>0</v>
      </c>
      <c r="V949" s="1129">
        <v>0</v>
      </c>
      <c r="W949" s="1129">
        <v>0</v>
      </c>
      <c r="X949" s="1129">
        <v>0</v>
      </c>
      <c r="Y949" s="1129">
        <v>0</v>
      </c>
    </row>
    <row r="950" spans="1:25" s="1152" customFormat="1" ht="96" customHeight="1">
      <c r="A950" s="1280">
        <v>159</v>
      </c>
      <c r="B950" s="1128" t="s">
        <v>2836</v>
      </c>
      <c r="C950" s="1129">
        <v>519921</v>
      </c>
      <c r="D950" s="1129">
        <v>519921</v>
      </c>
      <c r="E950" s="1129">
        <v>0</v>
      </c>
      <c r="F950" s="1129">
        <v>519921</v>
      </c>
      <c r="G950" s="1129">
        <v>0</v>
      </c>
      <c r="H950" s="1129">
        <v>0</v>
      </c>
      <c r="I950" s="1129">
        <v>0</v>
      </c>
      <c r="J950" s="1129">
        <v>0</v>
      </c>
      <c r="K950" s="1129">
        <v>0</v>
      </c>
      <c r="L950" s="1129">
        <v>0</v>
      </c>
      <c r="M950" s="1129">
        <v>0</v>
      </c>
      <c r="N950" s="1212">
        <v>0</v>
      </c>
      <c r="O950" s="1212">
        <v>0</v>
      </c>
      <c r="P950" s="1157">
        <v>0</v>
      </c>
      <c r="Q950" s="1129">
        <v>0</v>
      </c>
      <c r="R950" s="1129">
        <v>0</v>
      </c>
      <c r="S950" s="1129">
        <v>0</v>
      </c>
      <c r="T950" s="1129">
        <v>0</v>
      </c>
      <c r="U950" s="1129">
        <v>0</v>
      </c>
      <c r="V950" s="1129">
        <v>0</v>
      </c>
      <c r="W950" s="1129">
        <v>0</v>
      </c>
      <c r="X950" s="1129">
        <v>0</v>
      </c>
      <c r="Y950" s="1129">
        <v>0</v>
      </c>
    </row>
    <row r="951" spans="1:25" s="1152" customFormat="1" ht="96" customHeight="1">
      <c r="A951" s="1280">
        <v>160</v>
      </c>
      <c r="B951" s="1128" t="s">
        <v>2837</v>
      </c>
      <c r="C951" s="1129">
        <v>435243</v>
      </c>
      <c r="D951" s="1129">
        <v>435243</v>
      </c>
      <c r="E951" s="1129">
        <v>0</v>
      </c>
      <c r="F951" s="1129">
        <v>0</v>
      </c>
      <c r="G951" s="1129">
        <v>0</v>
      </c>
      <c r="H951" s="1129">
        <v>235965</v>
      </c>
      <c r="I951" s="1129">
        <v>0</v>
      </c>
      <c r="J951" s="1129">
        <v>199278</v>
      </c>
      <c r="K951" s="1129">
        <v>0</v>
      </c>
      <c r="L951" s="1129">
        <v>0</v>
      </c>
      <c r="M951" s="1129">
        <v>0</v>
      </c>
      <c r="N951" s="1212">
        <v>0</v>
      </c>
      <c r="O951" s="1212">
        <v>0</v>
      </c>
      <c r="P951" s="1157">
        <v>0</v>
      </c>
      <c r="Q951" s="1129">
        <v>0</v>
      </c>
      <c r="R951" s="1129">
        <v>0</v>
      </c>
      <c r="S951" s="1129">
        <v>0</v>
      </c>
      <c r="T951" s="1129">
        <v>0</v>
      </c>
      <c r="U951" s="1129">
        <v>0</v>
      </c>
      <c r="V951" s="1129">
        <v>0</v>
      </c>
      <c r="W951" s="1129">
        <v>0</v>
      </c>
      <c r="X951" s="1129">
        <v>0</v>
      </c>
      <c r="Y951" s="1129">
        <v>0</v>
      </c>
    </row>
    <row r="952" spans="1:25" s="1152" customFormat="1" ht="96" customHeight="1">
      <c r="A952" s="1280">
        <v>161</v>
      </c>
      <c r="B952" s="1128" t="s">
        <v>3031</v>
      </c>
      <c r="C952" s="1129">
        <v>307068</v>
      </c>
      <c r="D952" s="1129">
        <v>175068</v>
      </c>
      <c r="E952" s="1129">
        <v>0</v>
      </c>
      <c r="F952" s="1129">
        <v>0</v>
      </c>
      <c r="G952" s="1129">
        <v>0</v>
      </c>
      <c r="H952" s="1129">
        <v>0</v>
      </c>
      <c r="I952" s="1129">
        <v>0</v>
      </c>
      <c r="J952" s="1129">
        <v>175068</v>
      </c>
      <c r="K952" s="1129">
        <v>0</v>
      </c>
      <c r="L952" s="1129">
        <v>0</v>
      </c>
      <c r="M952" s="1129">
        <v>0</v>
      </c>
      <c r="N952" s="1212">
        <v>0</v>
      </c>
      <c r="O952" s="1212">
        <v>0</v>
      </c>
      <c r="P952" s="1157">
        <v>0</v>
      </c>
      <c r="Q952" s="1129">
        <v>0</v>
      </c>
      <c r="R952" s="1129">
        <v>0</v>
      </c>
      <c r="S952" s="1129">
        <v>0</v>
      </c>
      <c r="T952" s="1129">
        <v>0</v>
      </c>
      <c r="U952" s="1129">
        <v>0</v>
      </c>
      <c r="V952" s="1129">
        <v>132000</v>
      </c>
      <c r="W952" s="1129">
        <v>0</v>
      </c>
      <c r="X952" s="1129">
        <v>0</v>
      </c>
      <c r="Y952" s="1129">
        <v>0</v>
      </c>
    </row>
    <row r="953" spans="1:25" s="1152" customFormat="1" ht="96" customHeight="1">
      <c r="A953" s="1280">
        <v>162</v>
      </c>
      <c r="B953" s="1128" t="s">
        <v>2452</v>
      </c>
      <c r="C953" s="1129">
        <v>177147</v>
      </c>
      <c r="D953" s="1129">
        <v>177147</v>
      </c>
      <c r="E953" s="1129">
        <v>0</v>
      </c>
      <c r="F953" s="1129">
        <v>0</v>
      </c>
      <c r="G953" s="1129">
        <v>0</v>
      </c>
      <c r="H953" s="1129">
        <v>0</v>
      </c>
      <c r="I953" s="1129">
        <v>0</v>
      </c>
      <c r="J953" s="1129" t="s">
        <v>2654</v>
      </c>
      <c r="K953" s="1129">
        <v>0</v>
      </c>
      <c r="L953" s="1129">
        <v>0</v>
      </c>
      <c r="M953" s="1129">
        <v>0</v>
      </c>
      <c r="N953" s="1212">
        <v>0</v>
      </c>
      <c r="O953" s="1212">
        <v>0</v>
      </c>
      <c r="P953" s="1157">
        <v>0</v>
      </c>
      <c r="Q953" s="1129">
        <v>0</v>
      </c>
      <c r="R953" s="1129">
        <v>0</v>
      </c>
      <c r="S953" s="1129">
        <v>0</v>
      </c>
      <c r="T953" s="1129">
        <v>0</v>
      </c>
      <c r="U953" s="1129">
        <v>0</v>
      </c>
      <c r="V953" s="1129"/>
      <c r="W953" s="1129">
        <v>0</v>
      </c>
      <c r="X953" s="1129">
        <v>0</v>
      </c>
      <c r="Y953" s="1129">
        <v>0</v>
      </c>
    </row>
    <row r="954" spans="1:25" s="1152" customFormat="1" ht="96" customHeight="1">
      <c r="A954" s="1280">
        <v>163</v>
      </c>
      <c r="B954" s="1128" t="s">
        <v>2838</v>
      </c>
      <c r="C954" s="1129">
        <v>347000</v>
      </c>
      <c r="D954" s="1129">
        <v>0</v>
      </c>
      <c r="E954" s="1129">
        <v>0</v>
      </c>
      <c r="F954" s="1129">
        <v>0</v>
      </c>
      <c r="G954" s="1129">
        <v>0</v>
      </c>
      <c r="H954" s="1129">
        <v>0</v>
      </c>
      <c r="I954" s="1129">
        <v>0</v>
      </c>
      <c r="J954" s="1129">
        <v>0</v>
      </c>
      <c r="K954" s="1129">
        <v>0</v>
      </c>
      <c r="L954" s="1129">
        <v>0</v>
      </c>
      <c r="M954" s="1129">
        <v>0</v>
      </c>
      <c r="N954" s="1212">
        <v>0</v>
      </c>
      <c r="O954" s="1212">
        <v>0</v>
      </c>
      <c r="P954" s="1157">
        <v>0</v>
      </c>
      <c r="Q954" s="1129">
        <v>0</v>
      </c>
      <c r="R954" s="1129">
        <v>0</v>
      </c>
      <c r="S954" s="1129">
        <v>0</v>
      </c>
      <c r="T954" s="1129">
        <v>0</v>
      </c>
      <c r="U954" s="1129">
        <v>0</v>
      </c>
      <c r="V954" s="1129">
        <v>347000</v>
      </c>
      <c r="W954" s="1129">
        <v>0</v>
      </c>
      <c r="X954" s="1129">
        <v>0</v>
      </c>
      <c r="Y954" s="1129">
        <v>0</v>
      </c>
    </row>
    <row r="955" spans="1:25" s="1152" customFormat="1" ht="96" customHeight="1">
      <c r="A955" s="1280">
        <v>164</v>
      </c>
      <c r="B955" s="1128" t="s">
        <v>2839</v>
      </c>
      <c r="C955" s="1129">
        <v>384000</v>
      </c>
      <c r="D955" s="1129">
        <v>0</v>
      </c>
      <c r="E955" s="1129">
        <v>0</v>
      </c>
      <c r="F955" s="1129">
        <v>0</v>
      </c>
      <c r="G955" s="1129">
        <v>0</v>
      </c>
      <c r="H955" s="1129">
        <v>0</v>
      </c>
      <c r="I955" s="1129">
        <v>0</v>
      </c>
      <c r="J955" s="1129">
        <v>0</v>
      </c>
      <c r="K955" s="1129">
        <v>0</v>
      </c>
      <c r="L955" s="1129">
        <v>0</v>
      </c>
      <c r="M955" s="1129">
        <v>0</v>
      </c>
      <c r="N955" s="1212">
        <v>0</v>
      </c>
      <c r="O955" s="1212">
        <v>0</v>
      </c>
      <c r="P955" s="1157">
        <v>0</v>
      </c>
      <c r="Q955" s="1129">
        <v>0</v>
      </c>
      <c r="R955" s="1129">
        <v>0</v>
      </c>
      <c r="S955" s="1129">
        <v>0</v>
      </c>
      <c r="T955" s="1129">
        <v>0</v>
      </c>
      <c r="U955" s="1129">
        <v>0</v>
      </c>
      <c r="V955" s="1129">
        <v>384000</v>
      </c>
      <c r="W955" s="1129">
        <v>0</v>
      </c>
      <c r="X955" s="1129">
        <v>0</v>
      </c>
      <c r="Y955" s="1129">
        <v>0</v>
      </c>
    </row>
    <row r="956" spans="1:25" s="1152" customFormat="1" ht="96" customHeight="1">
      <c r="A956" s="1280">
        <v>165</v>
      </c>
      <c r="B956" s="1128" t="s">
        <v>3032</v>
      </c>
      <c r="C956" s="1129">
        <v>243000</v>
      </c>
      <c r="D956" s="1129">
        <v>0</v>
      </c>
      <c r="E956" s="1129">
        <v>0</v>
      </c>
      <c r="F956" s="1129">
        <v>0</v>
      </c>
      <c r="G956" s="1129">
        <v>0</v>
      </c>
      <c r="H956" s="1129">
        <v>0</v>
      </c>
      <c r="I956" s="1129">
        <v>0</v>
      </c>
      <c r="J956" s="1129">
        <v>0</v>
      </c>
      <c r="K956" s="1129">
        <v>0</v>
      </c>
      <c r="L956" s="1129">
        <v>0</v>
      </c>
      <c r="M956" s="1129">
        <v>0</v>
      </c>
      <c r="N956" s="1212">
        <v>0</v>
      </c>
      <c r="O956" s="1212">
        <v>0</v>
      </c>
      <c r="P956" s="1157">
        <v>0</v>
      </c>
      <c r="Q956" s="1129">
        <v>0</v>
      </c>
      <c r="R956" s="1129">
        <v>0</v>
      </c>
      <c r="S956" s="1129">
        <v>0</v>
      </c>
      <c r="T956" s="1129">
        <v>0</v>
      </c>
      <c r="U956" s="1129">
        <v>0</v>
      </c>
      <c r="V956" s="1129">
        <v>243000</v>
      </c>
      <c r="W956" s="1129">
        <v>0</v>
      </c>
      <c r="X956" s="1129">
        <v>0</v>
      </c>
      <c r="Y956" s="1129">
        <v>0</v>
      </c>
    </row>
    <row r="957" spans="1:25" s="1152" customFormat="1" ht="96" customHeight="1">
      <c r="A957" s="1280">
        <v>166</v>
      </c>
      <c r="B957" s="1128" t="s">
        <v>2840</v>
      </c>
      <c r="C957" s="1129">
        <v>240957</v>
      </c>
      <c r="D957" s="1129">
        <v>240957</v>
      </c>
      <c r="E957" s="1129">
        <v>0</v>
      </c>
      <c r="F957" s="1129">
        <v>240957</v>
      </c>
      <c r="G957" s="1129">
        <v>0</v>
      </c>
      <c r="H957" s="1129">
        <v>0</v>
      </c>
      <c r="I957" s="1129">
        <v>0</v>
      </c>
      <c r="J957" s="1129">
        <v>0</v>
      </c>
      <c r="K957" s="1129">
        <v>0</v>
      </c>
      <c r="L957" s="1129">
        <v>0</v>
      </c>
      <c r="M957" s="1129">
        <v>0</v>
      </c>
      <c r="N957" s="1212">
        <v>0</v>
      </c>
      <c r="O957" s="1212">
        <v>0</v>
      </c>
      <c r="P957" s="1157">
        <v>0</v>
      </c>
      <c r="Q957" s="1129">
        <v>0</v>
      </c>
      <c r="R957" s="1129">
        <v>0</v>
      </c>
      <c r="S957" s="1129">
        <v>0</v>
      </c>
      <c r="T957" s="1129">
        <v>0</v>
      </c>
      <c r="U957" s="1129">
        <v>0</v>
      </c>
      <c r="V957" s="1129"/>
      <c r="W957" s="1129">
        <v>0</v>
      </c>
      <c r="X957" s="1129">
        <v>0</v>
      </c>
      <c r="Y957" s="1129">
        <v>0</v>
      </c>
    </row>
    <row r="958" spans="1:25" s="1152" customFormat="1" ht="96" customHeight="1">
      <c r="A958" s="1280">
        <v>167</v>
      </c>
      <c r="B958" s="1128" t="s">
        <v>3033</v>
      </c>
      <c r="C958" s="1129">
        <v>957450</v>
      </c>
      <c r="D958" s="1129">
        <v>0</v>
      </c>
      <c r="E958" s="1129">
        <v>0</v>
      </c>
      <c r="F958" s="1129">
        <v>0</v>
      </c>
      <c r="G958" s="1129">
        <v>0</v>
      </c>
      <c r="H958" s="1129">
        <v>0</v>
      </c>
      <c r="I958" s="1129">
        <v>0</v>
      </c>
      <c r="J958" s="1129">
        <v>0</v>
      </c>
      <c r="K958" s="1129">
        <v>0</v>
      </c>
      <c r="L958" s="1129">
        <v>0</v>
      </c>
      <c r="M958" s="1129">
        <v>0</v>
      </c>
      <c r="N958" s="1212">
        <v>0</v>
      </c>
      <c r="O958" s="1212">
        <v>650</v>
      </c>
      <c r="P958" s="1157">
        <v>957450</v>
      </c>
      <c r="Q958" s="1129">
        <v>0</v>
      </c>
      <c r="R958" s="1129">
        <v>0</v>
      </c>
      <c r="S958" s="1129">
        <v>0</v>
      </c>
      <c r="T958" s="1129">
        <v>0</v>
      </c>
      <c r="U958" s="1129">
        <v>0</v>
      </c>
      <c r="V958" s="1129">
        <v>0</v>
      </c>
      <c r="W958" s="1129">
        <v>0</v>
      </c>
      <c r="X958" s="1129">
        <v>0</v>
      </c>
      <c r="Y958" s="1129">
        <v>0</v>
      </c>
    </row>
    <row r="959" spans="1:25" s="1152" customFormat="1" ht="141.6" customHeight="1">
      <c r="A959" s="1280"/>
      <c r="B959" s="1135" t="s">
        <v>1119</v>
      </c>
      <c r="C959" s="1145">
        <f>SUM(C960:C973)</f>
        <v>36470935.25</v>
      </c>
      <c r="D959" s="1145">
        <f t="shared" ref="D959:Y959" si="462">SUM(D960:D973)</f>
        <v>10116621.68</v>
      </c>
      <c r="E959" s="1145">
        <f t="shared" si="462"/>
        <v>0</v>
      </c>
      <c r="F959" s="1145">
        <f t="shared" si="462"/>
        <v>4336905.26</v>
      </c>
      <c r="G959" s="1145">
        <f t="shared" si="462"/>
        <v>0</v>
      </c>
      <c r="H959" s="1145">
        <f t="shared" si="462"/>
        <v>2797423.2</v>
      </c>
      <c r="I959" s="1145">
        <f t="shared" si="462"/>
        <v>394044.68</v>
      </c>
      <c r="J959" s="1145">
        <f t="shared" si="462"/>
        <v>2588248.54</v>
      </c>
      <c r="K959" s="1163">
        <f t="shared" si="462"/>
        <v>2</v>
      </c>
      <c r="L959" s="1145">
        <f t="shared" si="462"/>
        <v>657563.51</v>
      </c>
      <c r="M959" s="1163">
        <f t="shared" si="462"/>
        <v>0</v>
      </c>
      <c r="N959" s="1145">
        <f t="shared" si="462"/>
        <v>0</v>
      </c>
      <c r="O959" s="1145">
        <f t="shared" si="462"/>
        <v>6855.7</v>
      </c>
      <c r="P959" s="1145">
        <f t="shared" si="462"/>
        <v>23047690.579999998</v>
      </c>
      <c r="Q959" s="1129">
        <f t="shared" si="462"/>
        <v>0</v>
      </c>
      <c r="R959" s="1129">
        <f t="shared" si="462"/>
        <v>0</v>
      </c>
      <c r="S959" s="1129">
        <f t="shared" si="462"/>
        <v>0</v>
      </c>
      <c r="T959" s="1129">
        <f t="shared" si="462"/>
        <v>0</v>
      </c>
      <c r="U959" s="1129">
        <f t="shared" si="462"/>
        <v>0</v>
      </c>
      <c r="V959" s="1129">
        <f t="shared" si="462"/>
        <v>0</v>
      </c>
      <c r="W959" s="1129">
        <f t="shared" si="462"/>
        <v>0</v>
      </c>
      <c r="X959" s="1129">
        <f t="shared" si="462"/>
        <v>2649059.4799999995</v>
      </c>
      <c r="Y959" s="1129">
        <f t="shared" si="462"/>
        <v>0</v>
      </c>
    </row>
    <row r="960" spans="1:25" s="1152" customFormat="1" ht="88.9" customHeight="1">
      <c r="A960" s="1280">
        <v>168</v>
      </c>
      <c r="B960" s="1128" t="s">
        <v>2506</v>
      </c>
      <c r="C960" s="1145">
        <f t="shared" ref="C960" si="463">D960+N960+P960+R960+T960+V960+X960+L960</f>
        <v>1969462.9000000001</v>
      </c>
      <c r="D960" s="1145">
        <f t="shared" ref="D960" si="464">SUM(E960:J960)</f>
        <v>0</v>
      </c>
      <c r="E960" s="1129">
        <v>0</v>
      </c>
      <c r="F960" s="1145">
        <v>0</v>
      </c>
      <c r="G960" s="1129">
        <v>0</v>
      </c>
      <c r="H960" s="1129">
        <v>0</v>
      </c>
      <c r="I960" s="1129">
        <v>0</v>
      </c>
      <c r="J960" s="1129">
        <v>0</v>
      </c>
      <c r="K960" s="1136">
        <v>0</v>
      </c>
      <c r="L960" s="1129">
        <v>0</v>
      </c>
      <c r="M960" s="1136">
        <v>0</v>
      </c>
      <c r="N960" s="1129">
        <v>0</v>
      </c>
      <c r="O960" s="1129">
        <v>545</v>
      </c>
      <c r="P960" s="1129">
        <v>1826411.3</v>
      </c>
      <c r="Q960" s="1129">
        <v>0</v>
      </c>
      <c r="R960" s="1129">
        <v>0</v>
      </c>
      <c r="S960" s="1129">
        <v>0</v>
      </c>
      <c r="T960" s="1129">
        <v>0</v>
      </c>
      <c r="U960" s="1129">
        <v>0</v>
      </c>
      <c r="V960" s="1129">
        <v>0</v>
      </c>
      <c r="W960" s="1167">
        <v>0</v>
      </c>
      <c r="X960" s="1135">
        <v>143051.6</v>
      </c>
      <c r="Y960" s="1160">
        <v>0</v>
      </c>
    </row>
    <row r="961" spans="1:25" s="1137" customFormat="1" ht="90" customHeight="1">
      <c r="A961" s="1280">
        <v>169</v>
      </c>
      <c r="B961" s="1128" t="s">
        <v>2507</v>
      </c>
      <c r="C961" s="1145">
        <f t="shared" ref="C961:C970" si="465">D961+N961+P961+R961+T961+V961+X961+L961</f>
        <v>942237.79</v>
      </c>
      <c r="D961" s="1145">
        <f t="shared" ref="D961:D970" si="466">SUM(E961:J961)</f>
        <v>0</v>
      </c>
      <c r="E961" s="1129">
        <v>0</v>
      </c>
      <c r="F961" s="1145">
        <v>0</v>
      </c>
      <c r="G961" s="1129">
        <v>0</v>
      </c>
      <c r="H961" s="1129">
        <v>0</v>
      </c>
      <c r="I961" s="1129">
        <v>0</v>
      </c>
      <c r="J961" s="1129">
        <v>0</v>
      </c>
      <c r="K961" s="1136">
        <v>0</v>
      </c>
      <c r="L961" s="1129">
        <v>0</v>
      </c>
      <c r="M961" s="1136">
        <v>0</v>
      </c>
      <c r="N961" s="1129">
        <v>0</v>
      </c>
      <c r="O961" s="1129">
        <v>221</v>
      </c>
      <c r="P961" s="1129">
        <v>873798.51</v>
      </c>
      <c r="Q961" s="1129">
        <v>0</v>
      </c>
      <c r="R961" s="1129">
        <v>0</v>
      </c>
      <c r="S961" s="1129">
        <v>0</v>
      </c>
      <c r="T961" s="1129">
        <v>0</v>
      </c>
      <c r="U961" s="1129">
        <v>0</v>
      </c>
      <c r="V961" s="1129">
        <v>0</v>
      </c>
      <c r="W961" s="1167">
        <v>0</v>
      </c>
      <c r="X961" s="1145">
        <v>68439.28</v>
      </c>
      <c r="Y961" s="1160">
        <v>0</v>
      </c>
    </row>
    <row r="962" spans="1:25" s="1137" customFormat="1" ht="86.45" customHeight="1">
      <c r="A962" s="1280">
        <v>170</v>
      </c>
      <c r="B962" s="1128" t="s">
        <v>2509</v>
      </c>
      <c r="C962" s="1145">
        <f t="shared" si="465"/>
        <v>1810569.7499999998</v>
      </c>
      <c r="D962" s="1145">
        <f t="shared" si="466"/>
        <v>1679059.3399999999</v>
      </c>
      <c r="E962" s="1129">
        <v>0</v>
      </c>
      <c r="F962" s="1129">
        <v>641911.5</v>
      </c>
      <c r="G962" s="1129">
        <v>0</v>
      </c>
      <c r="H962" s="1129">
        <v>394044.68</v>
      </c>
      <c r="I962" s="1129">
        <v>394044.68</v>
      </c>
      <c r="J962" s="1129">
        <v>249058.48</v>
      </c>
      <c r="K962" s="1136">
        <v>0</v>
      </c>
      <c r="L962" s="1129">
        <v>0</v>
      </c>
      <c r="M962" s="1136">
        <v>0</v>
      </c>
      <c r="N962" s="1129">
        <v>0</v>
      </c>
      <c r="O962" s="1129">
        <v>0</v>
      </c>
      <c r="P962" s="1129">
        <v>0</v>
      </c>
      <c r="Q962" s="1129">
        <v>0</v>
      </c>
      <c r="R962" s="1129">
        <v>0</v>
      </c>
      <c r="S962" s="1145">
        <v>0</v>
      </c>
      <c r="T962" s="1145">
        <v>0</v>
      </c>
      <c r="U962" s="1145">
        <v>0</v>
      </c>
      <c r="V962" s="1145">
        <v>0</v>
      </c>
      <c r="W962" s="1167">
        <v>0</v>
      </c>
      <c r="X962" s="1145">
        <v>131510.41</v>
      </c>
      <c r="Y962" s="1145">
        <v>0</v>
      </c>
    </row>
    <row r="963" spans="1:25" s="1137" customFormat="1" ht="91.5" customHeight="1">
      <c r="A963" s="1280">
        <v>171</v>
      </c>
      <c r="B963" s="1128" t="s">
        <v>2508</v>
      </c>
      <c r="C963" s="1145">
        <f t="shared" si="465"/>
        <v>5530327.4399999995</v>
      </c>
      <c r="D963" s="1145">
        <f t="shared" si="466"/>
        <v>5128633.05</v>
      </c>
      <c r="E963" s="1129">
        <v>0</v>
      </c>
      <c r="F963" s="1129">
        <v>3694993.76</v>
      </c>
      <c r="G963" s="1129">
        <v>0</v>
      </c>
      <c r="H963" s="1129">
        <v>0</v>
      </c>
      <c r="I963" s="1129">
        <v>0</v>
      </c>
      <c r="J963" s="1129">
        <v>1433639.29</v>
      </c>
      <c r="K963" s="1136">
        <v>0</v>
      </c>
      <c r="L963" s="1129">
        <v>0</v>
      </c>
      <c r="M963" s="1136">
        <v>0</v>
      </c>
      <c r="N963" s="1129">
        <v>0</v>
      </c>
      <c r="O963" s="1129">
        <v>0</v>
      </c>
      <c r="P963" s="1129">
        <v>0</v>
      </c>
      <c r="Q963" s="1129">
        <v>0</v>
      </c>
      <c r="R963" s="1129">
        <v>0</v>
      </c>
      <c r="S963" s="1145">
        <v>0</v>
      </c>
      <c r="T963" s="1145">
        <v>0</v>
      </c>
      <c r="U963" s="1145">
        <v>0</v>
      </c>
      <c r="V963" s="1145">
        <v>0</v>
      </c>
      <c r="W963" s="1167">
        <v>0</v>
      </c>
      <c r="X963" s="1145">
        <v>401694.39</v>
      </c>
      <c r="Y963" s="1145">
        <v>0</v>
      </c>
    </row>
    <row r="964" spans="1:25" s="1137" customFormat="1" ht="90" customHeight="1">
      <c r="A964" s="1280">
        <v>172</v>
      </c>
      <c r="B964" s="1128" t="s">
        <v>1878</v>
      </c>
      <c r="C964" s="1145">
        <f t="shared" si="465"/>
        <v>1409340.43</v>
      </c>
      <c r="D964" s="1145">
        <f t="shared" si="466"/>
        <v>0</v>
      </c>
      <c r="E964" s="1129">
        <v>0</v>
      </c>
      <c r="F964" s="1129">
        <v>0</v>
      </c>
      <c r="G964" s="1129">
        <v>0</v>
      </c>
      <c r="H964" s="1129">
        <v>0</v>
      </c>
      <c r="I964" s="1129">
        <v>0</v>
      </c>
      <c r="J964" s="1129">
        <v>0</v>
      </c>
      <c r="K964" s="1136">
        <v>0</v>
      </c>
      <c r="L964" s="1129">
        <v>0</v>
      </c>
      <c r="M964" s="1136">
        <v>0</v>
      </c>
      <c r="N964" s="1129">
        <v>0</v>
      </c>
      <c r="O964" s="1129">
        <v>390</v>
      </c>
      <c r="P964" s="1129">
        <v>1306973.23</v>
      </c>
      <c r="Q964" s="1129">
        <v>0</v>
      </c>
      <c r="R964" s="1129">
        <v>0</v>
      </c>
      <c r="S964" s="1145">
        <v>0</v>
      </c>
      <c r="T964" s="1145">
        <v>0</v>
      </c>
      <c r="U964" s="1145">
        <v>0</v>
      </c>
      <c r="V964" s="1145">
        <v>0</v>
      </c>
      <c r="W964" s="1167">
        <v>0</v>
      </c>
      <c r="X964" s="1145">
        <v>102367.2</v>
      </c>
      <c r="Y964" s="1145">
        <v>0</v>
      </c>
    </row>
    <row r="965" spans="1:25" s="1137" customFormat="1" ht="91.15" customHeight="1">
      <c r="A965" s="1280">
        <v>173</v>
      </c>
      <c r="B965" s="1128" t="s">
        <v>2798</v>
      </c>
      <c r="C965" s="1145">
        <f t="shared" si="465"/>
        <v>1449596.5999999999</v>
      </c>
      <c r="D965" s="1145">
        <f t="shared" si="466"/>
        <v>0</v>
      </c>
      <c r="E965" s="1129">
        <v>0</v>
      </c>
      <c r="F965" s="1129">
        <v>0</v>
      </c>
      <c r="G965" s="1129">
        <v>0</v>
      </c>
      <c r="H965" s="1129">
        <v>0</v>
      </c>
      <c r="I965" s="1129">
        <v>0</v>
      </c>
      <c r="J965" s="1129">
        <v>0</v>
      </c>
      <c r="K965" s="1136">
        <v>0</v>
      </c>
      <c r="L965" s="1129">
        <v>0</v>
      </c>
      <c r="M965" s="1136">
        <v>0</v>
      </c>
      <c r="N965" s="1129">
        <v>0</v>
      </c>
      <c r="O965" s="1129">
        <v>340</v>
      </c>
      <c r="P965" s="1145">
        <v>1344305.4</v>
      </c>
      <c r="Q965" s="1129">
        <v>0</v>
      </c>
      <c r="R965" s="1129">
        <v>0</v>
      </c>
      <c r="S965" s="1145">
        <v>0</v>
      </c>
      <c r="T965" s="1145">
        <v>0</v>
      </c>
      <c r="U965" s="1145">
        <v>0</v>
      </c>
      <c r="V965" s="1145">
        <v>0</v>
      </c>
      <c r="W965" s="1167">
        <v>0</v>
      </c>
      <c r="X965" s="1145">
        <v>105291.2</v>
      </c>
      <c r="Y965" s="1145">
        <v>0</v>
      </c>
    </row>
    <row r="966" spans="1:25" s="1137" customFormat="1" ht="109.15" customHeight="1">
      <c r="A966" s="1280">
        <v>174</v>
      </c>
      <c r="B966" s="1128" t="s">
        <v>2841</v>
      </c>
      <c r="C966" s="1145">
        <f t="shared" si="465"/>
        <v>4770075.29</v>
      </c>
      <c r="D966" s="1145">
        <f t="shared" si="466"/>
        <v>0</v>
      </c>
      <c r="E966" s="1129">
        <v>0</v>
      </c>
      <c r="F966" s="1129">
        <v>0</v>
      </c>
      <c r="G966" s="1129">
        <v>0</v>
      </c>
      <c r="H966" s="1129">
        <v>0</v>
      </c>
      <c r="I966" s="1129">
        <v>0</v>
      </c>
      <c r="J966" s="1129">
        <v>0</v>
      </c>
      <c r="K966" s="1136">
        <v>0</v>
      </c>
      <c r="L966" s="1129">
        <v>0</v>
      </c>
      <c r="M966" s="1136">
        <v>0</v>
      </c>
      <c r="N966" s="1129">
        <v>0</v>
      </c>
      <c r="O966" s="1129">
        <v>1320</v>
      </c>
      <c r="P966" s="1129">
        <v>4423601.6900000004</v>
      </c>
      <c r="Q966" s="1129">
        <v>0</v>
      </c>
      <c r="R966" s="1129">
        <v>0</v>
      </c>
      <c r="S966" s="1145">
        <v>0</v>
      </c>
      <c r="T966" s="1145">
        <v>0</v>
      </c>
      <c r="U966" s="1145">
        <v>0</v>
      </c>
      <c r="V966" s="1145">
        <v>0</v>
      </c>
      <c r="W966" s="1167">
        <v>0</v>
      </c>
      <c r="X966" s="1145">
        <v>346473.6</v>
      </c>
      <c r="Y966" s="1145">
        <v>0</v>
      </c>
    </row>
    <row r="967" spans="1:25" s="1137" customFormat="1" ht="123" customHeight="1">
      <c r="A967" s="1280">
        <v>175</v>
      </c>
      <c r="B967" s="1128" t="s">
        <v>2510</v>
      </c>
      <c r="C967" s="1145">
        <f t="shared" si="465"/>
        <v>3685967.27</v>
      </c>
      <c r="D967" s="1145">
        <f t="shared" si="466"/>
        <v>0</v>
      </c>
      <c r="E967" s="1149">
        <v>0</v>
      </c>
      <c r="F967" s="1149">
        <v>0</v>
      </c>
      <c r="G967" s="1149">
        <v>0</v>
      </c>
      <c r="H967" s="1160">
        <v>0</v>
      </c>
      <c r="I967" s="1160">
        <v>0</v>
      </c>
      <c r="J967" s="1149">
        <v>0</v>
      </c>
      <c r="K967" s="1136">
        <v>0</v>
      </c>
      <c r="L967" s="1160">
        <v>0</v>
      </c>
      <c r="M967" s="1136">
        <v>0</v>
      </c>
      <c r="N967" s="1149">
        <v>0</v>
      </c>
      <c r="O967" s="1129">
        <v>1020</v>
      </c>
      <c r="P967" s="1145">
        <v>3418237.67</v>
      </c>
      <c r="Q967" s="1129">
        <v>0</v>
      </c>
      <c r="R967" s="1129">
        <v>0</v>
      </c>
      <c r="S967" s="1129">
        <v>0</v>
      </c>
      <c r="T967" s="1129">
        <v>0</v>
      </c>
      <c r="U967" s="1129">
        <v>0</v>
      </c>
      <c r="V967" s="1129">
        <v>0</v>
      </c>
      <c r="W967" s="1167">
        <v>0</v>
      </c>
      <c r="X967" s="1129">
        <v>267729.59999999998</v>
      </c>
      <c r="Y967" s="1145">
        <v>0</v>
      </c>
    </row>
    <row r="968" spans="1:25" s="1137" customFormat="1" ht="99.6" customHeight="1">
      <c r="A968" s="1280">
        <v>176</v>
      </c>
      <c r="B968" s="1128" t="s">
        <v>2842</v>
      </c>
      <c r="C968" s="1145">
        <f t="shared" si="465"/>
        <v>1855631.56</v>
      </c>
      <c r="D968" s="1145">
        <f t="shared" si="466"/>
        <v>0</v>
      </c>
      <c r="E968" s="1149">
        <v>0</v>
      </c>
      <c r="F968" s="1149">
        <v>0</v>
      </c>
      <c r="G968" s="1149">
        <v>0</v>
      </c>
      <c r="H968" s="1160">
        <v>0</v>
      </c>
      <c r="I968" s="1160">
        <v>0</v>
      </c>
      <c r="J968" s="1149">
        <v>0</v>
      </c>
      <c r="K968" s="1136">
        <v>0</v>
      </c>
      <c r="L968" s="1160">
        <v>0</v>
      </c>
      <c r="M968" s="1136">
        <v>0</v>
      </c>
      <c r="N968" s="1149">
        <v>0</v>
      </c>
      <c r="O968" s="1129">
        <v>513.5</v>
      </c>
      <c r="P968" s="1145">
        <v>1720848.08</v>
      </c>
      <c r="Q968" s="1129">
        <v>0</v>
      </c>
      <c r="R968" s="1129">
        <v>0</v>
      </c>
      <c r="S968" s="1129">
        <v>0</v>
      </c>
      <c r="T968" s="1129">
        <v>0</v>
      </c>
      <c r="U968" s="1129">
        <v>0</v>
      </c>
      <c r="V968" s="1129">
        <v>0</v>
      </c>
      <c r="W968" s="1167">
        <v>0</v>
      </c>
      <c r="X968" s="1129">
        <v>134783.48000000001</v>
      </c>
      <c r="Y968" s="1145">
        <v>0</v>
      </c>
    </row>
    <row r="969" spans="1:25" s="1137" customFormat="1" ht="123" customHeight="1">
      <c r="A969" s="1280">
        <v>177</v>
      </c>
      <c r="B969" s="1128" t="s">
        <v>2511</v>
      </c>
      <c r="C969" s="1145">
        <f t="shared" si="465"/>
        <v>2875930.5200000005</v>
      </c>
      <c r="D969" s="1145">
        <f t="shared" si="466"/>
        <v>2338256.29</v>
      </c>
      <c r="E969" s="1129">
        <v>0</v>
      </c>
      <c r="F969" s="1129">
        <v>0</v>
      </c>
      <c r="G969" s="1129">
        <v>0</v>
      </c>
      <c r="H969" s="1129">
        <v>1432705.52</v>
      </c>
      <c r="I969" s="1129">
        <v>0</v>
      </c>
      <c r="J969" s="1129">
        <v>905550.77</v>
      </c>
      <c r="K969" s="1136">
        <v>1</v>
      </c>
      <c r="L969" s="1145">
        <v>328781.51</v>
      </c>
      <c r="M969" s="1136">
        <v>0</v>
      </c>
      <c r="N969" s="1129">
        <v>0</v>
      </c>
      <c r="O969" s="1129">
        <v>0</v>
      </c>
      <c r="P969" s="1129">
        <v>0</v>
      </c>
      <c r="Q969" s="1129">
        <v>0</v>
      </c>
      <c r="R969" s="1129">
        <v>0</v>
      </c>
      <c r="S969" s="1145">
        <v>0</v>
      </c>
      <c r="T969" s="1145">
        <v>0</v>
      </c>
      <c r="U969" s="1145">
        <v>0</v>
      </c>
      <c r="V969" s="1145">
        <v>0</v>
      </c>
      <c r="W969" s="1167">
        <v>0</v>
      </c>
      <c r="X969" s="1145">
        <v>208892.72</v>
      </c>
      <c r="Y969" s="1145">
        <v>0</v>
      </c>
    </row>
    <row r="970" spans="1:25" s="1137" customFormat="1" ht="102" customHeight="1">
      <c r="A970" s="1280">
        <v>178</v>
      </c>
      <c r="B970" s="1128" t="s">
        <v>1879</v>
      </c>
      <c r="C970" s="1145">
        <f t="shared" si="465"/>
        <v>1806846.7</v>
      </c>
      <c r="D970" s="1145">
        <f t="shared" si="466"/>
        <v>0</v>
      </c>
      <c r="E970" s="1129">
        <v>0</v>
      </c>
      <c r="F970" s="1129">
        <v>0</v>
      </c>
      <c r="G970" s="1129">
        <v>0</v>
      </c>
      <c r="H970" s="1129">
        <v>0</v>
      </c>
      <c r="I970" s="1129">
        <v>0</v>
      </c>
      <c r="J970" s="1129">
        <v>0</v>
      </c>
      <c r="K970" s="1136">
        <v>0</v>
      </c>
      <c r="L970" s="1145">
        <v>0</v>
      </c>
      <c r="M970" s="1136">
        <v>0</v>
      </c>
      <c r="N970" s="1129">
        <v>0</v>
      </c>
      <c r="O970" s="1129">
        <v>500</v>
      </c>
      <c r="P970" s="1129">
        <v>1675606.7</v>
      </c>
      <c r="Q970" s="1129">
        <v>0</v>
      </c>
      <c r="R970" s="1129">
        <v>0</v>
      </c>
      <c r="S970" s="1145">
        <v>0</v>
      </c>
      <c r="T970" s="1145">
        <v>0</v>
      </c>
      <c r="U970" s="1145">
        <v>0</v>
      </c>
      <c r="V970" s="1145">
        <v>0</v>
      </c>
      <c r="W970" s="1167">
        <v>0</v>
      </c>
      <c r="X970" s="1145">
        <v>131240</v>
      </c>
      <c r="Y970" s="1145">
        <v>0</v>
      </c>
    </row>
    <row r="971" spans="1:25" s="1137" customFormat="1" ht="98.45" customHeight="1">
      <c r="A971" s="1280">
        <v>179</v>
      </c>
      <c r="B971" s="1128" t="s">
        <v>2512</v>
      </c>
      <c r="C971" s="1145">
        <f t="shared" ref="C971:C973" si="467">D971+N971+P971+R971+T971+V971+X971+L971</f>
        <v>1401233</v>
      </c>
      <c r="D971" s="1145">
        <f t="shared" ref="D971:D973" si="468">SUM(E971:J971)</f>
        <v>970673</v>
      </c>
      <c r="E971" s="1129">
        <v>0</v>
      </c>
      <c r="F971" s="1129">
        <v>0</v>
      </c>
      <c r="G971" s="1129">
        <v>0</v>
      </c>
      <c r="H971" s="1129">
        <v>970673</v>
      </c>
      <c r="I971" s="1129">
        <v>0</v>
      </c>
      <c r="J971" s="1129">
        <v>0</v>
      </c>
      <c r="K971" s="1136">
        <v>1</v>
      </c>
      <c r="L971" s="1145">
        <v>328782</v>
      </c>
      <c r="M971" s="1136">
        <v>0</v>
      </c>
      <c r="N971" s="1129">
        <v>0</v>
      </c>
      <c r="O971" s="1129">
        <v>0</v>
      </c>
      <c r="P971" s="1129">
        <v>0</v>
      </c>
      <c r="Q971" s="1129">
        <v>0</v>
      </c>
      <c r="R971" s="1129">
        <v>0</v>
      </c>
      <c r="S971" s="1145">
        <v>0</v>
      </c>
      <c r="T971" s="1145">
        <v>0</v>
      </c>
      <c r="U971" s="1145">
        <v>0</v>
      </c>
      <c r="V971" s="1145">
        <v>0</v>
      </c>
      <c r="W971" s="1167">
        <v>0</v>
      </c>
      <c r="X971" s="1145">
        <v>101778</v>
      </c>
      <c r="Y971" s="1145">
        <v>0</v>
      </c>
    </row>
    <row r="972" spans="1:25" s="1137" customFormat="1" ht="71.45" customHeight="1">
      <c r="A972" s="1280">
        <v>180</v>
      </c>
      <c r="B972" s="1128" t="s">
        <v>2021</v>
      </c>
      <c r="C972" s="1145">
        <f t="shared" si="467"/>
        <v>3744242</v>
      </c>
      <c r="D972" s="1145">
        <f t="shared" si="468"/>
        <v>0</v>
      </c>
      <c r="E972" s="1129">
        <v>0</v>
      </c>
      <c r="F972" s="1129">
        <v>0</v>
      </c>
      <c r="G972" s="1129">
        <v>0</v>
      </c>
      <c r="H972" s="1129">
        <v>0</v>
      </c>
      <c r="I972" s="1129">
        <v>0</v>
      </c>
      <c r="J972" s="1129">
        <v>0</v>
      </c>
      <c r="K972" s="1136">
        <v>0</v>
      </c>
      <c r="L972" s="1145">
        <v>0</v>
      </c>
      <c r="M972" s="1136">
        <v>0</v>
      </c>
      <c r="N972" s="1129">
        <v>0</v>
      </c>
      <c r="O972" s="1129">
        <v>1379.2</v>
      </c>
      <c r="P972" s="1129">
        <v>3472280</v>
      </c>
      <c r="Q972" s="1129">
        <v>0</v>
      </c>
      <c r="R972" s="1129">
        <v>0</v>
      </c>
      <c r="S972" s="1145">
        <v>0</v>
      </c>
      <c r="T972" s="1145">
        <v>0</v>
      </c>
      <c r="U972" s="1145">
        <v>0</v>
      </c>
      <c r="V972" s="1145">
        <v>0</v>
      </c>
      <c r="W972" s="1167">
        <v>0</v>
      </c>
      <c r="X972" s="1145">
        <v>271962</v>
      </c>
      <c r="Y972" s="1145">
        <v>0</v>
      </c>
    </row>
    <row r="973" spans="1:25" s="1137" customFormat="1" ht="90" customHeight="1">
      <c r="A973" s="1280">
        <v>181</v>
      </c>
      <c r="B973" s="1128" t="s">
        <v>2843</v>
      </c>
      <c r="C973" s="1145">
        <f t="shared" si="467"/>
        <v>3219474</v>
      </c>
      <c r="D973" s="1145">
        <f t="shared" si="468"/>
        <v>0</v>
      </c>
      <c r="E973" s="1129">
        <v>0</v>
      </c>
      <c r="F973" s="1129">
        <v>0</v>
      </c>
      <c r="G973" s="1129">
        <v>0</v>
      </c>
      <c r="H973" s="1129">
        <v>0</v>
      </c>
      <c r="I973" s="1129">
        <v>0</v>
      </c>
      <c r="J973" s="1129">
        <v>0</v>
      </c>
      <c r="K973" s="1136">
        <v>0</v>
      </c>
      <c r="L973" s="1145">
        <v>0</v>
      </c>
      <c r="M973" s="1136">
        <v>0</v>
      </c>
      <c r="N973" s="1129">
        <v>0</v>
      </c>
      <c r="O973" s="1129">
        <v>627</v>
      </c>
      <c r="P973" s="1129">
        <v>2985628</v>
      </c>
      <c r="Q973" s="1129">
        <v>0</v>
      </c>
      <c r="R973" s="1129">
        <v>0</v>
      </c>
      <c r="S973" s="1145">
        <v>0</v>
      </c>
      <c r="T973" s="1145">
        <v>0</v>
      </c>
      <c r="U973" s="1145">
        <v>0</v>
      </c>
      <c r="V973" s="1145">
        <v>0</v>
      </c>
      <c r="W973" s="1167">
        <v>0</v>
      </c>
      <c r="X973" s="1145">
        <v>233846</v>
      </c>
      <c r="Y973" s="1145">
        <v>0</v>
      </c>
    </row>
    <row r="974" spans="1:25" s="1137" customFormat="1" ht="93.6" customHeight="1">
      <c r="A974" s="1280"/>
      <c r="B974" s="1128" t="s">
        <v>1650</v>
      </c>
      <c r="C974" s="1129">
        <f>C975</f>
        <v>7956256.3100000005</v>
      </c>
      <c r="D974" s="1129">
        <f t="shared" ref="D974:Y974" si="469">D975</f>
        <v>0</v>
      </c>
      <c r="E974" s="1129">
        <f t="shared" si="469"/>
        <v>0</v>
      </c>
      <c r="F974" s="1129">
        <f t="shared" si="469"/>
        <v>0</v>
      </c>
      <c r="G974" s="1129">
        <f t="shared" si="469"/>
        <v>0</v>
      </c>
      <c r="H974" s="1129">
        <f t="shared" si="469"/>
        <v>0</v>
      </c>
      <c r="I974" s="1129">
        <f t="shared" si="469"/>
        <v>0</v>
      </c>
      <c r="J974" s="1129">
        <f t="shared" si="469"/>
        <v>0</v>
      </c>
      <c r="K974" s="1136">
        <f t="shared" si="469"/>
        <v>0</v>
      </c>
      <c r="L974" s="1129">
        <f t="shared" si="469"/>
        <v>0</v>
      </c>
      <c r="M974" s="1136">
        <f t="shared" si="469"/>
        <v>0</v>
      </c>
      <c r="N974" s="1129">
        <f t="shared" si="469"/>
        <v>0</v>
      </c>
      <c r="O974" s="1129">
        <f t="shared" si="469"/>
        <v>664</v>
      </c>
      <c r="P974" s="1129">
        <f t="shared" si="469"/>
        <v>2625349.36</v>
      </c>
      <c r="Q974" s="1129">
        <f t="shared" si="469"/>
        <v>0</v>
      </c>
      <c r="R974" s="1129">
        <f t="shared" si="469"/>
        <v>0</v>
      </c>
      <c r="S974" s="1129">
        <f t="shared" si="469"/>
        <v>818.4</v>
      </c>
      <c r="T974" s="1129">
        <f t="shared" si="469"/>
        <v>4753005.6399999997</v>
      </c>
      <c r="U974" s="1129">
        <f t="shared" si="469"/>
        <v>0</v>
      </c>
      <c r="V974" s="1129">
        <f t="shared" si="469"/>
        <v>0</v>
      </c>
      <c r="W974" s="1167">
        <v>0</v>
      </c>
      <c r="X974" s="1129">
        <f t="shared" si="469"/>
        <v>577901.31000000006</v>
      </c>
      <c r="Y974" s="1129">
        <f t="shared" si="469"/>
        <v>0</v>
      </c>
    </row>
    <row r="975" spans="1:25" s="1137" customFormat="1" ht="93.6" customHeight="1">
      <c r="A975" s="1280">
        <v>182</v>
      </c>
      <c r="B975" s="1128" t="s">
        <v>2844</v>
      </c>
      <c r="C975" s="1145">
        <f t="shared" ref="C975" si="470">D975+N975+P975+R975+T975+V975+X975+L975</f>
        <v>7956256.3100000005</v>
      </c>
      <c r="D975" s="1145">
        <f t="shared" ref="D975" si="471">SUM(E975:J975)</f>
        <v>0</v>
      </c>
      <c r="E975" s="1129">
        <v>0</v>
      </c>
      <c r="F975" s="1129">
        <v>0</v>
      </c>
      <c r="G975" s="1129">
        <v>0</v>
      </c>
      <c r="H975" s="1129">
        <v>0</v>
      </c>
      <c r="I975" s="1129">
        <v>0</v>
      </c>
      <c r="J975" s="1129">
        <v>0</v>
      </c>
      <c r="K975" s="1136">
        <v>0</v>
      </c>
      <c r="L975" s="1129">
        <v>0</v>
      </c>
      <c r="M975" s="1136">
        <v>0</v>
      </c>
      <c r="N975" s="1129">
        <v>0</v>
      </c>
      <c r="O975" s="1129">
        <v>664</v>
      </c>
      <c r="P975" s="1129">
        <v>2625349.36</v>
      </c>
      <c r="Q975" s="1129">
        <v>0</v>
      </c>
      <c r="R975" s="1129">
        <v>0</v>
      </c>
      <c r="S975" s="1129">
        <v>818.4</v>
      </c>
      <c r="T975" s="1129">
        <v>4753005.6399999997</v>
      </c>
      <c r="U975" s="1129">
        <v>0</v>
      </c>
      <c r="V975" s="1129">
        <v>0</v>
      </c>
      <c r="W975" s="1167">
        <v>0</v>
      </c>
      <c r="X975" s="1129">
        <v>577901.31000000006</v>
      </c>
      <c r="Y975" s="1129">
        <v>0</v>
      </c>
    </row>
    <row r="976" spans="1:25" s="1137" customFormat="1" ht="94.9" customHeight="1">
      <c r="A976" s="1280"/>
      <c r="B976" s="1135" t="s">
        <v>1988</v>
      </c>
      <c r="C976" s="1129">
        <f>C977</f>
        <v>3061493.73</v>
      </c>
      <c r="D976" s="1129">
        <f t="shared" ref="D976:Y976" si="472">D977</f>
        <v>2839122.66</v>
      </c>
      <c r="E976" s="1129">
        <f t="shared" si="472"/>
        <v>2839122.66</v>
      </c>
      <c r="F976" s="1129">
        <f t="shared" si="472"/>
        <v>0</v>
      </c>
      <c r="G976" s="1129">
        <f t="shared" si="472"/>
        <v>0</v>
      </c>
      <c r="H976" s="1129">
        <f t="shared" si="472"/>
        <v>0</v>
      </c>
      <c r="I976" s="1129">
        <f t="shared" si="472"/>
        <v>0</v>
      </c>
      <c r="J976" s="1129">
        <f t="shared" si="472"/>
        <v>0</v>
      </c>
      <c r="K976" s="1136">
        <v>0</v>
      </c>
      <c r="L976" s="1129">
        <v>0</v>
      </c>
      <c r="M976" s="1136">
        <f t="shared" si="472"/>
        <v>0</v>
      </c>
      <c r="N976" s="1129">
        <f t="shared" si="472"/>
        <v>0</v>
      </c>
      <c r="O976" s="1129">
        <f t="shared" si="472"/>
        <v>0</v>
      </c>
      <c r="P976" s="1129">
        <f t="shared" si="472"/>
        <v>0</v>
      </c>
      <c r="Q976" s="1129">
        <f t="shared" si="472"/>
        <v>0</v>
      </c>
      <c r="R976" s="1129">
        <f t="shared" si="472"/>
        <v>0</v>
      </c>
      <c r="S976" s="1129">
        <f t="shared" si="472"/>
        <v>0</v>
      </c>
      <c r="T976" s="1129">
        <f t="shared" si="472"/>
        <v>0</v>
      </c>
      <c r="U976" s="1129">
        <f t="shared" si="472"/>
        <v>0</v>
      </c>
      <c r="V976" s="1129">
        <f t="shared" si="472"/>
        <v>0</v>
      </c>
      <c r="W976" s="1167">
        <v>0</v>
      </c>
      <c r="X976" s="1129">
        <f t="shared" si="472"/>
        <v>222371.07</v>
      </c>
      <c r="Y976" s="1129">
        <f t="shared" si="472"/>
        <v>0</v>
      </c>
    </row>
    <row r="977" spans="1:25" s="1137" customFormat="1" ht="66.599999999999994" customHeight="1">
      <c r="A977" s="1280"/>
      <c r="B977" s="1135" t="s">
        <v>2027</v>
      </c>
      <c r="C977" s="1129">
        <f>C978</f>
        <v>3061493.73</v>
      </c>
      <c r="D977" s="1129">
        <f t="shared" ref="D977:V977" si="473">D978</f>
        <v>2839122.66</v>
      </c>
      <c r="E977" s="1129">
        <f t="shared" si="473"/>
        <v>2839122.66</v>
      </c>
      <c r="F977" s="1129">
        <f t="shared" si="473"/>
        <v>0</v>
      </c>
      <c r="G977" s="1129">
        <f t="shared" si="473"/>
        <v>0</v>
      </c>
      <c r="H977" s="1129">
        <f t="shared" si="473"/>
        <v>0</v>
      </c>
      <c r="I977" s="1129">
        <f t="shared" si="473"/>
        <v>0</v>
      </c>
      <c r="J977" s="1129">
        <f t="shared" si="473"/>
        <v>0</v>
      </c>
      <c r="K977" s="1136">
        <v>0</v>
      </c>
      <c r="L977" s="1129">
        <v>0</v>
      </c>
      <c r="M977" s="1136">
        <f t="shared" si="473"/>
        <v>0</v>
      </c>
      <c r="N977" s="1129">
        <f t="shared" si="473"/>
        <v>0</v>
      </c>
      <c r="O977" s="1129">
        <f t="shared" si="473"/>
        <v>0</v>
      </c>
      <c r="P977" s="1129">
        <f t="shared" si="473"/>
        <v>0</v>
      </c>
      <c r="Q977" s="1129">
        <f t="shared" si="473"/>
        <v>0</v>
      </c>
      <c r="R977" s="1129">
        <f t="shared" si="473"/>
        <v>0</v>
      </c>
      <c r="S977" s="1129">
        <f t="shared" si="473"/>
        <v>0</v>
      </c>
      <c r="T977" s="1129">
        <f t="shared" si="473"/>
        <v>0</v>
      </c>
      <c r="U977" s="1129">
        <f t="shared" si="473"/>
        <v>0</v>
      </c>
      <c r="V977" s="1129">
        <f t="shared" si="473"/>
        <v>0</v>
      </c>
      <c r="W977" s="1167">
        <v>0</v>
      </c>
      <c r="X977" s="1129">
        <f t="shared" ref="X977:Y977" si="474">X978</f>
        <v>222371.07</v>
      </c>
      <c r="Y977" s="1129">
        <f t="shared" si="474"/>
        <v>0</v>
      </c>
    </row>
    <row r="978" spans="1:25" s="1137" customFormat="1" ht="103.15" customHeight="1">
      <c r="A978" s="1280">
        <v>183</v>
      </c>
      <c r="B978" s="1135" t="s">
        <v>2513</v>
      </c>
      <c r="C978" s="1129">
        <f>D978+N978+P978+R978+T978+V978+X978+L978</f>
        <v>3061493.73</v>
      </c>
      <c r="D978" s="1129">
        <f>SUM(E978:J978)</f>
        <v>2839122.66</v>
      </c>
      <c r="E978" s="1129">
        <v>2839122.66</v>
      </c>
      <c r="F978" s="1129">
        <v>0</v>
      </c>
      <c r="G978" s="1129">
        <v>0</v>
      </c>
      <c r="H978" s="1129">
        <v>0</v>
      </c>
      <c r="I978" s="1129">
        <v>0</v>
      </c>
      <c r="J978" s="1129">
        <v>0</v>
      </c>
      <c r="K978" s="1136">
        <v>0</v>
      </c>
      <c r="L978" s="1129">
        <v>0</v>
      </c>
      <c r="M978" s="1136">
        <v>0</v>
      </c>
      <c r="N978" s="1129">
        <v>0</v>
      </c>
      <c r="O978" s="1129">
        <v>0</v>
      </c>
      <c r="P978" s="1129">
        <v>0</v>
      </c>
      <c r="Q978" s="1129">
        <v>0</v>
      </c>
      <c r="R978" s="1129">
        <v>0</v>
      </c>
      <c r="S978" s="1129">
        <v>0</v>
      </c>
      <c r="T978" s="1129">
        <v>0</v>
      </c>
      <c r="U978" s="1129">
        <v>0</v>
      </c>
      <c r="V978" s="1129">
        <v>0</v>
      </c>
      <c r="W978" s="1167">
        <v>0</v>
      </c>
      <c r="X978" s="1129">
        <v>222371.07</v>
      </c>
      <c r="Y978" s="1129">
        <v>0</v>
      </c>
    </row>
    <row r="979" spans="1:25" s="1137" customFormat="1" ht="130.15" customHeight="1">
      <c r="A979" s="1280"/>
      <c r="B979" s="1135" t="s">
        <v>1651</v>
      </c>
      <c r="C979" s="1129">
        <f>C980</f>
        <v>1590292.74</v>
      </c>
      <c r="D979" s="1129">
        <f t="shared" ref="D979:Y979" si="475">D980</f>
        <v>0</v>
      </c>
      <c r="E979" s="1129">
        <f t="shared" si="475"/>
        <v>0</v>
      </c>
      <c r="F979" s="1129">
        <f t="shared" si="475"/>
        <v>0</v>
      </c>
      <c r="G979" s="1129">
        <f t="shared" si="475"/>
        <v>0</v>
      </c>
      <c r="H979" s="1129">
        <f t="shared" si="475"/>
        <v>0</v>
      </c>
      <c r="I979" s="1129">
        <f t="shared" si="475"/>
        <v>0</v>
      </c>
      <c r="J979" s="1129">
        <f t="shared" si="475"/>
        <v>0</v>
      </c>
      <c r="K979" s="1136">
        <f t="shared" si="475"/>
        <v>0</v>
      </c>
      <c r="L979" s="1129">
        <f t="shared" si="475"/>
        <v>0</v>
      </c>
      <c r="M979" s="1136">
        <f t="shared" si="475"/>
        <v>0</v>
      </c>
      <c r="N979" s="1129">
        <f t="shared" si="475"/>
        <v>0</v>
      </c>
      <c r="O979" s="1129">
        <f t="shared" si="475"/>
        <v>373</v>
      </c>
      <c r="P979" s="1129">
        <f t="shared" si="475"/>
        <v>1474782.1</v>
      </c>
      <c r="Q979" s="1129">
        <f t="shared" si="475"/>
        <v>0</v>
      </c>
      <c r="R979" s="1129">
        <f t="shared" si="475"/>
        <v>0</v>
      </c>
      <c r="S979" s="1129">
        <f t="shared" si="475"/>
        <v>0</v>
      </c>
      <c r="T979" s="1129">
        <f t="shared" si="475"/>
        <v>0</v>
      </c>
      <c r="U979" s="1129">
        <f t="shared" si="475"/>
        <v>0</v>
      </c>
      <c r="V979" s="1129">
        <f t="shared" si="475"/>
        <v>0</v>
      </c>
      <c r="W979" s="1167">
        <v>0</v>
      </c>
      <c r="X979" s="1129">
        <f t="shared" si="475"/>
        <v>115510.64</v>
      </c>
      <c r="Y979" s="1129">
        <f t="shared" si="475"/>
        <v>0</v>
      </c>
    </row>
    <row r="980" spans="1:25" s="1137" customFormat="1" ht="82.9" customHeight="1">
      <c r="A980" s="1280">
        <v>184</v>
      </c>
      <c r="B980" s="1135" t="s">
        <v>2514</v>
      </c>
      <c r="C980" s="1129">
        <f>D980+N980+P980+R980+T980+V980+X980</f>
        <v>1590292.74</v>
      </c>
      <c r="D980" s="1129">
        <v>0</v>
      </c>
      <c r="E980" s="1129">
        <v>0</v>
      </c>
      <c r="F980" s="1129">
        <v>0</v>
      </c>
      <c r="G980" s="1129">
        <v>0</v>
      </c>
      <c r="H980" s="1129">
        <v>0</v>
      </c>
      <c r="I980" s="1129">
        <v>0</v>
      </c>
      <c r="J980" s="1129">
        <v>0</v>
      </c>
      <c r="K980" s="1136">
        <v>0</v>
      </c>
      <c r="L980" s="1129">
        <v>0</v>
      </c>
      <c r="M980" s="1136">
        <v>0</v>
      </c>
      <c r="N980" s="1129">
        <v>0</v>
      </c>
      <c r="O980" s="1129">
        <v>373</v>
      </c>
      <c r="P980" s="1129">
        <v>1474782.1</v>
      </c>
      <c r="Q980" s="1129">
        <v>0</v>
      </c>
      <c r="R980" s="1129">
        <v>0</v>
      </c>
      <c r="S980" s="1129">
        <v>0</v>
      </c>
      <c r="T980" s="1129">
        <v>0</v>
      </c>
      <c r="U980" s="1129">
        <v>0</v>
      </c>
      <c r="V980" s="1129">
        <v>0</v>
      </c>
      <c r="W980" s="1167">
        <v>0</v>
      </c>
      <c r="X980" s="1129">
        <v>115510.64</v>
      </c>
      <c r="Y980" s="1129">
        <v>0</v>
      </c>
    </row>
    <row r="981" spans="1:25" s="1137" customFormat="1" ht="93.6" customHeight="1">
      <c r="A981" s="1280"/>
      <c r="B981" s="1135" t="s">
        <v>1653</v>
      </c>
      <c r="C981" s="1129">
        <f>C982+C983</f>
        <v>4779405.25</v>
      </c>
      <c r="D981" s="1129">
        <f t="shared" ref="D981:Y981" si="476">D982+D983</f>
        <v>0</v>
      </c>
      <c r="E981" s="1129">
        <f t="shared" si="476"/>
        <v>0</v>
      </c>
      <c r="F981" s="1129">
        <f t="shared" si="476"/>
        <v>0</v>
      </c>
      <c r="G981" s="1129">
        <f t="shared" si="476"/>
        <v>0</v>
      </c>
      <c r="H981" s="1129">
        <f t="shared" si="476"/>
        <v>0</v>
      </c>
      <c r="I981" s="1129">
        <f t="shared" si="476"/>
        <v>0</v>
      </c>
      <c r="J981" s="1129">
        <f t="shared" si="476"/>
        <v>0</v>
      </c>
      <c r="K981" s="1136">
        <f t="shared" si="476"/>
        <v>0</v>
      </c>
      <c r="L981" s="1129">
        <f t="shared" si="476"/>
        <v>0</v>
      </c>
      <c r="M981" s="1136">
        <f t="shared" si="476"/>
        <v>0</v>
      </c>
      <c r="N981" s="1129">
        <f t="shared" si="476"/>
        <v>0</v>
      </c>
      <c r="O981" s="1129">
        <f t="shared" si="476"/>
        <v>1121</v>
      </c>
      <c r="P981" s="1129">
        <f t="shared" si="476"/>
        <v>4432253.9700000007</v>
      </c>
      <c r="Q981" s="1129">
        <f t="shared" si="476"/>
        <v>0</v>
      </c>
      <c r="R981" s="1129">
        <f t="shared" si="476"/>
        <v>0</v>
      </c>
      <c r="S981" s="1129">
        <f t="shared" si="476"/>
        <v>0</v>
      </c>
      <c r="T981" s="1129">
        <f t="shared" si="476"/>
        <v>0</v>
      </c>
      <c r="U981" s="1129">
        <f t="shared" si="476"/>
        <v>0</v>
      </c>
      <c r="V981" s="1129">
        <f t="shared" si="476"/>
        <v>0</v>
      </c>
      <c r="W981" s="1167">
        <v>0</v>
      </c>
      <c r="X981" s="1129">
        <f t="shared" si="476"/>
        <v>347151.28</v>
      </c>
      <c r="Y981" s="1129">
        <f t="shared" si="476"/>
        <v>0</v>
      </c>
    </row>
    <row r="982" spans="1:25" s="1137" customFormat="1" ht="94.9" customHeight="1">
      <c r="A982" s="1280">
        <v>185</v>
      </c>
      <c r="B982" s="1135" t="s">
        <v>2515</v>
      </c>
      <c r="C982" s="1129">
        <f>P982+X982</f>
        <v>3479031.83</v>
      </c>
      <c r="D982" s="1129">
        <f t="shared" ref="D982" si="477">D983+D984</f>
        <v>0</v>
      </c>
      <c r="E982" s="1129">
        <f t="shared" ref="E982" si="478">E983+E984</f>
        <v>0</v>
      </c>
      <c r="F982" s="1129">
        <f t="shared" ref="F982" si="479">F983+F984</f>
        <v>0</v>
      </c>
      <c r="G982" s="1129">
        <f t="shared" ref="G982" si="480">G983+G984</f>
        <v>0</v>
      </c>
      <c r="H982" s="1129">
        <f t="shared" ref="H982" si="481">H983+H984</f>
        <v>0</v>
      </c>
      <c r="I982" s="1129">
        <f t="shared" ref="I982" si="482">I983+I984</f>
        <v>0</v>
      </c>
      <c r="J982" s="1129">
        <f t="shared" ref="J982" si="483">J983+J984</f>
        <v>0</v>
      </c>
      <c r="K982" s="1136">
        <f t="shared" ref="K982" si="484">K983+K984</f>
        <v>0</v>
      </c>
      <c r="L982" s="1129">
        <f t="shared" ref="L982" si="485">L983+L984</f>
        <v>0</v>
      </c>
      <c r="M982" s="1136">
        <f t="shared" ref="M982" si="486">M983+M984</f>
        <v>0</v>
      </c>
      <c r="N982" s="1129">
        <f t="shared" ref="N982" si="487">N983+N984</f>
        <v>0</v>
      </c>
      <c r="O982" s="1129">
        <v>816</v>
      </c>
      <c r="P982" s="1129">
        <v>3226332.95</v>
      </c>
      <c r="Q982" s="1129">
        <f t="shared" ref="Q982" si="488">Q983+Q984</f>
        <v>0</v>
      </c>
      <c r="R982" s="1129">
        <f t="shared" ref="R982" si="489">R983+R984</f>
        <v>0</v>
      </c>
      <c r="S982" s="1129">
        <f t="shared" ref="S982" si="490">S983+S984</f>
        <v>0</v>
      </c>
      <c r="T982" s="1129">
        <f t="shared" ref="T982" si="491">T983+T984</f>
        <v>0</v>
      </c>
      <c r="U982" s="1129">
        <f t="shared" ref="U982" si="492">U983+U984</f>
        <v>0</v>
      </c>
      <c r="V982" s="1129">
        <f t="shared" ref="V982" si="493">V983+V984</f>
        <v>0</v>
      </c>
      <c r="W982" s="1167">
        <v>0</v>
      </c>
      <c r="X982" s="1129">
        <v>252698.88</v>
      </c>
      <c r="Y982" s="1129">
        <v>0</v>
      </c>
    </row>
    <row r="983" spans="1:25" s="1137" customFormat="1" ht="88.9" customHeight="1">
      <c r="A983" s="1280">
        <v>186</v>
      </c>
      <c r="B983" s="1163" t="s">
        <v>2516</v>
      </c>
      <c r="C983" s="1129">
        <f>P983+X983</f>
        <v>1300373.42</v>
      </c>
      <c r="D983" s="1129">
        <v>0</v>
      </c>
      <c r="E983" s="1129">
        <v>0</v>
      </c>
      <c r="F983" s="1129">
        <v>0</v>
      </c>
      <c r="G983" s="1129">
        <v>0</v>
      </c>
      <c r="H983" s="1129">
        <v>0</v>
      </c>
      <c r="I983" s="1129">
        <v>0</v>
      </c>
      <c r="J983" s="1129">
        <v>0</v>
      </c>
      <c r="K983" s="1136">
        <v>0</v>
      </c>
      <c r="L983" s="1129">
        <v>0</v>
      </c>
      <c r="M983" s="1136">
        <v>0</v>
      </c>
      <c r="N983" s="1129">
        <v>0</v>
      </c>
      <c r="O983" s="1129">
        <v>305</v>
      </c>
      <c r="P983" s="1129">
        <v>1205921.02</v>
      </c>
      <c r="Q983" s="1129">
        <v>0</v>
      </c>
      <c r="R983" s="1129">
        <v>0</v>
      </c>
      <c r="S983" s="1129">
        <v>0</v>
      </c>
      <c r="T983" s="1129">
        <v>0</v>
      </c>
      <c r="U983" s="1129">
        <v>0</v>
      </c>
      <c r="V983" s="1129">
        <v>0</v>
      </c>
      <c r="W983" s="1167">
        <v>0</v>
      </c>
      <c r="X983" s="1129">
        <v>94452.4</v>
      </c>
      <c r="Y983" s="1129">
        <v>0</v>
      </c>
    </row>
    <row r="984" spans="1:25" s="1137" customFormat="1" ht="107.25" customHeight="1">
      <c r="A984" s="1280"/>
      <c r="B984" s="1135" t="s">
        <v>2675</v>
      </c>
      <c r="C984" s="1129">
        <f t="shared" ref="C984:Y984" si="494">C985+C986</f>
        <v>5637433.9800000004</v>
      </c>
      <c r="D984" s="1129">
        <f t="shared" si="494"/>
        <v>0</v>
      </c>
      <c r="E984" s="1129">
        <f t="shared" si="494"/>
        <v>0</v>
      </c>
      <c r="F984" s="1129">
        <f t="shared" si="494"/>
        <v>0</v>
      </c>
      <c r="G984" s="1129">
        <f t="shared" si="494"/>
        <v>0</v>
      </c>
      <c r="H984" s="1129">
        <f t="shared" si="494"/>
        <v>0</v>
      </c>
      <c r="I984" s="1129">
        <f t="shared" si="494"/>
        <v>0</v>
      </c>
      <c r="J984" s="1129">
        <f t="shared" si="494"/>
        <v>0</v>
      </c>
      <c r="K984" s="1129">
        <f t="shared" si="494"/>
        <v>0</v>
      </c>
      <c r="L984" s="1129">
        <f t="shared" si="494"/>
        <v>0</v>
      </c>
      <c r="M984" s="1129">
        <f t="shared" si="494"/>
        <v>0</v>
      </c>
      <c r="N984" s="1129">
        <f t="shared" si="494"/>
        <v>0</v>
      </c>
      <c r="O984" s="1129">
        <f t="shared" si="494"/>
        <v>1397.28</v>
      </c>
      <c r="P984" s="1129">
        <f t="shared" si="494"/>
        <v>5227960.33</v>
      </c>
      <c r="Q984" s="1129">
        <f t="shared" si="494"/>
        <v>0</v>
      </c>
      <c r="R984" s="1129">
        <f t="shared" si="494"/>
        <v>0</v>
      </c>
      <c r="S984" s="1129">
        <f t="shared" si="494"/>
        <v>0</v>
      </c>
      <c r="T984" s="1129">
        <f t="shared" si="494"/>
        <v>0</v>
      </c>
      <c r="U984" s="1129">
        <f t="shared" si="494"/>
        <v>0</v>
      </c>
      <c r="V984" s="1129">
        <f t="shared" si="494"/>
        <v>0</v>
      </c>
      <c r="W984" s="1129">
        <f t="shared" si="494"/>
        <v>0</v>
      </c>
      <c r="X984" s="1129">
        <f t="shared" si="494"/>
        <v>409473.65</v>
      </c>
      <c r="Y984" s="1129">
        <f t="shared" si="494"/>
        <v>0</v>
      </c>
    </row>
    <row r="985" spans="1:25" s="1137" customFormat="1" ht="93.6" customHeight="1">
      <c r="A985" s="1280">
        <v>187</v>
      </c>
      <c r="B985" s="1135" t="s">
        <v>2517</v>
      </c>
      <c r="C985" s="1129">
        <f>D985+N985+P985+R985+T985+V985+X985</f>
        <v>1778948.98</v>
      </c>
      <c r="D985" s="1129">
        <v>0</v>
      </c>
      <c r="E985" s="1129">
        <v>0</v>
      </c>
      <c r="F985" s="1129">
        <v>0</v>
      </c>
      <c r="G985" s="1129">
        <v>0</v>
      </c>
      <c r="H985" s="1129">
        <v>0</v>
      </c>
      <c r="I985" s="1129">
        <v>0</v>
      </c>
      <c r="J985" s="1129">
        <v>0</v>
      </c>
      <c r="K985" s="1136">
        <v>0</v>
      </c>
      <c r="L985" s="1129">
        <v>0</v>
      </c>
      <c r="M985" s="1136">
        <v>0</v>
      </c>
      <c r="N985" s="1129">
        <v>0</v>
      </c>
      <c r="O985" s="1129">
        <v>492.28</v>
      </c>
      <c r="P985" s="1129">
        <v>1649735.33</v>
      </c>
      <c r="Q985" s="1129">
        <v>0</v>
      </c>
      <c r="R985" s="1129">
        <v>0</v>
      </c>
      <c r="S985" s="1129">
        <v>0</v>
      </c>
      <c r="T985" s="1129">
        <v>0</v>
      </c>
      <c r="U985" s="1129">
        <v>0</v>
      </c>
      <c r="V985" s="1129">
        <v>0</v>
      </c>
      <c r="W985" s="1167">
        <v>0</v>
      </c>
      <c r="X985" s="1129">
        <v>129213.65</v>
      </c>
      <c r="Y985" s="1129">
        <v>0</v>
      </c>
    </row>
    <row r="986" spans="1:25" s="1137" customFormat="1" ht="93.6" customHeight="1">
      <c r="A986" s="1280">
        <v>188</v>
      </c>
      <c r="B986" s="1135" t="s">
        <v>2630</v>
      </c>
      <c r="C986" s="1129">
        <f>D986+N986+P986+R986+T986+V986+X986</f>
        <v>3858485</v>
      </c>
      <c r="D986" s="1129">
        <v>0</v>
      </c>
      <c r="E986" s="1129">
        <v>0</v>
      </c>
      <c r="F986" s="1129">
        <v>0</v>
      </c>
      <c r="G986" s="1129">
        <v>0</v>
      </c>
      <c r="H986" s="1129">
        <v>0</v>
      </c>
      <c r="I986" s="1129">
        <v>0</v>
      </c>
      <c r="J986" s="1129">
        <v>0</v>
      </c>
      <c r="K986" s="1136">
        <v>0</v>
      </c>
      <c r="L986" s="1129">
        <v>0</v>
      </c>
      <c r="M986" s="1136">
        <v>0</v>
      </c>
      <c r="N986" s="1129">
        <v>0</v>
      </c>
      <c r="O986" s="1129">
        <v>905</v>
      </c>
      <c r="P986" s="1129">
        <v>3578225</v>
      </c>
      <c r="Q986" s="1129">
        <v>0</v>
      </c>
      <c r="R986" s="1129">
        <v>0</v>
      </c>
      <c r="S986" s="1129">
        <v>0</v>
      </c>
      <c r="T986" s="1129">
        <v>0</v>
      </c>
      <c r="U986" s="1129">
        <v>0</v>
      </c>
      <c r="V986" s="1129">
        <v>0</v>
      </c>
      <c r="W986" s="1167">
        <v>0</v>
      </c>
      <c r="X986" s="1129">
        <v>280260</v>
      </c>
      <c r="Y986" s="1129">
        <v>0</v>
      </c>
    </row>
    <row r="987" spans="1:25" s="1137" customFormat="1" ht="96" customHeight="1">
      <c r="A987" s="1280"/>
      <c r="B987" s="1135" t="s">
        <v>1987</v>
      </c>
      <c r="C987" s="1129">
        <f>C988</f>
        <v>5910347.71</v>
      </c>
      <c r="D987" s="1129">
        <f t="shared" ref="D987:Y988" si="495">D988</f>
        <v>0</v>
      </c>
      <c r="E987" s="1129">
        <f t="shared" si="495"/>
        <v>0</v>
      </c>
      <c r="F987" s="1129">
        <f t="shared" si="495"/>
        <v>0</v>
      </c>
      <c r="G987" s="1129">
        <f t="shared" si="495"/>
        <v>0</v>
      </c>
      <c r="H987" s="1129">
        <f t="shared" si="495"/>
        <v>0</v>
      </c>
      <c r="I987" s="1129">
        <f t="shared" si="495"/>
        <v>0</v>
      </c>
      <c r="J987" s="1129">
        <f t="shared" si="495"/>
        <v>0</v>
      </c>
      <c r="K987" s="1136">
        <f t="shared" si="495"/>
        <v>0</v>
      </c>
      <c r="L987" s="1129">
        <f t="shared" si="495"/>
        <v>0</v>
      </c>
      <c r="M987" s="1136">
        <f t="shared" si="495"/>
        <v>0</v>
      </c>
      <c r="N987" s="1129">
        <f t="shared" si="495"/>
        <v>0</v>
      </c>
      <c r="O987" s="1129">
        <f t="shared" si="495"/>
        <v>450</v>
      </c>
      <c r="P987" s="1129">
        <f t="shared" si="495"/>
        <v>1672474.07</v>
      </c>
      <c r="Q987" s="1129">
        <f t="shared" si="495"/>
        <v>0</v>
      </c>
      <c r="R987" s="1129">
        <f t="shared" si="495"/>
        <v>0</v>
      </c>
      <c r="S987" s="1129">
        <f t="shared" si="495"/>
        <v>0</v>
      </c>
      <c r="T987" s="1129">
        <f t="shared" si="495"/>
        <v>0</v>
      </c>
      <c r="U987" s="1129">
        <f t="shared" si="495"/>
        <v>0</v>
      </c>
      <c r="V987" s="1129">
        <f t="shared" si="495"/>
        <v>0</v>
      </c>
      <c r="W987" s="1167">
        <v>0</v>
      </c>
      <c r="X987" s="1129">
        <f t="shared" si="495"/>
        <v>130994.64</v>
      </c>
      <c r="Y987" s="1129">
        <f t="shared" si="495"/>
        <v>0</v>
      </c>
    </row>
    <row r="988" spans="1:25" s="1165" customFormat="1" ht="79.150000000000006" customHeight="1">
      <c r="A988" s="1280"/>
      <c r="B988" s="1135" t="s">
        <v>2028</v>
      </c>
      <c r="C988" s="1129">
        <f>C989+C990+C991</f>
        <v>5910347.71</v>
      </c>
      <c r="D988" s="1129">
        <f t="shared" si="495"/>
        <v>0</v>
      </c>
      <c r="E988" s="1129">
        <f t="shared" si="495"/>
        <v>0</v>
      </c>
      <c r="F988" s="1129">
        <f t="shared" si="495"/>
        <v>0</v>
      </c>
      <c r="G988" s="1129">
        <f t="shared" si="495"/>
        <v>0</v>
      </c>
      <c r="H988" s="1129">
        <f t="shared" si="495"/>
        <v>0</v>
      </c>
      <c r="I988" s="1129">
        <f t="shared" si="495"/>
        <v>0</v>
      </c>
      <c r="J988" s="1129">
        <f t="shared" si="495"/>
        <v>0</v>
      </c>
      <c r="K988" s="1136">
        <f t="shared" si="495"/>
        <v>0</v>
      </c>
      <c r="L988" s="1129">
        <f t="shared" si="495"/>
        <v>0</v>
      </c>
      <c r="M988" s="1136">
        <f t="shared" si="495"/>
        <v>0</v>
      </c>
      <c r="N988" s="1129">
        <f t="shared" si="495"/>
        <v>0</v>
      </c>
      <c r="O988" s="1129">
        <f t="shared" si="495"/>
        <v>450</v>
      </c>
      <c r="P988" s="1129">
        <f t="shared" si="495"/>
        <v>1672474.07</v>
      </c>
      <c r="Q988" s="1129">
        <f t="shared" si="495"/>
        <v>0</v>
      </c>
      <c r="R988" s="1129">
        <f t="shared" si="495"/>
        <v>0</v>
      </c>
      <c r="S988" s="1129">
        <f t="shared" si="495"/>
        <v>0</v>
      </c>
      <c r="T988" s="1129">
        <f t="shared" si="495"/>
        <v>0</v>
      </c>
      <c r="U988" s="1129">
        <f t="shared" si="495"/>
        <v>0</v>
      </c>
      <c r="V988" s="1129">
        <f t="shared" si="495"/>
        <v>0</v>
      </c>
      <c r="W988" s="1167">
        <v>0</v>
      </c>
      <c r="X988" s="1129">
        <f t="shared" si="495"/>
        <v>130994.64</v>
      </c>
      <c r="Y988" s="1129">
        <f t="shared" si="495"/>
        <v>0</v>
      </c>
    </row>
    <row r="989" spans="1:25" s="1165" customFormat="1" ht="92.45" customHeight="1">
      <c r="A989" s="1280">
        <v>189</v>
      </c>
      <c r="B989" s="1135" t="s">
        <v>2518</v>
      </c>
      <c r="C989" s="1129">
        <f>D989+N989+P989+R989+T989+V989+X989+L989</f>
        <v>1803468.71</v>
      </c>
      <c r="D989" s="1129">
        <f>SUM(E989:J989)</f>
        <v>0</v>
      </c>
      <c r="E989" s="1129">
        <v>0</v>
      </c>
      <c r="F989" s="1129">
        <v>0</v>
      </c>
      <c r="G989" s="1129">
        <v>0</v>
      </c>
      <c r="H989" s="1129">
        <v>0</v>
      </c>
      <c r="I989" s="1129">
        <v>0</v>
      </c>
      <c r="J989" s="1129">
        <v>0</v>
      </c>
      <c r="K989" s="1136">
        <v>0</v>
      </c>
      <c r="L989" s="1129">
        <v>0</v>
      </c>
      <c r="M989" s="1136">
        <v>0</v>
      </c>
      <c r="N989" s="1129">
        <v>0</v>
      </c>
      <c r="O989" s="1129">
        <v>450</v>
      </c>
      <c r="P989" s="1129">
        <v>1672474.07</v>
      </c>
      <c r="Q989" s="1129">
        <v>0</v>
      </c>
      <c r="R989" s="1129">
        <v>0</v>
      </c>
      <c r="S989" s="1129">
        <v>0</v>
      </c>
      <c r="T989" s="1129">
        <v>0</v>
      </c>
      <c r="U989" s="1129">
        <v>0</v>
      </c>
      <c r="V989" s="1129">
        <v>0</v>
      </c>
      <c r="W989" s="1167">
        <v>0</v>
      </c>
      <c r="X989" s="1129">
        <v>130994.64</v>
      </c>
      <c r="Y989" s="1129">
        <v>0</v>
      </c>
    </row>
    <row r="990" spans="1:25" s="1165" customFormat="1" ht="92.45" customHeight="1">
      <c r="A990" s="1280">
        <v>190</v>
      </c>
      <c r="B990" s="1135" t="s">
        <v>2632</v>
      </c>
      <c r="C990" s="1129">
        <f t="shared" ref="C990:C991" si="496">D990+N990+P990+R990+T990+V990+X990+L990</f>
        <v>1662772</v>
      </c>
      <c r="D990" s="1129">
        <f t="shared" ref="D990:D991" si="497">SUM(E990:J990)</f>
        <v>0</v>
      </c>
      <c r="E990" s="1129">
        <v>0</v>
      </c>
      <c r="F990" s="1129">
        <v>0</v>
      </c>
      <c r="G990" s="1129">
        <v>0</v>
      </c>
      <c r="H990" s="1129">
        <v>0</v>
      </c>
      <c r="I990" s="1129">
        <v>0</v>
      </c>
      <c r="J990" s="1129">
        <v>0</v>
      </c>
      <c r="K990" s="1136">
        <v>0</v>
      </c>
      <c r="L990" s="1129">
        <v>0</v>
      </c>
      <c r="M990" s="1136">
        <v>0</v>
      </c>
      <c r="N990" s="1129">
        <v>0</v>
      </c>
      <c r="O990" s="1129">
        <v>390</v>
      </c>
      <c r="P990" s="1129">
        <v>1541997</v>
      </c>
      <c r="Q990" s="1129">
        <v>0</v>
      </c>
      <c r="R990" s="1129">
        <v>0</v>
      </c>
      <c r="S990" s="1129">
        <v>0</v>
      </c>
      <c r="T990" s="1129">
        <v>0</v>
      </c>
      <c r="U990" s="1129">
        <v>0</v>
      </c>
      <c r="V990" s="1129">
        <v>0</v>
      </c>
      <c r="W990" s="1167">
        <v>0</v>
      </c>
      <c r="X990" s="1129">
        <v>120775</v>
      </c>
      <c r="Y990" s="1129">
        <v>0</v>
      </c>
    </row>
    <row r="991" spans="1:25" s="1165" customFormat="1" ht="92.45" customHeight="1">
      <c r="A991" s="1280">
        <v>191</v>
      </c>
      <c r="B991" s="1135" t="s">
        <v>2633</v>
      </c>
      <c r="C991" s="1129">
        <f t="shared" si="496"/>
        <v>2444107</v>
      </c>
      <c r="D991" s="1129">
        <f t="shared" si="497"/>
        <v>2266580</v>
      </c>
      <c r="E991" s="1129">
        <v>0</v>
      </c>
      <c r="F991" s="1129">
        <v>2266580</v>
      </c>
      <c r="G991" s="1129">
        <v>0</v>
      </c>
      <c r="H991" s="1129">
        <v>0</v>
      </c>
      <c r="I991" s="1129">
        <v>0</v>
      </c>
      <c r="J991" s="1129">
        <v>0</v>
      </c>
      <c r="K991" s="1136">
        <v>0</v>
      </c>
      <c r="L991" s="1129">
        <v>0</v>
      </c>
      <c r="M991" s="1136">
        <v>0</v>
      </c>
      <c r="N991" s="1129">
        <v>0</v>
      </c>
      <c r="O991" s="1129">
        <v>0</v>
      </c>
      <c r="P991" s="1129">
        <v>0</v>
      </c>
      <c r="Q991" s="1129">
        <v>0</v>
      </c>
      <c r="R991" s="1129">
        <v>0</v>
      </c>
      <c r="S991" s="1129">
        <v>0</v>
      </c>
      <c r="T991" s="1129">
        <v>0</v>
      </c>
      <c r="U991" s="1129">
        <v>0</v>
      </c>
      <c r="V991" s="1129">
        <v>0</v>
      </c>
      <c r="W991" s="1167">
        <v>0</v>
      </c>
      <c r="X991" s="1129">
        <v>177527</v>
      </c>
      <c r="Y991" s="1129">
        <v>0</v>
      </c>
    </row>
    <row r="992" spans="1:25" s="1165" customFormat="1" ht="143.25" customHeight="1">
      <c r="A992" s="1280"/>
      <c r="B992" s="1135" t="s">
        <v>2704</v>
      </c>
      <c r="C992" s="1129">
        <f>C993+C998</f>
        <v>14416032.979999999</v>
      </c>
      <c r="D992" s="1129">
        <f t="shared" ref="D992:Y992" si="498">D993+D998</f>
        <v>1978057.95</v>
      </c>
      <c r="E992" s="1129">
        <f t="shared" si="498"/>
        <v>0</v>
      </c>
      <c r="F992" s="1129">
        <f t="shared" si="498"/>
        <v>1978057.95</v>
      </c>
      <c r="G992" s="1129">
        <f t="shared" si="498"/>
        <v>0</v>
      </c>
      <c r="H992" s="1129">
        <f t="shared" si="498"/>
        <v>0</v>
      </c>
      <c r="I992" s="1129">
        <f t="shared" si="498"/>
        <v>0</v>
      </c>
      <c r="J992" s="1129">
        <f t="shared" si="498"/>
        <v>0</v>
      </c>
      <c r="K992" s="1136">
        <f t="shared" si="498"/>
        <v>0</v>
      </c>
      <c r="L992" s="1129">
        <f t="shared" si="498"/>
        <v>0</v>
      </c>
      <c r="M992" s="1136">
        <f t="shared" si="498"/>
        <v>0</v>
      </c>
      <c r="N992" s="1129">
        <f t="shared" si="498"/>
        <v>0</v>
      </c>
      <c r="O992" s="1129">
        <f t="shared" si="498"/>
        <v>3047.21</v>
      </c>
      <c r="P992" s="1129">
        <f t="shared" si="498"/>
        <v>11390868.799999999</v>
      </c>
      <c r="Q992" s="1129">
        <f t="shared" si="498"/>
        <v>0</v>
      </c>
      <c r="R992" s="1129">
        <f t="shared" si="498"/>
        <v>0</v>
      </c>
      <c r="S992" s="1129">
        <f t="shared" si="498"/>
        <v>0</v>
      </c>
      <c r="T992" s="1129">
        <f t="shared" si="498"/>
        <v>0</v>
      </c>
      <c r="U992" s="1129">
        <f t="shared" si="498"/>
        <v>0</v>
      </c>
      <c r="V992" s="1129">
        <f t="shared" si="498"/>
        <v>0</v>
      </c>
      <c r="W992" s="1129">
        <f t="shared" si="498"/>
        <v>0</v>
      </c>
      <c r="X992" s="1129">
        <f t="shared" si="498"/>
        <v>1047106.23</v>
      </c>
      <c r="Y992" s="1129">
        <f t="shared" si="498"/>
        <v>0</v>
      </c>
    </row>
    <row r="993" spans="1:25" s="1165" customFormat="1" ht="123" customHeight="1">
      <c r="A993" s="1280"/>
      <c r="B993" s="1135" t="s">
        <v>1077</v>
      </c>
      <c r="C993" s="1129">
        <f>C994+C995+C996+C997</f>
        <v>12121336.979999999</v>
      </c>
      <c r="D993" s="1129">
        <f t="shared" ref="D993:Y993" si="499">D994+D995+D996+D997</f>
        <v>1978057.95</v>
      </c>
      <c r="E993" s="1129">
        <f t="shared" si="499"/>
        <v>0</v>
      </c>
      <c r="F993" s="1129">
        <f t="shared" si="499"/>
        <v>1978057.95</v>
      </c>
      <c r="G993" s="1129">
        <f t="shared" si="499"/>
        <v>0</v>
      </c>
      <c r="H993" s="1129">
        <f t="shared" si="499"/>
        <v>0</v>
      </c>
      <c r="I993" s="1129">
        <f t="shared" si="499"/>
        <v>0</v>
      </c>
      <c r="J993" s="1129">
        <f t="shared" si="499"/>
        <v>0</v>
      </c>
      <c r="K993" s="1136">
        <f t="shared" si="499"/>
        <v>0</v>
      </c>
      <c r="L993" s="1129">
        <f t="shared" si="499"/>
        <v>0</v>
      </c>
      <c r="M993" s="1136">
        <f t="shared" si="499"/>
        <v>0</v>
      </c>
      <c r="N993" s="1129">
        <f t="shared" si="499"/>
        <v>0</v>
      </c>
      <c r="O993" s="1129">
        <f t="shared" si="499"/>
        <v>2406</v>
      </c>
      <c r="P993" s="1129">
        <f t="shared" si="499"/>
        <v>9262847.7999999989</v>
      </c>
      <c r="Q993" s="1129">
        <f t="shared" si="499"/>
        <v>0</v>
      </c>
      <c r="R993" s="1129">
        <f t="shared" si="499"/>
        <v>0</v>
      </c>
      <c r="S993" s="1129">
        <f t="shared" si="499"/>
        <v>0</v>
      </c>
      <c r="T993" s="1129">
        <f t="shared" si="499"/>
        <v>0</v>
      </c>
      <c r="U993" s="1129">
        <f t="shared" si="499"/>
        <v>0</v>
      </c>
      <c r="V993" s="1129">
        <f t="shared" si="499"/>
        <v>0</v>
      </c>
      <c r="W993" s="1129">
        <f t="shared" si="499"/>
        <v>0</v>
      </c>
      <c r="X993" s="1129">
        <f t="shared" si="499"/>
        <v>880431.23</v>
      </c>
      <c r="Y993" s="1129">
        <f t="shared" si="499"/>
        <v>0</v>
      </c>
    </row>
    <row r="994" spans="1:25" s="1165" customFormat="1" ht="65.45" customHeight="1">
      <c r="A994" s="1280">
        <v>192</v>
      </c>
      <c r="B994" s="1135" t="s">
        <v>1229</v>
      </c>
      <c r="C994" s="1129">
        <f>D994+N994+P994+R994+T994+V994+X994+L994</f>
        <v>1499682.76</v>
      </c>
      <c r="D994" s="1129">
        <f>SUM(E994:J994)</f>
        <v>0</v>
      </c>
      <c r="E994" s="1145">
        <v>0</v>
      </c>
      <c r="F994" s="1145">
        <v>0</v>
      </c>
      <c r="G994" s="1145">
        <v>0</v>
      </c>
      <c r="H994" s="1145">
        <v>0</v>
      </c>
      <c r="I994" s="1145">
        <v>0</v>
      </c>
      <c r="J994" s="1145">
        <v>0</v>
      </c>
      <c r="K994" s="1136">
        <v>0</v>
      </c>
      <c r="L994" s="1145">
        <v>0</v>
      </c>
      <c r="M994" s="1136">
        <v>0</v>
      </c>
      <c r="N994" s="1145">
        <v>0</v>
      </c>
      <c r="O994" s="1145">
        <v>415</v>
      </c>
      <c r="P994" s="1145">
        <v>1390753.56</v>
      </c>
      <c r="Q994" s="1145">
        <v>0</v>
      </c>
      <c r="R994" s="1145">
        <v>0</v>
      </c>
      <c r="S994" s="1145">
        <v>0</v>
      </c>
      <c r="T994" s="1145">
        <v>0</v>
      </c>
      <c r="U994" s="1145">
        <v>0</v>
      </c>
      <c r="V994" s="1145">
        <v>0</v>
      </c>
      <c r="W994" s="1167">
        <v>0</v>
      </c>
      <c r="X994" s="1129">
        <v>108929.2</v>
      </c>
      <c r="Y994" s="1129">
        <v>0</v>
      </c>
    </row>
    <row r="995" spans="1:25" s="1165" customFormat="1" ht="93.6" customHeight="1">
      <c r="A995" s="1280">
        <v>193</v>
      </c>
      <c r="B995" s="1135" t="s">
        <v>2519</v>
      </c>
      <c r="C995" s="1129">
        <f>D995+N995+P995+R995+T995+V995+X995+L995</f>
        <v>5947609.5599999996</v>
      </c>
      <c r="D995" s="1129">
        <f>SUM(E995:J995)</f>
        <v>0</v>
      </c>
      <c r="E995" s="1145">
        <v>0</v>
      </c>
      <c r="F995" s="1145">
        <v>0</v>
      </c>
      <c r="G995" s="1145">
        <v>0</v>
      </c>
      <c r="H995" s="1145">
        <v>0</v>
      </c>
      <c r="I995" s="1145">
        <v>0</v>
      </c>
      <c r="J995" s="1145">
        <v>0</v>
      </c>
      <c r="K995" s="1136">
        <v>0</v>
      </c>
      <c r="L995" s="1145">
        <v>0</v>
      </c>
      <c r="M995" s="1136">
        <v>0</v>
      </c>
      <c r="N995" s="1145">
        <v>0</v>
      </c>
      <c r="O995" s="1145">
        <v>1395</v>
      </c>
      <c r="P995" s="1145">
        <v>5515605.96</v>
      </c>
      <c r="Q995" s="1145">
        <v>0</v>
      </c>
      <c r="R995" s="1145">
        <v>0</v>
      </c>
      <c r="S995" s="1145">
        <v>0</v>
      </c>
      <c r="T995" s="1145">
        <v>0</v>
      </c>
      <c r="U995" s="1145">
        <v>0</v>
      </c>
      <c r="V995" s="1145">
        <v>0</v>
      </c>
      <c r="W995" s="1167">
        <v>0</v>
      </c>
      <c r="X995" s="1129">
        <v>432003.6</v>
      </c>
      <c r="Y995" s="1129">
        <v>0</v>
      </c>
    </row>
    <row r="996" spans="1:25" s="1143" customFormat="1" ht="65.45" customHeight="1">
      <c r="A996" s="1280">
        <v>194</v>
      </c>
      <c r="B996" s="1135" t="s">
        <v>616</v>
      </c>
      <c r="C996" s="1129">
        <f>D996+N996+P996+R996+T996+V996+X996+L996</f>
        <v>2541057.5599999996</v>
      </c>
      <c r="D996" s="1129">
        <f>SUM(E996:J996)</f>
        <v>0</v>
      </c>
      <c r="E996" s="1145">
        <v>0</v>
      </c>
      <c r="F996" s="1145">
        <v>0</v>
      </c>
      <c r="G996" s="1145">
        <v>0</v>
      </c>
      <c r="H996" s="1145">
        <v>0</v>
      </c>
      <c r="I996" s="1145">
        <v>0</v>
      </c>
      <c r="J996" s="1145">
        <v>0</v>
      </c>
      <c r="K996" s="1136">
        <v>0</v>
      </c>
      <c r="L996" s="1145">
        <v>0</v>
      </c>
      <c r="M996" s="1136">
        <v>0</v>
      </c>
      <c r="N996" s="1145">
        <v>0</v>
      </c>
      <c r="O996" s="1145">
        <v>596</v>
      </c>
      <c r="P996" s="1145">
        <v>2356488.2799999998</v>
      </c>
      <c r="Q996" s="1145">
        <v>0</v>
      </c>
      <c r="R996" s="1145">
        <v>0</v>
      </c>
      <c r="S996" s="1145">
        <v>0</v>
      </c>
      <c r="T996" s="1145">
        <v>0</v>
      </c>
      <c r="U996" s="1145">
        <v>0</v>
      </c>
      <c r="V996" s="1145">
        <v>0</v>
      </c>
      <c r="W996" s="1167">
        <v>0</v>
      </c>
      <c r="X996" s="1129">
        <v>184569.28</v>
      </c>
      <c r="Y996" s="1129">
        <v>0</v>
      </c>
    </row>
    <row r="997" spans="1:25" s="1143" customFormat="1" ht="66.599999999999994" customHeight="1">
      <c r="A997" s="1280">
        <v>195</v>
      </c>
      <c r="B997" s="1135" t="s">
        <v>2014</v>
      </c>
      <c r="C997" s="1129">
        <f>D997+N997+P997+R997+T997+V997+X997+L997</f>
        <v>2132987.1</v>
      </c>
      <c r="D997" s="1129">
        <f>SUM(E997:J997)</f>
        <v>1978057.95</v>
      </c>
      <c r="E997" s="1145">
        <v>0</v>
      </c>
      <c r="F997" s="1145">
        <v>1978057.95</v>
      </c>
      <c r="G997" s="1145">
        <v>0</v>
      </c>
      <c r="H997" s="1145">
        <v>0</v>
      </c>
      <c r="I997" s="1145">
        <v>0</v>
      </c>
      <c r="J997" s="1145">
        <v>0</v>
      </c>
      <c r="K997" s="1136">
        <v>0</v>
      </c>
      <c r="L997" s="1145">
        <v>0</v>
      </c>
      <c r="M997" s="1136">
        <v>0</v>
      </c>
      <c r="N997" s="1145">
        <v>0</v>
      </c>
      <c r="O997" s="1145">
        <v>0</v>
      </c>
      <c r="P997" s="1145">
        <v>0</v>
      </c>
      <c r="Q997" s="1145">
        <v>0</v>
      </c>
      <c r="R997" s="1145">
        <v>0</v>
      </c>
      <c r="S997" s="1145">
        <v>0</v>
      </c>
      <c r="T997" s="1145">
        <v>0</v>
      </c>
      <c r="U997" s="1145">
        <v>0</v>
      </c>
      <c r="V997" s="1145">
        <v>0</v>
      </c>
      <c r="W997" s="1167">
        <v>0</v>
      </c>
      <c r="X997" s="1129">
        <v>154929.15</v>
      </c>
      <c r="Y997" s="1129">
        <v>0</v>
      </c>
    </row>
    <row r="998" spans="1:25" s="1143" customFormat="1" ht="126.6" customHeight="1">
      <c r="A998" s="1280"/>
      <c r="B998" s="1135" t="s">
        <v>2520</v>
      </c>
      <c r="C998" s="1129">
        <f>C999</f>
        <v>2294696</v>
      </c>
      <c r="D998" s="1129">
        <f t="shared" ref="D998:Y998" si="500">D999</f>
        <v>0</v>
      </c>
      <c r="E998" s="1129">
        <f t="shared" si="500"/>
        <v>0</v>
      </c>
      <c r="F998" s="1129">
        <f t="shared" si="500"/>
        <v>0</v>
      </c>
      <c r="G998" s="1129">
        <f t="shared" si="500"/>
        <v>0</v>
      </c>
      <c r="H998" s="1129">
        <f t="shared" si="500"/>
        <v>0</v>
      </c>
      <c r="I998" s="1129">
        <f t="shared" si="500"/>
        <v>0</v>
      </c>
      <c r="J998" s="1129">
        <f t="shared" si="500"/>
        <v>0</v>
      </c>
      <c r="K998" s="1136">
        <f t="shared" si="500"/>
        <v>0</v>
      </c>
      <c r="L998" s="1129">
        <f t="shared" si="500"/>
        <v>0</v>
      </c>
      <c r="M998" s="1136">
        <f t="shared" si="500"/>
        <v>0</v>
      </c>
      <c r="N998" s="1129">
        <f t="shared" si="500"/>
        <v>0</v>
      </c>
      <c r="O998" s="1129">
        <f t="shared" si="500"/>
        <v>641.21</v>
      </c>
      <c r="P998" s="1129">
        <f t="shared" si="500"/>
        <v>2128021</v>
      </c>
      <c r="Q998" s="1129">
        <f t="shared" si="500"/>
        <v>0</v>
      </c>
      <c r="R998" s="1129">
        <f t="shared" si="500"/>
        <v>0</v>
      </c>
      <c r="S998" s="1129">
        <f t="shared" si="500"/>
        <v>0</v>
      </c>
      <c r="T998" s="1129">
        <f t="shared" si="500"/>
        <v>0</v>
      </c>
      <c r="U998" s="1129">
        <f t="shared" si="500"/>
        <v>0</v>
      </c>
      <c r="V998" s="1129">
        <f t="shared" si="500"/>
        <v>0</v>
      </c>
      <c r="W998" s="1129">
        <f t="shared" si="500"/>
        <v>0</v>
      </c>
      <c r="X998" s="1129">
        <f t="shared" si="500"/>
        <v>166675</v>
      </c>
      <c r="Y998" s="1129">
        <f t="shared" si="500"/>
        <v>0</v>
      </c>
    </row>
    <row r="999" spans="1:25" s="1143" customFormat="1" ht="96" customHeight="1">
      <c r="A999" s="1280">
        <v>196</v>
      </c>
      <c r="B999" s="1135" t="s">
        <v>2521</v>
      </c>
      <c r="C999" s="1129">
        <f>D999+N999+P999+R999+T999+V999+X999+L999</f>
        <v>2294696</v>
      </c>
      <c r="D999" s="1129">
        <f>SUM(E999:J999)</f>
        <v>0</v>
      </c>
      <c r="E999" s="1145">
        <v>0</v>
      </c>
      <c r="F999" s="1145">
        <v>0</v>
      </c>
      <c r="G999" s="1145">
        <v>0</v>
      </c>
      <c r="H999" s="1145">
        <v>0</v>
      </c>
      <c r="I999" s="1145">
        <v>0</v>
      </c>
      <c r="J999" s="1145">
        <v>0</v>
      </c>
      <c r="K999" s="1136">
        <v>0</v>
      </c>
      <c r="L999" s="1145">
        <v>0</v>
      </c>
      <c r="M999" s="1136">
        <v>0</v>
      </c>
      <c r="N999" s="1145">
        <v>0</v>
      </c>
      <c r="O999" s="1145">
        <v>641.21</v>
      </c>
      <c r="P999" s="1145">
        <v>2128021</v>
      </c>
      <c r="Q999" s="1145">
        <v>0</v>
      </c>
      <c r="R999" s="1145">
        <v>0</v>
      </c>
      <c r="S999" s="1145">
        <v>0</v>
      </c>
      <c r="T999" s="1145">
        <v>0</v>
      </c>
      <c r="U999" s="1145">
        <v>0</v>
      </c>
      <c r="V999" s="1145">
        <v>0</v>
      </c>
      <c r="W999" s="1167">
        <v>0</v>
      </c>
      <c r="X999" s="1129">
        <v>166675</v>
      </c>
      <c r="Y999" s="1129">
        <v>0</v>
      </c>
    </row>
    <row r="1000" spans="1:25" s="1143" customFormat="1" ht="61.9" customHeight="1">
      <c r="A1000" s="1280"/>
      <c r="B1000" s="1135" t="s">
        <v>211</v>
      </c>
      <c r="C1000" s="1129">
        <f>C1001</f>
        <v>4309083</v>
      </c>
      <c r="D1000" s="1129">
        <f t="shared" ref="D1000:Y1000" si="501">D1001</f>
        <v>0</v>
      </c>
      <c r="E1000" s="1129">
        <f t="shared" si="501"/>
        <v>0</v>
      </c>
      <c r="F1000" s="1129">
        <f t="shared" si="501"/>
        <v>0</v>
      </c>
      <c r="G1000" s="1129">
        <f t="shared" si="501"/>
        <v>0</v>
      </c>
      <c r="H1000" s="1129">
        <f t="shared" si="501"/>
        <v>0</v>
      </c>
      <c r="I1000" s="1129">
        <f t="shared" si="501"/>
        <v>0</v>
      </c>
      <c r="J1000" s="1129">
        <f t="shared" si="501"/>
        <v>0</v>
      </c>
      <c r="K1000" s="1136">
        <f t="shared" si="501"/>
        <v>0</v>
      </c>
      <c r="L1000" s="1129">
        <f t="shared" si="501"/>
        <v>0</v>
      </c>
      <c r="M1000" s="1136">
        <f t="shared" si="501"/>
        <v>0</v>
      </c>
      <c r="N1000" s="1129">
        <f t="shared" si="501"/>
        <v>0</v>
      </c>
      <c r="O1000" s="1129">
        <f t="shared" si="501"/>
        <v>0</v>
      </c>
      <c r="P1000" s="1129">
        <f t="shared" si="501"/>
        <v>0</v>
      </c>
      <c r="Q1000" s="1129">
        <f t="shared" si="501"/>
        <v>0</v>
      </c>
      <c r="R1000" s="1129">
        <f t="shared" si="501"/>
        <v>0</v>
      </c>
      <c r="S1000" s="1129">
        <f t="shared" si="501"/>
        <v>1362.72</v>
      </c>
      <c r="T1000" s="1129">
        <f t="shared" si="501"/>
        <v>3996094</v>
      </c>
      <c r="U1000" s="1129">
        <f t="shared" si="501"/>
        <v>0</v>
      </c>
      <c r="V1000" s="1129">
        <f t="shared" si="501"/>
        <v>0</v>
      </c>
      <c r="W1000" s="1129">
        <f t="shared" si="501"/>
        <v>0</v>
      </c>
      <c r="X1000" s="1129">
        <f t="shared" si="501"/>
        <v>312989</v>
      </c>
      <c r="Y1000" s="1129">
        <f t="shared" si="501"/>
        <v>0</v>
      </c>
    </row>
    <row r="1001" spans="1:25" s="1143" customFormat="1" ht="94.9" customHeight="1">
      <c r="A1001" s="1280"/>
      <c r="B1001" s="1135" t="s">
        <v>1159</v>
      </c>
      <c r="C1001" s="1129">
        <f>C1002+C1003</f>
        <v>4309083</v>
      </c>
      <c r="D1001" s="1129">
        <f t="shared" ref="D1001:Y1001" si="502">D1002+D1003</f>
        <v>0</v>
      </c>
      <c r="E1001" s="1129">
        <f t="shared" si="502"/>
        <v>0</v>
      </c>
      <c r="F1001" s="1129">
        <f t="shared" si="502"/>
        <v>0</v>
      </c>
      <c r="G1001" s="1129">
        <f t="shared" si="502"/>
        <v>0</v>
      </c>
      <c r="H1001" s="1129">
        <f t="shared" si="502"/>
        <v>0</v>
      </c>
      <c r="I1001" s="1129">
        <f t="shared" si="502"/>
        <v>0</v>
      </c>
      <c r="J1001" s="1129">
        <f t="shared" si="502"/>
        <v>0</v>
      </c>
      <c r="K1001" s="1136">
        <f t="shared" si="502"/>
        <v>0</v>
      </c>
      <c r="L1001" s="1129">
        <f t="shared" si="502"/>
        <v>0</v>
      </c>
      <c r="M1001" s="1136">
        <f t="shared" si="502"/>
        <v>0</v>
      </c>
      <c r="N1001" s="1129">
        <f t="shared" si="502"/>
        <v>0</v>
      </c>
      <c r="O1001" s="1129">
        <f t="shared" si="502"/>
        <v>0</v>
      </c>
      <c r="P1001" s="1129">
        <f t="shared" si="502"/>
        <v>0</v>
      </c>
      <c r="Q1001" s="1129">
        <f t="shared" si="502"/>
        <v>0</v>
      </c>
      <c r="R1001" s="1129">
        <f t="shared" si="502"/>
        <v>0</v>
      </c>
      <c r="S1001" s="1129">
        <f t="shared" si="502"/>
        <v>1362.72</v>
      </c>
      <c r="T1001" s="1129">
        <f t="shared" si="502"/>
        <v>3996094</v>
      </c>
      <c r="U1001" s="1129">
        <f t="shared" si="502"/>
        <v>0</v>
      </c>
      <c r="V1001" s="1129">
        <f t="shared" si="502"/>
        <v>0</v>
      </c>
      <c r="W1001" s="1129">
        <f t="shared" si="502"/>
        <v>0</v>
      </c>
      <c r="X1001" s="1129">
        <f t="shared" si="502"/>
        <v>312989</v>
      </c>
      <c r="Y1001" s="1129">
        <f t="shared" si="502"/>
        <v>0</v>
      </c>
    </row>
    <row r="1002" spans="1:25" s="1143" customFormat="1" ht="97.9" customHeight="1">
      <c r="A1002" s="1280">
        <v>197</v>
      </c>
      <c r="B1002" s="1135" t="s">
        <v>2845</v>
      </c>
      <c r="C1002" s="1129">
        <f t="shared" ref="C1002:C1003" si="503">D1002+N1002+P1002+R1002+T1002+V1002+X1002+L1002</f>
        <v>2219049</v>
      </c>
      <c r="D1002" s="1129">
        <f t="shared" ref="D1002:D1003" si="504">SUM(E1002:J1002)</f>
        <v>0</v>
      </c>
      <c r="E1002" s="1145">
        <v>0</v>
      </c>
      <c r="F1002" s="1145">
        <v>0</v>
      </c>
      <c r="G1002" s="1145">
        <v>0</v>
      </c>
      <c r="H1002" s="1145">
        <v>0</v>
      </c>
      <c r="I1002" s="1145">
        <v>0</v>
      </c>
      <c r="J1002" s="1145">
        <v>0</v>
      </c>
      <c r="K1002" s="1136">
        <v>0</v>
      </c>
      <c r="L1002" s="1145">
        <v>0</v>
      </c>
      <c r="M1002" s="1136">
        <v>0</v>
      </c>
      <c r="N1002" s="1145">
        <v>0</v>
      </c>
      <c r="O1002" s="1145">
        <v>0</v>
      </c>
      <c r="P1002" s="1145">
        <v>0</v>
      </c>
      <c r="Q1002" s="1145">
        <v>0</v>
      </c>
      <c r="R1002" s="1145">
        <v>0</v>
      </c>
      <c r="S1002" s="1145">
        <v>701.76</v>
      </c>
      <c r="T1002" s="1145">
        <v>2057869</v>
      </c>
      <c r="U1002" s="1145">
        <v>0</v>
      </c>
      <c r="V1002" s="1145">
        <v>0</v>
      </c>
      <c r="W1002" s="1167">
        <v>0</v>
      </c>
      <c r="X1002" s="1129">
        <v>161180</v>
      </c>
      <c r="Y1002" s="1129">
        <v>0</v>
      </c>
    </row>
    <row r="1003" spans="1:25" s="1143" customFormat="1" ht="92.45" customHeight="1">
      <c r="A1003" s="1280">
        <v>198</v>
      </c>
      <c r="B1003" s="1135" t="s">
        <v>2522</v>
      </c>
      <c r="C1003" s="1129">
        <f t="shared" si="503"/>
        <v>2090034</v>
      </c>
      <c r="D1003" s="1129">
        <f t="shared" si="504"/>
        <v>0</v>
      </c>
      <c r="E1003" s="1145">
        <v>0</v>
      </c>
      <c r="F1003" s="1145">
        <v>0</v>
      </c>
      <c r="G1003" s="1145">
        <v>0</v>
      </c>
      <c r="H1003" s="1145">
        <v>0</v>
      </c>
      <c r="I1003" s="1145">
        <v>0</v>
      </c>
      <c r="J1003" s="1145">
        <v>0</v>
      </c>
      <c r="K1003" s="1136">
        <v>0</v>
      </c>
      <c r="L1003" s="1145">
        <v>0</v>
      </c>
      <c r="M1003" s="1136">
        <v>0</v>
      </c>
      <c r="N1003" s="1145">
        <v>0</v>
      </c>
      <c r="O1003" s="1145">
        <v>0</v>
      </c>
      <c r="P1003" s="1145">
        <v>0</v>
      </c>
      <c r="Q1003" s="1145">
        <v>0</v>
      </c>
      <c r="R1003" s="1145">
        <v>0</v>
      </c>
      <c r="S1003" s="1145">
        <v>660.96</v>
      </c>
      <c r="T1003" s="1145">
        <v>1938225</v>
      </c>
      <c r="U1003" s="1145">
        <v>0</v>
      </c>
      <c r="V1003" s="1145">
        <v>0</v>
      </c>
      <c r="W1003" s="1167">
        <v>0</v>
      </c>
      <c r="X1003" s="1129">
        <v>151809</v>
      </c>
      <c r="Y1003" s="1129">
        <v>0</v>
      </c>
    </row>
    <row r="1004" spans="1:25" s="1165" customFormat="1" ht="71.45" customHeight="1">
      <c r="A1004" s="1280"/>
      <c r="B1004" s="1135" t="s">
        <v>66</v>
      </c>
      <c r="C1004" s="1129">
        <f>C1005</f>
        <v>2913878.0300000003</v>
      </c>
      <c r="D1004" s="1129">
        <f t="shared" ref="D1004:Y1004" si="505">D1005</f>
        <v>0</v>
      </c>
      <c r="E1004" s="1129">
        <f t="shared" si="505"/>
        <v>0</v>
      </c>
      <c r="F1004" s="1129">
        <f t="shared" si="505"/>
        <v>0</v>
      </c>
      <c r="G1004" s="1129">
        <f t="shared" si="505"/>
        <v>0</v>
      </c>
      <c r="H1004" s="1129">
        <f t="shared" si="505"/>
        <v>0</v>
      </c>
      <c r="I1004" s="1129">
        <f t="shared" si="505"/>
        <v>0</v>
      </c>
      <c r="J1004" s="1129">
        <f t="shared" si="505"/>
        <v>0</v>
      </c>
      <c r="K1004" s="1136">
        <f t="shared" si="505"/>
        <v>0</v>
      </c>
      <c r="L1004" s="1129">
        <f t="shared" si="505"/>
        <v>0</v>
      </c>
      <c r="M1004" s="1136">
        <f t="shared" si="505"/>
        <v>0</v>
      </c>
      <c r="N1004" s="1129">
        <f t="shared" si="505"/>
        <v>0</v>
      </c>
      <c r="O1004" s="1129">
        <f t="shared" si="505"/>
        <v>740.6</v>
      </c>
      <c r="P1004" s="1129">
        <f t="shared" si="505"/>
        <v>2702229.0300000003</v>
      </c>
      <c r="Q1004" s="1129">
        <f t="shared" si="505"/>
        <v>0</v>
      </c>
      <c r="R1004" s="1129">
        <f t="shared" si="505"/>
        <v>0</v>
      </c>
      <c r="S1004" s="1129">
        <f t="shared" si="505"/>
        <v>0</v>
      </c>
      <c r="T1004" s="1129">
        <f t="shared" si="505"/>
        <v>0</v>
      </c>
      <c r="U1004" s="1129">
        <f t="shared" si="505"/>
        <v>0</v>
      </c>
      <c r="V1004" s="1129">
        <f t="shared" si="505"/>
        <v>0</v>
      </c>
      <c r="W1004" s="1167">
        <v>0</v>
      </c>
      <c r="X1004" s="1129">
        <f t="shared" si="505"/>
        <v>211649</v>
      </c>
      <c r="Y1004" s="1129">
        <f t="shared" si="505"/>
        <v>0</v>
      </c>
    </row>
    <row r="1005" spans="1:25" s="1165" customFormat="1" ht="131.44999999999999" customHeight="1">
      <c r="A1005" s="1280"/>
      <c r="B1005" s="1135" t="s">
        <v>1880</v>
      </c>
      <c r="C1005" s="1129">
        <f>C1006+C1007</f>
        <v>2913878.0300000003</v>
      </c>
      <c r="D1005" s="1129">
        <f t="shared" ref="D1005:Y1005" si="506">D1006+D1007</f>
        <v>0</v>
      </c>
      <c r="E1005" s="1129">
        <f t="shared" si="506"/>
        <v>0</v>
      </c>
      <c r="F1005" s="1129">
        <f t="shared" si="506"/>
        <v>0</v>
      </c>
      <c r="G1005" s="1129">
        <f t="shared" si="506"/>
        <v>0</v>
      </c>
      <c r="H1005" s="1129">
        <f t="shared" si="506"/>
        <v>0</v>
      </c>
      <c r="I1005" s="1129">
        <f t="shared" si="506"/>
        <v>0</v>
      </c>
      <c r="J1005" s="1129">
        <f t="shared" si="506"/>
        <v>0</v>
      </c>
      <c r="K1005" s="1136">
        <f t="shared" si="506"/>
        <v>0</v>
      </c>
      <c r="L1005" s="1129">
        <f t="shared" si="506"/>
        <v>0</v>
      </c>
      <c r="M1005" s="1136">
        <f t="shared" si="506"/>
        <v>0</v>
      </c>
      <c r="N1005" s="1129">
        <f t="shared" si="506"/>
        <v>0</v>
      </c>
      <c r="O1005" s="1129">
        <f t="shared" si="506"/>
        <v>740.6</v>
      </c>
      <c r="P1005" s="1129">
        <f t="shared" si="506"/>
        <v>2702229.0300000003</v>
      </c>
      <c r="Q1005" s="1129">
        <f t="shared" si="506"/>
        <v>0</v>
      </c>
      <c r="R1005" s="1129">
        <f t="shared" si="506"/>
        <v>0</v>
      </c>
      <c r="S1005" s="1129">
        <f t="shared" si="506"/>
        <v>0</v>
      </c>
      <c r="T1005" s="1129">
        <f t="shared" si="506"/>
        <v>0</v>
      </c>
      <c r="U1005" s="1129">
        <f t="shared" si="506"/>
        <v>0</v>
      </c>
      <c r="V1005" s="1129">
        <f t="shared" si="506"/>
        <v>0</v>
      </c>
      <c r="W1005" s="1129">
        <f t="shared" si="506"/>
        <v>0</v>
      </c>
      <c r="X1005" s="1129">
        <f t="shared" si="506"/>
        <v>211649</v>
      </c>
      <c r="Y1005" s="1129">
        <f t="shared" si="506"/>
        <v>0</v>
      </c>
    </row>
    <row r="1006" spans="1:25" s="1137" customFormat="1" ht="60.6" customHeight="1">
      <c r="A1006" s="1280">
        <v>199</v>
      </c>
      <c r="B1006" s="1135" t="s">
        <v>1199</v>
      </c>
      <c r="C1006" s="1129">
        <f t="shared" ref="C1006:C1007" si="507">D1006+N1006+P1006+R1006+T1006+V1006+X1006</f>
        <v>1355135.03</v>
      </c>
      <c r="D1006" s="1129">
        <v>0</v>
      </c>
      <c r="E1006" s="1129">
        <v>0</v>
      </c>
      <c r="F1006" s="1129">
        <v>0</v>
      </c>
      <c r="G1006" s="1129">
        <v>0</v>
      </c>
      <c r="H1006" s="1129">
        <v>0</v>
      </c>
      <c r="I1006" s="1129">
        <v>0</v>
      </c>
      <c r="J1006" s="1129">
        <v>0</v>
      </c>
      <c r="K1006" s="1136">
        <v>0</v>
      </c>
      <c r="L1006" s="1129">
        <v>0</v>
      </c>
      <c r="M1006" s="1136">
        <v>0</v>
      </c>
      <c r="N1006" s="1129">
        <v>0</v>
      </c>
      <c r="O1006" s="1129">
        <v>375</v>
      </c>
      <c r="P1006" s="1129">
        <v>1256705.03</v>
      </c>
      <c r="Q1006" s="1129">
        <v>0</v>
      </c>
      <c r="R1006" s="1129">
        <v>0</v>
      </c>
      <c r="S1006" s="1129">
        <v>0</v>
      </c>
      <c r="T1006" s="1129">
        <v>0</v>
      </c>
      <c r="U1006" s="1129">
        <v>0</v>
      </c>
      <c r="V1006" s="1129">
        <v>0</v>
      </c>
      <c r="W1006" s="1167">
        <v>0</v>
      </c>
      <c r="X1006" s="1129">
        <v>98430</v>
      </c>
      <c r="Y1006" s="1129">
        <v>0</v>
      </c>
    </row>
    <row r="1007" spans="1:25" s="1137" customFormat="1" ht="95.25" customHeight="1">
      <c r="A1007" s="1280">
        <v>200</v>
      </c>
      <c r="B1007" s="1135" t="s">
        <v>2000</v>
      </c>
      <c r="C1007" s="1129">
        <f t="shared" si="507"/>
        <v>1558743</v>
      </c>
      <c r="D1007" s="1129">
        <v>0</v>
      </c>
      <c r="E1007" s="1129">
        <v>0</v>
      </c>
      <c r="F1007" s="1129">
        <v>0</v>
      </c>
      <c r="G1007" s="1129">
        <v>0</v>
      </c>
      <c r="H1007" s="1129">
        <v>0</v>
      </c>
      <c r="I1007" s="1129">
        <v>0</v>
      </c>
      <c r="J1007" s="1129">
        <v>0</v>
      </c>
      <c r="K1007" s="1136">
        <v>0</v>
      </c>
      <c r="L1007" s="1129">
        <v>0</v>
      </c>
      <c r="M1007" s="1136">
        <v>0</v>
      </c>
      <c r="N1007" s="1129">
        <v>0</v>
      </c>
      <c r="O1007" s="1129">
        <v>365.6</v>
      </c>
      <c r="P1007" s="1129">
        <v>1445524</v>
      </c>
      <c r="Q1007" s="1129">
        <v>0</v>
      </c>
      <c r="R1007" s="1129">
        <v>0</v>
      </c>
      <c r="S1007" s="1129">
        <v>0</v>
      </c>
      <c r="T1007" s="1129">
        <v>0</v>
      </c>
      <c r="U1007" s="1129">
        <v>0</v>
      </c>
      <c r="V1007" s="1129">
        <v>0</v>
      </c>
      <c r="W1007" s="1167">
        <v>0</v>
      </c>
      <c r="X1007" s="1129">
        <v>113219</v>
      </c>
      <c r="Y1007" s="1129">
        <v>0</v>
      </c>
    </row>
    <row r="1008" spans="1:25" s="1137" customFormat="1" ht="132.6" customHeight="1">
      <c r="A1008" s="1280"/>
      <c r="B1008" s="1135" t="s">
        <v>1122</v>
      </c>
      <c r="C1008" s="1129">
        <f>C1009+C1010+C1012+C1011+C1013+C1014+C1015+C1016+C1017+C1018</f>
        <v>54144712.320000008</v>
      </c>
      <c r="D1008" s="1129">
        <f t="shared" ref="D1008:Y1008" si="508">D1009+D1010+D1012+D1011+D1013+D1014+D1015+D1016+D1017+D1018</f>
        <v>0</v>
      </c>
      <c r="E1008" s="1129">
        <f t="shared" si="508"/>
        <v>0</v>
      </c>
      <c r="F1008" s="1129">
        <f t="shared" si="508"/>
        <v>0</v>
      </c>
      <c r="G1008" s="1129">
        <f t="shared" si="508"/>
        <v>0</v>
      </c>
      <c r="H1008" s="1129">
        <f t="shared" si="508"/>
        <v>0</v>
      </c>
      <c r="I1008" s="1129">
        <f t="shared" si="508"/>
        <v>0</v>
      </c>
      <c r="J1008" s="1129">
        <f t="shared" si="508"/>
        <v>0</v>
      </c>
      <c r="K1008" s="1129">
        <f t="shared" si="508"/>
        <v>0</v>
      </c>
      <c r="L1008" s="1129">
        <f t="shared" si="508"/>
        <v>0</v>
      </c>
      <c r="M1008" s="1129">
        <f t="shared" si="508"/>
        <v>6</v>
      </c>
      <c r="N1008" s="1129">
        <f t="shared" si="508"/>
        <v>16709331.49</v>
      </c>
      <c r="O1008" s="1129">
        <f t="shared" si="508"/>
        <v>9098.1</v>
      </c>
      <c r="P1008" s="1129">
        <f t="shared" si="508"/>
        <v>33653529.490000002</v>
      </c>
      <c r="Q1008" s="1129">
        <f t="shared" si="508"/>
        <v>0</v>
      </c>
      <c r="R1008" s="1129">
        <f t="shared" si="508"/>
        <v>0</v>
      </c>
      <c r="S1008" s="1129">
        <f t="shared" si="508"/>
        <v>0</v>
      </c>
      <c r="T1008" s="1129">
        <f t="shared" si="508"/>
        <v>0</v>
      </c>
      <c r="U1008" s="1129">
        <f t="shared" si="508"/>
        <v>0</v>
      </c>
      <c r="V1008" s="1129">
        <f t="shared" si="508"/>
        <v>0</v>
      </c>
      <c r="W1008" s="1129">
        <f t="shared" si="508"/>
        <v>0</v>
      </c>
      <c r="X1008" s="1129">
        <f t="shared" si="508"/>
        <v>3781851.34</v>
      </c>
      <c r="Y1008" s="1129">
        <f t="shared" si="508"/>
        <v>0</v>
      </c>
    </row>
    <row r="1009" spans="1:25" s="1137" customFormat="1" ht="102" customHeight="1">
      <c r="A1009" s="1280">
        <v>201</v>
      </c>
      <c r="B1009" s="1135" t="s">
        <v>3034</v>
      </c>
      <c r="C1009" s="1129">
        <f>D1009+N1009+P1009+R1009+T1009+V1009+X1009+L1009</f>
        <v>4499048.28</v>
      </c>
      <c r="D1009" s="1129">
        <f>SUM(E1009:J1009)</f>
        <v>0</v>
      </c>
      <c r="E1009" s="1145">
        <v>0</v>
      </c>
      <c r="F1009" s="1145">
        <v>0</v>
      </c>
      <c r="G1009" s="1145">
        <v>0</v>
      </c>
      <c r="H1009" s="1145">
        <v>0</v>
      </c>
      <c r="I1009" s="1145">
        <v>0</v>
      </c>
      <c r="J1009" s="1145">
        <v>0</v>
      </c>
      <c r="K1009" s="1136">
        <v>0</v>
      </c>
      <c r="L1009" s="1145">
        <v>0</v>
      </c>
      <c r="M1009" s="1136">
        <v>0</v>
      </c>
      <c r="N1009" s="1145">
        <v>0</v>
      </c>
      <c r="O1009" s="1145">
        <v>1245</v>
      </c>
      <c r="P1009" s="1145">
        <v>4172260.68</v>
      </c>
      <c r="Q1009" s="1145">
        <v>0</v>
      </c>
      <c r="R1009" s="1145">
        <v>0</v>
      </c>
      <c r="S1009" s="1145">
        <v>0</v>
      </c>
      <c r="T1009" s="1145">
        <v>0</v>
      </c>
      <c r="U1009" s="1145">
        <v>0</v>
      </c>
      <c r="V1009" s="1145">
        <v>0</v>
      </c>
      <c r="W1009" s="1167">
        <v>0</v>
      </c>
      <c r="X1009" s="1145">
        <v>326787.59999999998</v>
      </c>
      <c r="Y1009" s="1145">
        <v>0</v>
      </c>
    </row>
    <row r="1010" spans="1:25" s="1137" customFormat="1" ht="91.15" customHeight="1">
      <c r="A1010" s="1280">
        <v>202</v>
      </c>
      <c r="B1010" s="1135" t="s">
        <v>2148</v>
      </c>
      <c r="C1010" s="1129">
        <f t="shared" ref="C1010:C1012" si="509">D1010+N1010+P1010+R1010+T1010+V1010+X1010+L1010</f>
        <v>5590383.6899999995</v>
      </c>
      <c r="D1010" s="1129">
        <f t="shared" ref="D1010:D1012" si="510">SUM(E1010:J1010)</f>
        <v>0</v>
      </c>
      <c r="E1010" s="1145">
        <v>0</v>
      </c>
      <c r="F1010" s="1145">
        <v>0</v>
      </c>
      <c r="G1010" s="1145">
        <v>0</v>
      </c>
      <c r="H1010" s="1145">
        <v>0</v>
      </c>
      <c r="I1010" s="1145">
        <v>0</v>
      </c>
      <c r="J1010" s="1145">
        <v>0</v>
      </c>
      <c r="K1010" s="1136">
        <v>0</v>
      </c>
      <c r="L1010" s="1145">
        <v>0</v>
      </c>
      <c r="M1010" s="1136">
        <v>0</v>
      </c>
      <c r="N1010" s="1145">
        <v>0</v>
      </c>
      <c r="O1010" s="1145">
        <v>1547</v>
      </c>
      <c r="P1010" s="1145">
        <v>5184327.13</v>
      </c>
      <c r="Q1010" s="1145">
        <v>0</v>
      </c>
      <c r="R1010" s="1145">
        <v>0</v>
      </c>
      <c r="S1010" s="1145">
        <v>0</v>
      </c>
      <c r="T1010" s="1145">
        <v>0</v>
      </c>
      <c r="U1010" s="1145">
        <v>0</v>
      </c>
      <c r="V1010" s="1145">
        <v>0</v>
      </c>
      <c r="W1010" s="1167">
        <v>0</v>
      </c>
      <c r="X1010" s="1145">
        <v>406056.56</v>
      </c>
      <c r="Y1010" s="1145">
        <v>0</v>
      </c>
    </row>
    <row r="1011" spans="1:25" s="1137" customFormat="1" ht="92.45" customHeight="1">
      <c r="A1011" s="1280">
        <v>203</v>
      </c>
      <c r="B1011" s="1135" t="s">
        <v>2523</v>
      </c>
      <c r="C1011" s="1129">
        <f t="shared" si="509"/>
        <v>4697801.42</v>
      </c>
      <c r="D1011" s="1129">
        <f t="shared" si="510"/>
        <v>0</v>
      </c>
      <c r="E1011" s="1145">
        <v>0</v>
      </c>
      <c r="F1011" s="1145">
        <v>0</v>
      </c>
      <c r="G1011" s="1145">
        <v>0</v>
      </c>
      <c r="H1011" s="1145">
        <v>0</v>
      </c>
      <c r="I1011" s="1145">
        <v>0</v>
      </c>
      <c r="J1011" s="1145">
        <v>0</v>
      </c>
      <c r="K1011" s="1136">
        <v>0</v>
      </c>
      <c r="L1011" s="1145">
        <v>0</v>
      </c>
      <c r="M1011" s="1136">
        <v>0</v>
      </c>
      <c r="N1011" s="1145">
        <v>0</v>
      </c>
      <c r="O1011" s="1145">
        <v>1300</v>
      </c>
      <c r="P1011" s="1145">
        <v>4356577.42</v>
      </c>
      <c r="Q1011" s="1145">
        <v>0</v>
      </c>
      <c r="R1011" s="1145">
        <v>0</v>
      </c>
      <c r="S1011" s="1145">
        <v>0</v>
      </c>
      <c r="T1011" s="1145">
        <v>0</v>
      </c>
      <c r="U1011" s="1145">
        <v>0</v>
      </c>
      <c r="V1011" s="1145">
        <v>0</v>
      </c>
      <c r="W1011" s="1167">
        <v>0</v>
      </c>
      <c r="X1011" s="1145">
        <v>341224</v>
      </c>
      <c r="Y1011" s="1145">
        <v>0</v>
      </c>
    </row>
    <row r="1012" spans="1:25" s="1137" customFormat="1" ht="87.6" customHeight="1">
      <c r="A1012" s="1280">
        <v>204</v>
      </c>
      <c r="B1012" s="1135" t="s">
        <v>2524</v>
      </c>
      <c r="C1012" s="1129">
        <f t="shared" si="509"/>
        <v>8669520.3100000005</v>
      </c>
      <c r="D1012" s="1129">
        <f t="shared" si="510"/>
        <v>0</v>
      </c>
      <c r="E1012" s="1145">
        <v>0</v>
      </c>
      <c r="F1012" s="1145">
        <v>0</v>
      </c>
      <c r="G1012" s="1145">
        <v>0</v>
      </c>
      <c r="H1012" s="1145">
        <v>0</v>
      </c>
      <c r="I1012" s="1145">
        <v>0</v>
      </c>
      <c r="J1012" s="1145">
        <v>0</v>
      </c>
      <c r="K1012" s="1136">
        <v>0</v>
      </c>
      <c r="L1012" s="1145">
        <v>0</v>
      </c>
      <c r="M1012" s="1136">
        <v>3</v>
      </c>
      <c r="N1012" s="1145">
        <v>8039811.1900000004</v>
      </c>
      <c r="O1012" s="1145">
        <v>0</v>
      </c>
      <c r="P1012" s="1145">
        <v>0</v>
      </c>
      <c r="Q1012" s="1145">
        <v>0</v>
      </c>
      <c r="R1012" s="1145">
        <v>0</v>
      </c>
      <c r="S1012" s="1145">
        <v>0</v>
      </c>
      <c r="T1012" s="1145">
        <v>0</v>
      </c>
      <c r="U1012" s="1145">
        <v>0</v>
      </c>
      <c r="V1012" s="1145">
        <v>0</v>
      </c>
      <c r="W1012" s="1167">
        <v>0</v>
      </c>
      <c r="X1012" s="1145">
        <v>629709.12</v>
      </c>
      <c r="Y1012" s="1145">
        <v>0</v>
      </c>
    </row>
    <row r="1013" spans="1:25" s="1137" customFormat="1" ht="87.6" customHeight="1">
      <c r="A1013" s="1280">
        <v>205</v>
      </c>
      <c r="B1013" s="1227" t="s">
        <v>2634</v>
      </c>
      <c r="C1013" s="1129">
        <f t="shared" ref="C1013:C1018" si="511">D1013+N1013+P1013+R1013+T1013+V1013+X1013+L1013</f>
        <v>3099743.14</v>
      </c>
      <c r="D1013" s="1129">
        <f t="shared" ref="D1013:D1018" si="512">SUM(E1013:J1013)</f>
        <v>0</v>
      </c>
      <c r="E1013" s="1145">
        <v>0</v>
      </c>
      <c r="F1013" s="1145">
        <v>0</v>
      </c>
      <c r="G1013" s="1145">
        <v>0</v>
      </c>
      <c r="H1013" s="1145">
        <v>0</v>
      </c>
      <c r="I1013" s="1145">
        <v>0</v>
      </c>
      <c r="J1013" s="1145">
        <v>0</v>
      </c>
      <c r="K1013" s="1136">
        <v>0</v>
      </c>
      <c r="L1013" s="1145">
        <v>0</v>
      </c>
      <c r="M1013" s="1136">
        <v>1</v>
      </c>
      <c r="N1013" s="1145">
        <v>2889840.1</v>
      </c>
      <c r="O1013" s="1145">
        <v>0</v>
      </c>
      <c r="P1013" s="1145">
        <v>0</v>
      </c>
      <c r="Q1013" s="1145">
        <v>0</v>
      </c>
      <c r="R1013" s="1145">
        <v>0</v>
      </c>
      <c r="S1013" s="1145">
        <v>0</v>
      </c>
      <c r="T1013" s="1145">
        <v>0</v>
      </c>
      <c r="U1013" s="1145">
        <v>0</v>
      </c>
      <c r="V1013" s="1145">
        <v>0</v>
      </c>
      <c r="W1013" s="1167">
        <v>0</v>
      </c>
      <c r="X1013" s="1145">
        <v>209903.04</v>
      </c>
      <c r="Y1013" s="1145">
        <v>0</v>
      </c>
    </row>
    <row r="1014" spans="1:25" s="1137" customFormat="1" ht="87.6" customHeight="1">
      <c r="A1014" s="1280">
        <v>206</v>
      </c>
      <c r="B1014" s="1227" t="s">
        <v>3035</v>
      </c>
      <c r="C1014" s="1129">
        <f t="shared" si="511"/>
        <v>3099743.14</v>
      </c>
      <c r="D1014" s="1129">
        <f t="shared" si="512"/>
        <v>0</v>
      </c>
      <c r="E1014" s="1145">
        <v>0</v>
      </c>
      <c r="F1014" s="1145">
        <v>0</v>
      </c>
      <c r="G1014" s="1145">
        <v>0</v>
      </c>
      <c r="H1014" s="1145">
        <v>0</v>
      </c>
      <c r="I1014" s="1145">
        <v>0</v>
      </c>
      <c r="J1014" s="1145">
        <v>0</v>
      </c>
      <c r="K1014" s="1136">
        <v>0</v>
      </c>
      <c r="L1014" s="1145">
        <v>0</v>
      </c>
      <c r="M1014" s="1136">
        <v>1</v>
      </c>
      <c r="N1014" s="1145">
        <v>2889840.1</v>
      </c>
      <c r="O1014" s="1145">
        <v>0</v>
      </c>
      <c r="P1014" s="1145">
        <v>0</v>
      </c>
      <c r="Q1014" s="1145">
        <v>0</v>
      </c>
      <c r="R1014" s="1145">
        <v>0</v>
      </c>
      <c r="S1014" s="1145">
        <v>0</v>
      </c>
      <c r="T1014" s="1145">
        <v>0</v>
      </c>
      <c r="U1014" s="1145">
        <v>0</v>
      </c>
      <c r="V1014" s="1145">
        <v>0</v>
      </c>
      <c r="W1014" s="1167">
        <v>0</v>
      </c>
      <c r="X1014" s="1145">
        <v>209903.04</v>
      </c>
      <c r="Y1014" s="1145">
        <v>0</v>
      </c>
    </row>
    <row r="1015" spans="1:25" s="1137" customFormat="1" ht="87.6" customHeight="1">
      <c r="A1015" s="1280">
        <v>207</v>
      </c>
      <c r="B1015" s="1227" t="s">
        <v>517</v>
      </c>
      <c r="C1015" s="1129">
        <f t="shared" si="511"/>
        <v>3099743.14</v>
      </c>
      <c r="D1015" s="1129">
        <f t="shared" si="512"/>
        <v>0</v>
      </c>
      <c r="E1015" s="1145">
        <v>0</v>
      </c>
      <c r="F1015" s="1145">
        <v>0</v>
      </c>
      <c r="G1015" s="1145">
        <v>0</v>
      </c>
      <c r="H1015" s="1145">
        <v>0</v>
      </c>
      <c r="I1015" s="1145">
        <v>0</v>
      </c>
      <c r="J1015" s="1145">
        <v>0</v>
      </c>
      <c r="K1015" s="1136">
        <v>0</v>
      </c>
      <c r="L1015" s="1145">
        <v>0</v>
      </c>
      <c r="M1015" s="1136">
        <v>1</v>
      </c>
      <c r="N1015" s="1145">
        <v>2889840.1</v>
      </c>
      <c r="O1015" s="1145">
        <v>0</v>
      </c>
      <c r="P1015" s="1145">
        <v>0</v>
      </c>
      <c r="Q1015" s="1145">
        <v>0</v>
      </c>
      <c r="R1015" s="1145">
        <v>0</v>
      </c>
      <c r="S1015" s="1145">
        <v>0</v>
      </c>
      <c r="T1015" s="1145">
        <v>0</v>
      </c>
      <c r="U1015" s="1145">
        <v>0</v>
      </c>
      <c r="V1015" s="1145">
        <v>0</v>
      </c>
      <c r="W1015" s="1167">
        <v>0</v>
      </c>
      <c r="X1015" s="1145">
        <v>209903.04</v>
      </c>
      <c r="Y1015" s="1145">
        <v>0</v>
      </c>
    </row>
    <row r="1016" spans="1:25" s="1137" customFormat="1" ht="87.6" customHeight="1">
      <c r="A1016" s="1280">
        <v>208</v>
      </c>
      <c r="B1016" s="1227" t="s">
        <v>2636</v>
      </c>
      <c r="C1016" s="1129">
        <f t="shared" si="511"/>
        <v>5092407.2200000007</v>
      </c>
      <c r="D1016" s="1129">
        <f t="shared" si="512"/>
        <v>0</v>
      </c>
      <c r="E1016" s="1145">
        <v>0</v>
      </c>
      <c r="F1016" s="1145">
        <v>0</v>
      </c>
      <c r="G1016" s="1145">
        <v>0</v>
      </c>
      <c r="H1016" s="1145">
        <v>0</v>
      </c>
      <c r="I1016" s="1145">
        <v>0</v>
      </c>
      <c r="J1016" s="1145">
        <v>0</v>
      </c>
      <c r="K1016" s="1136">
        <v>0</v>
      </c>
      <c r="L1016" s="1145">
        <v>0</v>
      </c>
      <c r="M1016" s="1136">
        <v>0</v>
      </c>
      <c r="N1016" s="1145">
        <v>0</v>
      </c>
      <c r="O1016" s="1145">
        <v>924.6</v>
      </c>
      <c r="P1016" s="1145">
        <v>4747568.4000000004</v>
      </c>
      <c r="Q1016" s="1145">
        <v>0</v>
      </c>
      <c r="R1016" s="1145">
        <v>0</v>
      </c>
      <c r="S1016" s="1145">
        <v>0</v>
      </c>
      <c r="T1016" s="1145">
        <v>0</v>
      </c>
      <c r="U1016" s="1145">
        <v>0</v>
      </c>
      <c r="V1016" s="1145">
        <v>0</v>
      </c>
      <c r="W1016" s="1167">
        <v>0</v>
      </c>
      <c r="X1016" s="1145">
        <v>344838.82</v>
      </c>
      <c r="Y1016" s="1145">
        <v>0</v>
      </c>
    </row>
    <row r="1017" spans="1:25" s="1137" customFormat="1" ht="87.6" customHeight="1">
      <c r="A1017" s="1280">
        <v>209</v>
      </c>
      <c r="B1017" s="1227" t="s">
        <v>2637</v>
      </c>
      <c r="C1017" s="1129">
        <f t="shared" si="511"/>
        <v>13175113.389999999</v>
      </c>
      <c r="D1017" s="1129">
        <f t="shared" si="512"/>
        <v>0</v>
      </c>
      <c r="E1017" s="1145">
        <v>0</v>
      </c>
      <c r="F1017" s="1145">
        <v>0</v>
      </c>
      <c r="G1017" s="1145">
        <v>0</v>
      </c>
      <c r="H1017" s="1145">
        <v>0</v>
      </c>
      <c r="I1017" s="1145">
        <v>0</v>
      </c>
      <c r="J1017" s="1145">
        <v>0</v>
      </c>
      <c r="K1017" s="1136">
        <v>0</v>
      </c>
      <c r="L1017" s="1145">
        <v>0</v>
      </c>
      <c r="M1017" s="1136">
        <v>0</v>
      </c>
      <c r="N1017" s="1145">
        <v>0</v>
      </c>
      <c r="O1017" s="1145">
        <v>3399</v>
      </c>
      <c r="P1017" s="1145">
        <v>12282943.869999999</v>
      </c>
      <c r="Q1017" s="1145">
        <v>0</v>
      </c>
      <c r="R1017" s="1145">
        <v>0</v>
      </c>
      <c r="S1017" s="1145">
        <v>0</v>
      </c>
      <c r="T1017" s="1145">
        <v>0</v>
      </c>
      <c r="U1017" s="1145">
        <v>0</v>
      </c>
      <c r="V1017" s="1145">
        <v>0</v>
      </c>
      <c r="W1017" s="1167">
        <v>0</v>
      </c>
      <c r="X1017" s="1145">
        <v>892169.52</v>
      </c>
      <c r="Y1017" s="1145">
        <v>0</v>
      </c>
    </row>
    <row r="1018" spans="1:25" s="1137" customFormat="1" ht="87.6" customHeight="1">
      <c r="A1018" s="1280">
        <v>210</v>
      </c>
      <c r="B1018" s="1227" t="s">
        <v>2638</v>
      </c>
      <c r="C1018" s="1129">
        <f t="shared" si="511"/>
        <v>3121208.5900000003</v>
      </c>
      <c r="D1018" s="1129">
        <f t="shared" si="512"/>
        <v>0</v>
      </c>
      <c r="E1018" s="1145">
        <v>0</v>
      </c>
      <c r="F1018" s="1145">
        <v>0</v>
      </c>
      <c r="G1018" s="1145">
        <v>0</v>
      </c>
      <c r="H1018" s="1145">
        <v>0</v>
      </c>
      <c r="I1018" s="1145">
        <v>0</v>
      </c>
      <c r="J1018" s="1145">
        <v>0</v>
      </c>
      <c r="K1018" s="1136">
        <v>0</v>
      </c>
      <c r="L1018" s="1145">
        <v>0</v>
      </c>
      <c r="M1018" s="1136">
        <v>0</v>
      </c>
      <c r="N1018" s="1145">
        <v>0</v>
      </c>
      <c r="O1018" s="1145">
        <v>682.5</v>
      </c>
      <c r="P1018" s="1145">
        <v>2909851.99</v>
      </c>
      <c r="Q1018" s="1145">
        <v>0</v>
      </c>
      <c r="R1018" s="1145">
        <v>0</v>
      </c>
      <c r="S1018" s="1145">
        <v>0</v>
      </c>
      <c r="T1018" s="1145">
        <v>0</v>
      </c>
      <c r="U1018" s="1145">
        <v>0</v>
      </c>
      <c r="V1018" s="1145">
        <v>0</v>
      </c>
      <c r="W1018" s="1167">
        <v>0</v>
      </c>
      <c r="X1018" s="1145">
        <v>211356.6</v>
      </c>
      <c r="Y1018" s="1145">
        <v>0</v>
      </c>
    </row>
    <row r="1019" spans="1:25" s="1137" customFormat="1" ht="66.599999999999994" customHeight="1">
      <c r="A1019" s="1280"/>
      <c r="B1019" s="1135" t="s">
        <v>67</v>
      </c>
      <c r="C1019" s="1129">
        <f>C1020</f>
        <v>3904530.34</v>
      </c>
      <c r="D1019" s="1129">
        <f t="shared" ref="D1019:Y1019" si="513">D1020</f>
        <v>0</v>
      </c>
      <c r="E1019" s="1129">
        <f t="shared" si="513"/>
        <v>0</v>
      </c>
      <c r="F1019" s="1129">
        <f t="shared" si="513"/>
        <v>0</v>
      </c>
      <c r="G1019" s="1129">
        <f t="shared" si="513"/>
        <v>0</v>
      </c>
      <c r="H1019" s="1129">
        <f t="shared" si="513"/>
        <v>0</v>
      </c>
      <c r="I1019" s="1129">
        <f t="shared" si="513"/>
        <v>0</v>
      </c>
      <c r="J1019" s="1129">
        <f t="shared" si="513"/>
        <v>0</v>
      </c>
      <c r="K1019" s="1136">
        <f t="shared" si="513"/>
        <v>0</v>
      </c>
      <c r="L1019" s="1129">
        <f t="shared" si="513"/>
        <v>0</v>
      </c>
      <c r="M1019" s="1136">
        <f t="shared" si="513"/>
        <v>0</v>
      </c>
      <c r="N1019" s="1129">
        <f t="shared" si="513"/>
        <v>0</v>
      </c>
      <c r="O1019" s="1129">
        <f t="shared" si="513"/>
        <v>915.8</v>
      </c>
      <c r="P1019" s="1129">
        <f t="shared" si="513"/>
        <v>3620925.31</v>
      </c>
      <c r="Q1019" s="1129">
        <f t="shared" si="513"/>
        <v>0</v>
      </c>
      <c r="R1019" s="1129">
        <f t="shared" si="513"/>
        <v>0</v>
      </c>
      <c r="S1019" s="1129">
        <f t="shared" si="513"/>
        <v>0</v>
      </c>
      <c r="T1019" s="1129">
        <f t="shared" si="513"/>
        <v>0</v>
      </c>
      <c r="U1019" s="1129">
        <f t="shared" si="513"/>
        <v>0</v>
      </c>
      <c r="V1019" s="1129">
        <f t="shared" si="513"/>
        <v>0</v>
      </c>
      <c r="W1019" s="1167">
        <v>0</v>
      </c>
      <c r="X1019" s="1129">
        <f t="shared" si="513"/>
        <v>283605.03000000003</v>
      </c>
      <c r="Y1019" s="1129">
        <f t="shared" si="513"/>
        <v>0</v>
      </c>
    </row>
    <row r="1020" spans="1:25" s="1137" customFormat="1" ht="184.9" customHeight="1">
      <c r="A1020" s="1280"/>
      <c r="B1020" s="1135" t="s">
        <v>1234</v>
      </c>
      <c r="C1020" s="1129">
        <f>C1021+C1022</f>
        <v>3904530.34</v>
      </c>
      <c r="D1020" s="1129">
        <f t="shared" ref="D1020:Y1020" si="514">D1021+D1022</f>
        <v>0</v>
      </c>
      <c r="E1020" s="1129">
        <f t="shared" si="514"/>
        <v>0</v>
      </c>
      <c r="F1020" s="1129">
        <f t="shared" si="514"/>
        <v>0</v>
      </c>
      <c r="G1020" s="1129">
        <f t="shared" si="514"/>
        <v>0</v>
      </c>
      <c r="H1020" s="1129">
        <f t="shared" si="514"/>
        <v>0</v>
      </c>
      <c r="I1020" s="1129">
        <f t="shared" si="514"/>
        <v>0</v>
      </c>
      <c r="J1020" s="1129">
        <f t="shared" si="514"/>
        <v>0</v>
      </c>
      <c r="K1020" s="1136">
        <f t="shared" si="514"/>
        <v>0</v>
      </c>
      <c r="L1020" s="1129">
        <f t="shared" si="514"/>
        <v>0</v>
      </c>
      <c r="M1020" s="1136">
        <f t="shared" si="514"/>
        <v>0</v>
      </c>
      <c r="N1020" s="1129">
        <f t="shared" si="514"/>
        <v>0</v>
      </c>
      <c r="O1020" s="1129">
        <f t="shared" si="514"/>
        <v>915.8</v>
      </c>
      <c r="P1020" s="1129">
        <f t="shared" si="514"/>
        <v>3620925.31</v>
      </c>
      <c r="Q1020" s="1129">
        <f t="shared" si="514"/>
        <v>0</v>
      </c>
      <c r="R1020" s="1129">
        <f t="shared" si="514"/>
        <v>0</v>
      </c>
      <c r="S1020" s="1129">
        <f t="shared" si="514"/>
        <v>0</v>
      </c>
      <c r="T1020" s="1129">
        <f t="shared" si="514"/>
        <v>0</v>
      </c>
      <c r="U1020" s="1129">
        <f t="shared" si="514"/>
        <v>0</v>
      </c>
      <c r="V1020" s="1129">
        <f t="shared" si="514"/>
        <v>0</v>
      </c>
      <c r="W1020" s="1129">
        <f t="shared" si="514"/>
        <v>0</v>
      </c>
      <c r="X1020" s="1129">
        <f t="shared" si="514"/>
        <v>283605.03000000003</v>
      </c>
      <c r="Y1020" s="1129">
        <f t="shared" si="514"/>
        <v>0</v>
      </c>
    </row>
    <row r="1021" spans="1:25" s="1137" customFormat="1" ht="103.9" customHeight="1">
      <c r="A1021" s="1280">
        <v>211</v>
      </c>
      <c r="B1021" s="1135" t="s">
        <v>3036</v>
      </c>
      <c r="C1021" s="1129">
        <f>D1021+N1021+P1021+R1021+T1021+V1021+X1021</f>
        <v>2184627.34</v>
      </c>
      <c r="D1021" s="1129">
        <v>0</v>
      </c>
      <c r="E1021" s="1129">
        <v>0</v>
      </c>
      <c r="F1021" s="1129">
        <v>0</v>
      </c>
      <c r="G1021" s="1129">
        <v>0</v>
      </c>
      <c r="H1021" s="1129">
        <v>0</v>
      </c>
      <c r="I1021" s="1129">
        <v>0</v>
      </c>
      <c r="J1021" s="1129">
        <v>0</v>
      </c>
      <c r="K1021" s="1136">
        <v>0</v>
      </c>
      <c r="L1021" s="1129">
        <v>0</v>
      </c>
      <c r="M1021" s="1136">
        <v>0</v>
      </c>
      <c r="N1021" s="1129">
        <v>0</v>
      </c>
      <c r="O1021" s="1129">
        <v>512.4</v>
      </c>
      <c r="P1021" s="1129">
        <v>2025947.31</v>
      </c>
      <c r="Q1021" s="1129">
        <v>0</v>
      </c>
      <c r="R1021" s="1129">
        <v>0</v>
      </c>
      <c r="S1021" s="1129">
        <v>0</v>
      </c>
      <c r="T1021" s="1129">
        <v>0</v>
      </c>
      <c r="U1021" s="1129">
        <v>0</v>
      </c>
      <c r="V1021" s="1129">
        <v>0</v>
      </c>
      <c r="W1021" s="1167">
        <v>0</v>
      </c>
      <c r="X1021" s="1129">
        <v>158680.03</v>
      </c>
      <c r="Y1021" s="1129">
        <v>0</v>
      </c>
    </row>
    <row r="1022" spans="1:25" s="1137" customFormat="1" ht="103.9" customHeight="1">
      <c r="A1022" s="1280">
        <v>212</v>
      </c>
      <c r="B1022" s="1135" t="s">
        <v>3037</v>
      </c>
      <c r="C1022" s="1129">
        <f>D1022+N1022+P1022+R1022+T1022+V1022+X1022</f>
        <v>1719903</v>
      </c>
      <c r="D1022" s="1129">
        <v>0</v>
      </c>
      <c r="E1022" s="1129">
        <v>0</v>
      </c>
      <c r="F1022" s="1129">
        <v>0</v>
      </c>
      <c r="G1022" s="1129">
        <v>0</v>
      </c>
      <c r="H1022" s="1129">
        <v>0</v>
      </c>
      <c r="I1022" s="1129">
        <v>0</v>
      </c>
      <c r="J1022" s="1129">
        <v>0</v>
      </c>
      <c r="K1022" s="1136">
        <v>0</v>
      </c>
      <c r="L1022" s="1129">
        <v>0</v>
      </c>
      <c r="M1022" s="1136">
        <v>0</v>
      </c>
      <c r="N1022" s="1129">
        <v>0</v>
      </c>
      <c r="O1022" s="1129">
        <v>403.4</v>
      </c>
      <c r="P1022" s="1129">
        <v>1594978</v>
      </c>
      <c r="Q1022" s="1129">
        <v>0</v>
      </c>
      <c r="R1022" s="1129">
        <v>0</v>
      </c>
      <c r="S1022" s="1129">
        <v>0</v>
      </c>
      <c r="T1022" s="1129">
        <v>0</v>
      </c>
      <c r="U1022" s="1129">
        <v>0</v>
      </c>
      <c r="V1022" s="1129">
        <v>0</v>
      </c>
      <c r="W1022" s="1167">
        <v>0</v>
      </c>
      <c r="X1022" s="1129">
        <v>124925</v>
      </c>
      <c r="Y1022" s="1129">
        <v>0</v>
      </c>
    </row>
    <row r="1023" spans="1:25" s="1137" customFormat="1" ht="80.45" customHeight="1">
      <c r="A1023" s="1415" t="s">
        <v>2291</v>
      </c>
      <c r="B1023" s="1415"/>
      <c r="C1023" s="1415"/>
      <c r="D1023" s="1415"/>
      <c r="E1023" s="1415"/>
      <c r="F1023" s="1415"/>
      <c r="G1023" s="1415"/>
      <c r="H1023" s="1415"/>
      <c r="I1023" s="1415"/>
      <c r="J1023" s="1415"/>
      <c r="K1023" s="1415"/>
      <c r="L1023" s="1415"/>
      <c r="M1023" s="1415"/>
      <c r="N1023" s="1415"/>
      <c r="O1023" s="1415"/>
      <c r="P1023" s="1415"/>
      <c r="Q1023" s="1415"/>
      <c r="R1023" s="1415"/>
      <c r="S1023" s="1415"/>
      <c r="T1023" s="1415"/>
      <c r="U1023" s="1415"/>
      <c r="V1023" s="1415"/>
      <c r="W1023" s="1415"/>
      <c r="X1023" s="1415"/>
      <c r="Y1023" s="1415"/>
    </row>
    <row r="1024" spans="1:25" s="1137" customFormat="1" ht="96.6" customHeight="1">
      <c r="A1024" s="1135"/>
      <c r="B1024" s="1135" t="s">
        <v>2855</v>
      </c>
      <c r="C1024" s="1129">
        <f>C1025+C1205+C1237+C1309+C1334+C1347+C1357+C1367+C1371+C1392+C1404+C1414+C1420+C1432+C1437+C1465+C1509+C1512+C1519+C1540+C1550+C1563+C1566+C1574+C1576+C1593+C1595+C1543+C1555+C1399+C1450+C1581+C1588+C1344+C1558</f>
        <v>1527901846.2817137</v>
      </c>
      <c r="D1024" s="1129">
        <f t="shared" ref="D1024:Y1024" si="515">D1025+D1205+D1237+D1309+D1334+D1347+D1357+D1367+D1371+D1392+D1404+D1414+D1420+D1432+D1437+D1465+D1509+D1512+D1519+D1540+D1550+D1563+D1566+D1574+D1576+D1593+D1595+D1543+D1555+D1399+D1450+D1581+D1588+D1344+D1558</f>
        <v>318918272.62133664</v>
      </c>
      <c r="E1024" s="1129">
        <f t="shared" si="515"/>
        <v>33321394.238167785</v>
      </c>
      <c r="F1024" s="1129">
        <f t="shared" si="515"/>
        <v>109164507.41720001</v>
      </c>
      <c r="G1024" s="1129">
        <f t="shared" si="515"/>
        <v>13110890.079999998</v>
      </c>
      <c r="H1024" s="1129">
        <f t="shared" si="515"/>
        <v>69271112.090000004</v>
      </c>
      <c r="I1024" s="1129">
        <f t="shared" si="515"/>
        <v>54658867.219999999</v>
      </c>
      <c r="J1024" s="1129">
        <f t="shared" si="515"/>
        <v>39391501.575968772</v>
      </c>
      <c r="K1024" s="1129">
        <f t="shared" si="515"/>
        <v>3</v>
      </c>
      <c r="L1024" s="1129">
        <f t="shared" si="515"/>
        <v>1452518.6432000003</v>
      </c>
      <c r="M1024" s="1129">
        <f t="shared" si="515"/>
        <v>4</v>
      </c>
      <c r="N1024" s="1129">
        <f t="shared" si="515"/>
        <v>7291718.6600000001</v>
      </c>
      <c r="O1024" s="1129">
        <f t="shared" si="515"/>
        <v>221777.99999999994</v>
      </c>
      <c r="P1024" s="1129">
        <f t="shared" si="515"/>
        <v>703524182.52310598</v>
      </c>
      <c r="Q1024" s="1129">
        <f t="shared" si="515"/>
        <v>5206.8999999999996</v>
      </c>
      <c r="R1024" s="1129">
        <f t="shared" si="515"/>
        <v>5282992.78</v>
      </c>
      <c r="S1024" s="1129">
        <f t="shared" si="515"/>
        <v>141127.61999999997</v>
      </c>
      <c r="T1024" s="1129">
        <f t="shared" si="515"/>
        <v>391823971.7517212</v>
      </c>
      <c r="U1024" s="1129">
        <f t="shared" si="515"/>
        <v>0</v>
      </c>
      <c r="V1024" s="1129">
        <f t="shared" si="515"/>
        <v>0</v>
      </c>
      <c r="W1024" s="1129">
        <f t="shared" si="515"/>
        <v>0</v>
      </c>
      <c r="X1024" s="1129">
        <f t="shared" si="515"/>
        <v>96176253.842349708</v>
      </c>
      <c r="Y1024" s="1129">
        <f t="shared" si="515"/>
        <v>186348</v>
      </c>
    </row>
    <row r="1025" spans="1:25" s="1137" customFormat="1" ht="104.45" customHeight="1">
      <c r="A1025" s="1280"/>
      <c r="B1025" s="1128" t="s">
        <v>2561</v>
      </c>
      <c r="C1025" s="1129">
        <f t="shared" ref="C1025:V1025" si="516">SUM(C1026:C1204)</f>
        <v>670448133.28705382</v>
      </c>
      <c r="D1025" s="1129">
        <f t="shared" si="516"/>
        <v>216058543.01719999</v>
      </c>
      <c r="E1025" s="1129">
        <f t="shared" si="516"/>
        <v>19609012.940000001</v>
      </c>
      <c r="F1025" s="1129">
        <f t="shared" si="516"/>
        <v>67279113.597200006</v>
      </c>
      <c r="G1025" s="1129">
        <f t="shared" si="516"/>
        <v>12448669.789999999</v>
      </c>
      <c r="H1025" s="1129">
        <f t="shared" si="516"/>
        <v>52632300</v>
      </c>
      <c r="I1025" s="1129">
        <f t="shared" si="516"/>
        <v>38700367.68</v>
      </c>
      <c r="J1025" s="1129">
        <f t="shared" si="516"/>
        <v>25389079.010000002</v>
      </c>
      <c r="K1025" s="1136">
        <f t="shared" si="516"/>
        <v>3</v>
      </c>
      <c r="L1025" s="1129">
        <f t="shared" si="516"/>
        <v>1452518.6432000003</v>
      </c>
      <c r="M1025" s="1136">
        <f t="shared" si="516"/>
        <v>2</v>
      </c>
      <c r="N1025" s="1129">
        <f t="shared" si="516"/>
        <v>3647988.43</v>
      </c>
      <c r="O1025" s="1129">
        <f t="shared" si="516"/>
        <v>78479.179999999993</v>
      </c>
      <c r="P1025" s="1129">
        <f t="shared" si="516"/>
        <v>239306334.7078</v>
      </c>
      <c r="Q1025" s="1129">
        <f t="shared" si="516"/>
        <v>4452</v>
      </c>
      <c r="R1025" s="1129">
        <f t="shared" si="516"/>
        <v>4070894.54</v>
      </c>
      <c r="S1025" s="1129">
        <f t="shared" si="516"/>
        <v>52943.509999999995</v>
      </c>
      <c r="T1025" s="1129">
        <f t="shared" si="516"/>
        <v>167997146.64885399</v>
      </c>
      <c r="U1025" s="1129">
        <f t="shared" si="516"/>
        <v>0</v>
      </c>
      <c r="V1025" s="1129">
        <f t="shared" si="516"/>
        <v>0</v>
      </c>
      <c r="W1025" s="1129">
        <v>0</v>
      </c>
      <c r="X1025" s="1129">
        <f>SUM(X1026:X1204)</f>
        <v>37914707.299999997</v>
      </c>
      <c r="Y1025" s="1129">
        <f>SUM(Y1026:Y1204)</f>
        <v>0</v>
      </c>
    </row>
    <row r="1026" spans="1:25" s="1137" customFormat="1" ht="105.6" customHeight="1">
      <c r="A1026" s="1280">
        <v>1</v>
      </c>
      <c r="B1026" s="1128" t="s">
        <v>1634</v>
      </c>
      <c r="C1026" s="1129">
        <f>D1026+N1026+P1026+R1026+T1026+V1026+Y1026+L1026+X1026</f>
        <v>2381298</v>
      </c>
      <c r="D1026" s="1129">
        <f t="shared" ref="D1026:D1079" si="517">SUM(E1026:J1026)</f>
        <v>0</v>
      </c>
      <c r="E1026" s="1129">
        <v>0</v>
      </c>
      <c r="F1026" s="1129">
        <v>0</v>
      </c>
      <c r="G1026" s="1129">
        <v>0</v>
      </c>
      <c r="H1026" s="1129">
        <v>0</v>
      </c>
      <c r="I1026" s="1129">
        <v>0</v>
      </c>
      <c r="J1026" s="1129">
        <v>0</v>
      </c>
      <c r="K1026" s="1136">
        <v>0</v>
      </c>
      <c r="L1026" s="1129">
        <v>0</v>
      </c>
      <c r="M1026" s="1136">
        <v>0</v>
      </c>
      <c r="N1026" s="1129">
        <v>0</v>
      </c>
      <c r="O1026" s="1129">
        <v>0</v>
      </c>
      <c r="P1026" s="1129">
        <v>0</v>
      </c>
      <c r="Q1026" s="1129">
        <v>0</v>
      </c>
      <c r="R1026" s="1129">
        <v>0</v>
      </c>
      <c r="S1026" s="1129">
        <v>460.7</v>
      </c>
      <c r="T1026" s="1129">
        <v>2208333</v>
      </c>
      <c r="U1026" s="1129">
        <v>0</v>
      </c>
      <c r="V1026" s="1129">
        <v>0</v>
      </c>
      <c r="W1026" s="1129">
        <v>0</v>
      </c>
      <c r="X1026" s="1129">
        <v>172965</v>
      </c>
      <c r="Y1026" s="1129">
        <v>0</v>
      </c>
    </row>
    <row r="1027" spans="1:25" s="1137" customFormat="1" ht="55.9" customHeight="1">
      <c r="A1027" s="1280">
        <v>2</v>
      </c>
      <c r="B1027" s="1128" t="s">
        <v>1771</v>
      </c>
      <c r="C1027" s="1129">
        <f t="shared" ref="C1027:C1079" si="518">D1027+N1027+P1027+R1027+T1027+V1027+Y1027+L1027+X1027</f>
        <v>4386000</v>
      </c>
      <c r="D1027" s="1129">
        <f t="shared" si="517"/>
        <v>4336505</v>
      </c>
      <c r="E1027" s="1129">
        <v>0</v>
      </c>
      <c r="F1027" s="1129">
        <v>4336505</v>
      </c>
      <c r="G1027" s="1129">
        <v>0</v>
      </c>
      <c r="H1027" s="1129">
        <v>0</v>
      </c>
      <c r="I1027" s="1129">
        <v>0</v>
      </c>
      <c r="J1027" s="1129">
        <v>0</v>
      </c>
      <c r="K1027" s="1136">
        <v>0</v>
      </c>
      <c r="L1027" s="1129">
        <v>0</v>
      </c>
      <c r="M1027" s="1136">
        <v>0</v>
      </c>
      <c r="N1027" s="1129">
        <v>0</v>
      </c>
      <c r="O1027" s="1129">
        <v>0</v>
      </c>
      <c r="P1027" s="1129">
        <v>0</v>
      </c>
      <c r="Q1027" s="1129">
        <v>0</v>
      </c>
      <c r="R1027" s="1129">
        <v>0</v>
      </c>
      <c r="S1027" s="1129">
        <v>0</v>
      </c>
      <c r="T1027" s="1129">
        <v>0</v>
      </c>
      <c r="U1027" s="1129">
        <v>0</v>
      </c>
      <c r="V1027" s="1129">
        <v>0</v>
      </c>
      <c r="W1027" s="1129">
        <v>0</v>
      </c>
      <c r="X1027" s="1129">
        <v>49495</v>
      </c>
      <c r="Y1027" s="1129">
        <v>0</v>
      </c>
    </row>
    <row r="1028" spans="1:25" s="1137" customFormat="1" ht="59.45" customHeight="1">
      <c r="A1028" s="1280">
        <v>3</v>
      </c>
      <c r="B1028" s="1128" t="s">
        <v>1671</v>
      </c>
      <c r="C1028" s="1129">
        <f t="shared" si="518"/>
        <v>3266338</v>
      </c>
      <c r="D1028" s="1129">
        <f t="shared" si="517"/>
        <v>0</v>
      </c>
      <c r="E1028" s="1129">
        <v>0</v>
      </c>
      <c r="F1028" s="1129">
        <v>0</v>
      </c>
      <c r="G1028" s="1129">
        <v>0</v>
      </c>
      <c r="H1028" s="1129">
        <v>0</v>
      </c>
      <c r="I1028" s="1129">
        <v>0</v>
      </c>
      <c r="J1028" s="1129">
        <v>0</v>
      </c>
      <c r="K1028" s="1136">
        <v>0</v>
      </c>
      <c r="L1028" s="1129">
        <v>0</v>
      </c>
      <c r="M1028" s="1136">
        <v>0</v>
      </c>
      <c r="N1028" s="1129">
        <v>0</v>
      </c>
      <c r="O1028" s="1129">
        <v>1223</v>
      </c>
      <c r="P1028" s="1129">
        <v>3217231</v>
      </c>
      <c r="Q1028" s="1129">
        <v>0</v>
      </c>
      <c r="R1028" s="1129">
        <v>0</v>
      </c>
      <c r="S1028" s="1129">
        <v>0</v>
      </c>
      <c r="T1028" s="1129">
        <v>0</v>
      </c>
      <c r="U1028" s="1129">
        <v>0</v>
      </c>
      <c r="V1028" s="1129">
        <v>0</v>
      </c>
      <c r="W1028" s="1129">
        <v>0</v>
      </c>
      <c r="X1028" s="1129">
        <v>49107</v>
      </c>
      <c r="Y1028" s="1129">
        <v>0</v>
      </c>
    </row>
    <row r="1029" spans="1:25" s="1137" customFormat="1" ht="60.6" customHeight="1">
      <c r="A1029" s="1280">
        <v>4</v>
      </c>
      <c r="B1029" s="1128" t="s">
        <v>1672</v>
      </c>
      <c r="C1029" s="1129">
        <f t="shared" si="518"/>
        <v>3240797</v>
      </c>
      <c r="D1029" s="1129">
        <f t="shared" si="517"/>
        <v>0</v>
      </c>
      <c r="E1029" s="1129">
        <v>0</v>
      </c>
      <c r="F1029" s="1129">
        <v>0</v>
      </c>
      <c r="G1029" s="1129">
        <v>0</v>
      </c>
      <c r="H1029" s="1129">
        <v>0</v>
      </c>
      <c r="I1029" s="1129">
        <v>0</v>
      </c>
      <c r="J1029" s="1129">
        <v>0</v>
      </c>
      <c r="K1029" s="1136">
        <v>0</v>
      </c>
      <c r="L1029" s="1129">
        <v>0</v>
      </c>
      <c r="M1029" s="1136">
        <v>0</v>
      </c>
      <c r="N1029" s="1129">
        <v>0</v>
      </c>
      <c r="O1029" s="1129">
        <v>1074</v>
      </c>
      <c r="P1029" s="1129">
        <v>3185844</v>
      </c>
      <c r="Q1029" s="1129">
        <v>0</v>
      </c>
      <c r="R1029" s="1129">
        <v>0</v>
      </c>
      <c r="S1029" s="1129">
        <v>0</v>
      </c>
      <c r="T1029" s="1129">
        <v>0</v>
      </c>
      <c r="U1029" s="1129">
        <v>0</v>
      </c>
      <c r="V1029" s="1129">
        <v>0</v>
      </c>
      <c r="W1029" s="1129">
        <v>0</v>
      </c>
      <c r="X1029" s="1129">
        <v>54953</v>
      </c>
      <c r="Y1029" s="1129">
        <v>0</v>
      </c>
    </row>
    <row r="1030" spans="1:25" s="1137" customFormat="1" ht="65.45" customHeight="1">
      <c r="A1030" s="1280">
        <v>5</v>
      </c>
      <c r="B1030" s="1128" t="s">
        <v>1772</v>
      </c>
      <c r="C1030" s="1129">
        <f t="shared" si="518"/>
        <v>659655.96</v>
      </c>
      <c r="D1030" s="1129">
        <f t="shared" si="517"/>
        <v>316071.96000000002</v>
      </c>
      <c r="E1030" s="1129">
        <v>0</v>
      </c>
      <c r="F1030" s="1129">
        <v>0</v>
      </c>
      <c r="G1030" s="1129">
        <v>0</v>
      </c>
      <c r="H1030" s="1129">
        <v>0</v>
      </c>
      <c r="I1030" s="1129">
        <v>0</v>
      </c>
      <c r="J1030" s="1129">
        <v>316071.96000000002</v>
      </c>
      <c r="K1030" s="1136">
        <v>0</v>
      </c>
      <c r="L1030" s="1129">
        <v>0</v>
      </c>
      <c r="M1030" s="1136">
        <v>0</v>
      </c>
      <c r="N1030" s="1129">
        <v>0</v>
      </c>
      <c r="O1030" s="1129">
        <v>0</v>
      </c>
      <c r="P1030" s="1129">
        <v>0</v>
      </c>
      <c r="Q1030" s="1129">
        <v>0</v>
      </c>
      <c r="R1030" s="1129">
        <v>0</v>
      </c>
      <c r="S1030" s="1129">
        <v>0</v>
      </c>
      <c r="T1030" s="1129">
        <v>0</v>
      </c>
      <c r="U1030" s="1129">
        <v>0</v>
      </c>
      <c r="V1030" s="1129">
        <v>0</v>
      </c>
      <c r="W1030" s="1129">
        <v>0</v>
      </c>
      <c r="X1030" s="1212">
        <v>343584</v>
      </c>
      <c r="Y1030" s="1129">
        <v>0</v>
      </c>
    </row>
    <row r="1031" spans="1:25" s="1137" customFormat="1" ht="70.150000000000006" customHeight="1">
      <c r="A1031" s="1280">
        <v>6</v>
      </c>
      <c r="B1031" s="1128" t="s">
        <v>1673</v>
      </c>
      <c r="C1031" s="1129">
        <f t="shared" si="518"/>
        <v>8665992</v>
      </c>
      <c r="D1031" s="1129">
        <f t="shared" si="517"/>
        <v>0</v>
      </c>
      <c r="E1031" s="1129">
        <v>0</v>
      </c>
      <c r="F1031" s="1129">
        <v>0</v>
      </c>
      <c r="G1031" s="1129">
        <v>0</v>
      </c>
      <c r="H1031" s="1129">
        <v>0</v>
      </c>
      <c r="I1031" s="1129">
        <v>0</v>
      </c>
      <c r="J1031" s="1129">
        <v>0</v>
      </c>
      <c r="K1031" s="1136">
        <v>0</v>
      </c>
      <c r="L1031" s="1129">
        <v>0</v>
      </c>
      <c r="M1031" s="1136">
        <v>0</v>
      </c>
      <c r="N1031" s="1129">
        <v>0</v>
      </c>
      <c r="O1031" s="1129">
        <v>0</v>
      </c>
      <c r="P1031" s="1129">
        <v>0</v>
      </c>
      <c r="Q1031" s="1129">
        <v>0</v>
      </c>
      <c r="R1031" s="1129">
        <v>0</v>
      </c>
      <c r="S1031" s="1129">
        <v>2224</v>
      </c>
      <c r="T1031" s="1212">
        <v>8036539</v>
      </c>
      <c r="U1031" s="1129">
        <v>0</v>
      </c>
      <c r="V1031" s="1129">
        <v>0</v>
      </c>
      <c r="W1031" s="1129">
        <v>0</v>
      </c>
      <c r="X1031" s="1212">
        <v>629453</v>
      </c>
      <c r="Y1031" s="1129">
        <v>0</v>
      </c>
    </row>
    <row r="1032" spans="1:25" s="1137" customFormat="1" ht="85.15" customHeight="1">
      <c r="A1032" s="1280">
        <v>7</v>
      </c>
      <c r="B1032" s="1128" t="s">
        <v>3038</v>
      </c>
      <c r="C1032" s="1129">
        <f t="shared" si="518"/>
        <v>405647.25</v>
      </c>
      <c r="D1032" s="1129">
        <f t="shared" si="517"/>
        <v>386449</v>
      </c>
      <c r="E1032" s="1129">
        <v>0</v>
      </c>
      <c r="F1032" s="1129">
        <v>386449</v>
      </c>
      <c r="G1032" s="1129">
        <v>0</v>
      </c>
      <c r="H1032" s="1129">
        <v>0</v>
      </c>
      <c r="I1032" s="1129">
        <v>0</v>
      </c>
      <c r="J1032" s="1129">
        <v>0</v>
      </c>
      <c r="K1032" s="1136">
        <v>0</v>
      </c>
      <c r="L1032" s="1129">
        <v>0</v>
      </c>
      <c r="M1032" s="1136">
        <v>0</v>
      </c>
      <c r="N1032" s="1129">
        <v>0</v>
      </c>
      <c r="O1032" s="1129">
        <v>0</v>
      </c>
      <c r="P1032" s="1129">
        <v>0</v>
      </c>
      <c r="Q1032" s="1129">
        <v>0</v>
      </c>
      <c r="R1032" s="1129">
        <v>0</v>
      </c>
      <c r="S1032" s="1129">
        <v>0</v>
      </c>
      <c r="T1032" s="1129">
        <v>0</v>
      </c>
      <c r="U1032" s="1129">
        <v>0</v>
      </c>
      <c r="V1032" s="1129">
        <v>0</v>
      </c>
      <c r="W1032" s="1129">
        <v>0</v>
      </c>
      <c r="X1032" s="1129">
        <v>19198.25</v>
      </c>
      <c r="Y1032" s="1129">
        <v>0</v>
      </c>
    </row>
    <row r="1033" spans="1:25" s="1137" customFormat="1" ht="90" customHeight="1">
      <c r="A1033" s="1280">
        <v>8</v>
      </c>
      <c r="B1033" s="1128" t="s">
        <v>1881</v>
      </c>
      <c r="C1033" s="1129">
        <f t="shared" si="518"/>
        <v>1429079.7206400002</v>
      </c>
      <c r="D1033" s="1129">
        <f t="shared" si="517"/>
        <v>1054061.9206400001</v>
      </c>
      <c r="E1033" s="1129">
        <v>0</v>
      </c>
      <c r="F1033" s="1212">
        <v>1054061.9206400001</v>
      </c>
      <c r="G1033" s="1129">
        <v>0</v>
      </c>
      <c r="H1033" s="1129">
        <v>0</v>
      </c>
      <c r="I1033" s="1129">
        <v>0</v>
      </c>
      <c r="J1033" s="1129">
        <v>0</v>
      </c>
      <c r="K1033" s="1246">
        <v>1</v>
      </c>
      <c r="L1033" s="1134">
        <v>328781.51</v>
      </c>
      <c r="M1033" s="1136">
        <v>0</v>
      </c>
      <c r="N1033" s="1129">
        <v>0</v>
      </c>
      <c r="O1033" s="1129">
        <v>0</v>
      </c>
      <c r="P1033" s="1129">
        <v>0</v>
      </c>
      <c r="Q1033" s="1129">
        <v>0</v>
      </c>
      <c r="R1033" s="1129">
        <v>0</v>
      </c>
      <c r="S1033" s="1129">
        <v>0</v>
      </c>
      <c r="T1033" s="1129">
        <v>0</v>
      </c>
      <c r="U1033" s="1129">
        <v>0</v>
      </c>
      <c r="V1033" s="1129">
        <v>0</v>
      </c>
      <c r="W1033" s="1129">
        <v>0</v>
      </c>
      <c r="X1033" s="1129">
        <v>46236.29</v>
      </c>
      <c r="Y1033" s="1129">
        <v>0</v>
      </c>
    </row>
    <row r="1034" spans="1:25" s="1137" customFormat="1" ht="64.150000000000006" customHeight="1">
      <c r="A1034" s="1280">
        <v>9</v>
      </c>
      <c r="B1034" s="1128" t="s">
        <v>1547</v>
      </c>
      <c r="C1034" s="1129">
        <f t="shared" si="518"/>
        <v>5074660.5131999999</v>
      </c>
      <c r="D1034" s="1129">
        <f t="shared" si="517"/>
        <v>0</v>
      </c>
      <c r="E1034" s="1129">
        <v>0</v>
      </c>
      <c r="F1034" s="1129">
        <v>0</v>
      </c>
      <c r="G1034" s="1129">
        <v>0</v>
      </c>
      <c r="H1034" s="1129">
        <v>0</v>
      </c>
      <c r="I1034" s="1129">
        <v>0</v>
      </c>
      <c r="J1034" s="1129">
        <v>0</v>
      </c>
      <c r="K1034" s="1136">
        <v>0</v>
      </c>
      <c r="L1034" s="1129">
        <v>0</v>
      </c>
      <c r="M1034" s="1136">
        <v>0</v>
      </c>
      <c r="N1034" s="1129">
        <v>0</v>
      </c>
      <c r="O1034" s="1129">
        <v>1278</v>
      </c>
      <c r="P1034" s="1212">
        <v>5053006.7532000002</v>
      </c>
      <c r="Q1034" s="1129">
        <v>0</v>
      </c>
      <c r="R1034" s="1129">
        <v>0</v>
      </c>
      <c r="S1034" s="1129">
        <v>0</v>
      </c>
      <c r="T1034" s="1129">
        <v>0</v>
      </c>
      <c r="U1034" s="1129">
        <v>0</v>
      </c>
      <c r="V1034" s="1129">
        <v>0</v>
      </c>
      <c r="W1034" s="1129">
        <v>0</v>
      </c>
      <c r="X1034" s="1129">
        <v>21653.759999999998</v>
      </c>
      <c r="Y1034" s="1129">
        <v>0</v>
      </c>
    </row>
    <row r="1035" spans="1:25" s="1137" customFormat="1" ht="99.6" customHeight="1">
      <c r="A1035" s="1280">
        <v>10</v>
      </c>
      <c r="B1035" s="1128" t="s">
        <v>337</v>
      </c>
      <c r="C1035" s="1129">
        <f t="shared" si="518"/>
        <v>3182659.2943400005</v>
      </c>
      <c r="D1035" s="1129">
        <f t="shared" si="517"/>
        <v>1076014.6665599998</v>
      </c>
      <c r="E1035" s="1129">
        <v>0</v>
      </c>
      <c r="F1035" s="1212">
        <v>1076014.6665599998</v>
      </c>
      <c r="G1035" s="1129">
        <v>0</v>
      </c>
      <c r="H1035" s="1129">
        <v>0</v>
      </c>
      <c r="I1035" s="1129">
        <v>0</v>
      </c>
      <c r="J1035" s="1129">
        <v>0</v>
      </c>
      <c r="K1035" s="1246">
        <v>1</v>
      </c>
      <c r="L1035" s="1134">
        <v>328781.51</v>
      </c>
      <c r="M1035" s="1136">
        <v>0</v>
      </c>
      <c r="N1035" s="1129">
        <v>0</v>
      </c>
      <c r="O1035" s="1129">
        <v>0</v>
      </c>
      <c r="P1035" s="1129">
        <v>0</v>
      </c>
      <c r="Q1035" s="1129">
        <v>0</v>
      </c>
      <c r="R1035" s="1129">
        <v>0</v>
      </c>
      <c r="S1035" s="1129">
        <v>760.3</v>
      </c>
      <c r="T1035" s="1212">
        <v>1711664.8777800002</v>
      </c>
      <c r="U1035" s="1129">
        <v>0</v>
      </c>
      <c r="V1035" s="1129">
        <v>0</v>
      </c>
      <c r="W1035" s="1129">
        <v>0</v>
      </c>
      <c r="X1035" s="1129">
        <v>66198.240000000005</v>
      </c>
      <c r="Y1035" s="1129">
        <v>0</v>
      </c>
    </row>
    <row r="1036" spans="1:25" s="1137" customFormat="1" ht="70.150000000000006" customHeight="1">
      <c r="A1036" s="1280">
        <v>11</v>
      </c>
      <c r="B1036" s="1128" t="s">
        <v>235</v>
      </c>
      <c r="C1036" s="1129">
        <f t="shared" si="518"/>
        <v>1424732.405944</v>
      </c>
      <c r="D1036" s="1129">
        <f t="shared" si="517"/>
        <v>0</v>
      </c>
      <c r="E1036" s="1129">
        <v>0</v>
      </c>
      <c r="F1036" s="1129">
        <v>0</v>
      </c>
      <c r="G1036" s="1129">
        <v>0</v>
      </c>
      <c r="H1036" s="1129">
        <v>0</v>
      </c>
      <c r="I1036" s="1129">
        <v>0</v>
      </c>
      <c r="J1036" s="1129">
        <v>0</v>
      </c>
      <c r="K1036" s="1136">
        <v>0</v>
      </c>
      <c r="L1036" s="1129">
        <v>0</v>
      </c>
      <c r="M1036" s="1136">
        <v>0</v>
      </c>
      <c r="N1036" s="1129">
        <v>0</v>
      </c>
      <c r="O1036" s="1129">
        <v>0</v>
      </c>
      <c r="P1036" s="1129">
        <v>0</v>
      </c>
      <c r="Q1036" s="1129">
        <v>0</v>
      </c>
      <c r="R1036" s="1129">
        <v>0</v>
      </c>
      <c r="S1036" s="1129">
        <v>449</v>
      </c>
      <c r="T1036" s="1212">
        <v>1409799.5659439999</v>
      </c>
      <c r="U1036" s="1129">
        <v>0</v>
      </c>
      <c r="V1036" s="1129">
        <v>0</v>
      </c>
      <c r="W1036" s="1129">
        <v>0</v>
      </c>
      <c r="X1036" s="1129">
        <v>14932.84</v>
      </c>
      <c r="Y1036" s="1129">
        <v>0</v>
      </c>
    </row>
    <row r="1037" spans="1:25" s="1137" customFormat="1" ht="88.9" customHeight="1">
      <c r="A1037" s="1280">
        <v>12</v>
      </c>
      <c r="B1037" s="1128" t="s">
        <v>347</v>
      </c>
      <c r="C1037" s="1129">
        <f t="shared" si="518"/>
        <v>1554468.0150000001</v>
      </c>
      <c r="D1037" s="1129">
        <f t="shared" si="517"/>
        <v>0</v>
      </c>
      <c r="E1037" s="1129">
        <v>0</v>
      </c>
      <c r="F1037" s="1129">
        <v>0</v>
      </c>
      <c r="G1037" s="1129">
        <v>0</v>
      </c>
      <c r="H1037" s="1129">
        <v>0</v>
      </c>
      <c r="I1037" s="1129">
        <v>0</v>
      </c>
      <c r="J1037" s="1129">
        <v>0</v>
      </c>
      <c r="K1037" s="1136">
        <v>0</v>
      </c>
      <c r="L1037" s="1129">
        <v>0</v>
      </c>
      <c r="M1037" s="1136">
        <v>0</v>
      </c>
      <c r="N1037" s="1129">
        <v>0</v>
      </c>
      <c r="O1037" s="1129">
        <v>0</v>
      </c>
      <c r="P1037" s="1129">
        <v>0</v>
      </c>
      <c r="Q1037" s="1129">
        <v>0</v>
      </c>
      <c r="R1037" s="1129">
        <v>0</v>
      </c>
      <c r="S1037" s="1129">
        <v>525</v>
      </c>
      <c r="T1037" s="1212">
        <v>1539530.6850000001</v>
      </c>
      <c r="U1037" s="1129">
        <v>0</v>
      </c>
      <c r="V1037" s="1129">
        <v>0</v>
      </c>
      <c r="W1037" s="1129">
        <v>0</v>
      </c>
      <c r="X1037" s="1129">
        <v>14937.33</v>
      </c>
      <c r="Y1037" s="1129">
        <v>0</v>
      </c>
    </row>
    <row r="1038" spans="1:25" s="1137" customFormat="1" ht="64.150000000000006" customHeight="1">
      <c r="A1038" s="1280">
        <v>13</v>
      </c>
      <c r="B1038" s="1128" t="s">
        <v>263</v>
      </c>
      <c r="C1038" s="1129">
        <f t="shared" si="518"/>
        <v>1977340.09</v>
      </c>
      <c r="D1038" s="1129">
        <f t="shared" si="517"/>
        <v>0</v>
      </c>
      <c r="E1038" s="1129">
        <v>0</v>
      </c>
      <c r="F1038" s="1129">
        <v>0</v>
      </c>
      <c r="G1038" s="1129">
        <v>0</v>
      </c>
      <c r="H1038" s="1129">
        <v>0</v>
      </c>
      <c r="I1038" s="1129">
        <v>0</v>
      </c>
      <c r="J1038" s="1129">
        <v>0</v>
      </c>
      <c r="K1038" s="1136">
        <v>0</v>
      </c>
      <c r="L1038" s="1129">
        <v>0</v>
      </c>
      <c r="M1038" s="1136">
        <v>0</v>
      </c>
      <c r="N1038" s="1129">
        <v>0</v>
      </c>
      <c r="O1038" s="1129">
        <v>866.8</v>
      </c>
      <c r="P1038" s="1129">
        <v>1942894</v>
      </c>
      <c r="Q1038" s="1129">
        <v>0</v>
      </c>
      <c r="R1038" s="1129">
        <v>0</v>
      </c>
      <c r="S1038" s="1129">
        <v>0</v>
      </c>
      <c r="T1038" s="1129">
        <v>0</v>
      </c>
      <c r="U1038" s="1129">
        <v>0</v>
      </c>
      <c r="V1038" s="1129">
        <v>0</v>
      </c>
      <c r="W1038" s="1129">
        <v>0</v>
      </c>
      <c r="X1038" s="1129">
        <v>34446.089999999997</v>
      </c>
      <c r="Y1038" s="1129">
        <v>0</v>
      </c>
    </row>
    <row r="1039" spans="1:25" s="1137" customFormat="1" ht="99.6" customHeight="1">
      <c r="A1039" s="1280">
        <v>14</v>
      </c>
      <c r="B1039" s="1128" t="s">
        <v>2617</v>
      </c>
      <c r="C1039" s="1129">
        <f t="shared" si="518"/>
        <v>2351899.71</v>
      </c>
      <c r="D1039" s="1129">
        <f t="shared" si="517"/>
        <v>2302986</v>
      </c>
      <c r="E1039" s="1129">
        <v>2302986</v>
      </c>
      <c r="F1039" s="1129">
        <v>0</v>
      </c>
      <c r="G1039" s="1129">
        <v>0</v>
      </c>
      <c r="H1039" s="1129">
        <v>0</v>
      </c>
      <c r="I1039" s="1129">
        <v>0</v>
      </c>
      <c r="J1039" s="1129">
        <v>0</v>
      </c>
      <c r="K1039" s="1136">
        <v>0</v>
      </c>
      <c r="L1039" s="1129">
        <v>0</v>
      </c>
      <c r="M1039" s="1136">
        <v>0</v>
      </c>
      <c r="N1039" s="1129">
        <v>0</v>
      </c>
      <c r="O1039" s="1129">
        <v>0</v>
      </c>
      <c r="P1039" s="1129">
        <v>0</v>
      </c>
      <c r="Q1039" s="1129">
        <v>0</v>
      </c>
      <c r="R1039" s="1129">
        <v>0</v>
      </c>
      <c r="S1039" s="1129">
        <v>0</v>
      </c>
      <c r="T1039" s="1129">
        <v>0</v>
      </c>
      <c r="U1039" s="1129">
        <v>0</v>
      </c>
      <c r="V1039" s="1129">
        <v>0</v>
      </c>
      <c r="W1039" s="1129">
        <v>0</v>
      </c>
      <c r="X1039" s="1129">
        <v>48913.71</v>
      </c>
      <c r="Y1039" s="1129">
        <v>0</v>
      </c>
    </row>
    <row r="1040" spans="1:25" s="1137" customFormat="1" ht="72.599999999999994" customHeight="1">
      <c r="A1040" s="1280">
        <v>15</v>
      </c>
      <c r="B1040" s="1128" t="s">
        <v>319</v>
      </c>
      <c r="C1040" s="1129">
        <f t="shared" si="518"/>
        <v>914559.01</v>
      </c>
      <c r="D1040" s="1129">
        <f t="shared" si="517"/>
        <v>880750.77</v>
      </c>
      <c r="E1040" s="1129">
        <v>0</v>
      </c>
      <c r="F1040" s="1212">
        <v>880750.77</v>
      </c>
      <c r="G1040" s="1129">
        <v>0</v>
      </c>
      <c r="H1040" s="1129">
        <v>0</v>
      </c>
      <c r="I1040" s="1129">
        <v>0</v>
      </c>
      <c r="J1040" s="1129">
        <v>0</v>
      </c>
      <c r="K1040" s="1136">
        <v>0</v>
      </c>
      <c r="L1040" s="1129">
        <v>0</v>
      </c>
      <c r="M1040" s="1136">
        <v>0</v>
      </c>
      <c r="N1040" s="1129">
        <v>0</v>
      </c>
      <c r="O1040" s="1129">
        <v>0</v>
      </c>
      <c r="P1040" s="1129">
        <v>0</v>
      </c>
      <c r="Q1040" s="1129">
        <v>0</v>
      </c>
      <c r="R1040" s="1129">
        <v>0</v>
      </c>
      <c r="S1040" s="1129">
        <v>0</v>
      </c>
      <c r="T1040" s="1129">
        <v>0</v>
      </c>
      <c r="U1040" s="1129">
        <v>0</v>
      </c>
      <c r="V1040" s="1129">
        <v>0</v>
      </c>
      <c r="W1040" s="1129">
        <v>0</v>
      </c>
      <c r="X1040" s="1129">
        <v>33808.239999999998</v>
      </c>
      <c r="Y1040" s="1129">
        <v>0</v>
      </c>
    </row>
    <row r="1041" spans="1:25" s="1137" customFormat="1" ht="91.15" customHeight="1">
      <c r="A1041" s="1280">
        <v>16</v>
      </c>
      <c r="B1041" s="1128" t="s">
        <v>3039</v>
      </c>
      <c r="C1041" s="1129">
        <f t="shared" si="518"/>
        <v>3832087.03</v>
      </c>
      <c r="D1041" s="1129">
        <f t="shared" si="517"/>
        <v>0</v>
      </c>
      <c r="E1041" s="1129">
        <v>0</v>
      </c>
      <c r="F1041" s="1129">
        <v>0</v>
      </c>
      <c r="G1041" s="1129">
        <v>0</v>
      </c>
      <c r="H1041" s="1129">
        <v>0</v>
      </c>
      <c r="I1041" s="1129">
        <v>0</v>
      </c>
      <c r="J1041" s="1129">
        <v>0</v>
      </c>
      <c r="K1041" s="1136">
        <v>0</v>
      </c>
      <c r="L1041" s="1129">
        <v>0</v>
      </c>
      <c r="M1041" s="1136">
        <v>0</v>
      </c>
      <c r="N1041" s="1129">
        <v>0</v>
      </c>
      <c r="O1041" s="1129">
        <v>378</v>
      </c>
      <c r="P1041" s="1129">
        <v>3805331</v>
      </c>
      <c r="Q1041" s="1129">
        <v>0</v>
      </c>
      <c r="R1041" s="1129">
        <v>0</v>
      </c>
      <c r="S1041" s="1129">
        <v>0</v>
      </c>
      <c r="T1041" s="1129">
        <v>0</v>
      </c>
      <c r="U1041" s="1129">
        <v>0</v>
      </c>
      <c r="V1041" s="1129">
        <v>0</v>
      </c>
      <c r="W1041" s="1129">
        <v>0</v>
      </c>
      <c r="X1041" s="1129">
        <v>26756.03</v>
      </c>
      <c r="Y1041" s="1129">
        <v>0</v>
      </c>
    </row>
    <row r="1042" spans="1:25" s="1137" customFormat="1" ht="94.9" customHeight="1">
      <c r="A1042" s="1280">
        <v>17</v>
      </c>
      <c r="B1042" s="1128" t="s">
        <v>1882</v>
      </c>
      <c r="C1042" s="1129">
        <f t="shared" si="518"/>
        <v>5363868.12</v>
      </c>
      <c r="D1042" s="1129">
        <f t="shared" si="517"/>
        <v>1916650</v>
      </c>
      <c r="E1042" s="1129">
        <v>1916650</v>
      </c>
      <c r="F1042" s="1129">
        <v>0</v>
      </c>
      <c r="G1042" s="1129">
        <v>0</v>
      </c>
      <c r="H1042" s="1129">
        <v>0</v>
      </c>
      <c r="I1042" s="1129">
        <v>0</v>
      </c>
      <c r="J1042" s="1129">
        <v>0</v>
      </c>
      <c r="K1042" s="1136">
        <v>0</v>
      </c>
      <c r="L1042" s="1129">
        <v>0</v>
      </c>
      <c r="M1042" s="1136">
        <v>0</v>
      </c>
      <c r="N1042" s="1129">
        <v>0</v>
      </c>
      <c r="O1042" s="1129">
        <v>0</v>
      </c>
      <c r="P1042" s="1129">
        <v>0</v>
      </c>
      <c r="Q1042" s="1129">
        <v>0</v>
      </c>
      <c r="R1042" s="1129">
        <v>0</v>
      </c>
      <c r="S1042" s="1129">
        <v>1359.5</v>
      </c>
      <c r="T1042" s="1129">
        <v>3354841</v>
      </c>
      <c r="U1042" s="1129">
        <v>0</v>
      </c>
      <c r="V1042" s="1129">
        <v>0</v>
      </c>
      <c r="W1042" s="1129">
        <v>0</v>
      </c>
      <c r="X1042" s="1129">
        <v>92377.12</v>
      </c>
      <c r="Y1042" s="1129">
        <v>0</v>
      </c>
    </row>
    <row r="1043" spans="1:25" s="1137" customFormat="1" ht="65.45" customHeight="1">
      <c r="A1043" s="1280">
        <v>18</v>
      </c>
      <c r="B1043" s="1128" t="s">
        <v>245</v>
      </c>
      <c r="C1043" s="1129">
        <f t="shared" si="518"/>
        <v>1438136.9167299999</v>
      </c>
      <c r="D1043" s="1129">
        <f t="shared" si="517"/>
        <v>0</v>
      </c>
      <c r="E1043" s="1129">
        <v>0</v>
      </c>
      <c r="F1043" s="1129">
        <v>0</v>
      </c>
      <c r="G1043" s="1129">
        <v>0</v>
      </c>
      <c r="H1043" s="1129">
        <v>0</v>
      </c>
      <c r="I1043" s="1129">
        <v>0</v>
      </c>
      <c r="J1043" s="1129">
        <v>0</v>
      </c>
      <c r="K1043" s="1136">
        <v>0</v>
      </c>
      <c r="L1043" s="1129">
        <v>0</v>
      </c>
      <c r="M1043" s="1136">
        <v>0</v>
      </c>
      <c r="N1043" s="1129">
        <v>0</v>
      </c>
      <c r="O1043" s="1129">
        <v>0</v>
      </c>
      <c r="P1043" s="1129">
        <v>0</v>
      </c>
      <c r="Q1043" s="1129">
        <v>0</v>
      </c>
      <c r="R1043" s="1129">
        <v>0</v>
      </c>
      <c r="S1043" s="1129">
        <v>492</v>
      </c>
      <c r="T1043" s="1212">
        <v>1423552.70673</v>
      </c>
      <c r="U1043" s="1129">
        <v>0</v>
      </c>
      <c r="V1043" s="1129">
        <v>0</v>
      </c>
      <c r="W1043" s="1129">
        <v>0</v>
      </c>
      <c r="X1043" s="1129">
        <v>14584.21</v>
      </c>
      <c r="Y1043" s="1129">
        <v>0</v>
      </c>
    </row>
    <row r="1044" spans="1:25" s="1137" customFormat="1" ht="65.45" customHeight="1">
      <c r="A1044" s="1280">
        <v>19</v>
      </c>
      <c r="B1044" s="1128" t="s">
        <v>239</v>
      </c>
      <c r="C1044" s="1129">
        <f t="shared" si="518"/>
        <v>1745786.78</v>
      </c>
      <c r="D1044" s="1129">
        <f t="shared" si="517"/>
        <v>0</v>
      </c>
      <c r="E1044" s="1129">
        <v>0</v>
      </c>
      <c r="F1044" s="1129">
        <v>0</v>
      </c>
      <c r="G1044" s="1129">
        <v>0</v>
      </c>
      <c r="H1044" s="1129">
        <v>0</v>
      </c>
      <c r="I1044" s="1129">
        <v>0</v>
      </c>
      <c r="J1044" s="1129">
        <v>0</v>
      </c>
      <c r="K1044" s="1136">
        <v>0</v>
      </c>
      <c r="L1044" s="1129">
        <v>0</v>
      </c>
      <c r="M1044" s="1136">
        <v>0</v>
      </c>
      <c r="N1044" s="1129">
        <v>0</v>
      </c>
      <c r="O1044" s="1129">
        <v>0</v>
      </c>
      <c r="P1044" s="1129">
        <v>0</v>
      </c>
      <c r="Q1044" s="1129">
        <v>0</v>
      </c>
      <c r="R1044" s="1129">
        <v>0</v>
      </c>
      <c r="S1044" s="1129">
        <v>694</v>
      </c>
      <c r="T1044" s="1129">
        <v>1712585</v>
      </c>
      <c r="U1044" s="1129">
        <v>0</v>
      </c>
      <c r="V1044" s="1129">
        <v>0</v>
      </c>
      <c r="W1044" s="1129">
        <v>0</v>
      </c>
      <c r="X1044" s="1129">
        <v>33201.78</v>
      </c>
      <c r="Y1044" s="1129">
        <v>0</v>
      </c>
    </row>
    <row r="1045" spans="1:25" s="1137" customFormat="1" ht="65.45" customHeight="1">
      <c r="A1045" s="1280">
        <v>20</v>
      </c>
      <c r="B1045" s="1128" t="s">
        <v>278</v>
      </c>
      <c r="C1045" s="1129">
        <f t="shared" si="518"/>
        <v>1558472.8800000001</v>
      </c>
      <c r="D1045" s="1129">
        <f t="shared" si="517"/>
        <v>0</v>
      </c>
      <c r="E1045" s="1129">
        <v>0</v>
      </c>
      <c r="F1045" s="1129">
        <v>0</v>
      </c>
      <c r="G1045" s="1129">
        <v>0</v>
      </c>
      <c r="H1045" s="1129">
        <v>0</v>
      </c>
      <c r="I1045" s="1129">
        <v>0</v>
      </c>
      <c r="J1045" s="1129">
        <v>0</v>
      </c>
      <c r="K1045" s="1136">
        <v>0</v>
      </c>
      <c r="L1045" s="1129">
        <v>0</v>
      </c>
      <c r="M1045" s="1136">
        <v>0</v>
      </c>
      <c r="N1045" s="1129">
        <v>0</v>
      </c>
      <c r="O1045" s="1129">
        <v>440</v>
      </c>
      <c r="P1045" s="1212">
        <v>1530135.85</v>
      </c>
      <c r="Q1045" s="1129">
        <v>0</v>
      </c>
      <c r="R1045" s="1129">
        <v>0</v>
      </c>
      <c r="S1045" s="1129">
        <v>0</v>
      </c>
      <c r="T1045" s="1129">
        <v>0</v>
      </c>
      <c r="U1045" s="1129">
        <v>0</v>
      </c>
      <c r="V1045" s="1129">
        <v>0</v>
      </c>
      <c r="W1045" s="1129">
        <v>0</v>
      </c>
      <c r="X1045" s="1129">
        <v>28337.03</v>
      </c>
      <c r="Y1045" s="1129">
        <v>0</v>
      </c>
    </row>
    <row r="1046" spans="1:25" s="1137" customFormat="1" ht="123.75" customHeight="1">
      <c r="A1046" s="1280">
        <v>21</v>
      </c>
      <c r="B1046" s="1128" t="s">
        <v>3040</v>
      </c>
      <c r="C1046" s="1129">
        <f t="shared" si="518"/>
        <v>1392128.91</v>
      </c>
      <c r="D1046" s="1129">
        <f t="shared" si="517"/>
        <v>0</v>
      </c>
      <c r="E1046" s="1129">
        <v>0</v>
      </c>
      <c r="F1046" s="1129">
        <v>0</v>
      </c>
      <c r="G1046" s="1129">
        <v>0</v>
      </c>
      <c r="H1046" s="1129">
        <v>0</v>
      </c>
      <c r="I1046" s="1129">
        <v>0</v>
      </c>
      <c r="J1046" s="1129">
        <v>0</v>
      </c>
      <c r="K1046" s="1136">
        <v>0</v>
      </c>
      <c r="L1046" s="1129">
        <v>0</v>
      </c>
      <c r="M1046" s="1136">
        <v>0</v>
      </c>
      <c r="N1046" s="1129">
        <v>0</v>
      </c>
      <c r="O1046" s="1129">
        <v>438.23</v>
      </c>
      <c r="P1046" s="1129">
        <v>1375500</v>
      </c>
      <c r="Q1046" s="1129">
        <v>0</v>
      </c>
      <c r="R1046" s="1129">
        <v>0</v>
      </c>
      <c r="S1046" s="1129">
        <v>0</v>
      </c>
      <c r="T1046" s="1129">
        <v>0</v>
      </c>
      <c r="U1046" s="1129">
        <v>0</v>
      </c>
      <c r="V1046" s="1129">
        <v>0</v>
      </c>
      <c r="W1046" s="1129">
        <v>0</v>
      </c>
      <c r="X1046" s="1129">
        <v>16628.91</v>
      </c>
      <c r="Y1046" s="1129">
        <v>0</v>
      </c>
    </row>
    <row r="1047" spans="1:25" s="1137" customFormat="1" ht="75.75" customHeight="1">
      <c r="A1047" s="1280">
        <v>22</v>
      </c>
      <c r="B1047" s="1128" t="s">
        <v>1675</v>
      </c>
      <c r="C1047" s="1129">
        <f t="shared" si="518"/>
        <v>7325272.1299999999</v>
      </c>
      <c r="D1047" s="1129">
        <f t="shared" si="517"/>
        <v>0</v>
      </c>
      <c r="E1047" s="1129">
        <v>0</v>
      </c>
      <c r="F1047" s="1129">
        <v>0</v>
      </c>
      <c r="G1047" s="1129">
        <v>0</v>
      </c>
      <c r="H1047" s="1129">
        <v>0</v>
      </c>
      <c r="I1047" s="1129">
        <v>0</v>
      </c>
      <c r="J1047" s="1129">
        <v>0</v>
      </c>
      <c r="K1047" s="1136">
        <v>0</v>
      </c>
      <c r="L1047" s="1129">
        <v>0</v>
      </c>
      <c r="M1047" s="1136">
        <v>0</v>
      </c>
      <c r="N1047" s="1129">
        <v>0</v>
      </c>
      <c r="O1047" s="1129">
        <v>0</v>
      </c>
      <c r="P1047" s="1129">
        <v>0</v>
      </c>
      <c r="Q1047" s="1129">
        <v>0</v>
      </c>
      <c r="R1047" s="1129">
        <v>0</v>
      </c>
      <c r="S1047" s="1212">
        <v>2560.12</v>
      </c>
      <c r="T1047" s="1212">
        <v>7143924.7400000002</v>
      </c>
      <c r="U1047" s="1129">
        <v>0</v>
      </c>
      <c r="V1047" s="1129">
        <v>0</v>
      </c>
      <c r="W1047" s="1129">
        <v>0</v>
      </c>
      <c r="X1047" s="1129">
        <v>181347.39</v>
      </c>
      <c r="Y1047" s="1129">
        <v>0</v>
      </c>
    </row>
    <row r="1048" spans="1:25" s="1137" customFormat="1" ht="121.5" customHeight="1">
      <c r="A1048" s="1280">
        <v>23</v>
      </c>
      <c r="B1048" s="1128" t="s">
        <v>3041</v>
      </c>
      <c r="C1048" s="1129">
        <f t="shared" si="518"/>
        <v>2224973.3199999998</v>
      </c>
      <c r="D1048" s="1129">
        <f t="shared" si="517"/>
        <v>2171746</v>
      </c>
      <c r="E1048" s="1129">
        <v>0</v>
      </c>
      <c r="F1048" s="1129">
        <v>0</v>
      </c>
      <c r="G1048" s="1129">
        <v>0</v>
      </c>
      <c r="H1048" s="1129">
        <v>0</v>
      </c>
      <c r="I1048" s="1129">
        <v>2171746</v>
      </c>
      <c r="J1048" s="1129">
        <v>0</v>
      </c>
      <c r="K1048" s="1136">
        <v>0</v>
      </c>
      <c r="L1048" s="1129">
        <v>0</v>
      </c>
      <c r="M1048" s="1136">
        <v>0</v>
      </c>
      <c r="N1048" s="1129">
        <v>0</v>
      </c>
      <c r="O1048" s="1129">
        <v>0</v>
      </c>
      <c r="P1048" s="1129">
        <v>0</v>
      </c>
      <c r="Q1048" s="1129">
        <v>0</v>
      </c>
      <c r="R1048" s="1129">
        <v>0</v>
      </c>
      <c r="S1048" s="1129">
        <v>0</v>
      </c>
      <c r="T1048" s="1129">
        <v>0</v>
      </c>
      <c r="U1048" s="1129">
        <v>0</v>
      </c>
      <c r="V1048" s="1129">
        <v>0</v>
      </c>
      <c r="W1048" s="1129">
        <v>0</v>
      </c>
      <c r="X1048" s="1129">
        <v>53227.32</v>
      </c>
      <c r="Y1048" s="1129">
        <v>0</v>
      </c>
    </row>
    <row r="1049" spans="1:25" s="1137" customFormat="1" ht="59.45" customHeight="1">
      <c r="A1049" s="1280">
        <v>24</v>
      </c>
      <c r="B1049" s="1128" t="s">
        <v>1599</v>
      </c>
      <c r="C1049" s="1129">
        <f t="shared" si="518"/>
        <v>2593045.9899999998</v>
      </c>
      <c r="D1049" s="1129">
        <f t="shared" si="517"/>
        <v>0</v>
      </c>
      <c r="E1049" s="1129">
        <v>0</v>
      </c>
      <c r="F1049" s="1129">
        <v>0</v>
      </c>
      <c r="G1049" s="1129">
        <v>0</v>
      </c>
      <c r="H1049" s="1129">
        <v>0</v>
      </c>
      <c r="I1049" s="1129">
        <v>0</v>
      </c>
      <c r="J1049" s="1129">
        <v>0</v>
      </c>
      <c r="K1049" s="1136">
        <v>0</v>
      </c>
      <c r="L1049" s="1129">
        <v>0</v>
      </c>
      <c r="M1049" s="1136">
        <v>0</v>
      </c>
      <c r="N1049" s="1129">
        <v>0</v>
      </c>
      <c r="O1049" s="1212">
        <v>790</v>
      </c>
      <c r="P1049" s="1212">
        <v>2518353.63</v>
      </c>
      <c r="Q1049" s="1129">
        <v>0</v>
      </c>
      <c r="R1049" s="1129">
        <v>0</v>
      </c>
      <c r="S1049" s="1129">
        <v>0</v>
      </c>
      <c r="T1049" s="1129">
        <v>0</v>
      </c>
      <c r="U1049" s="1129">
        <v>0</v>
      </c>
      <c r="V1049" s="1129">
        <v>0</v>
      </c>
      <c r="W1049" s="1129">
        <v>0</v>
      </c>
      <c r="X1049" s="1129">
        <v>74692.36</v>
      </c>
      <c r="Y1049" s="1129">
        <v>0</v>
      </c>
    </row>
    <row r="1050" spans="1:25" s="1137" customFormat="1" ht="64.150000000000006" customHeight="1">
      <c r="A1050" s="1280">
        <v>25</v>
      </c>
      <c r="B1050" s="1128" t="s">
        <v>240</v>
      </c>
      <c r="C1050" s="1129">
        <f t="shared" si="518"/>
        <v>1109964.3</v>
      </c>
      <c r="D1050" s="1129">
        <f t="shared" si="517"/>
        <v>1080801.3600000001</v>
      </c>
      <c r="E1050" s="1129">
        <v>0</v>
      </c>
      <c r="F1050" s="1212">
        <v>1080801.3600000001</v>
      </c>
      <c r="G1050" s="1129">
        <v>0</v>
      </c>
      <c r="H1050" s="1129">
        <v>0</v>
      </c>
      <c r="I1050" s="1129">
        <v>0</v>
      </c>
      <c r="J1050" s="1129">
        <v>0</v>
      </c>
      <c r="K1050" s="1136">
        <v>0</v>
      </c>
      <c r="L1050" s="1129">
        <v>0</v>
      </c>
      <c r="M1050" s="1136">
        <v>0</v>
      </c>
      <c r="N1050" s="1129">
        <v>0</v>
      </c>
      <c r="O1050" s="1129">
        <v>0</v>
      </c>
      <c r="P1050" s="1129">
        <v>0</v>
      </c>
      <c r="Q1050" s="1129">
        <v>0</v>
      </c>
      <c r="R1050" s="1129">
        <v>0</v>
      </c>
      <c r="S1050" s="1129">
        <v>0</v>
      </c>
      <c r="T1050" s="1129">
        <v>0</v>
      </c>
      <c r="U1050" s="1129">
        <v>0</v>
      </c>
      <c r="V1050" s="1129">
        <v>0</v>
      </c>
      <c r="W1050" s="1129">
        <v>0</v>
      </c>
      <c r="X1050" s="1129">
        <v>29162.94</v>
      </c>
      <c r="Y1050" s="1129">
        <v>0</v>
      </c>
    </row>
    <row r="1051" spans="1:25" s="1137" customFormat="1" ht="92.45" customHeight="1">
      <c r="A1051" s="1280">
        <v>26</v>
      </c>
      <c r="B1051" s="1128" t="s">
        <v>1883</v>
      </c>
      <c r="C1051" s="1129">
        <f t="shared" si="518"/>
        <v>3607233.46</v>
      </c>
      <c r="D1051" s="1129">
        <f t="shared" si="517"/>
        <v>0</v>
      </c>
      <c r="E1051" s="1129">
        <v>0</v>
      </c>
      <c r="F1051" s="1129">
        <v>0</v>
      </c>
      <c r="G1051" s="1129">
        <v>0</v>
      </c>
      <c r="H1051" s="1129">
        <v>0</v>
      </c>
      <c r="I1051" s="1129">
        <v>0</v>
      </c>
      <c r="J1051" s="1129">
        <v>0</v>
      </c>
      <c r="K1051" s="1136">
        <v>0</v>
      </c>
      <c r="L1051" s="1129">
        <v>0</v>
      </c>
      <c r="M1051" s="1136">
        <v>0</v>
      </c>
      <c r="N1051" s="1129">
        <v>0</v>
      </c>
      <c r="O1051" s="1129">
        <v>0</v>
      </c>
      <c r="P1051" s="1129">
        <v>0</v>
      </c>
      <c r="Q1051" s="1129">
        <v>0</v>
      </c>
      <c r="R1051" s="1129">
        <v>0</v>
      </c>
      <c r="S1051" s="1129">
        <v>1444</v>
      </c>
      <c r="T1051" s="1129">
        <v>3563362</v>
      </c>
      <c r="U1051" s="1129">
        <v>0</v>
      </c>
      <c r="V1051" s="1129">
        <v>0</v>
      </c>
      <c r="W1051" s="1129">
        <v>0</v>
      </c>
      <c r="X1051" s="1129">
        <v>43871.46</v>
      </c>
      <c r="Y1051" s="1129">
        <v>0</v>
      </c>
    </row>
    <row r="1052" spans="1:25" s="1137" customFormat="1" ht="66.599999999999994" customHeight="1">
      <c r="A1052" s="1280">
        <v>27</v>
      </c>
      <c r="B1052" s="1128" t="s">
        <v>323</v>
      </c>
      <c r="C1052" s="1129">
        <f t="shared" si="518"/>
        <v>1030213</v>
      </c>
      <c r="D1052" s="1129">
        <f t="shared" si="517"/>
        <v>0</v>
      </c>
      <c r="E1052" s="1129">
        <v>0</v>
      </c>
      <c r="F1052" s="1129">
        <v>0</v>
      </c>
      <c r="G1052" s="1129">
        <v>0</v>
      </c>
      <c r="H1052" s="1129">
        <v>0</v>
      </c>
      <c r="I1052" s="1129">
        <v>0</v>
      </c>
      <c r="J1052" s="1129">
        <v>0</v>
      </c>
      <c r="K1052" s="1136">
        <v>0</v>
      </c>
      <c r="L1052" s="1129">
        <v>0</v>
      </c>
      <c r="M1052" s="1136">
        <v>0</v>
      </c>
      <c r="N1052" s="1129">
        <v>0</v>
      </c>
      <c r="O1052" s="1129">
        <v>513.79999999999995</v>
      </c>
      <c r="P1052" s="1129">
        <v>1003268.64</v>
      </c>
      <c r="Q1052" s="1129">
        <v>0</v>
      </c>
      <c r="R1052" s="1129">
        <v>0</v>
      </c>
      <c r="S1052" s="1129">
        <v>0</v>
      </c>
      <c r="T1052" s="1129">
        <v>0</v>
      </c>
      <c r="U1052" s="1129">
        <v>0</v>
      </c>
      <c r="V1052" s="1129">
        <v>0</v>
      </c>
      <c r="W1052" s="1129">
        <v>0</v>
      </c>
      <c r="X1052" s="1129">
        <v>26944.36</v>
      </c>
      <c r="Y1052" s="1129">
        <v>0</v>
      </c>
    </row>
    <row r="1053" spans="1:25" s="1137" customFormat="1" ht="64.150000000000006" customHeight="1">
      <c r="A1053" s="1280">
        <v>28</v>
      </c>
      <c r="B1053" s="1128" t="s">
        <v>306</v>
      </c>
      <c r="C1053" s="1129">
        <f t="shared" si="518"/>
        <v>5790016.8200000003</v>
      </c>
      <c r="D1053" s="1129">
        <f t="shared" si="517"/>
        <v>5648553.8399999999</v>
      </c>
      <c r="E1053" s="1129">
        <v>0</v>
      </c>
      <c r="F1053" s="1212">
        <f>2914598.4+944796.02</f>
        <v>3859394.42</v>
      </c>
      <c r="G1053" s="1129">
        <v>0</v>
      </c>
      <c r="H1053" s="1129">
        <v>0</v>
      </c>
      <c r="I1053" s="1212">
        <v>1789159.42</v>
      </c>
      <c r="J1053" s="1129">
        <v>0</v>
      </c>
      <c r="K1053" s="1136">
        <v>0</v>
      </c>
      <c r="L1053" s="1129">
        <v>0</v>
      </c>
      <c r="M1053" s="1136">
        <v>0</v>
      </c>
      <c r="N1053" s="1129">
        <v>0</v>
      </c>
      <c r="O1053" s="1129">
        <v>0</v>
      </c>
      <c r="P1053" s="1129">
        <v>0</v>
      </c>
      <c r="Q1053" s="1129">
        <v>0</v>
      </c>
      <c r="R1053" s="1129">
        <v>0</v>
      </c>
      <c r="S1053" s="1129">
        <v>0</v>
      </c>
      <c r="T1053" s="1129">
        <v>0</v>
      </c>
      <c r="U1053" s="1129">
        <v>0</v>
      </c>
      <c r="V1053" s="1129">
        <v>0</v>
      </c>
      <c r="W1053" s="1129">
        <v>0</v>
      </c>
      <c r="X1053" s="1129">
        <v>141462.98000000001</v>
      </c>
      <c r="Y1053" s="1129">
        <v>0</v>
      </c>
    </row>
    <row r="1054" spans="1:25" s="1137" customFormat="1" ht="92.45" customHeight="1">
      <c r="A1054" s="1280">
        <v>29</v>
      </c>
      <c r="B1054" s="1128" t="s">
        <v>2618</v>
      </c>
      <c r="C1054" s="1129">
        <f t="shared" si="518"/>
        <v>1137886</v>
      </c>
      <c r="D1054" s="1129">
        <f t="shared" si="517"/>
        <v>0</v>
      </c>
      <c r="E1054" s="1129">
        <v>0</v>
      </c>
      <c r="F1054" s="1129">
        <v>0</v>
      </c>
      <c r="G1054" s="1129">
        <v>0</v>
      </c>
      <c r="H1054" s="1129">
        <v>0</v>
      </c>
      <c r="I1054" s="1129">
        <v>0</v>
      </c>
      <c r="J1054" s="1129">
        <v>0</v>
      </c>
      <c r="K1054" s="1136">
        <v>0</v>
      </c>
      <c r="L1054" s="1129">
        <v>0</v>
      </c>
      <c r="M1054" s="1136">
        <v>0</v>
      </c>
      <c r="N1054" s="1129">
        <v>0</v>
      </c>
      <c r="O1054" s="1129">
        <v>0</v>
      </c>
      <c r="P1054" s="1129">
        <v>0</v>
      </c>
      <c r="Q1054" s="1129">
        <v>0</v>
      </c>
      <c r="R1054" s="1129">
        <v>0</v>
      </c>
      <c r="S1054" s="1129">
        <v>785.5</v>
      </c>
      <c r="T1054" s="1129">
        <v>1119392.8600000001</v>
      </c>
      <c r="U1054" s="1129">
        <v>0</v>
      </c>
      <c r="V1054" s="1129">
        <v>0</v>
      </c>
      <c r="W1054" s="1129">
        <v>0</v>
      </c>
      <c r="X1054" s="1129">
        <v>18493.14</v>
      </c>
      <c r="Y1054" s="1129">
        <v>0</v>
      </c>
    </row>
    <row r="1055" spans="1:25" s="1137" customFormat="1" ht="92.45" customHeight="1">
      <c r="A1055" s="1280">
        <v>30</v>
      </c>
      <c r="B1055" s="1128" t="s">
        <v>223</v>
      </c>
      <c r="C1055" s="1129">
        <f t="shared" si="518"/>
        <v>28409.05</v>
      </c>
      <c r="D1055" s="1129">
        <f t="shared" si="517"/>
        <v>0</v>
      </c>
      <c r="E1055" s="1129">
        <v>0</v>
      </c>
      <c r="F1055" s="1129">
        <v>0</v>
      </c>
      <c r="G1055" s="1129">
        <v>0</v>
      </c>
      <c r="H1055" s="1129">
        <v>0</v>
      </c>
      <c r="I1055" s="1129">
        <v>0</v>
      </c>
      <c r="J1055" s="1129">
        <v>0</v>
      </c>
      <c r="K1055" s="1136">
        <v>0</v>
      </c>
      <c r="L1055" s="1129">
        <v>0</v>
      </c>
      <c r="M1055" s="1136">
        <v>0</v>
      </c>
      <c r="N1055" s="1129">
        <v>0</v>
      </c>
      <c r="O1055" s="1129">
        <v>0</v>
      </c>
      <c r="P1055" s="1129">
        <v>0</v>
      </c>
      <c r="Q1055" s="1129">
        <v>0</v>
      </c>
      <c r="R1055" s="1129">
        <v>0</v>
      </c>
      <c r="S1055" s="1129">
        <v>0</v>
      </c>
      <c r="T1055" s="1129">
        <v>0</v>
      </c>
      <c r="U1055" s="1129">
        <v>0</v>
      </c>
      <c r="V1055" s="1129">
        <v>0</v>
      </c>
      <c r="W1055" s="1129">
        <v>0</v>
      </c>
      <c r="X1055" s="1129">
        <v>28409.05</v>
      </c>
      <c r="Y1055" s="1129">
        <v>0</v>
      </c>
    </row>
    <row r="1056" spans="1:25" s="1137" customFormat="1" ht="64.150000000000006" customHeight="1">
      <c r="A1056" s="1280">
        <v>31</v>
      </c>
      <c r="B1056" s="1128" t="s">
        <v>288</v>
      </c>
      <c r="C1056" s="1129">
        <f t="shared" si="518"/>
        <v>7082325</v>
      </c>
      <c r="D1056" s="1129">
        <f t="shared" si="517"/>
        <v>6933846.3099999996</v>
      </c>
      <c r="E1056" s="1129">
        <v>0</v>
      </c>
      <c r="F1056" s="1129">
        <v>6933846.3099999996</v>
      </c>
      <c r="G1056" s="1129">
        <v>0</v>
      </c>
      <c r="H1056" s="1129">
        <v>0</v>
      </c>
      <c r="I1056" s="1129">
        <v>0</v>
      </c>
      <c r="J1056" s="1129">
        <v>0</v>
      </c>
      <c r="K1056" s="1136">
        <v>0</v>
      </c>
      <c r="L1056" s="1129">
        <v>0</v>
      </c>
      <c r="M1056" s="1136">
        <v>0</v>
      </c>
      <c r="N1056" s="1129">
        <v>0</v>
      </c>
      <c r="O1056" s="1129">
        <v>0</v>
      </c>
      <c r="P1056" s="1129">
        <v>0</v>
      </c>
      <c r="Q1056" s="1129">
        <v>0</v>
      </c>
      <c r="R1056" s="1129">
        <v>0</v>
      </c>
      <c r="S1056" s="1129">
        <v>0</v>
      </c>
      <c r="T1056" s="1129">
        <v>0</v>
      </c>
      <c r="U1056" s="1129">
        <v>0</v>
      </c>
      <c r="V1056" s="1129">
        <v>0</v>
      </c>
      <c r="W1056" s="1129">
        <v>0</v>
      </c>
      <c r="X1056" s="1129">
        <f>247467.47-98988.78</f>
        <v>148478.69</v>
      </c>
      <c r="Y1056" s="1129">
        <v>0</v>
      </c>
    </row>
    <row r="1057" spans="1:25" s="1137" customFormat="1" ht="88.9" customHeight="1">
      <c r="A1057" s="1280">
        <v>32</v>
      </c>
      <c r="B1057" s="1128" t="s">
        <v>2525</v>
      </c>
      <c r="C1057" s="1129">
        <f t="shared" si="518"/>
        <v>2423389.86</v>
      </c>
      <c r="D1057" s="1129">
        <f t="shared" si="517"/>
        <v>2351360</v>
      </c>
      <c r="E1057" s="1129">
        <v>0</v>
      </c>
      <c r="F1057" s="1129">
        <v>0</v>
      </c>
      <c r="G1057" s="1129">
        <v>0</v>
      </c>
      <c r="H1057" s="1129">
        <v>0</v>
      </c>
      <c r="I1057" s="1129">
        <v>2351360</v>
      </c>
      <c r="J1057" s="1129">
        <v>0</v>
      </c>
      <c r="K1057" s="1136">
        <v>0</v>
      </c>
      <c r="L1057" s="1129">
        <v>0</v>
      </c>
      <c r="M1057" s="1136">
        <v>0</v>
      </c>
      <c r="N1057" s="1129">
        <v>0</v>
      </c>
      <c r="O1057" s="1129">
        <v>0</v>
      </c>
      <c r="P1057" s="1129">
        <v>0</v>
      </c>
      <c r="Q1057" s="1129">
        <v>0</v>
      </c>
      <c r="R1057" s="1129">
        <v>0</v>
      </c>
      <c r="S1057" s="1129">
        <v>0</v>
      </c>
      <c r="T1057" s="1129">
        <v>0</v>
      </c>
      <c r="U1057" s="1129">
        <v>0</v>
      </c>
      <c r="V1057" s="1129">
        <v>0</v>
      </c>
      <c r="W1057" s="1129">
        <v>0</v>
      </c>
      <c r="X1057" s="1129">
        <v>72029.86</v>
      </c>
      <c r="Y1057" s="1129">
        <v>0</v>
      </c>
    </row>
    <row r="1058" spans="1:25" s="1137" customFormat="1" ht="65.45" customHeight="1">
      <c r="A1058" s="1280">
        <v>33</v>
      </c>
      <c r="B1058" s="1128" t="s">
        <v>1677</v>
      </c>
      <c r="C1058" s="1129">
        <f t="shared" si="518"/>
        <v>541177.32999999996</v>
      </c>
      <c r="D1058" s="1129">
        <f t="shared" si="517"/>
        <v>506075.99</v>
      </c>
      <c r="E1058" s="1129">
        <v>0</v>
      </c>
      <c r="F1058" s="1129">
        <v>0</v>
      </c>
      <c r="G1058" s="1129">
        <v>0</v>
      </c>
      <c r="H1058" s="1129">
        <v>372486.55</v>
      </c>
      <c r="I1058" s="1129">
        <v>0</v>
      </c>
      <c r="J1058" s="1129">
        <v>133589.44</v>
      </c>
      <c r="K1058" s="1136">
        <v>0</v>
      </c>
      <c r="L1058" s="1129">
        <v>0</v>
      </c>
      <c r="M1058" s="1136">
        <v>0</v>
      </c>
      <c r="N1058" s="1129">
        <v>0</v>
      </c>
      <c r="O1058" s="1129">
        <v>0</v>
      </c>
      <c r="P1058" s="1129">
        <v>0</v>
      </c>
      <c r="Q1058" s="1129">
        <v>0</v>
      </c>
      <c r="R1058" s="1129">
        <v>0</v>
      </c>
      <c r="S1058" s="1129">
        <v>0</v>
      </c>
      <c r="T1058" s="1129">
        <v>0</v>
      </c>
      <c r="U1058" s="1129">
        <v>0</v>
      </c>
      <c r="V1058" s="1129">
        <v>0</v>
      </c>
      <c r="W1058" s="1129">
        <v>0</v>
      </c>
      <c r="X1058" s="1129">
        <v>35101.339999999997</v>
      </c>
      <c r="Y1058" s="1129">
        <v>0</v>
      </c>
    </row>
    <row r="1059" spans="1:25" s="1137" customFormat="1" ht="82.9" customHeight="1">
      <c r="A1059" s="1280">
        <v>34</v>
      </c>
      <c r="B1059" s="1128" t="s">
        <v>2799</v>
      </c>
      <c r="C1059" s="1129">
        <f t="shared" si="518"/>
        <v>7436799.4199999999</v>
      </c>
      <c r="D1059" s="1129">
        <f t="shared" si="517"/>
        <v>5609661</v>
      </c>
      <c r="E1059" s="1129">
        <v>0</v>
      </c>
      <c r="F1059" s="1129">
        <v>2144221</v>
      </c>
      <c r="G1059" s="1129">
        <v>0</v>
      </c>
      <c r="H1059" s="1129">
        <v>1316489</v>
      </c>
      <c r="I1059" s="1129">
        <v>1316489</v>
      </c>
      <c r="J1059" s="1129">
        <v>832462</v>
      </c>
      <c r="K1059" s="1136">
        <v>0</v>
      </c>
      <c r="L1059" s="1129">
        <v>0</v>
      </c>
      <c r="M1059" s="1136">
        <v>0</v>
      </c>
      <c r="N1059" s="1129">
        <v>0</v>
      </c>
      <c r="O1059" s="1129">
        <v>526.79999999999995</v>
      </c>
      <c r="P1059" s="1129">
        <v>1653500</v>
      </c>
      <c r="Q1059" s="1129">
        <v>0</v>
      </c>
      <c r="R1059" s="1129">
        <v>0</v>
      </c>
      <c r="S1059" s="1129">
        <v>0</v>
      </c>
      <c r="T1059" s="1129">
        <v>0</v>
      </c>
      <c r="U1059" s="1129">
        <v>0</v>
      </c>
      <c r="V1059" s="1129">
        <v>0</v>
      </c>
      <c r="W1059" s="1129">
        <v>0</v>
      </c>
      <c r="X1059" s="1129">
        <v>173638.42</v>
      </c>
      <c r="Y1059" s="1129">
        <v>0</v>
      </c>
    </row>
    <row r="1060" spans="1:25" s="1137" customFormat="1" ht="54.6" customHeight="1">
      <c r="A1060" s="1280">
        <v>35</v>
      </c>
      <c r="B1060" s="1128" t="s">
        <v>1678</v>
      </c>
      <c r="C1060" s="1129">
        <f t="shared" si="518"/>
        <v>9049205.0199999996</v>
      </c>
      <c r="D1060" s="1129">
        <f t="shared" si="517"/>
        <v>0</v>
      </c>
      <c r="E1060" s="1129">
        <v>0</v>
      </c>
      <c r="F1060" s="1129">
        <v>0</v>
      </c>
      <c r="G1060" s="1129">
        <v>0</v>
      </c>
      <c r="H1060" s="1129">
        <v>0</v>
      </c>
      <c r="I1060" s="1129">
        <v>0</v>
      </c>
      <c r="J1060" s="1129">
        <v>0</v>
      </c>
      <c r="K1060" s="1136">
        <v>0</v>
      </c>
      <c r="L1060" s="1129">
        <v>0</v>
      </c>
      <c r="M1060" s="1136">
        <v>0</v>
      </c>
      <c r="N1060" s="1129">
        <v>0</v>
      </c>
      <c r="O1060" s="1212">
        <v>2335</v>
      </c>
      <c r="P1060" s="1212">
        <v>8783840.8300000001</v>
      </c>
      <c r="Q1060" s="1129">
        <v>0</v>
      </c>
      <c r="R1060" s="1129">
        <v>0</v>
      </c>
      <c r="S1060" s="1129">
        <v>0</v>
      </c>
      <c r="T1060" s="1129">
        <v>0</v>
      </c>
      <c r="U1060" s="1129">
        <v>0</v>
      </c>
      <c r="V1060" s="1129">
        <v>0</v>
      </c>
      <c r="W1060" s="1129">
        <v>0</v>
      </c>
      <c r="X1060" s="1129">
        <v>265364.19</v>
      </c>
      <c r="Y1060" s="1129">
        <v>0</v>
      </c>
    </row>
    <row r="1061" spans="1:25" s="1137" customFormat="1" ht="58.15" customHeight="1">
      <c r="A1061" s="1280">
        <v>36</v>
      </c>
      <c r="B1061" s="1128" t="s">
        <v>1679</v>
      </c>
      <c r="C1061" s="1129">
        <f t="shared" si="518"/>
        <v>2583495.7799999998</v>
      </c>
      <c r="D1061" s="1129">
        <f t="shared" si="517"/>
        <v>0</v>
      </c>
      <c r="E1061" s="1129">
        <v>0</v>
      </c>
      <c r="F1061" s="1129">
        <v>0</v>
      </c>
      <c r="G1061" s="1129">
        <v>0</v>
      </c>
      <c r="H1061" s="1129">
        <v>0</v>
      </c>
      <c r="I1061" s="1129">
        <v>0</v>
      </c>
      <c r="J1061" s="1129">
        <v>0</v>
      </c>
      <c r="K1061" s="1136">
        <v>0</v>
      </c>
      <c r="L1061" s="1129">
        <v>0</v>
      </c>
      <c r="M1061" s="1136">
        <v>0</v>
      </c>
      <c r="N1061" s="1129">
        <v>0</v>
      </c>
      <c r="O1061" s="1212">
        <v>787.34</v>
      </c>
      <c r="P1061" s="1212">
        <v>2509874.11</v>
      </c>
      <c r="Q1061" s="1129">
        <v>0</v>
      </c>
      <c r="R1061" s="1129">
        <v>0</v>
      </c>
      <c r="S1061" s="1129">
        <v>0</v>
      </c>
      <c r="T1061" s="1129">
        <v>0</v>
      </c>
      <c r="U1061" s="1129">
        <v>0</v>
      </c>
      <c r="V1061" s="1129">
        <v>0</v>
      </c>
      <c r="W1061" s="1129">
        <v>0</v>
      </c>
      <c r="X1061" s="1129">
        <v>73621.67</v>
      </c>
      <c r="Y1061" s="1129">
        <v>0</v>
      </c>
    </row>
    <row r="1062" spans="1:25" s="1137" customFormat="1" ht="55.9" customHeight="1">
      <c r="A1062" s="1280">
        <v>37</v>
      </c>
      <c r="B1062" s="1128" t="s">
        <v>1680</v>
      </c>
      <c r="C1062" s="1129">
        <f t="shared" si="518"/>
        <v>939858</v>
      </c>
      <c r="D1062" s="1129">
        <f t="shared" si="517"/>
        <v>888159.72</v>
      </c>
      <c r="E1062" s="1129">
        <v>888159.72</v>
      </c>
      <c r="F1062" s="1129">
        <v>0</v>
      </c>
      <c r="G1062" s="1129">
        <v>0</v>
      </c>
      <c r="H1062" s="1129">
        <v>0</v>
      </c>
      <c r="I1062" s="1129">
        <v>0</v>
      </c>
      <c r="J1062" s="1129">
        <v>0</v>
      </c>
      <c r="K1062" s="1136">
        <v>0</v>
      </c>
      <c r="L1062" s="1129">
        <v>0</v>
      </c>
      <c r="M1062" s="1136">
        <v>0</v>
      </c>
      <c r="N1062" s="1129">
        <v>0</v>
      </c>
      <c r="O1062" s="1129">
        <v>0</v>
      </c>
      <c r="P1062" s="1129">
        <v>0</v>
      </c>
      <c r="Q1062" s="1129">
        <v>0</v>
      </c>
      <c r="R1062" s="1129">
        <v>0</v>
      </c>
      <c r="S1062" s="1129">
        <v>0</v>
      </c>
      <c r="T1062" s="1129">
        <v>0</v>
      </c>
      <c r="U1062" s="1129">
        <v>0</v>
      </c>
      <c r="V1062" s="1129">
        <v>0</v>
      </c>
      <c r="W1062" s="1129">
        <v>0</v>
      </c>
      <c r="X1062" s="1129">
        <v>51698.28</v>
      </c>
      <c r="Y1062" s="1129">
        <v>0</v>
      </c>
    </row>
    <row r="1063" spans="1:25" s="1137" customFormat="1" ht="59.45" customHeight="1">
      <c r="A1063" s="1280">
        <v>38</v>
      </c>
      <c r="B1063" s="1128" t="s">
        <v>1681</v>
      </c>
      <c r="C1063" s="1129">
        <f t="shared" si="518"/>
        <v>27140.53</v>
      </c>
      <c r="D1063" s="1129">
        <f t="shared" si="517"/>
        <v>0</v>
      </c>
      <c r="E1063" s="1129">
        <v>0</v>
      </c>
      <c r="F1063" s="1129">
        <v>0</v>
      </c>
      <c r="G1063" s="1129">
        <v>0</v>
      </c>
      <c r="H1063" s="1129">
        <v>0</v>
      </c>
      <c r="I1063" s="1129">
        <v>0</v>
      </c>
      <c r="J1063" s="1129">
        <v>0</v>
      </c>
      <c r="K1063" s="1136">
        <v>0</v>
      </c>
      <c r="L1063" s="1129">
        <v>0</v>
      </c>
      <c r="M1063" s="1136">
        <v>0</v>
      </c>
      <c r="N1063" s="1129">
        <v>0</v>
      </c>
      <c r="O1063" s="1129">
        <v>0</v>
      </c>
      <c r="P1063" s="1129">
        <v>0</v>
      </c>
      <c r="Q1063" s="1129">
        <v>0</v>
      </c>
      <c r="R1063" s="1129">
        <v>0</v>
      </c>
      <c r="S1063" s="1129">
        <v>0</v>
      </c>
      <c r="T1063" s="1129">
        <v>0</v>
      </c>
      <c r="U1063" s="1129">
        <v>0</v>
      </c>
      <c r="V1063" s="1129">
        <v>0</v>
      </c>
      <c r="W1063" s="1129">
        <v>0</v>
      </c>
      <c r="X1063" s="1129">
        <v>27140.53</v>
      </c>
      <c r="Y1063" s="1129">
        <v>0</v>
      </c>
    </row>
    <row r="1064" spans="1:25" s="1137" customFormat="1" ht="97.15" customHeight="1">
      <c r="A1064" s="1280">
        <v>39</v>
      </c>
      <c r="B1064" s="1128" t="s">
        <v>3042</v>
      </c>
      <c r="C1064" s="1129">
        <f t="shared" si="518"/>
        <v>172302</v>
      </c>
      <c r="D1064" s="1129">
        <f t="shared" si="517"/>
        <v>158927.35</v>
      </c>
      <c r="E1064" s="1129">
        <v>158927.35</v>
      </c>
      <c r="F1064" s="1129">
        <v>0</v>
      </c>
      <c r="G1064" s="1129">
        <v>0</v>
      </c>
      <c r="H1064" s="1129">
        <v>0</v>
      </c>
      <c r="I1064" s="1129">
        <v>0</v>
      </c>
      <c r="J1064" s="1129">
        <v>0</v>
      </c>
      <c r="K1064" s="1136">
        <v>0</v>
      </c>
      <c r="L1064" s="1129">
        <v>0</v>
      </c>
      <c r="M1064" s="1136">
        <v>0</v>
      </c>
      <c r="N1064" s="1129">
        <v>0</v>
      </c>
      <c r="O1064" s="1129">
        <v>0</v>
      </c>
      <c r="P1064" s="1129">
        <v>0</v>
      </c>
      <c r="Q1064" s="1129">
        <v>0</v>
      </c>
      <c r="R1064" s="1129">
        <v>0</v>
      </c>
      <c r="S1064" s="1129">
        <v>0</v>
      </c>
      <c r="T1064" s="1129">
        <v>0</v>
      </c>
      <c r="U1064" s="1129">
        <v>0</v>
      </c>
      <c r="V1064" s="1129">
        <v>0</v>
      </c>
      <c r="W1064" s="1129">
        <v>0</v>
      </c>
      <c r="X1064" s="1129">
        <v>13374.65</v>
      </c>
      <c r="Y1064" s="1129">
        <v>0</v>
      </c>
    </row>
    <row r="1065" spans="1:25" s="1137" customFormat="1" ht="71.45" customHeight="1">
      <c r="A1065" s="1280">
        <v>40</v>
      </c>
      <c r="B1065" s="1128" t="s">
        <v>283</v>
      </c>
      <c r="C1065" s="1129">
        <f t="shared" si="518"/>
        <v>1171047.3399999999</v>
      </c>
      <c r="D1065" s="1129">
        <f t="shared" si="517"/>
        <v>1136122.8799999999</v>
      </c>
      <c r="E1065" s="1129">
        <v>0</v>
      </c>
      <c r="F1065" s="1134">
        <v>1136122.8799999999</v>
      </c>
      <c r="G1065" s="1129">
        <v>0</v>
      </c>
      <c r="H1065" s="1129">
        <v>0</v>
      </c>
      <c r="I1065" s="1129">
        <v>0</v>
      </c>
      <c r="J1065" s="1129">
        <v>0</v>
      </c>
      <c r="K1065" s="1136">
        <v>0</v>
      </c>
      <c r="L1065" s="1129">
        <v>0</v>
      </c>
      <c r="M1065" s="1136">
        <v>0</v>
      </c>
      <c r="N1065" s="1129">
        <v>0</v>
      </c>
      <c r="O1065" s="1129">
        <v>0</v>
      </c>
      <c r="P1065" s="1129">
        <v>0</v>
      </c>
      <c r="Q1065" s="1129">
        <v>0</v>
      </c>
      <c r="R1065" s="1129">
        <v>0</v>
      </c>
      <c r="S1065" s="1129">
        <v>0</v>
      </c>
      <c r="T1065" s="1129">
        <v>0</v>
      </c>
      <c r="U1065" s="1129">
        <v>0</v>
      </c>
      <c r="V1065" s="1129">
        <v>0</v>
      </c>
      <c r="W1065" s="1129">
        <v>0</v>
      </c>
      <c r="X1065" s="1212">
        <v>34924.46</v>
      </c>
      <c r="Y1065" s="1129">
        <v>0</v>
      </c>
    </row>
    <row r="1066" spans="1:25" s="1137" customFormat="1" ht="71.45" customHeight="1">
      <c r="A1066" s="1280">
        <v>41</v>
      </c>
      <c r="B1066" s="1128" t="s">
        <v>270</v>
      </c>
      <c r="C1066" s="1129">
        <f t="shared" si="518"/>
        <v>4507841.1599999992</v>
      </c>
      <c r="D1066" s="1129">
        <f t="shared" si="517"/>
        <v>0</v>
      </c>
      <c r="E1066" s="1129">
        <v>0</v>
      </c>
      <c r="F1066" s="1129">
        <v>0</v>
      </c>
      <c r="G1066" s="1129">
        <v>0</v>
      </c>
      <c r="H1066" s="1129">
        <v>0</v>
      </c>
      <c r="I1066" s="1129">
        <v>0</v>
      </c>
      <c r="J1066" s="1129">
        <v>0</v>
      </c>
      <c r="K1066" s="1136">
        <v>0</v>
      </c>
      <c r="L1066" s="1129">
        <v>0</v>
      </c>
      <c r="M1066" s="1136">
        <v>0</v>
      </c>
      <c r="N1066" s="1129">
        <v>0</v>
      </c>
      <c r="O1066" s="1212">
        <v>942.7</v>
      </c>
      <c r="P1066" s="1212">
        <v>4488917.5599999996</v>
      </c>
      <c r="Q1066" s="1129">
        <v>0</v>
      </c>
      <c r="R1066" s="1129">
        <v>0</v>
      </c>
      <c r="S1066" s="1129">
        <v>0</v>
      </c>
      <c r="T1066" s="1129">
        <v>0</v>
      </c>
      <c r="U1066" s="1129">
        <v>0</v>
      </c>
      <c r="V1066" s="1129">
        <v>0</v>
      </c>
      <c r="W1066" s="1129">
        <v>0</v>
      </c>
      <c r="X1066" s="1129">
        <v>18923.599999999999</v>
      </c>
      <c r="Y1066" s="1129">
        <v>0</v>
      </c>
    </row>
    <row r="1067" spans="1:25" s="1137" customFormat="1" ht="65.45" customHeight="1">
      <c r="A1067" s="1280">
        <v>42</v>
      </c>
      <c r="B1067" s="1128" t="s">
        <v>228</v>
      </c>
      <c r="C1067" s="1129">
        <f t="shared" si="518"/>
        <v>1271010.81</v>
      </c>
      <c r="D1067" s="1129">
        <f t="shared" si="517"/>
        <v>1223384</v>
      </c>
      <c r="E1067" s="1129">
        <v>0</v>
      </c>
      <c r="F1067" s="1129">
        <v>1223384</v>
      </c>
      <c r="G1067" s="1129">
        <v>0</v>
      </c>
      <c r="H1067" s="1129">
        <v>0</v>
      </c>
      <c r="I1067" s="1129">
        <v>0</v>
      </c>
      <c r="J1067" s="1129">
        <v>0</v>
      </c>
      <c r="K1067" s="1136">
        <v>0</v>
      </c>
      <c r="L1067" s="1129">
        <v>0</v>
      </c>
      <c r="M1067" s="1136">
        <v>0</v>
      </c>
      <c r="N1067" s="1129">
        <v>0</v>
      </c>
      <c r="O1067" s="1129">
        <v>0</v>
      </c>
      <c r="P1067" s="1129">
        <v>0</v>
      </c>
      <c r="Q1067" s="1129">
        <v>0</v>
      </c>
      <c r="R1067" s="1129">
        <v>0</v>
      </c>
      <c r="S1067" s="1129">
        <v>0</v>
      </c>
      <c r="T1067" s="1129">
        <v>0</v>
      </c>
      <c r="U1067" s="1129">
        <v>0</v>
      </c>
      <c r="V1067" s="1129">
        <v>0</v>
      </c>
      <c r="W1067" s="1129">
        <v>0</v>
      </c>
      <c r="X1067" s="1129">
        <v>47626.81</v>
      </c>
      <c r="Y1067" s="1129">
        <v>0</v>
      </c>
    </row>
    <row r="1068" spans="1:25" s="1137" customFormat="1" ht="72.599999999999994" customHeight="1">
      <c r="A1068" s="1280">
        <v>43</v>
      </c>
      <c r="B1068" s="1128" t="s">
        <v>293</v>
      </c>
      <c r="C1068" s="1129">
        <f t="shared" si="518"/>
        <v>2369961</v>
      </c>
      <c r="D1068" s="1129">
        <f t="shared" si="517"/>
        <v>2299360.42</v>
      </c>
      <c r="E1068" s="1129">
        <v>0</v>
      </c>
      <c r="F1068" s="1129">
        <v>0</v>
      </c>
      <c r="G1068" s="1129">
        <v>0</v>
      </c>
      <c r="H1068" s="1129">
        <v>0</v>
      </c>
      <c r="I1068" s="1129">
        <v>2299360.42</v>
      </c>
      <c r="J1068" s="1129">
        <v>0</v>
      </c>
      <c r="K1068" s="1136">
        <v>0</v>
      </c>
      <c r="L1068" s="1129">
        <v>0</v>
      </c>
      <c r="M1068" s="1136">
        <v>0</v>
      </c>
      <c r="N1068" s="1129">
        <v>0</v>
      </c>
      <c r="O1068" s="1129">
        <v>0</v>
      </c>
      <c r="P1068" s="1129">
        <v>0</v>
      </c>
      <c r="Q1068" s="1129">
        <v>0</v>
      </c>
      <c r="R1068" s="1129">
        <v>0</v>
      </c>
      <c r="S1068" s="1129">
        <v>0</v>
      </c>
      <c r="T1068" s="1129">
        <v>0</v>
      </c>
      <c r="U1068" s="1129">
        <v>0</v>
      </c>
      <c r="V1068" s="1129">
        <v>0</v>
      </c>
      <c r="W1068" s="1129">
        <v>0</v>
      </c>
      <c r="X1068" s="1129">
        <v>70600.58</v>
      </c>
      <c r="Y1068" s="1129">
        <v>0</v>
      </c>
    </row>
    <row r="1069" spans="1:25" s="1137" customFormat="1" ht="82.15" customHeight="1">
      <c r="A1069" s="1280">
        <v>44</v>
      </c>
      <c r="B1069" s="1128" t="s">
        <v>244</v>
      </c>
      <c r="C1069" s="1129">
        <f t="shared" si="518"/>
        <v>6573847.8027999997</v>
      </c>
      <c r="D1069" s="1129">
        <f t="shared" si="517"/>
        <v>0</v>
      </c>
      <c r="E1069" s="1129">
        <v>0</v>
      </c>
      <c r="F1069" s="1129">
        <v>0</v>
      </c>
      <c r="G1069" s="1129">
        <v>0</v>
      </c>
      <c r="H1069" s="1129">
        <v>0</v>
      </c>
      <c r="I1069" s="1129">
        <v>0</v>
      </c>
      <c r="J1069" s="1129">
        <v>0</v>
      </c>
      <c r="K1069" s="1136">
        <v>0</v>
      </c>
      <c r="L1069" s="1129">
        <v>0</v>
      </c>
      <c r="M1069" s="1136">
        <v>0</v>
      </c>
      <c r="N1069" s="1129">
        <v>0</v>
      </c>
      <c r="O1069" s="1129">
        <v>1371</v>
      </c>
      <c r="P1069" s="1212">
        <v>6528382.2828000002</v>
      </c>
      <c r="Q1069" s="1129">
        <v>0</v>
      </c>
      <c r="R1069" s="1129">
        <v>0</v>
      </c>
      <c r="S1069" s="1129">
        <v>0</v>
      </c>
      <c r="T1069" s="1129">
        <v>0</v>
      </c>
      <c r="U1069" s="1129">
        <v>0</v>
      </c>
      <c r="V1069" s="1129">
        <v>0</v>
      </c>
      <c r="W1069" s="1129">
        <v>0</v>
      </c>
      <c r="X1069" s="1129">
        <v>45465.52</v>
      </c>
      <c r="Y1069" s="1129">
        <v>0</v>
      </c>
    </row>
    <row r="1070" spans="1:25" s="1137" customFormat="1" ht="71.45" customHeight="1">
      <c r="A1070" s="1280">
        <v>45</v>
      </c>
      <c r="B1070" s="1128" t="s">
        <v>275</v>
      </c>
      <c r="C1070" s="1129">
        <f t="shared" si="518"/>
        <v>2253297</v>
      </c>
      <c r="D1070" s="1129">
        <f t="shared" si="517"/>
        <v>0</v>
      </c>
      <c r="E1070" s="1129">
        <v>0</v>
      </c>
      <c r="F1070" s="1129">
        <v>0</v>
      </c>
      <c r="G1070" s="1129">
        <v>0</v>
      </c>
      <c r="H1070" s="1129">
        <v>0</v>
      </c>
      <c r="I1070" s="1129">
        <v>0</v>
      </c>
      <c r="J1070" s="1129">
        <v>0</v>
      </c>
      <c r="K1070" s="1136">
        <v>0</v>
      </c>
      <c r="L1070" s="1129">
        <v>0</v>
      </c>
      <c r="M1070" s="1136">
        <v>0</v>
      </c>
      <c r="N1070" s="1129">
        <v>0</v>
      </c>
      <c r="O1070" s="1129">
        <v>1126</v>
      </c>
      <c r="P1070" s="1129">
        <v>2198421.81</v>
      </c>
      <c r="Q1070" s="1129">
        <v>0</v>
      </c>
      <c r="R1070" s="1129">
        <v>0</v>
      </c>
      <c r="S1070" s="1129">
        <v>0</v>
      </c>
      <c r="T1070" s="1129">
        <v>0</v>
      </c>
      <c r="U1070" s="1129">
        <v>0</v>
      </c>
      <c r="V1070" s="1129">
        <v>0</v>
      </c>
      <c r="W1070" s="1129">
        <v>0</v>
      </c>
      <c r="X1070" s="1129">
        <v>54875.19</v>
      </c>
      <c r="Y1070" s="1129">
        <v>0</v>
      </c>
    </row>
    <row r="1071" spans="1:25" s="1137" customFormat="1" ht="87.6" customHeight="1">
      <c r="A1071" s="1280">
        <v>46</v>
      </c>
      <c r="B1071" s="1128" t="s">
        <v>2526</v>
      </c>
      <c r="C1071" s="1129">
        <f t="shared" si="518"/>
        <v>662518</v>
      </c>
      <c r="D1071" s="1129">
        <f t="shared" si="517"/>
        <v>0</v>
      </c>
      <c r="E1071" s="1129">
        <v>0</v>
      </c>
      <c r="F1071" s="1129">
        <v>0</v>
      </c>
      <c r="G1071" s="1129">
        <v>0</v>
      </c>
      <c r="H1071" s="1129">
        <v>0</v>
      </c>
      <c r="I1071" s="1129">
        <v>0</v>
      </c>
      <c r="J1071" s="1129">
        <v>0</v>
      </c>
      <c r="K1071" s="1136">
        <v>0</v>
      </c>
      <c r="L1071" s="1129">
        <v>0</v>
      </c>
      <c r="M1071" s="1136">
        <v>0</v>
      </c>
      <c r="N1071" s="1129">
        <v>0</v>
      </c>
      <c r="O1071" s="1129">
        <v>0</v>
      </c>
      <c r="P1071" s="1129">
        <v>0</v>
      </c>
      <c r="Q1071" s="1129">
        <v>682</v>
      </c>
      <c r="R1071" s="1129">
        <v>606548.71</v>
      </c>
      <c r="S1071" s="1129">
        <v>0</v>
      </c>
      <c r="T1071" s="1129">
        <v>0</v>
      </c>
      <c r="U1071" s="1129">
        <v>0</v>
      </c>
      <c r="V1071" s="1129">
        <v>0</v>
      </c>
      <c r="W1071" s="1129">
        <v>0</v>
      </c>
      <c r="X1071" s="1129">
        <v>55969.29</v>
      </c>
      <c r="Y1071" s="1129">
        <v>0</v>
      </c>
    </row>
    <row r="1072" spans="1:25" s="1137" customFormat="1" ht="82.9" customHeight="1">
      <c r="A1072" s="1280">
        <v>47</v>
      </c>
      <c r="B1072" s="1128" t="s">
        <v>251</v>
      </c>
      <c r="C1072" s="1129">
        <f t="shared" si="518"/>
        <v>3687908</v>
      </c>
      <c r="D1072" s="1129">
        <f t="shared" si="517"/>
        <v>3608964.94</v>
      </c>
      <c r="E1072" s="1129">
        <v>0</v>
      </c>
      <c r="F1072" s="1129">
        <v>0</v>
      </c>
      <c r="G1072" s="1129">
        <v>0</v>
      </c>
      <c r="H1072" s="1129">
        <v>0</v>
      </c>
      <c r="I1072" s="1129">
        <v>3608964.94</v>
      </c>
      <c r="J1072" s="1129">
        <v>0</v>
      </c>
      <c r="K1072" s="1136">
        <v>0</v>
      </c>
      <c r="L1072" s="1129">
        <v>0</v>
      </c>
      <c r="M1072" s="1136">
        <v>0</v>
      </c>
      <c r="N1072" s="1129">
        <v>0</v>
      </c>
      <c r="O1072" s="1129">
        <v>0</v>
      </c>
      <c r="P1072" s="1129">
        <v>0</v>
      </c>
      <c r="Q1072" s="1129">
        <v>0</v>
      </c>
      <c r="R1072" s="1129">
        <v>0</v>
      </c>
      <c r="S1072" s="1129">
        <v>0</v>
      </c>
      <c r="T1072" s="1129">
        <v>0</v>
      </c>
      <c r="U1072" s="1129">
        <v>0</v>
      </c>
      <c r="V1072" s="1129">
        <v>0</v>
      </c>
      <c r="W1072" s="1129">
        <v>0</v>
      </c>
      <c r="X1072" s="1129">
        <v>78943.06</v>
      </c>
      <c r="Y1072" s="1129">
        <v>0</v>
      </c>
    </row>
    <row r="1073" spans="1:25" s="1137" customFormat="1" ht="82.9" customHeight="1">
      <c r="A1073" s="1280">
        <v>48</v>
      </c>
      <c r="B1073" s="1128" t="s">
        <v>232</v>
      </c>
      <c r="C1073" s="1129">
        <f t="shared" si="518"/>
        <v>7048457.4752000012</v>
      </c>
      <c r="D1073" s="1129">
        <f t="shared" si="517"/>
        <v>0</v>
      </c>
      <c r="E1073" s="1129">
        <v>0</v>
      </c>
      <c r="F1073" s="1129">
        <v>0</v>
      </c>
      <c r="G1073" s="1129">
        <v>0</v>
      </c>
      <c r="H1073" s="1129">
        <v>0</v>
      </c>
      <c r="I1073" s="1129">
        <v>0</v>
      </c>
      <c r="J1073" s="1129">
        <v>0</v>
      </c>
      <c r="K1073" s="1136">
        <v>0</v>
      </c>
      <c r="L1073" s="1129">
        <v>0</v>
      </c>
      <c r="M1073" s="1136">
        <v>0</v>
      </c>
      <c r="N1073" s="1129">
        <v>0</v>
      </c>
      <c r="O1073" s="1129">
        <v>592</v>
      </c>
      <c r="P1073" s="1212">
        <v>3410413.8318000003</v>
      </c>
      <c r="Q1073" s="1129">
        <v>0</v>
      </c>
      <c r="R1073" s="1129">
        <v>0</v>
      </c>
      <c r="S1073" s="1129">
        <v>922</v>
      </c>
      <c r="T1073" s="1212">
        <v>3453520.1634</v>
      </c>
      <c r="U1073" s="1129">
        <v>0</v>
      </c>
      <c r="V1073" s="1129">
        <v>0</v>
      </c>
      <c r="W1073" s="1129">
        <v>0</v>
      </c>
      <c r="X1073" s="1129">
        <f>97255.64+87267.84</f>
        <v>184523.47999999998</v>
      </c>
      <c r="Y1073" s="1129">
        <v>0</v>
      </c>
    </row>
    <row r="1074" spans="1:25" s="1137" customFormat="1" ht="98.45" customHeight="1">
      <c r="A1074" s="1280">
        <v>49</v>
      </c>
      <c r="B1074" s="1128" t="s">
        <v>2527</v>
      </c>
      <c r="C1074" s="1129">
        <f t="shared" si="518"/>
        <v>2903468</v>
      </c>
      <c r="D1074" s="1129">
        <f t="shared" si="517"/>
        <v>0</v>
      </c>
      <c r="E1074" s="1129">
        <v>0</v>
      </c>
      <c r="F1074" s="1129">
        <v>0</v>
      </c>
      <c r="G1074" s="1129">
        <v>0</v>
      </c>
      <c r="H1074" s="1129">
        <v>0</v>
      </c>
      <c r="I1074" s="1129">
        <v>0</v>
      </c>
      <c r="J1074" s="1129">
        <v>0</v>
      </c>
      <c r="K1074" s="1136">
        <v>0</v>
      </c>
      <c r="L1074" s="1129">
        <v>0</v>
      </c>
      <c r="M1074" s="1136">
        <v>0</v>
      </c>
      <c r="N1074" s="1129">
        <v>0</v>
      </c>
      <c r="O1074" s="1129">
        <v>978</v>
      </c>
      <c r="P1074" s="1129">
        <v>2758739</v>
      </c>
      <c r="Q1074" s="1129">
        <v>0</v>
      </c>
      <c r="R1074" s="1129">
        <v>0</v>
      </c>
      <c r="S1074" s="1129">
        <v>0</v>
      </c>
      <c r="T1074" s="1129">
        <v>0</v>
      </c>
      <c r="U1074" s="1129">
        <v>0</v>
      </c>
      <c r="V1074" s="1129">
        <v>0</v>
      </c>
      <c r="W1074" s="1129">
        <v>0</v>
      </c>
      <c r="X1074" s="1129">
        <v>144729</v>
      </c>
      <c r="Y1074" s="1129">
        <v>0</v>
      </c>
    </row>
    <row r="1075" spans="1:25" s="1137" customFormat="1" ht="81" customHeight="1">
      <c r="A1075" s="1280">
        <v>50</v>
      </c>
      <c r="B1075" s="1128" t="s">
        <v>302</v>
      </c>
      <c r="C1075" s="1129">
        <f t="shared" si="518"/>
        <v>4265098</v>
      </c>
      <c r="D1075" s="1129">
        <f t="shared" si="517"/>
        <v>0</v>
      </c>
      <c r="E1075" s="1129">
        <v>0</v>
      </c>
      <c r="F1075" s="1129">
        <v>0</v>
      </c>
      <c r="G1075" s="1129">
        <v>0</v>
      </c>
      <c r="H1075" s="1129">
        <v>0</v>
      </c>
      <c r="I1075" s="1129">
        <v>0</v>
      </c>
      <c r="J1075" s="1129">
        <v>0</v>
      </c>
      <c r="K1075" s="1136">
        <v>0</v>
      </c>
      <c r="L1075" s="1129">
        <v>0</v>
      </c>
      <c r="M1075" s="1136">
        <v>0</v>
      </c>
      <c r="N1075" s="1129">
        <v>0</v>
      </c>
      <c r="O1075" s="1129">
        <v>0</v>
      </c>
      <c r="P1075" s="1129">
        <v>0</v>
      </c>
      <c r="Q1075" s="1129">
        <v>0</v>
      </c>
      <c r="R1075" s="1129">
        <v>0</v>
      </c>
      <c r="S1075" s="1129">
        <v>2927.5</v>
      </c>
      <c r="T1075" s="1129">
        <v>4173107.62</v>
      </c>
      <c r="U1075" s="1129">
        <v>0</v>
      </c>
      <c r="V1075" s="1129">
        <v>0</v>
      </c>
      <c r="W1075" s="1129">
        <v>0</v>
      </c>
      <c r="X1075" s="1129">
        <v>91990.38</v>
      </c>
      <c r="Y1075" s="1129">
        <v>0</v>
      </c>
    </row>
    <row r="1076" spans="1:25" s="1137" customFormat="1" ht="105.6" customHeight="1">
      <c r="A1076" s="1280">
        <v>51</v>
      </c>
      <c r="B1076" s="1128" t="s">
        <v>3043</v>
      </c>
      <c r="C1076" s="1129">
        <f t="shared" si="518"/>
        <v>1967436</v>
      </c>
      <c r="D1076" s="1129">
        <f t="shared" si="517"/>
        <v>1824531.62</v>
      </c>
      <c r="E1076" s="1129">
        <v>0</v>
      </c>
      <c r="F1076" s="1129">
        <v>0</v>
      </c>
      <c r="G1076" s="1129">
        <v>0</v>
      </c>
      <c r="H1076" s="1129">
        <v>0</v>
      </c>
      <c r="I1076" s="1129">
        <v>0</v>
      </c>
      <c r="J1076" s="1129">
        <v>1824531.62</v>
      </c>
      <c r="K1076" s="1136">
        <v>0</v>
      </c>
      <c r="L1076" s="1129">
        <v>0</v>
      </c>
      <c r="M1076" s="1136">
        <v>0</v>
      </c>
      <c r="N1076" s="1129">
        <v>0</v>
      </c>
      <c r="O1076" s="1129">
        <v>0</v>
      </c>
      <c r="P1076" s="1129">
        <v>0</v>
      </c>
      <c r="Q1076" s="1129">
        <v>0</v>
      </c>
      <c r="R1076" s="1129">
        <v>0</v>
      </c>
      <c r="S1076" s="1129">
        <v>0</v>
      </c>
      <c r="T1076" s="1129">
        <v>0</v>
      </c>
      <c r="U1076" s="1129">
        <v>0</v>
      </c>
      <c r="V1076" s="1129">
        <v>0</v>
      </c>
      <c r="W1076" s="1129">
        <v>0</v>
      </c>
      <c r="X1076" s="1129">
        <v>142904.38</v>
      </c>
      <c r="Y1076" s="1129">
        <v>0</v>
      </c>
    </row>
    <row r="1077" spans="1:25" s="1137" customFormat="1" ht="93.6" customHeight="1">
      <c r="A1077" s="1280">
        <v>52</v>
      </c>
      <c r="B1077" s="1128" t="s">
        <v>2619</v>
      </c>
      <c r="C1077" s="1129">
        <f t="shared" si="518"/>
        <v>838570</v>
      </c>
      <c r="D1077" s="1129">
        <f t="shared" si="517"/>
        <v>0</v>
      </c>
      <c r="E1077" s="1129">
        <v>0</v>
      </c>
      <c r="F1077" s="1129">
        <v>0</v>
      </c>
      <c r="G1077" s="1129">
        <v>0</v>
      </c>
      <c r="H1077" s="1129">
        <v>0</v>
      </c>
      <c r="I1077" s="1129">
        <v>0</v>
      </c>
      <c r="J1077" s="1129">
        <v>0</v>
      </c>
      <c r="K1077" s="1136">
        <v>0</v>
      </c>
      <c r="L1077" s="1129">
        <v>0</v>
      </c>
      <c r="M1077" s="1136">
        <v>0</v>
      </c>
      <c r="N1077" s="1129">
        <v>0</v>
      </c>
      <c r="O1077" s="1129">
        <v>327</v>
      </c>
      <c r="P1077" s="1129">
        <v>777660.61</v>
      </c>
      <c r="Q1077" s="1129">
        <v>0</v>
      </c>
      <c r="R1077" s="1129">
        <v>0</v>
      </c>
      <c r="S1077" s="1129">
        <v>0</v>
      </c>
      <c r="T1077" s="1129">
        <v>0</v>
      </c>
      <c r="U1077" s="1129">
        <v>0</v>
      </c>
      <c r="V1077" s="1129">
        <v>0</v>
      </c>
      <c r="W1077" s="1129">
        <v>0</v>
      </c>
      <c r="X1077" s="1129">
        <v>60909.39</v>
      </c>
      <c r="Y1077" s="1129">
        <v>0</v>
      </c>
    </row>
    <row r="1078" spans="1:25" s="1137" customFormat="1" ht="90" customHeight="1">
      <c r="A1078" s="1280">
        <v>53</v>
      </c>
      <c r="B1078" s="1128" t="s">
        <v>1884</v>
      </c>
      <c r="C1078" s="1129">
        <f t="shared" si="518"/>
        <v>1558282</v>
      </c>
      <c r="D1078" s="1129">
        <f t="shared" si="517"/>
        <v>0</v>
      </c>
      <c r="E1078" s="1129">
        <v>0</v>
      </c>
      <c r="F1078" s="1145">
        <v>0</v>
      </c>
      <c r="G1078" s="1145">
        <v>0</v>
      </c>
      <c r="H1078" s="1145">
        <v>0</v>
      </c>
      <c r="I1078" s="1145">
        <v>0</v>
      </c>
      <c r="J1078" s="1145">
        <v>0</v>
      </c>
      <c r="K1078" s="1163">
        <v>0</v>
      </c>
      <c r="L1078" s="1145">
        <v>0</v>
      </c>
      <c r="M1078" s="1163">
        <v>0</v>
      </c>
      <c r="N1078" s="1145">
        <v>0</v>
      </c>
      <c r="O1078" s="1145">
        <v>620</v>
      </c>
      <c r="P1078" s="1145">
        <v>1445096.45</v>
      </c>
      <c r="Q1078" s="1145">
        <v>0</v>
      </c>
      <c r="R1078" s="1145">
        <v>0</v>
      </c>
      <c r="S1078" s="1145">
        <v>0</v>
      </c>
      <c r="T1078" s="1145">
        <v>0</v>
      </c>
      <c r="U1078" s="1129">
        <v>0</v>
      </c>
      <c r="V1078" s="1129">
        <v>0</v>
      </c>
      <c r="W1078" s="1129">
        <v>0</v>
      </c>
      <c r="X1078" s="1129">
        <v>113185.55</v>
      </c>
      <c r="Y1078" s="1129">
        <v>0</v>
      </c>
    </row>
    <row r="1079" spans="1:25" s="1137" customFormat="1" ht="85.15" customHeight="1">
      <c r="A1079" s="1280">
        <v>54</v>
      </c>
      <c r="B1079" s="1128" t="s">
        <v>1686</v>
      </c>
      <c r="C1079" s="1129">
        <f t="shared" si="518"/>
        <v>9914209.8000000007</v>
      </c>
      <c r="D1079" s="1129">
        <f t="shared" si="517"/>
        <v>9447892.9000000004</v>
      </c>
      <c r="E1079" s="1129">
        <v>0</v>
      </c>
      <c r="F1079" s="1208">
        <v>3611969.47</v>
      </c>
      <c r="G1079" s="1145">
        <v>0</v>
      </c>
      <c r="H1079" s="1208">
        <v>2217248.58</v>
      </c>
      <c r="I1079" s="1208">
        <v>2217248.58</v>
      </c>
      <c r="J1079" s="1208">
        <v>1401426.27</v>
      </c>
      <c r="K1079" s="1163">
        <v>0</v>
      </c>
      <c r="L1079" s="1145">
        <v>0</v>
      </c>
      <c r="M1079" s="1163">
        <v>0</v>
      </c>
      <c r="N1079" s="1145">
        <v>0</v>
      </c>
      <c r="O1079" s="1145">
        <v>0</v>
      </c>
      <c r="P1079" s="1145">
        <v>0</v>
      </c>
      <c r="Q1079" s="1145">
        <v>0</v>
      </c>
      <c r="R1079" s="1145">
        <v>0</v>
      </c>
      <c r="S1079" s="1145">
        <v>0</v>
      </c>
      <c r="T1079" s="1145">
        <v>0</v>
      </c>
      <c r="U1079" s="1129">
        <v>0</v>
      </c>
      <c r="V1079" s="1129">
        <v>0</v>
      </c>
      <c r="W1079" s="1129">
        <v>0</v>
      </c>
      <c r="X1079" s="1129">
        <v>466316.9</v>
      </c>
      <c r="Y1079" s="1129">
        <v>0</v>
      </c>
    </row>
    <row r="1080" spans="1:25" s="1137" customFormat="1" ht="97.15" customHeight="1">
      <c r="A1080" s="1280">
        <v>55</v>
      </c>
      <c r="B1080" s="1128" t="s">
        <v>1764</v>
      </c>
      <c r="C1080" s="1129">
        <f t="shared" ref="C1080:C1114" si="519">D1080+N1080+P1080+R1080+T1080+V1080+Y1080+L1080+X1080</f>
        <v>19552943.849999998</v>
      </c>
      <c r="D1080" s="1129">
        <f t="shared" ref="D1080:D1114" si="520">SUM(E1080:J1080)</f>
        <v>0</v>
      </c>
      <c r="E1080" s="1129">
        <v>0</v>
      </c>
      <c r="F1080" s="1145">
        <v>0</v>
      </c>
      <c r="G1080" s="1145">
        <v>0</v>
      </c>
      <c r="H1080" s="1145">
        <v>0</v>
      </c>
      <c r="I1080" s="1145">
        <v>0</v>
      </c>
      <c r="J1080" s="1145">
        <v>0</v>
      </c>
      <c r="K1080" s="1163">
        <v>0</v>
      </c>
      <c r="L1080" s="1145">
        <v>0</v>
      </c>
      <c r="M1080" s="1163">
        <v>0</v>
      </c>
      <c r="N1080" s="1145">
        <v>0</v>
      </c>
      <c r="O1080" s="1145">
        <v>1301.2</v>
      </c>
      <c r="P1080" s="1208">
        <v>5808032.0599999996</v>
      </c>
      <c r="Q1080" s="1145">
        <v>0</v>
      </c>
      <c r="R1080" s="1145">
        <v>0</v>
      </c>
      <c r="S1080" s="1145">
        <v>2443.1999999999998</v>
      </c>
      <c r="T1080" s="1208">
        <v>13181134.199999999</v>
      </c>
      <c r="U1080" s="1129">
        <v>0</v>
      </c>
      <c r="V1080" s="1129">
        <v>0</v>
      </c>
      <c r="W1080" s="1129">
        <v>0</v>
      </c>
      <c r="X1080" s="1129">
        <v>563777.59</v>
      </c>
      <c r="Y1080" s="1129">
        <v>0</v>
      </c>
    </row>
    <row r="1081" spans="1:25" s="1137" customFormat="1" ht="97.15" customHeight="1">
      <c r="A1081" s="1280">
        <v>56</v>
      </c>
      <c r="B1081" s="1128" t="s">
        <v>1765</v>
      </c>
      <c r="C1081" s="1129">
        <f t="shared" si="519"/>
        <v>3712475.0000000005</v>
      </c>
      <c r="D1081" s="1129">
        <f t="shared" si="520"/>
        <v>2463652.2300000004</v>
      </c>
      <c r="E1081" s="1129">
        <v>392537.91</v>
      </c>
      <c r="F1081" s="1129">
        <v>525518.37</v>
      </c>
      <c r="G1081" s="1129">
        <v>325537.63</v>
      </c>
      <c r="H1081" s="1129">
        <v>460634.34</v>
      </c>
      <c r="I1081" s="1129">
        <v>460634.34</v>
      </c>
      <c r="J1081" s="1129">
        <v>298789.64</v>
      </c>
      <c r="K1081" s="1136">
        <v>0</v>
      </c>
      <c r="L1081" s="1129">
        <v>0</v>
      </c>
      <c r="M1081" s="1136">
        <v>0</v>
      </c>
      <c r="N1081" s="1129">
        <v>0</v>
      </c>
      <c r="O1081" s="1129">
        <v>0</v>
      </c>
      <c r="P1081" s="1129">
        <v>0</v>
      </c>
      <c r="Q1081" s="1129">
        <v>0</v>
      </c>
      <c r="R1081" s="1129">
        <v>0</v>
      </c>
      <c r="S1081" s="1129">
        <v>700.6</v>
      </c>
      <c r="T1081" s="1129">
        <v>979167.79</v>
      </c>
      <c r="U1081" s="1129">
        <v>0</v>
      </c>
      <c r="V1081" s="1129">
        <v>0</v>
      </c>
      <c r="W1081" s="1129">
        <v>0</v>
      </c>
      <c r="X1081" s="1129">
        <v>269654.98</v>
      </c>
      <c r="Y1081" s="1129">
        <v>0</v>
      </c>
    </row>
    <row r="1082" spans="1:25" s="1137" customFormat="1" ht="121.15" customHeight="1">
      <c r="A1082" s="1280">
        <v>57</v>
      </c>
      <c r="B1082" s="1128" t="s">
        <v>1687</v>
      </c>
      <c r="C1082" s="1129">
        <f t="shared" si="519"/>
        <v>3275415.5</v>
      </c>
      <c r="D1082" s="1129">
        <f t="shared" si="520"/>
        <v>0</v>
      </c>
      <c r="E1082" s="1129">
        <v>0</v>
      </c>
      <c r="F1082" s="1129">
        <v>0</v>
      </c>
      <c r="G1082" s="1129">
        <v>0</v>
      </c>
      <c r="H1082" s="1129">
        <v>0</v>
      </c>
      <c r="I1082" s="1129">
        <v>0</v>
      </c>
      <c r="J1082" s="1129">
        <v>0</v>
      </c>
      <c r="K1082" s="1136">
        <v>0</v>
      </c>
      <c r="L1082" s="1129">
        <v>0</v>
      </c>
      <c r="M1082" s="1136">
        <v>0</v>
      </c>
      <c r="N1082" s="1129">
        <v>0</v>
      </c>
      <c r="O1082" s="1129">
        <v>0</v>
      </c>
      <c r="P1082" s="1129">
        <v>0</v>
      </c>
      <c r="Q1082" s="1129">
        <v>0</v>
      </c>
      <c r="R1082" s="1129">
        <v>0</v>
      </c>
      <c r="S1082" s="1129">
        <v>558.35</v>
      </c>
      <c r="T1082" s="1212">
        <v>3242718.35</v>
      </c>
      <c r="U1082" s="1129">
        <v>0</v>
      </c>
      <c r="V1082" s="1129">
        <v>0</v>
      </c>
      <c r="W1082" s="1129">
        <v>0</v>
      </c>
      <c r="X1082" s="1129">
        <v>32697.15</v>
      </c>
      <c r="Y1082" s="1129">
        <v>0</v>
      </c>
    </row>
    <row r="1083" spans="1:25" s="1137" customFormat="1" ht="84" customHeight="1">
      <c r="A1083" s="1280">
        <v>58</v>
      </c>
      <c r="B1083" s="1128" t="s">
        <v>1885</v>
      </c>
      <c r="C1083" s="1129">
        <f t="shared" si="519"/>
        <v>966044</v>
      </c>
      <c r="D1083" s="1129">
        <f t="shared" si="520"/>
        <v>244877.26</v>
      </c>
      <c r="E1083" s="1129">
        <v>244877.26</v>
      </c>
      <c r="F1083" s="1129">
        <v>0</v>
      </c>
      <c r="G1083" s="1129">
        <v>0</v>
      </c>
      <c r="H1083" s="1129">
        <v>0</v>
      </c>
      <c r="I1083" s="1129">
        <v>0</v>
      </c>
      <c r="J1083" s="1129">
        <v>0</v>
      </c>
      <c r="K1083" s="1136">
        <v>0</v>
      </c>
      <c r="L1083" s="1129">
        <v>0</v>
      </c>
      <c r="M1083" s="1136">
        <v>0</v>
      </c>
      <c r="N1083" s="1129">
        <v>0</v>
      </c>
      <c r="O1083" s="1129">
        <v>0</v>
      </c>
      <c r="P1083" s="1129">
        <v>0</v>
      </c>
      <c r="Q1083" s="1129">
        <v>0</v>
      </c>
      <c r="R1083" s="1129">
        <v>0</v>
      </c>
      <c r="S1083" s="1129">
        <v>462.8</v>
      </c>
      <c r="T1083" s="1129">
        <v>650998.30000000005</v>
      </c>
      <c r="U1083" s="1129">
        <v>0</v>
      </c>
      <c r="V1083" s="1129">
        <v>0</v>
      </c>
      <c r="W1083" s="1129">
        <v>0</v>
      </c>
      <c r="X1083" s="1129">
        <v>70168.44</v>
      </c>
      <c r="Y1083" s="1129">
        <v>0</v>
      </c>
    </row>
    <row r="1084" spans="1:25" s="1137" customFormat="1" ht="72.599999999999994" customHeight="1">
      <c r="A1084" s="1280">
        <v>59</v>
      </c>
      <c r="B1084" s="1128" t="s">
        <v>1689</v>
      </c>
      <c r="C1084" s="1129">
        <f t="shared" si="519"/>
        <v>1440092</v>
      </c>
      <c r="D1084" s="1129">
        <f t="shared" si="520"/>
        <v>0</v>
      </c>
      <c r="E1084" s="1129">
        <v>0</v>
      </c>
      <c r="F1084" s="1129">
        <v>0</v>
      </c>
      <c r="G1084" s="1129">
        <v>0</v>
      </c>
      <c r="H1084" s="1129">
        <v>0</v>
      </c>
      <c r="I1084" s="1129">
        <v>0</v>
      </c>
      <c r="J1084" s="1129">
        <v>0</v>
      </c>
      <c r="K1084" s="1136">
        <v>0</v>
      </c>
      <c r="L1084" s="1129">
        <v>0</v>
      </c>
      <c r="M1084" s="1136">
        <v>0</v>
      </c>
      <c r="N1084" s="1129">
        <v>0</v>
      </c>
      <c r="O1084" s="1129">
        <v>530</v>
      </c>
      <c r="P1084" s="1129">
        <v>1335491</v>
      </c>
      <c r="Q1084" s="1129">
        <v>0</v>
      </c>
      <c r="R1084" s="1129">
        <v>0</v>
      </c>
      <c r="S1084" s="1129">
        <v>0</v>
      </c>
      <c r="T1084" s="1129">
        <v>0</v>
      </c>
      <c r="U1084" s="1129">
        <v>0</v>
      </c>
      <c r="V1084" s="1129">
        <v>0</v>
      </c>
      <c r="W1084" s="1129">
        <v>0</v>
      </c>
      <c r="X1084" s="1129">
        <v>104601</v>
      </c>
      <c r="Y1084" s="1129">
        <v>0</v>
      </c>
    </row>
    <row r="1085" spans="1:25" s="1137" customFormat="1" ht="94.9" customHeight="1">
      <c r="A1085" s="1280">
        <v>60</v>
      </c>
      <c r="B1085" s="1128" t="s">
        <v>1886</v>
      </c>
      <c r="C1085" s="1129">
        <f t="shared" si="519"/>
        <v>376932</v>
      </c>
      <c r="D1085" s="1129">
        <f t="shared" si="520"/>
        <v>349553.61</v>
      </c>
      <c r="E1085" s="1129">
        <v>0</v>
      </c>
      <c r="F1085" s="1129">
        <v>0</v>
      </c>
      <c r="G1085" s="1129">
        <v>0</v>
      </c>
      <c r="H1085" s="1129">
        <v>349553.61</v>
      </c>
      <c r="I1085" s="1129">
        <v>0</v>
      </c>
      <c r="J1085" s="1129">
        <v>0</v>
      </c>
      <c r="K1085" s="1136">
        <v>0</v>
      </c>
      <c r="L1085" s="1129">
        <v>0</v>
      </c>
      <c r="M1085" s="1136">
        <v>0</v>
      </c>
      <c r="N1085" s="1129">
        <v>0</v>
      </c>
      <c r="O1085" s="1129">
        <v>0</v>
      </c>
      <c r="P1085" s="1129">
        <v>0</v>
      </c>
      <c r="Q1085" s="1129">
        <v>0</v>
      </c>
      <c r="R1085" s="1129">
        <v>0</v>
      </c>
      <c r="S1085" s="1129">
        <v>0</v>
      </c>
      <c r="T1085" s="1129">
        <v>0</v>
      </c>
      <c r="U1085" s="1129">
        <v>0</v>
      </c>
      <c r="V1085" s="1129">
        <v>0</v>
      </c>
      <c r="W1085" s="1129">
        <v>0</v>
      </c>
      <c r="X1085" s="1129">
        <v>27378.39</v>
      </c>
      <c r="Y1085" s="1129">
        <v>0</v>
      </c>
    </row>
    <row r="1086" spans="1:25" s="1137" customFormat="1" ht="90" customHeight="1">
      <c r="A1086" s="1280">
        <v>61</v>
      </c>
      <c r="B1086" s="1128" t="s">
        <v>1887</v>
      </c>
      <c r="C1086" s="1129">
        <f t="shared" si="519"/>
        <v>447464</v>
      </c>
      <c r="D1086" s="1129">
        <f t="shared" si="520"/>
        <v>414962.53</v>
      </c>
      <c r="E1086" s="1129">
        <v>0</v>
      </c>
      <c r="F1086" s="1129">
        <v>0</v>
      </c>
      <c r="G1086" s="1129">
        <v>0</v>
      </c>
      <c r="H1086" s="1129">
        <v>414962.53</v>
      </c>
      <c r="I1086" s="1129">
        <v>0</v>
      </c>
      <c r="J1086" s="1129">
        <v>0</v>
      </c>
      <c r="K1086" s="1136">
        <v>0</v>
      </c>
      <c r="L1086" s="1129">
        <v>0</v>
      </c>
      <c r="M1086" s="1136">
        <v>0</v>
      </c>
      <c r="N1086" s="1129">
        <v>0</v>
      </c>
      <c r="O1086" s="1129">
        <v>0</v>
      </c>
      <c r="P1086" s="1129">
        <v>0</v>
      </c>
      <c r="Q1086" s="1129">
        <v>0</v>
      </c>
      <c r="R1086" s="1129">
        <v>0</v>
      </c>
      <c r="S1086" s="1129">
        <v>0</v>
      </c>
      <c r="T1086" s="1129">
        <v>0</v>
      </c>
      <c r="U1086" s="1129">
        <v>0</v>
      </c>
      <c r="V1086" s="1129">
        <v>0</v>
      </c>
      <c r="W1086" s="1129">
        <v>0</v>
      </c>
      <c r="X1086" s="1129">
        <v>32501.47</v>
      </c>
      <c r="Y1086" s="1129">
        <v>0</v>
      </c>
    </row>
    <row r="1087" spans="1:25" s="1137" customFormat="1" ht="67.900000000000006" customHeight="1">
      <c r="A1087" s="1280">
        <v>62</v>
      </c>
      <c r="B1087" s="1128" t="s">
        <v>240</v>
      </c>
      <c r="C1087" s="1129">
        <f t="shared" si="519"/>
        <v>2386092.04</v>
      </c>
      <c r="D1087" s="1129">
        <f t="shared" si="520"/>
        <v>0</v>
      </c>
      <c r="E1087" s="1129">
        <v>0</v>
      </c>
      <c r="F1087" s="1129">
        <v>0</v>
      </c>
      <c r="G1087" s="1129">
        <v>0</v>
      </c>
      <c r="H1087" s="1129">
        <v>0</v>
      </c>
      <c r="I1087" s="1129">
        <v>0</v>
      </c>
      <c r="J1087" s="1129">
        <v>0</v>
      </c>
      <c r="K1087" s="1136">
        <v>0</v>
      </c>
      <c r="L1087" s="1129">
        <v>0</v>
      </c>
      <c r="M1087" s="1136">
        <v>0</v>
      </c>
      <c r="N1087" s="1129">
        <v>0</v>
      </c>
      <c r="O1087" s="1129">
        <v>0</v>
      </c>
      <c r="P1087" s="1129">
        <v>0</v>
      </c>
      <c r="Q1087" s="1129">
        <v>0</v>
      </c>
      <c r="R1087" s="1129">
        <v>0</v>
      </c>
      <c r="S1087" s="1129">
        <v>926</v>
      </c>
      <c r="T1087" s="1129">
        <v>2285092</v>
      </c>
      <c r="U1087" s="1129">
        <v>0</v>
      </c>
      <c r="V1087" s="1129">
        <v>0</v>
      </c>
      <c r="W1087" s="1129">
        <v>0</v>
      </c>
      <c r="X1087" s="1129">
        <v>101000.04</v>
      </c>
      <c r="Y1087" s="1129">
        <v>0</v>
      </c>
    </row>
    <row r="1088" spans="1:25" s="1137" customFormat="1" ht="85.15" customHeight="1">
      <c r="A1088" s="1280">
        <v>63</v>
      </c>
      <c r="B1088" s="1128" t="s">
        <v>2846</v>
      </c>
      <c r="C1088" s="1129">
        <f t="shared" si="519"/>
        <v>2836922</v>
      </c>
      <c r="D1088" s="1129">
        <f t="shared" si="520"/>
        <v>0</v>
      </c>
      <c r="E1088" s="1129">
        <v>0</v>
      </c>
      <c r="F1088" s="1129">
        <v>0</v>
      </c>
      <c r="G1088" s="1129">
        <v>0</v>
      </c>
      <c r="H1088" s="1129">
        <v>0</v>
      </c>
      <c r="I1088" s="1129">
        <v>0</v>
      </c>
      <c r="J1088" s="1129">
        <v>0</v>
      </c>
      <c r="K1088" s="1136">
        <v>0</v>
      </c>
      <c r="L1088" s="1129">
        <v>0</v>
      </c>
      <c r="M1088" s="1136">
        <v>0</v>
      </c>
      <c r="N1088" s="1129">
        <v>0</v>
      </c>
      <c r="O1088" s="1129">
        <v>1140</v>
      </c>
      <c r="P1088" s="1129">
        <v>2630862.66</v>
      </c>
      <c r="Q1088" s="1129">
        <v>0</v>
      </c>
      <c r="R1088" s="1129">
        <v>0</v>
      </c>
      <c r="S1088" s="1129">
        <v>0</v>
      </c>
      <c r="T1088" s="1129">
        <v>0</v>
      </c>
      <c r="U1088" s="1129">
        <v>0</v>
      </c>
      <c r="V1088" s="1129">
        <v>0</v>
      </c>
      <c r="W1088" s="1129">
        <v>0</v>
      </c>
      <c r="X1088" s="1129">
        <v>206059.34</v>
      </c>
      <c r="Y1088" s="1129">
        <v>0</v>
      </c>
    </row>
    <row r="1089" spans="1:25" s="1137" customFormat="1" ht="69" customHeight="1">
      <c r="A1089" s="1280">
        <v>64</v>
      </c>
      <c r="B1089" s="1128" t="s">
        <v>1692</v>
      </c>
      <c r="C1089" s="1129">
        <f t="shared" si="519"/>
        <v>2030495</v>
      </c>
      <c r="D1089" s="1129">
        <f t="shared" si="520"/>
        <v>0</v>
      </c>
      <c r="E1089" s="1129">
        <v>0</v>
      </c>
      <c r="F1089" s="1129">
        <v>0</v>
      </c>
      <c r="G1089" s="1129">
        <v>0</v>
      </c>
      <c r="H1089" s="1129">
        <v>0</v>
      </c>
      <c r="I1089" s="1129">
        <v>0</v>
      </c>
      <c r="J1089" s="1129">
        <v>0</v>
      </c>
      <c r="K1089" s="1136">
        <v>0</v>
      </c>
      <c r="L1089" s="1129">
        <v>0</v>
      </c>
      <c r="M1089" s="1136">
        <v>0</v>
      </c>
      <c r="N1089" s="1129">
        <v>0</v>
      </c>
      <c r="O1089" s="1129">
        <v>819</v>
      </c>
      <c r="P1089" s="1129">
        <v>1883010.34</v>
      </c>
      <c r="Q1089" s="1129">
        <v>0</v>
      </c>
      <c r="R1089" s="1129">
        <v>0</v>
      </c>
      <c r="S1089" s="1129">
        <v>0</v>
      </c>
      <c r="T1089" s="1129">
        <v>0</v>
      </c>
      <c r="U1089" s="1129">
        <v>0</v>
      </c>
      <c r="V1089" s="1129">
        <v>0</v>
      </c>
      <c r="W1089" s="1129">
        <v>0</v>
      </c>
      <c r="X1089" s="1129">
        <v>147484.66</v>
      </c>
      <c r="Y1089" s="1129">
        <v>0</v>
      </c>
    </row>
    <row r="1090" spans="1:25" s="1137" customFormat="1" ht="98.45" customHeight="1">
      <c r="A1090" s="1280">
        <v>65</v>
      </c>
      <c r="B1090" s="1128" t="s">
        <v>1693</v>
      </c>
      <c r="C1090" s="1129">
        <f t="shared" si="519"/>
        <v>26223875.760000002</v>
      </c>
      <c r="D1090" s="1129">
        <f t="shared" si="520"/>
        <v>0</v>
      </c>
      <c r="E1090" s="1129">
        <v>0</v>
      </c>
      <c r="F1090" s="1129">
        <v>0</v>
      </c>
      <c r="G1090" s="1129">
        <v>0</v>
      </c>
      <c r="H1090" s="1129">
        <v>0</v>
      </c>
      <c r="I1090" s="1129">
        <v>0</v>
      </c>
      <c r="J1090" s="1129">
        <v>0</v>
      </c>
      <c r="K1090" s="1136">
        <v>0</v>
      </c>
      <c r="L1090" s="1129">
        <v>0</v>
      </c>
      <c r="M1090" s="1136">
        <v>0</v>
      </c>
      <c r="N1090" s="1129">
        <v>0</v>
      </c>
      <c r="O1090" s="1129">
        <v>0</v>
      </c>
      <c r="P1090" s="1129">
        <v>0</v>
      </c>
      <c r="Q1090" s="1129">
        <v>0</v>
      </c>
      <c r="R1090" s="1129">
        <v>0</v>
      </c>
      <c r="S1090" s="1134">
        <v>4400</v>
      </c>
      <c r="T1090" s="1212">
        <v>25553793.760000002</v>
      </c>
      <c r="U1090" s="1129">
        <v>0</v>
      </c>
      <c r="V1090" s="1129">
        <v>0</v>
      </c>
      <c r="W1090" s="1129">
        <v>0</v>
      </c>
      <c r="X1090" s="1129">
        <v>670082</v>
      </c>
      <c r="Y1090" s="1129">
        <v>0</v>
      </c>
    </row>
    <row r="1091" spans="1:25" s="1137" customFormat="1" ht="86.45" customHeight="1">
      <c r="A1091" s="1280">
        <v>66</v>
      </c>
      <c r="B1091" s="1128" t="s">
        <v>2620</v>
      </c>
      <c r="C1091" s="1129">
        <f t="shared" si="519"/>
        <v>840712</v>
      </c>
      <c r="D1091" s="1129">
        <f t="shared" si="520"/>
        <v>0</v>
      </c>
      <c r="E1091" s="1129">
        <v>0</v>
      </c>
      <c r="F1091" s="1129">
        <v>0</v>
      </c>
      <c r="G1091" s="1129">
        <v>0</v>
      </c>
      <c r="H1091" s="1129">
        <v>0</v>
      </c>
      <c r="I1091" s="1129">
        <v>0</v>
      </c>
      <c r="J1091" s="1129">
        <v>0</v>
      </c>
      <c r="K1091" s="1136">
        <v>0</v>
      </c>
      <c r="L1091" s="1129">
        <v>0</v>
      </c>
      <c r="M1091" s="1136">
        <v>0</v>
      </c>
      <c r="N1091" s="1129">
        <v>0</v>
      </c>
      <c r="O1091" s="1129">
        <v>328</v>
      </c>
      <c r="P1091" s="1129">
        <v>779647.03</v>
      </c>
      <c r="Q1091" s="1129">
        <v>0</v>
      </c>
      <c r="R1091" s="1129">
        <v>0</v>
      </c>
      <c r="S1091" s="1129">
        <v>0</v>
      </c>
      <c r="T1091" s="1129">
        <v>0</v>
      </c>
      <c r="U1091" s="1129">
        <v>0</v>
      </c>
      <c r="V1091" s="1129">
        <v>0</v>
      </c>
      <c r="W1091" s="1129">
        <v>0</v>
      </c>
      <c r="X1091" s="1129">
        <v>61064.97</v>
      </c>
      <c r="Y1091" s="1129">
        <v>0</v>
      </c>
    </row>
    <row r="1092" spans="1:25" s="1141" customFormat="1" ht="91.15" customHeight="1">
      <c r="A1092" s="1280">
        <v>67</v>
      </c>
      <c r="B1092" s="1128" t="s">
        <v>2621</v>
      </c>
      <c r="C1092" s="1129">
        <f t="shared" si="519"/>
        <v>3135690</v>
      </c>
      <c r="D1092" s="1129">
        <f t="shared" si="520"/>
        <v>0</v>
      </c>
      <c r="E1092" s="1129">
        <v>0</v>
      </c>
      <c r="F1092" s="1129">
        <v>0</v>
      </c>
      <c r="G1092" s="1129">
        <v>0</v>
      </c>
      <c r="H1092" s="1129">
        <v>0</v>
      </c>
      <c r="I1092" s="1129">
        <v>0</v>
      </c>
      <c r="J1092" s="1129">
        <v>0</v>
      </c>
      <c r="K1092" s="1136">
        <v>0</v>
      </c>
      <c r="L1092" s="1129">
        <v>0</v>
      </c>
      <c r="M1092" s="1136">
        <v>0</v>
      </c>
      <c r="N1092" s="1129">
        <v>0</v>
      </c>
      <c r="O1092" s="1129">
        <v>1262</v>
      </c>
      <c r="P1092" s="1129">
        <v>2907929.7</v>
      </c>
      <c r="Q1092" s="1129">
        <v>0</v>
      </c>
      <c r="R1092" s="1129">
        <v>0</v>
      </c>
      <c r="S1092" s="1129">
        <v>0</v>
      </c>
      <c r="T1092" s="1129">
        <v>0</v>
      </c>
      <c r="U1092" s="1129">
        <v>0</v>
      </c>
      <c r="V1092" s="1129">
        <v>0</v>
      </c>
      <c r="W1092" s="1129">
        <v>0</v>
      </c>
      <c r="X1092" s="1129">
        <v>227760.3</v>
      </c>
      <c r="Y1092" s="1129">
        <v>0</v>
      </c>
    </row>
    <row r="1093" spans="1:25" s="1141" customFormat="1" ht="67.900000000000006" customHeight="1">
      <c r="A1093" s="1280">
        <v>68</v>
      </c>
      <c r="B1093" s="1128" t="s">
        <v>1695</v>
      </c>
      <c r="C1093" s="1129">
        <f t="shared" si="519"/>
        <v>454703</v>
      </c>
      <c r="D1093" s="1129">
        <f t="shared" si="520"/>
        <v>421675.73</v>
      </c>
      <c r="E1093" s="1129">
        <v>421675.73</v>
      </c>
      <c r="F1093" s="1129">
        <v>0</v>
      </c>
      <c r="G1093" s="1129">
        <v>0</v>
      </c>
      <c r="H1093" s="1129">
        <v>0</v>
      </c>
      <c r="I1093" s="1129">
        <v>0</v>
      </c>
      <c r="J1093" s="1129">
        <v>0</v>
      </c>
      <c r="K1093" s="1136">
        <v>0</v>
      </c>
      <c r="L1093" s="1129">
        <v>0</v>
      </c>
      <c r="M1093" s="1136">
        <v>0</v>
      </c>
      <c r="N1093" s="1129">
        <v>0</v>
      </c>
      <c r="O1093" s="1129">
        <v>0</v>
      </c>
      <c r="P1093" s="1129">
        <v>0</v>
      </c>
      <c r="Q1093" s="1129">
        <v>0</v>
      </c>
      <c r="R1093" s="1129">
        <v>0</v>
      </c>
      <c r="S1093" s="1129">
        <v>0</v>
      </c>
      <c r="T1093" s="1129">
        <v>0</v>
      </c>
      <c r="U1093" s="1129">
        <v>0</v>
      </c>
      <c r="V1093" s="1129">
        <v>0</v>
      </c>
      <c r="W1093" s="1129">
        <v>0</v>
      </c>
      <c r="X1093" s="1129">
        <v>33027.269999999997</v>
      </c>
      <c r="Y1093" s="1129">
        <v>0</v>
      </c>
    </row>
    <row r="1094" spans="1:25" s="1141" customFormat="1" ht="71.45" customHeight="1">
      <c r="A1094" s="1280">
        <v>69</v>
      </c>
      <c r="B1094" s="1128" t="s">
        <v>1696</v>
      </c>
      <c r="C1094" s="1129">
        <f t="shared" si="519"/>
        <v>3635931</v>
      </c>
      <c r="D1094" s="1129">
        <f t="shared" si="520"/>
        <v>0</v>
      </c>
      <c r="E1094" s="1129">
        <v>0</v>
      </c>
      <c r="F1094" s="1129">
        <v>0</v>
      </c>
      <c r="G1094" s="1129">
        <v>0</v>
      </c>
      <c r="H1094" s="1129">
        <v>0</v>
      </c>
      <c r="I1094" s="1129">
        <v>0</v>
      </c>
      <c r="J1094" s="1129">
        <v>0</v>
      </c>
      <c r="K1094" s="1136">
        <v>0</v>
      </c>
      <c r="L1094" s="1129">
        <v>0</v>
      </c>
      <c r="M1094" s="1136">
        <v>0</v>
      </c>
      <c r="N1094" s="1129">
        <v>0</v>
      </c>
      <c r="O1094" s="1129">
        <v>713.4</v>
      </c>
      <c r="P1094" s="1129">
        <v>2084983.99</v>
      </c>
      <c r="Q1094" s="1129">
        <v>0</v>
      </c>
      <c r="R1094" s="1129">
        <v>0</v>
      </c>
      <c r="S1094" s="1129">
        <v>921.24</v>
      </c>
      <c r="T1094" s="1129">
        <v>1286851.79</v>
      </c>
      <c r="U1094" s="1129">
        <v>0</v>
      </c>
      <c r="V1094" s="1129">
        <v>0</v>
      </c>
      <c r="W1094" s="1129">
        <v>0</v>
      </c>
      <c r="X1094" s="1129">
        <v>264095.21999999997</v>
      </c>
      <c r="Y1094" s="1129">
        <v>0</v>
      </c>
    </row>
    <row r="1095" spans="1:25" s="1141" customFormat="1" ht="106.5" customHeight="1">
      <c r="A1095" s="1280">
        <v>70</v>
      </c>
      <c r="B1095" s="1128" t="s">
        <v>1888</v>
      </c>
      <c r="C1095" s="1129">
        <f t="shared" si="519"/>
        <v>593036</v>
      </c>
      <c r="D1095" s="1129">
        <f t="shared" si="520"/>
        <v>549960.93000000005</v>
      </c>
      <c r="E1095" s="1129">
        <v>549960.93000000005</v>
      </c>
      <c r="F1095" s="1129">
        <v>0</v>
      </c>
      <c r="G1095" s="1129">
        <v>0</v>
      </c>
      <c r="H1095" s="1129">
        <v>0</v>
      </c>
      <c r="I1095" s="1129">
        <v>0</v>
      </c>
      <c r="J1095" s="1129">
        <v>0</v>
      </c>
      <c r="K1095" s="1136">
        <v>0</v>
      </c>
      <c r="L1095" s="1129">
        <v>0</v>
      </c>
      <c r="M1095" s="1136">
        <v>0</v>
      </c>
      <c r="N1095" s="1129">
        <v>0</v>
      </c>
      <c r="O1095" s="1129">
        <v>0</v>
      </c>
      <c r="P1095" s="1129">
        <v>0</v>
      </c>
      <c r="Q1095" s="1129">
        <v>0</v>
      </c>
      <c r="R1095" s="1129">
        <v>0</v>
      </c>
      <c r="S1095" s="1129">
        <v>0</v>
      </c>
      <c r="T1095" s="1129">
        <v>0</v>
      </c>
      <c r="U1095" s="1129">
        <v>0</v>
      </c>
      <c r="V1095" s="1129">
        <v>0</v>
      </c>
      <c r="W1095" s="1129">
        <v>0</v>
      </c>
      <c r="X1095" s="1129">
        <v>43075.07</v>
      </c>
      <c r="Y1095" s="1129">
        <v>0</v>
      </c>
    </row>
    <row r="1096" spans="1:25" s="1141" customFormat="1" ht="63" customHeight="1">
      <c r="A1096" s="1280">
        <v>71</v>
      </c>
      <c r="B1096" s="1128" t="s">
        <v>1698</v>
      </c>
      <c r="C1096" s="1129">
        <f t="shared" si="519"/>
        <v>948145</v>
      </c>
      <c r="D1096" s="1129">
        <f t="shared" si="520"/>
        <v>879276.66</v>
      </c>
      <c r="E1096" s="1129">
        <v>0</v>
      </c>
      <c r="F1096" s="1212">
        <v>360705.18</v>
      </c>
      <c r="G1096" s="1129">
        <v>0</v>
      </c>
      <c r="H1096" s="1129">
        <v>316913.14</v>
      </c>
      <c r="I1096" s="1129">
        <v>0</v>
      </c>
      <c r="J1096" s="1129">
        <v>201658.34</v>
      </c>
      <c r="K1096" s="1136">
        <v>0</v>
      </c>
      <c r="L1096" s="1129">
        <v>0</v>
      </c>
      <c r="M1096" s="1136">
        <v>0</v>
      </c>
      <c r="N1096" s="1129">
        <v>0</v>
      </c>
      <c r="O1096" s="1129">
        <v>0</v>
      </c>
      <c r="P1096" s="1129">
        <v>0</v>
      </c>
      <c r="Q1096" s="1129">
        <v>0</v>
      </c>
      <c r="R1096" s="1129">
        <v>0</v>
      </c>
      <c r="S1096" s="1129">
        <v>0</v>
      </c>
      <c r="T1096" s="1129">
        <v>0</v>
      </c>
      <c r="U1096" s="1129">
        <v>0</v>
      </c>
      <c r="V1096" s="1129">
        <v>0</v>
      </c>
      <c r="W1096" s="1129">
        <v>0</v>
      </c>
      <c r="X1096" s="1129">
        <v>68868.34</v>
      </c>
      <c r="Y1096" s="1129">
        <v>0</v>
      </c>
    </row>
    <row r="1097" spans="1:25" s="1141" customFormat="1" ht="72.599999999999994" customHeight="1">
      <c r="A1097" s="1280">
        <v>72</v>
      </c>
      <c r="B1097" s="1128" t="s">
        <v>1699</v>
      </c>
      <c r="C1097" s="1129">
        <f t="shared" si="519"/>
        <v>1431229</v>
      </c>
      <c r="D1097" s="1129">
        <f t="shared" si="520"/>
        <v>1327272.32</v>
      </c>
      <c r="E1097" s="1129">
        <v>322107.32</v>
      </c>
      <c r="F1097" s="1129">
        <v>622790</v>
      </c>
      <c r="G1097" s="1129">
        <v>0</v>
      </c>
      <c r="H1097" s="1129">
        <v>0</v>
      </c>
      <c r="I1097" s="1129">
        <v>382375</v>
      </c>
      <c r="J1097" s="1129">
        <v>0</v>
      </c>
      <c r="K1097" s="1136">
        <v>0</v>
      </c>
      <c r="L1097" s="1129">
        <v>0</v>
      </c>
      <c r="M1097" s="1136">
        <v>0</v>
      </c>
      <c r="N1097" s="1129">
        <v>0</v>
      </c>
      <c r="O1097" s="1129">
        <v>0</v>
      </c>
      <c r="P1097" s="1129">
        <v>0</v>
      </c>
      <c r="Q1097" s="1129">
        <v>0</v>
      </c>
      <c r="R1097" s="1129">
        <v>0</v>
      </c>
      <c r="S1097" s="1129">
        <v>0</v>
      </c>
      <c r="T1097" s="1129">
        <v>0</v>
      </c>
      <c r="U1097" s="1129">
        <v>0</v>
      </c>
      <c r="V1097" s="1129">
        <v>0</v>
      </c>
      <c r="W1097" s="1129">
        <v>0</v>
      </c>
      <c r="X1097" s="1129">
        <v>103956.68</v>
      </c>
      <c r="Y1097" s="1129">
        <v>0</v>
      </c>
    </row>
    <row r="1098" spans="1:25" s="1141" customFormat="1" ht="97.15" customHeight="1">
      <c r="A1098" s="1280">
        <v>73</v>
      </c>
      <c r="B1098" s="1128" t="s">
        <v>1700</v>
      </c>
      <c r="C1098" s="1129">
        <f t="shared" si="519"/>
        <v>3522195.05</v>
      </c>
      <c r="D1098" s="1129">
        <f t="shared" si="520"/>
        <v>0</v>
      </c>
      <c r="E1098" s="1129">
        <v>0</v>
      </c>
      <c r="F1098" s="1129">
        <v>0</v>
      </c>
      <c r="G1098" s="1129">
        <v>0</v>
      </c>
      <c r="H1098" s="1129">
        <v>0</v>
      </c>
      <c r="I1098" s="1129">
        <v>0</v>
      </c>
      <c r="J1098" s="1129">
        <v>0</v>
      </c>
      <c r="K1098" s="1136">
        <v>0</v>
      </c>
      <c r="L1098" s="1129">
        <v>0</v>
      </c>
      <c r="M1098" s="1136">
        <v>0</v>
      </c>
      <c r="N1098" s="1129">
        <v>0</v>
      </c>
      <c r="O1098" s="1129">
        <v>0</v>
      </c>
      <c r="P1098" s="1129">
        <v>0</v>
      </c>
      <c r="Q1098" s="1129">
        <v>0</v>
      </c>
      <c r="R1098" s="1129">
        <v>0</v>
      </c>
      <c r="S1098" s="1212">
        <v>1157.8499999999999</v>
      </c>
      <c r="T1098" s="1212">
        <v>3395324.96</v>
      </c>
      <c r="U1098" s="1129">
        <v>0</v>
      </c>
      <c r="V1098" s="1129">
        <v>0</v>
      </c>
      <c r="W1098" s="1129">
        <v>0</v>
      </c>
      <c r="X1098" s="1129">
        <v>126870.09</v>
      </c>
      <c r="Y1098" s="1129">
        <v>0</v>
      </c>
    </row>
    <row r="1099" spans="1:25" s="1141" customFormat="1" ht="96" customHeight="1">
      <c r="A1099" s="1280">
        <v>74</v>
      </c>
      <c r="B1099" s="1128" t="s">
        <v>2528</v>
      </c>
      <c r="C1099" s="1129">
        <f t="shared" si="519"/>
        <v>1911181</v>
      </c>
      <c r="D1099" s="1129">
        <f t="shared" si="520"/>
        <v>0</v>
      </c>
      <c r="E1099" s="1129">
        <v>0</v>
      </c>
      <c r="F1099" s="1129">
        <v>0</v>
      </c>
      <c r="G1099" s="1129">
        <v>0</v>
      </c>
      <c r="H1099" s="1129">
        <v>0</v>
      </c>
      <c r="I1099" s="1129">
        <v>0</v>
      </c>
      <c r="J1099" s="1129">
        <v>0</v>
      </c>
      <c r="K1099" s="1136">
        <v>0</v>
      </c>
      <c r="L1099" s="1129">
        <v>0</v>
      </c>
      <c r="M1099" s="1136">
        <v>0</v>
      </c>
      <c r="N1099" s="1129">
        <v>0</v>
      </c>
      <c r="O1099" s="1129">
        <v>1322.1</v>
      </c>
      <c r="P1099" s="1129">
        <v>1772362.7</v>
      </c>
      <c r="Q1099" s="1129">
        <v>0</v>
      </c>
      <c r="R1099" s="1129">
        <v>0</v>
      </c>
      <c r="S1099" s="1129">
        <v>0</v>
      </c>
      <c r="T1099" s="1129">
        <v>0</v>
      </c>
      <c r="U1099" s="1129">
        <v>0</v>
      </c>
      <c r="V1099" s="1129">
        <v>0</v>
      </c>
      <c r="W1099" s="1129">
        <v>0</v>
      </c>
      <c r="X1099" s="1129">
        <v>138818.29999999999</v>
      </c>
      <c r="Y1099" s="1129">
        <v>0</v>
      </c>
    </row>
    <row r="1100" spans="1:25" s="1137" customFormat="1" ht="72" customHeight="1">
      <c r="A1100" s="1280">
        <v>75</v>
      </c>
      <c r="B1100" s="1128" t="s">
        <v>1702</v>
      </c>
      <c r="C1100" s="1129">
        <f t="shared" si="519"/>
        <v>1459916</v>
      </c>
      <c r="D1100" s="1129">
        <f t="shared" si="520"/>
        <v>0</v>
      </c>
      <c r="E1100" s="1129">
        <v>0</v>
      </c>
      <c r="F1100" s="1129">
        <v>0</v>
      </c>
      <c r="G1100" s="1129">
        <v>0</v>
      </c>
      <c r="H1100" s="1129">
        <v>0</v>
      </c>
      <c r="I1100" s="1129">
        <v>0</v>
      </c>
      <c r="J1100" s="1129">
        <v>0</v>
      </c>
      <c r="K1100" s="1136">
        <v>0</v>
      </c>
      <c r="L1100" s="1129">
        <v>0</v>
      </c>
      <c r="M1100" s="1136">
        <v>0</v>
      </c>
      <c r="N1100" s="1129">
        <v>0</v>
      </c>
      <c r="O1100" s="1129">
        <v>578</v>
      </c>
      <c r="P1100" s="1129">
        <v>1353875.25</v>
      </c>
      <c r="Q1100" s="1129">
        <v>0</v>
      </c>
      <c r="R1100" s="1129">
        <v>0</v>
      </c>
      <c r="S1100" s="1129">
        <v>0</v>
      </c>
      <c r="T1100" s="1129">
        <v>0</v>
      </c>
      <c r="U1100" s="1129">
        <v>0</v>
      </c>
      <c r="V1100" s="1129">
        <v>0</v>
      </c>
      <c r="W1100" s="1129">
        <v>0</v>
      </c>
      <c r="X1100" s="1129">
        <v>106040.75</v>
      </c>
      <c r="Y1100" s="1129">
        <v>0</v>
      </c>
    </row>
    <row r="1101" spans="1:25" s="1137" customFormat="1" ht="92.45" customHeight="1">
      <c r="A1101" s="1280">
        <v>76</v>
      </c>
      <c r="B1101" s="1128" t="s">
        <v>3044</v>
      </c>
      <c r="C1101" s="1129">
        <f t="shared" si="519"/>
        <v>3165212.46</v>
      </c>
      <c r="D1101" s="1129">
        <f t="shared" si="520"/>
        <v>0</v>
      </c>
      <c r="E1101" s="1129">
        <v>0</v>
      </c>
      <c r="F1101" s="1129">
        <v>0</v>
      </c>
      <c r="G1101" s="1129">
        <v>0</v>
      </c>
      <c r="H1101" s="1129">
        <v>0</v>
      </c>
      <c r="I1101" s="1129">
        <v>0</v>
      </c>
      <c r="J1101" s="1129">
        <v>0</v>
      </c>
      <c r="K1101" s="1136">
        <v>0</v>
      </c>
      <c r="L1101" s="1129">
        <v>0</v>
      </c>
      <c r="M1101" s="1136">
        <v>0</v>
      </c>
      <c r="N1101" s="1129">
        <v>0</v>
      </c>
      <c r="O1101" s="1129">
        <v>1164.9000000000001</v>
      </c>
      <c r="P1101" s="1129">
        <v>2935307.8</v>
      </c>
      <c r="Q1101" s="1129">
        <v>0</v>
      </c>
      <c r="R1101" s="1129">
        <v>0</v>
      </c>
      <c r="S1101" s="1129">
        <v>0</v>
      </c>
      <c r="T1101" s="1129">
        <v>0</v>
      </c>
      <c r="U1101" s="1129">
        <v>0</v>
      </c>
      <c r="V1101" s="1129">
        <v>0</v>
      </c>
      <c r="W1101" s="1129">
        <v>0</v>
      </c>
      <c r="X1101" s="1129">
        <v>229904.66</v>
      </c>
      <c r="Y1101" s="1129">
        <v>0</v>
      </c>
    </row>
    <row r="1102" spans="1:25" s="1137" customFormat="1" ht="63" customHeight="1">
      <c r="A1102" s="1280">
        <v>77</v>
      </c>
      <c r="B1102" s="1128" t="s">
        <v>258</v>
      </c>
      <c r="C1102" s="1129">
        <f t="shared" si="519"/>
        <v>1168390</v>
      </c>
      <c r="D1102" s="1129">
        <f t="shared" si="520"/>
        <v>0</v>
      </c>
      <c r="E1102" s="1129">
        <v>0</v>
      </c>
      <c r="F1102" s="1129">
        <v>0</v>
      </c>
      <c r="G1102" s="1129">
        <v>0</v>
      </c>
      <c r="H1102" s="1129">
        <v>0</v>
      </c>
      <c r="I1102" s="1129">
        <v>0</v>
      </c>
      <c r="J1102" s="1129">
        <v>0</v>
      </c>
      <c r="K1102" s="1136">
        <v>0</v>
      </c>
      <c r="L1102" s="1129">
        <v>0</v>
      </c>
      <c r="M1102" s="1136">
        <v>0</v>
      </c>
      <c r="N1102" s="1129">
        <v>0</v>
      </c>
      <c r="O1102" s="1129">
        <v>0</v>
      </c>
      <c r="P1102" s="1129">
        <v>0</v>
      </c>
      <c r="Q1102" s="1129">
        <v>0</v>
      </c>
      <c r="R1102" s="1129">
        <v>0</v>
      </c>
      <c r="S1102" s="1129">
        <v>775</v>
      </c>
      <c r="T1102" s="1129">
        <v>1083524.19</v>
      </c>
      <c r="U1102" s="1129">
        <v>0</v>
      </c>
      <c r="V1102" s="1129">
        <v>0</v>
      </c>
      <c r="W1102" s="1129">
        <v>0</v>
      </c>
      <c r="X1102" s="1129">
        <v>84865.81</v>
      </c>
      <c r="Y1102" s="1129">
        <v>0</v>
      </c>
    </row>
    <row r="1103" spans="1:25" s="1137" customFormat="1" ht="53.45" customHeight="1">
      <c r="A1103" s="1280">
        <v>78</v>
      </c>
      <c r="B1103" s="1128" t="s">
        <v>1766</v>
      </c>
      <c r="C1103" s="1129">
        <f t="shared" si="519"/>
        <v>2540822</v>
      </c>
      <c r="D1103" s="1129">
        <f t="shared" si="520"/>
        <v>0</v>
      </c>
      <c r="E1103" s="1129">
        <v>0</v>
      </c>
      <c r="F1103" s="1129">
        <v>0</v>
      </c>
      <c r="G1103" s="1129">
        <v>0</v>
      </c>
      <c r="H1103" s="1129">
        <v>0</v>
      </c>
      <c r="I1103" s="1129">
        <v>0</v>
      </c>
      <c r="J1103" s="1129">
        <v>0</v>
      </c>
      <c r="K1103" s="1136">
        <v>0</v>
      </c>
      <c r="L1103" s="1129">
        <v>0</v>
      </c>
      <c r="M1103" s="1136">
        <v>0</v>
      </c>
      <c r="N1103" s="1129">
        <v>0</v>
      </c>
      <c r="O1103" s="1129">
        <v>0</v>
      </c>
      <c r="P1103" s="1129">
        <v>0</v>
      </c>
      <c r="Q1103" s="1129">
        <v>2950</v>
      </c>
      <c r="R1103" s="1129">
        <v>2356269.83</v>
      </c>
      <c r="S1103" s="1129">
        <v>0</v>
      </c>
      <c r="T1103" s="1129">
        <v>0</v>
      </c>
      <c r="U1103" s="1129">
        <v>0</v>
      </c>
      <c r="V1103" s="1129">
        <v>0</v>
      </c>
      <c r="W1103" s="1129">
        <v>0</v>
      </c>
      <c r="X1103" s="1129">
        <v>184552.17</v>
      </c>
      <c r="Y1103" s="1129">
        <v>0</v>
      </c>
    </row>
    <row r="1104" spans="1:25" s="1137" customFormat="1" ht="61.9" customHeight="1">
      <c r="A1104" s="1280">
        <v>79</v>
      </c>
      <c r="B1104" s="1128" t="s">
        <v>1767</v>
      </c>
      <c r="C1104" s="1129">
        <f t="shared" si="519"/>
        <v>2518802</v>
      </c>
      <c r="D1104" s="1129">
        <f t="shared" si="520"/>
        <v>0</v>
      </c>
      <c r="E1104" s="1129">
        <v>0</v>
      </c>
      <c r="F1104" s="1129">
        <v>0</v>
      </c>
      <c r="G1104" s="1129">
        <v>0</v>
      </c>
      <c r="H1104" s="1129">
        <v>0</v>
      </c>
      <c r="I1104" s="1129">
        <v>0</v>
      </c>
      <c r="J1104" s="1129">
        <v>0</v>
      </c>
      <c r="K1104" s="1136">
        <v>0</v>
      </c>
      <c r="L1104" s="1129">
        <v>0</v>
      </c>
      <c r="M1104" s="1136">
        <v>0</v>
      </c>
      <c r="N1104" s="1129">
        <v>0</v>
      </c>
      <c r="O1104" s="1129">
        <v>927</v>
      </c>
      <c r="P1104" s="1129">
        <v>2335849</v>
      </c>
      <c r="Q1104" s="1129">
        <v>0</v>
      </c>
      <c r="R1104" s="1129">
        <v>0</v>
      </c>
      <c r="S1104" s="1129">
        <v>0</v>
      </c>
      <c r="T1104" s="1129">
        <v>0</v>
      </c>
      <c r="U1104" s="1129">
        <v>0</v>
      </c>
      <c r="V1104" s="1129">
        <v>0</v>
      </c>
      <c r="W1104" s="1129">
        <v>0</v>
      </c>
      <c r="X1104" s="1129">
        <v>182953</v>
      </c>
      <c r="Y1104" s="1129">
        <v>0</v>
      </c>
    </row>
    <row r="1105" spans="1:25" s="1137" customFormat="1" ht="86.45" customHeight="1">
      <c r="A1105" s="1280">
        <v>80</v>
      </c>
      <c r="B1105" s="1128" t="s">
        <v>3045</v>
      </c>
      <c r="C1105" s="1129">
        <f t="shared" si="519"/>
        <v>1243453</v>
      </c>
      <c r="D1105" s="1129">
        <f t="shared" si="520"/>
        <v>1153135</v>
      </c>
      <c r="E1105" s="1129">
        <v>0</v>
      </c>
      <c r="F1105" s="1129">
        <v>0</v>
      </c>
      <c r="G1105" s="1129">
        <v>0</v>
      </c>
      <c r="H1105" s="1129">
        <v>699364.1</v>
      </c>
      <c r="I1105" s="1129">
        <v>0</v>
      </c>
      <c r="J1105" s="1129">
        <v>453770.9</v>
      </c>
      <c r="K1105" s="1136">
        <v>0</v>
      </c>
      <c r="L1105" s="1129">
        <v>0</v>
      </c>
      <c r="M1105" s="1136">
        <v>0</v>
      </c>
      <c r="N1105" s="1129">
        <v>0</v>
      </c>
      <c r="O1105" s="1129">
        <v>0</v>
      </c>
      <c r="P1105" s="1129">
        <v>0</v>
      </c>
      <c r="Q1105" s="1129">
        <v>0</v>
      </c>
      <c r="R1105" s="1129">
        <v>0</v>
      </c>
      <c r="S1105" s="1129">
        <v>0</v>
      </c>
      <c r="T1105" s="1129">
        <v>0</v>
      </c>
      <c r="U1105" s="1129">
        <v>0</v>
      </c>
      <c r="V1105" s="1129">
        <v>0</v>
      </c>
      <c r="W1105" s="1129">
        <v>0</v>
      </c>
      <c r="X1105" s="1129">
        <v>90318</v>
      </c>
      <c r="Y1105" s="1129">
        <v>0</v>
      </c>
    </row>
    <row r="1106" spans="1:25" s="1137" customFormat="1" ht="63" customHeight="1">
      <c r="A1106" s="1280">
        <v>81</v>
      </c>
      <c r="B1106" s="1128" t="s">
        <v>1768</v>
      </c>
      <c r="C1106" s="1129">
        <f t="shared" si="519"/>
        <v>1219348</v>
      </c>
      <c r="D1106" s="1129">
        <f t="shared" si="520"/>
        <v>0</v>
      </c>
      <c r="E1106" s="1129">
        <v>0</v>
      </c>
      <c r="F1106" s="1129">
        <v>0</v>
      </c>
      <c r="G1106" s="1129">
        <v>0</v>
      </c>
      <c r="H1106" s="1129">
        <v>0</v>
      </c>
      <c r="I1106" s="1129">
        <v>0</v>
      </c>
      <c r="J1106" s="1129">
        <v>0</v>
      </c>
      <c r="K1106" s="1136">
        <v>0</v>
      </c>
      <c r="L1106" s="1129">
        <v>0</v>
      </c>
      <c r="M1106" s="1136">
        <v>0</v>
      </c>
      <c r="N1106" s="1129">
        <v>0</v>
      </c>
      <c r="O1106" s="1129">
        <v>379.8</v>
      </c>
      <c r="P1106" s="1129">
        <v>1130780.8700000001</v>
      </c>
      <c r="Q1106" s="1129">
        <v>0</v>
      </c>
      <c r="R1106" s="1129">
        <v>0</v>
      </c>
      <c r="S1106" s="1129">
        <v>0</v>
      </c>
      <c r="T1106" s="1129">
        <v>0</v>
      </c>
      <c r="U1106" s="1129">
        <v>0</v>
      </c>
      <c r="V1106" s="1129">
        <v>0</v>
      </c>
      <c r="W1106" s="1129">
        <v>0</v>
      </c>
      <c r="X1106" s="1129">
        <v>88567.13</v>
      </c>
      <c r="Y1106" s="1129">
        <v>0</v>
      </c>
    </row>
    <row r="1107" spans="1:25" s="1137" customFormat="1" ht="96" customHeight="1">
      <c r="A1107" s="1280">
        <v>82</v>
      </c>
      <c r="B1107" s="1128" t="s">
        <v>1769</v>
      </c>
      <c r="C1107" s="1129">
        <f t="shared" si="519"/>
        <v>1772460</v>
      </c>
      <c r="D1107" s="1129">
        <f t="shared" si="520"/>
        <v>0</v>
      </c>
      <c r="E1107" s="1129">
        <v>0</v>
      </c>
      <c r="F1107" s="1129">
        <v>0</v>
      </c>
      <c r="G1107" s="1129">
        <v>0</v>
      </c>
      <c r="H1107" s="1129">
        <v>0</v>
      </c>
      <c r="I1107" s="1129">
        <v>0</v>
      </c>
      <c r="J1107" s="1129">
        <v>0</v>
      </c>
      <c r="K1107" s="1136">
        <v>0</v>
      </c>
      <c r="L1107" s="1129">
        <v>0</v>
      </c>
      <c r="M1107" s="1136">
        <v>0</v>
      </c>
      <c r="N1107" s="1129">
        <v>0</v>
      </c>
      <c r="O1107" s="1129">
        <v>550.79999999999995</v>
      </c>
      <c r="P1107" s="1129">
        <v>1643717.67</v>
      </c>
      <c r="Q1107" s="1129">
        <v>0</v>
      </c>
      <c r="R1107" s="1129">
        <v>0</v>
      </c>
      <c r="S1107" s="1129">
        <v>0</v>
      </c>
      <c r="T1107" s="1129">
        <v>0</v>
      </c>
      <c r="U1107" s="1129">
        <v>0</v>
      </c>
      <c r="V1107" s="1129">
        <v>0</v>
      </c>
      <c r="W1107" s="1129">
        <v>0</v>
      </c>
      <c r="X1107" s="1129">
        <v>128742.33</v>
      </c>
      <c r="Y1107" s="1129">
        <v>0</v>
      </c>
    </row>
    <row r="1108" spans="1:25" s="1137" customFormat="1" ht="80.45" customHeight="1">
      <c r="A1108" s="1280">
        <v>83</v>
      </c>
      <c r="B1108" s="1128" t="s">
        <v>1889</v>
      </c>
      <c r="C1108" s="1129">
        <f t="shared" si="519"/>
        <v>1685452.24</v>
      </c>
      <c r="D1108" s="1129">
        <f t="shared" si="520"/>
        <v>1623138.53</v>
      </c>
      <c r="E1108" s="1129">
        <v>0</v>
      </c>
      <c r="F1108" s="1129">
        <v>974002.59</v>
      </c>
      <c r="G1108" s="1129">
        <v>0</v>
      </c>
      <c r="H1108" s="1129">
        <v>210493.35</v>
      </c>
      <c r="I1108" s="1129">
        <v>305538.84000000003</v>
      </c>
      <c r="J1108" s="1129">
        <v>133103.75</v>
      </c>
      <c r="K1108" s="1136">
        <v>0</v>
      </c>
      <c r="L1108" s="1129">
        <v>0</v>
      </c>
      <c r="M1108" s="1136">
        <v>0</v>
      </c>
      <c r="N1108" s="1129">
        <v>0</v>
      </c>
      <c r="O1108" s="1129">
        <v>0</v>
      </c>
      <c r="P1108" s="1129">
        <v>0</v>
      </c>
      <c r="Q1108" s="1129">
        <v>0</v>
      </c>
      <c r="R1108" s="1129">
        <v>0</v>
      </c>
      <c r="S1108" s="1129">
        <v>0</v>
      </c>
      <c r="T1108" s="1129">
        <v>0</v>
      </c>
      <c r="U1108" s="1129">
        <v>0</v>
      </c>
      <c r="V1108" s="1129">
        <v>0</v>
      </c>
      <c r="W1108" s="1129">
        <v>0</v>
      </c>
      <c r="X1108" s="1129">
        <v>62313.71</v>
      </c>
      <c r="Y1108" s="1129">
        <v>0</v>
      </c>
    </row>
    <row r="1109" spans="1:25" s="1137" customFormat="1" ht="84" customHeight="1">
      <c r="A1109" s="1280">
        <v>84</v>
      </c>
      <c r="B1109" s="1128" t="s">
        <v>1890</v>
      </c>
      <c r="C1109" s="1129">
        <f t="shared" si="519"/>
        <v>2676796.31</v>
      </c>
      <c r="D1109" s="1129">
        <f t="shared" si="520"/>
        <v>221112.61</v>
      </c>
      <c r="E1109" s="1129">
        <v>0</v>
      </c>
      <c r="F1109" s="1129">
        <v>0</v>
      </c>
      <c r="G1109" s="1129">
        <v>0</v>
      </c>
      <c r="H1109" s="1129">
        <v>0</v>
      </c>
      <c r="I1109" s="1129">
        <v>0</v>
      </c>
      <c r="J1109" s="1129">
        <v>221112.61</v>
      </c>
      <c r="K1109" s="1136">
        <v>0</v>
      </c>
      <c r="L1109" s="1129">
        <v>0</v>
      </c>
      <c r="M1109" s="1136">
        <v>0</v>
      </c>
      <c r="N1109" s="1129">
        <v>0</v>
      </c>
      <c r="O1109" s="1129">
        <v>0</v>
      </c>
      <c r="P1109" s="1129">
        <v>0</v>
      </c>
      <c r="Q1109" s="1129">
        <v>0</v>
      </c>
      <c r="R1109" s="1129">
        <v>0</v>
      </c>
      <c r="S1109" s="1129">
        <v>992.95</v>
      </c>
      <c r="T1109" s="1129">
        <v>1404045.7</v>
      </c>
      <c r="U1109" s="1129">
        <v>0</v>
      </c>
      <c r="V1109" s="1129">
        <v>0</v>
      </c>
      <c r="W1109" s="1129">
        <v>0</v>
      </c>
      <c r="X1109" s="1129">
        <v>1051638</v>
      </c>
      <c r="Y1109" s="1129">
        <v>0</v>
      </c>
    </row>
    <row r="1110" spans="1:25" s="1137" customFormat="1" ht="72.599999999999994" customHeight="1">
      <c r="A1110" s="1280">
        <v>85</v>
      </c>
      <c r="B1110" s="1128" t="s">
        <v>1706</v>
      </c>
      <c r="C1110" s="1129">
        <f t="shared" si="519"/>
        <v>2509708</v>
      </c>
      <c r="D1110" s="1129">
        <f t="shared" si="520"/>
        <v>0</v>
      </c>
      <c r="E1110" s="1129">
        <v>0</v>
      </c>
      <c r="F1110" s="1129">
        <v>0</v>
      </c>
      <c r="G1110" s="1129">
        <v>0</v>
      </c>
      <c r="H1110" s="1129">
        <v>0</v>
      </c>
      <c r="I1110" s="1129">
        <v>0</v>
      </c>
      <c r="J1110" s="1129">
        <v>0</v>
      </c>
      <c r="K1110" s="1136">
        <v>0</v>
      </c>
      <c r="L1110" s="1129">
        <v>0</v>
      </c>
      <c r="M1110" s="1136">
        <v>0</v>
      </c>
      <c r="N1110" s="1129">
        <v>0</v>
      </c>
      <c r="O1110" s="1129">
        <v>770.8</v>
      </c>
      <c r="P1110" s="1129">
        <v>2327415.79</v>
      </c>
      <c r="Q1110" s="1129">
        <v>0</v>
      </c>
      <c r="R1110" s="1129">
        <v>0</v>
      </c>
      <c r="S1110" s="1129">
        <v>0</v>
      </c>
      <c r="T1110" s="1129">
        <v>0</v>
      </c>
      <c r="U1110" s="1129">
        <v>0</v>
      </c>
      <c r="V1110" s="1129">
        <v>0</v>
      </c>
      <c r="W1110" s="1129">
        <v>0</v>
      </c>
      <c r="X1110" s="1129">
        <v>182292.21</v>
      </c>
      <c r="Y1110" s="1129">
        <v>0</v>
      </c>
    </row>
    <row r="1111" spans="1:25" s="1137" customFormat="1" ht="87.6" customHeight="1">
      <c r="A1111" s="1280">
        <v>86</v>
      </c>
      <c r="B1111" s="1128" t="s">
        <v>1891</v>
      </c>
      <c r="C1111" s="1129">
        <f t="shared" si="519"/>
        <v>2139068.59</v>
      </c>
      <c r="D1111" s="1129">
        <f t="shared" si="520"/>
        <v>0</v>
      </c>
      <c r="E1111" s="1129">
        <v>0</v>
      </c>
      <c r="F1111" s="1129">
        <v>0</v>
      </c>
      <c r="G1111" s="1129">
        <v>0</v>
      </c>
      <c r="H1111" s="1129">
        <v>0</v>
      </c>
      <c r="I1111" s="1129">
        <v>0</v>
      </c>
      <c r="J1111" s="1129">
        <v>0</v>
      </c>
      <c r="K1111" s="1136">
        <v>0</v>
      </c>
      <c r="L1111" s="1129">
        <v>0</v>
      </c>
      <c r="M1111" s="1136">
        <v>0</v>
      </c>
      <c r="N1111" s="1129">
        <v>0</v>
      </c>
      <c r="O1111" s="1129">
        <v>632</v>
      </c>
      <c r="P1111" s="1129">
        <v>1983697.71</v>
      </c>
      <c r="Q1111" s="1129">
        <v>0</v>
      </c>
      <c r="R1111" s="1129">
        <v>0</v>
      </c>
      <c r="S1111" s="1129">
        <v>0</v>
      </c>
      <c r="T1111" s="1129">
        <v>0</v>
      </c>
      <c r="U1111" s="1129">
        <v>0</v>
      </c>
      <c r="V1111" s="1129">
        <v>0</v>
      </c>
      <c r="W1111" s="1129">
        <v>0</v>
      </c>
      <c r="X1111" s="1129">
        <v>155370.88</v>
      </c>
      <c r="Y1111" s="1129">
        <v>0</v>
      </c>
    </row>
    <row r="1112" spans="1:25" s="1137" customFormat="1" ht="69" customHeight="1">
      <c r="A1112" s="1280">
        <v>87</v>
      </c>
      <c r="B1112" s="1128" t="s">
        <v>1708</v>
      </c>
      <c r="C1112" s="1129">
        <f t="shared" si="519"/>
        <v>899225</v>
      </c>
      <c r="D1112" s="1129">
        <f t="shared" si="520"/>
        <v>833909.95</v>
      </c>
      <c r="E1112" s="1129">
        <v>0</v>
      </c>
      <c r="F1112" s="1129">
        <v>0</v>
      </c>
      <c r="G1112" s="1129">
        <v>0</v>
      </c>
      <c r="H1112" s="1129">
        <v>0</v>
      </c>
      <c r="I1112" s="1129">
        <v>0</v>
      </c>
      <c r="J1112" s="1129">
        <v>833909.95</v>
      </c>
      <c r="K1112" s="1136">
        <v>0</v>
      </c>
      <c r="L1112" s="1129">
        <v>0</v>
      </c>
      <c r="M1112" s="1136">
        <v>0</v>
      </c>
      <c r="N1112" s="1129">
        <v>0</v>
      </c>
      <c r="O1112" s="1129">
        <v>0</v>
      </c>
      <c r="P1112" s="1129">
        <v>0</v>
      </c>
      <c r="Q1112" s="1129">
        <v>0</v>
      </c>
      <c r="R1112" s="1129">
        <v>0</v>
      </c>
      <c r="S1112" s="1129">
        <v>0</v>
      </c>
      <c r="T1112" s="1129">
        <v>0</v>
      </c>
      <c r="U1112" s="1129">
        <v>0</v>
      </c>
      <c r="V1112" s="1129">
        <v>0</v>
      </c>
      <c r="W1112" s="1129">
        <v>0</v>
      </c>
      <c r="X1112" s="1129">
        <v>65315.05</v>
      </c>
      <c r="Y1112" s="1129">
        <v>0</v>
      </c>
    </row>
    <row r="1113" spans="1:25" s="1137" customFormat="1" ht="110.45" customHeight="1">
      <c r="A1113" s="1280">
        <v>88</v>
      </c>
      <c r="B1113" s="1128" t="s">
        <v>3046</v>
      </c>
      <c r="C1113" s="1129">
        <f t="shared" si="519"/>
        <v>8338382</v>
      </c>
      <c r="D1113" s="1129">
        <f t="shared" si="520"/>
        <v>7732725</v>
      </c>
      <c r="E1113" s="1129">
        <v>0</v>
      </c>
      <c r="F1113" s="1129">
        <v>7732725</v>
      </c>
      <c r="G1113" s="1129">
        <v>0</v>
      </c>
      <c r="H1113" s="1129">
        <v>0</v>
      </c>
      <c r="I1113" s="1129">
        <v>0</v>
      </c>
      <c r="J1113" s="1129">
        <v>0</v>
      </c>
      <c r="K1113" s="1136">
        <v>0</v>
      </c>
      <c r="L1113" s="1129">
        <v>0</v>
      </c>
      <c r="M1113" s="1136">
        <v>0</v>
      </c>
      <c r="N1113" s="1129">
        <v>0</v>
      </c>
      <c r="O1113" s="1129">
        <v>0</v>
      </c>
      <c r="P1113" s="1129">
        <v>0</v>
      </c>
      <c r="Q1113" s="1129">
        <v>0</v>
      </c>
      <c r="R1113" s="1129">
        <v>0</v>
      </c>
      <c r="S1113" s="1129">
        <v>0</v>
      </c>
      <c r="T1113" s="1129">
        <v>0</v>
      </c>
      <c r="U1113" s="1129">
        <v>0</v>
      </c>
      <c r="V1113" s="1129">
        <v>0</v>
      </c>
      <c r="W1113" s="1129">
        <v>0</v>
      </c>
      <c r="X1113" s="1129">
        <v>605657</v>
      </c>
      <c r="Y1113" s="1129">
        <v>0</v>
      </c>
    </row>
    <row r="1114" spans="1:25" s="1137" customFormat="1" ht="104.45" customHeight="1">
      <c r="A1114" s="1280">
        <v>89</v>
      </c>
      <c r="B1114" s="1128" t="s">
        <v>2529</v>
      </c>
      <c r="C1114" s="1129">
        <f t="shared" si="519"/>
        <v>1750958</v>
      </c>
      <c r="D1114" s="1129">
        <f t="shared" si="520"/>
        <v>0</v>
      </c>
      <c r="E1114" s="1129">
        <v>0</v>
      </c>
      <c r="F1114" s="1129">
        <v>0</v>
      </c>
      <c r="G1114" s="1129">
        <v>0</v>
      </c>
      <c r="H1114" s="1129">
        <v>0</v>
      </c>
      <c r="I1114" s="1129">
        <v>0</v>
      </c>
      <c r="J1114" s="1129">
        <v>0</v>
      </c>
      <c r="K1114" s="1136">
        <v>0</v>
      </c>
      <c r="L1114" s="1129">
        <v>0</v>
      </c>
      <c r="M1114" s="1136">
        <v>0</v>
      </c>
      <c r="N1114" s="1129">
        <v>0</v>
      </c>
      <c r="O1114" s="1129">
        <v>0</v>
      </c>
      <c r="P1114" s="1129">
        <v>0</v>
      </c>
      <c r="Q1114" s="1129">
        <v>0</v>
      </c>
      <c r="R1114" s="1129">
        <v>0</v>
      </c>
      <c r="S1114" s="1129">
        <v>1142.5999999999999</v>
      </c>
      <c r="T1114" s="1129">
        <v>1623777.47</v>
      </c>
      <c r="U1114" s="1129">
        <v>0</v>
      </c>
      <c r="V1114" s="1129">
        <v>0</v>
      </c>
      <c r="W1114" s="1129">
        <v>0</v>
      </c>
      <c r="X1114" s="1129">
        <v>127180.53</v>
      </c>
      <c r="Y1114" s="1129">
        <v>0</v>
      </c>
    </row>
    <row r="1115" spans="1:25" s="1143" customFormat="1" ht="90" customHeight="1">
      <c r="A1115" s="1280">
        <v>90</v>
      </c>
      <c r="B1115" s="1128" t="s">
        <v>2530</v>
      </c>
      <c r="C1115" s="1129">
        <f t="shared" ref="C1115:C1140" si="521">D1115+N1115+P1115+R1115+T1115+V1115+Y1115+L1115+X1115</f>
        <v>5209814</v>
      </c>
      <c r="D1115" s="1129">
        <f t="shared" ref="D1115:D1139" si="522">SUM(E1115:J1115)</f>
        <v>0</v>
      </c>
      <c r="E1115" s="1129">
        <v>0</v>
      </c>
      <c r="F1115" s="1129">
        <v>0</v>
      </c>
      <c r="G1115" s="1129">
        <v>0</v>
      </c>
      <c r="H1115" s="1129">
        <v>0</v>
      </c>
      <c r="I1115" s="1129">
        <v>0</v>
      </c>
      <c r="J1115" s="1129">
        <v>0</v>
      </c>
      <c r="K1115" s="1136">
        <v>0</v>
      </c>
      <c r="L1115" s="1129">
        <v>0</v>
      </c>
      <c r="M1115" s="1136">
        <v>0</v>
      </c>
      <c r="N1115" s="1129">
        <v>0</v>
      </c>
      <c r="O1115" s="1129">
        <v>2089.3000000000002</v>
      </c>
      <c r="P1115" s="1129">
        <v>4831400.05</v>
      </c>
      <c r="Q1115" s="1129">
        <v>0</v>
      </c>
      <c r="R1115" s="1129">
        <v>0</v>
      </c>
      <c r="S1115" s="1129">
        <v>0</v>
      </c>
      <c r="T1115" s="1129">
        <v>0</v>
      </c>
      <c r="U1115" s="1129">
        <v>0</v>
      </c>
      <c r="V1115" s="1129">
        <v>0</v>
      </c>
      <c r="W1115" s="1129">
        <v>0</v>
      </c>
      <c r="X1115" s="1129">
        <v>378413.95</v>
      </c>
      <c r="Y1115" s="1129">
        <v>0</v>
      </c>
    </row>
    <row r="1116" spans="1:25" s="1143" customFormat="1" ht="96" customHeight="1">
      <c r="A1116" s="1280">
        <v>91</v>
      </c>
      <c r="B1116" s="1128" t="s">
        <v>1892</v>
      </c>
      <c r="C1116" s="1129">
        <f t="shared" si="521"/>
        <v>982113</v>
      </c>
      <c r="D1116" s="1129">
        <f t="shared" si="522"/>
        <v>0</v>
      </c>
      <c r="E1116" s="1129">
        <v>0</v>
      </c>
      <c r="F1116" s="1129">
        <v>0</v>
      </c>
      <c r="G1116" s="1129">
        <v>0</v>
      </c>
      <c r="H1116" s="1129">
        <v>0</v>
      </c>
      <c r="I1116" s="1129">
        <v>0</v>
      </c>
      <c r="J1116" s="1129">
        <v>0</v>
      </c>
      <c r="K1116" s="1136">
        <v>0</v>
      </c>
      <c r="L1116" s="1129">
        <v>0</v>
      </c>
      <c r="M1116" s="1136">
        <v>0</v>
      </c>
      <c r="N1116" s="1129">
        <v>0</v>
      </c>
      <c r="O1116" s="1129">
        <v>0</v>
      </c>
      <c r="P1116" s="1129">
        <v>0</v>
      </c>
      <c r="Q1116" s="1129">
        <v>0</v>
      </c>
      <c r="R1116" s="1129">
        <v>0</v>
      </c>
      <c r="S1116" s="1129">
        <v>642.29999999999995</v>
      </c>
      <c r="T1116" s="1129">
        <v>910777.39</v>
      </c>
      <c r="U1116" s="1129">
        <v>0</v>
      </c>
      <c r="V1116" s="1129">
        <v>0</v>
      </c>
      <c r="W1116" s="1129">
        <v>0</v>
      </c>
      <c r="X1116" s="1129">
        <v>71335.61</v>
      </c>
      <c r="Y1116" s="1129">
        <v>0</v>
      </c>
    </row>
    <row r="1117" spans="1:25" s="1143" customFormat="1" ht="95.25" customHeight="1">
      <c r="A1117" s="1280">
        <v>92</v>
      </c>
      <c r="B1117" s="1128" t="s">
        <v>1605</v>
      </c>
      <c r="C1117" s="1129">
        <f t="shared" si="521"/>
        <v>14351824.439999999</v>
      </c>
      <c r="D1117" s="1129">
        <f t="shared" si="522"/>
        <v>0</v>
      </c>
      <c r="E1117" s="1129">
        <v>0</v>
      </c>
      <c r="F1117" s="1129">
        <v>0</v>
      </c>
      <c r="G1117" s="1129">
        <v>0</v>
      </c>
      <c r="H1117" s="1129">
        <v>0</v>
      </c>
      <c r="I1117" s="1129">
        <v>0</v>
      </c>
      <c r="J1117" s="1129">
        <v>0</v>
      </c>
      <c r="K1117" s="1136">
        <v>0</v>
      </c>
      <c r="L1117" s="1129">
        <v>0</v>
      </c>
      <c r="M1117" s="1136">
        <v>0</v>
      </c>
      <c r="N1117" s="1129">
        <v>0</v>
      </c>
      <c r="O1117" s="1129">
        <v>0</v>
      </c>
      <c r="P1117" s="1129">
        <v>0</v>
      </c>
      <c r="Q1117" s="1129">
        <v>0</v>
      </c>
      <c r="R1117" s="1129">
        <v>0</v>
      </c>
      <c r="S1117" s="1149">
        <v>2560</v>
      </c>
      <c r="T1117" s="1129">
        <v>14145981.439999999</v>
      </c>
      <c r="U1117" s="1129">
        <v>0</v>
      </c>
      <c r="V1117" s="1129">
        <v>0</v>
      </c>
      <c r="W1117" s="1129">
        <v>0</v>
      </c>
      <c r="X1117" s="1129">
        <v>205843</v>
      </c>
      <c r="Y1117" s="1129">
        <v>0</v>
      </c>
    </row>
    <row r="1118" spans="1:25" s="1137" customFormat="1" ht="57" customHeight="1">
      <c r="A1118" s="1280">
        <v>93</v>
      </c>
      <c r="B1118" s="1128" t="s">
        <v>1602</v>
      </c>
      <c r="C1118" s="1129">
        <f t="shared" si="521"/>
        <v>7890789.0000000009</v>
      </c>
      <c r="D1118" s="1129">
        <f t="shared" si="522"/>
        <v>7317642.8900000006</v>
      </c>
      <c r="E1118" s="1129">
        <v>0</v>
      </c>
      <c r="F1118" s="1129">
        <v>3905495.48</v>
      </c>
      <c r="G1118" s="1129">
        <v>0</v>
      </c>
      <c r="H1118" s="1129">
        <v>3412147.41</v>
      </c>
      <c r="I1118" s="1129">
        <v>0</v>
      </c>
      <c r="J1118" s="1129">
        <v>0</v>
      </c>
      <c r="K1118" s="1136">
        <v>0</v>
      </c>
      <c r="L1118" s="1129">
        <v>0</v>
      </c>
      <c r="M1118" s="1136">
        <v>0</v>
      </c>
      <c r="N1118" s="1129">
        <v>0</v>
      </c>
      <c r="O1118" s="1129">
        <v>0</v>
      </c>
      <c r="P1118" s="1129">
        <v>0</v>
      </c>
      <c r="Q1118" s="1129">
        <v>0</v>
      </c>
      <c r="R1118" s="1129">
        <v>0</v>
      </c>
      <c r="S1118" s="1129">
        <v>0</v>
      </c>
      <c r="T1118" s="1129">
        <v>0</v>
      </c>
      <c r="U1118" s="1129">
        <v>0</v>
      </c>
      <c r="V1118" s="1129">
        <v>0</v>
      </c>
      <c r="W1118" s="1129">
        <v>0</v>
      </c>
      <c r="X1118" s="1129">
        <v>573146.11</v>
      </c>
      <c r="Y1118" s="1129">
        <v>0</v>
      </c>
    </row>
    <row r="1119" spans="1:25" s="1137" customFormat="1" ht="54.6" customHeight="1">
      <c r="A1119" s="1280">
        <v>94</v>
      </c>
      <c r="B1119" s="1128" t="s">
        <v>1599</v>
      </c>
      <c r="C1119" s="1129">
        <f t="shared" si="521"/>
        <v>1960392</v>
      </c>
      <c r="D1119" s="1129">
        <f t="shared" si="522"/>
        <v>1817999.26</v>
      </c>
      <c r="E1119" s="1129">
        <v>0</v>
      </c>
      <c r="F1119" s="1129">
        <v>0</v>
      </c>
      <c r="G1119" s="1129">
        <v>0</v>
      </c>
      <c r="H1119" s="1129">
        <v>1817999.26</v>
      </c>
      <c r="I1119" s="1129">
        <v>0</v>
      </c>
      <c r="J1119" s="1129">
        <v>0</v>
      </c>
      <c r="K1119" s="1136">
        <v>0</v>
      </c>
      <c r="L1119" s="1129">
        <v>0</v>
      </c>
      <c r="M1119" s="1136">
        <v>0</v>
      </c>
      <c r="N1119" s="1129">
        <v>0</v>
      </c>
      <c r="O1119" s="1129">
        <v>0</v>
      </c>
      <c r="P1119" s="1129">
        <v>0</v>
      </c>
      <c r="Q1119" s="1129">
        <v>0</v>
      </c>
      <c r="R1119" s="1129">
        <v>0</v>
      </c>
      <c r="S1119" s="1129">
        <v>0</v>
      </c>
      <c r="T1119" s="1129">
        <v>0</v>
      </c>
      <c r="U1119" s="1129">
        <v>0</v>
      </c>
      <c r="V1119" s="1129">
        <v>0</v>
      </c>
      <c r="W1119" s="1129">
        <v>0</v>
      </c>
      <c r="X1119" s="1129">
        <v>142392.74</v>
      </c>
      <c r="Y1119" s="1129">
        <v>0</v>
      </c>
    </row>
    <row r="1120" spans="1:25" s="1137" customFormat="1" ht="64.150000000000006" customHeight="1">
      <c r="A1120" s="1280">
        <v>95</v>
      </c>
      <c r="B1120" s="1128" t="s">
        <v>1592</v>
      </c>
      <c r="C1120" s="1129">
        <f t="shared" si="521"/>
        <v>1910739</v>
      </c>
      <c r="D1120" s="1129">
        <f t="shared" si="522"/>
        <v>0</v>
      </c>
      <c r="E1120" s="1129">
        <v>0</v>
      </c>
      <c r="F1120" s="1129">
        <v>0</v>
      </c>
      <c r="G1120" s="1129">
        <v>0</v>
      </c>
      <c r="H1120" s="1129">
        <v>0</v>
      </c>
      <c r="I1120" s="1129">
        <v>0</v>
      </c>
      <c r="J1120" s="1129">
        <v>0</v>
      </c>
      <c r="K1120" s="1136">
        <v>0</v>
      </c>
      <c r="L1120" s="1129">
        <v>0</v>
      </c>
      <c r="M1120" s="1136">
        <v>0</v>
      </c>
      <c r="N1120" s="1129">
        <v>0</v>
      </c>
      <c r="O1120" s="1129">
        <v>583.20000000000005</v>
      </c>
      <c r="P1120" s="1129">
        <v>1771952.8</v>
      </c>
      <c r="Q1120" s="1129">
        <v>0</v>
      </c>
      <c r="R1120" s="1129">
        <v>0</v>
      </c>
      <c r="S1120" s="1129">
        <v>0</v>
      </c>
      <c r="T1120" s="1129">
        <v>0</v>
      </c>
      <c r="U1120" s="1129">
        <v>0</v>
      </c>
      <c r="V1120" s="1129">
        <v>0</v>
      </c>
      <c r="W1120" s="1129">
        <v>0</v>
      </c>
      <c r="X1120" s="1129">
        <v>138786.20000000001</v>
      </c>
      <c r="Y1120" s="1129">
        <v>0</v>
      </c>
    </row>
    <row r="1121" spans="1:25" s="1137" customFormat="1" ht="88.15" customHeight="1">
      <c r="A1121" s="1280">
        <v>96</v>
      </c>
      <c r="B1121" s="1128" t="s">
        <v>1893</v>
      </c>
      <c r="C1121" s="1129">
        <f t="shared" si="521"/>
        <v>2891052</v>
      </c>
      <c r="D1121" s="1129">
        <f t="shared" si="522"/>
        <v>0</v>
      </c>
      <c r="E1121" s="1129">
        <v>0</v>
      </c>
      <c r="F1121" s="1129">
        <v>0</v>
      </c>
      <c r="G1121" s="1129">
        <v>0</v>
      </c>
      <c r="H1121" s="1129">
        <v>0</v>
      </c>
      <c r="I1121" s="1129">
        <v>0</v>
      </c>
      <c r="J1121" s="1129">
        <v>0</v>
      </c>
      <c r="K1121" s="1136">
        <v>0</v>
      </c>
      <c r="L1121" s="1129">
        <v>0</v>
      </c>
      <c r="M1121" s="1136">
        <v>0</v>
      </c>
      <c r="N1121" s="1129">
        <v>0</v>
      </c>
      <c r="O1121" s="1129">
        <v>1064</v>
      </c>
      <c r="P1121" s="1129">
        <v>2681061</v>
      </c>
      <c r="Q1121" s="1129">
        <v>0</v>
      </c>
      <c r="R1121" s="1129">
        <v>0</v>
      </c>
      <c r="S1121" s="1129">
        <v>0</v>
      </c>
      <c r="T1121" s="1129">
        <v>0</v>
      </c>
      <c r="U1121" s="1129">
        <v>0</v>
      </c>
      <c r="V1121" s="1129">
        <v>0</v>
      </c>
      <c r="W1121" s="1129">
        <v>0</v>
      </c>
      <c r="X1121" s="1129">
        <v>209991</v>
      </c>
      <c r="Y1121" s="1129">
        <v>0</v>
      </c>
    </row>
    <row r="1122" spans="1:25" s="1137" customFormat="1" ht="88.9" customHeight="1">
      <c r="A1122" s="1280">
        <v>97</v>
      </c>
      <c r="B1122" s="1128" t="s">
        <v>1712</v>
      </c>
      <c r="C1122" s="1129">
        <f t="shared" si="521"/>
        <v>6698599.2599999998</v>
      </c>
      <c r="D1122" s="1129">
        <f t="shared" si="522"/>
        <v>0</v>
      </c>
      <c r="E1122" s="1129">
        <v>0</v>
      </c>
      <c r="F1122" s="1129">
        <v>0</v>
      </c>
      <c r="G1122" s="1129">
        <v>0</v>
      </c>
      <c r="H1122" s="1129">
        <v>0</v>
      </c>
      <c r="I1122" s="1129">
        <v>0</v>
      </c>
      <c r="J1122" s="1129">
        <v>0</v>
      </c>
      <c r="K1122" s="1136">
        <v>0</v>
      </c>
      <c r="L1122" s="1129">
        <v>0</v>
      </c>
      <c r="M1122" s="1136">
        <v>0</v>
      </c>
      <c r="N1122" s="1129">
        <v>0</v>
      </c>
      <c r="O1122" s="1129">
        <v>2465.3000000000002</v>
      </c>
      <c r="P1122" s="1129">
        <v>6212047.6600000001</v>
      </c>
      <c r="Q1122" s="1129">
        <v>0</v>
      </c>
      <c r="R1122" s="1129">
        <v>0</v>
      </c>
      <c r="S1122" s="1129">
        <v>0</v>
      </c>
      <c r="T1122" s="1129">
        <v>0</v>
      </c>
      <c r="U1122" s="1129">
        <v>0</v>
      </c>
      <c r="V1122" s="1129">
        <v>0</v>
      </c>
      <c r="W1122" s="1129">
        <v>0</v>
      </c>
      <c r="X1122" s="1129">
        <v>486551.6</v>
      </c>
      <c r="Y1122" s="1129">
        <v>0</v>
      </c>
    </row>
    <row r="1123" spans="1:25" s="1137" customFormat="1" ht="80.45" customHeight="1">
      <c r="A1123" s="1280">
        <v>98</v>
      </c>
      <c r="B1123" s="1128" t="s">
        <v>1713</v>
      </c>
      <c r="C1123" s="1129">
        <f t="shared" si="521"/>
        <v>5336490</v>
      </c>
      <c r="D1123" s="1129">
        <f t="shared" si="522"/>
        <v>0</v>
      </c>
      <c r="E1123" s="1129">
        <v>0</v>
      </c>
      <c r="F1123" s="1129">
        <v>0</v>
      </c>
      <c r="G1123" s="1129">
        <v>0</v>
      </c>
      <c r="H1123" s="1129">
        <v>0</v>
      </c>
      <c r="I1123" s="1129">
        <v>0</v>
      </c>
      <c r="J1123" s="1129">
        <v>0</v>
      </c>
      <c r="K1123" s="1136">
        <v>0</v>
      </c>
      <c r="L1123" s="1129">
        <v>0</v>
      </c>
      <c r="M1123" s="1136">
        <v>0</v>
      </c>
      <c r="N1123" s="1129">
        <v>0</v>
      </c>
      <c r="O1123" s="1129">
        <v>1964</v>
      </c>
      <c r="P1123" s="1129">
        <v>4948875</v>
      </c>
      <c r="Q1123" s="1129">
        <v>0</v>
      </c>
      <c r="R1123" s="1129">
        <v>0</v>
      </c>
      <c r="S1123" s="1129">
        <v>0</v>
      </c>
      <c r="T1123" s="1129">
        <v>0</v>
      </c>
      <c r="U1123" s="1129">
        <v>0</v>
      </c>
      <c r="V1123" s="1129">
        <v>0</v>
      </c>
      <c r="W1123" s="1129">
        <v>0</v>
      </c>
      <c r="X1123" s="1129">
        <v>387615</v>
      </c>
      <c r="Y1123" s="1129">
        <v>0</v>
      </c>
    </row>
    <row r="1124" spans="1:25" s="1137" customFormat="1" ht="69" customHeight="1">
      <c r="A1124" s="1280">
        <v>99</v>
      </c>
      <c r="B1124" s="1128" t="s">
        <v>1714</v>
      </c>
      <c r="C1124" s="1129">
        <f t="shared" si="521"/>
        <v>8790475.0800000001</v>
      </c>
      <c r="D1124" s="1129">
        <f t="shared" si="522"/>
        <v>0</v>
      </c>
      <c r="E1124" s="1129">
        <v>0</v>
      </c>
      <c r="F1124" s="1129">
        <v>0</v>
      </c>
      <c r="G1124" s="1129">
        <v>0</v>
      </c>
      <c r="H1124" s="1129">
        <v>0</v>
      </c>
      <c r="I1124" s="1129">
        <v>0</v>
      </c>
      <c r="J1124" s="1129">
        <v>0</v>
      </c>
      <c r="K1124" s="1136">
        <v>0</v>
      </c>
      <c r="L1124" s="1129">
        <v>0</v>
      </c>
      <c r="M1124" s="1136">
        <v>0</v>
      </c>
      <c r="N1124" s="1129">
        <v>0</v>
      </c>
      <c r="O1124" s="1129">
        <v>2738</v>
      </c>
      <c r="P1124" s="1129">
        <v>8593930.9000000004</v>
      </c>
      <c r="Q1124" s="1129">
        <v>0</v>
      </c>
      <c r="R1124" s="1129">
        <v>0</v>
      </c>
      <c r="S1124" s="1129">
        <v>0</v>
      </c>
      <c r="T1124" s="1129">
        <v>0</v>
      </c>
      <c r="U1124" s="1129">
        <v>0</v>
      </c>
      <c r="V1124" s="1129">
        <v>0</v>
      </c>
      <c r="W1124" s="1129">
        <v>0</v>
      </c>
      <c r="X1124" s="1129">
        <v>196544.18</v>
      </c>
      <c r="Y1124" s="1129">
        <v>0</v>
      </c>
    </row>
    <row r="1125" spans="1:25" s="1137" customFormat="1" ht="61.9" customHeight="1">
      <c r="A1125" s="1280">
        <v>100</v>
      </c>
      <c r="B1125" s="1128" t="s">
        <v>1715</v>
      </c>
      <c r="C1125" s="1129">
        <f t="shared" si="521"/>
        <v>21523912.000000004</v>
      </c>
      <c r="D1125" s="1129">
        <f t="shared" si="522"/>
        <v>7321572.1500000004</v>
      </c>
      <c r="E1125" s="1129">
        <v>0</v>
      </c>
      <c r="F1125" s="1129">
        <v>2662702.8199999998</v>
      </c>
      <c r="G1125" s="1129">
        <v>0</v>
      </c>
      <c r="H1125" s="1129">
        <v>2329434.67</v>
      </c>
      <c r="I1125" s="1129">
        <v>2329434.66</v>
      </c>
      <c r="J1125" s="1129">
        <v>0</v>
      </c>
      <c r="K1125" s="1136">
        <v>0</v>
      </c>
      <c r="L1125" s="1129">
        <v>0</v>
      </c>
      <c r="M1125" s="1136">
        <v>0</v>
      </c>
      <c r="N1125" s="1129">
        <v>0</v>
      </c>
      <c r="O1125" s="1129">
        <v>1079</v>
      </c>
      <c r="P1125" s="1129">
        <v>3221135.23</v>
      </c>
      <c r="Q1125" s="1129">
        <v>0</v>
      </c>
      <c r="R1125" s="1129">
        <v>0</v>
      </c>
      <c r="S1125" s="1129">
        <v>3375</v>
      </c>
      <c r="T1125" s="1129">
        <v>9417819</v>
      </c>
      <c r="U1125" s="1129">
        <v>0</v>
      </c>
      <c r="V1125" s="1129">
        <v>0</v>
      </c>
      <c r="W1125" s="1129">
        <v>0</v>
      </c>
      <c r="X1125" s="1129">
        <v>1563385.62</v>
      </c>
      <c r="Y1125" s="1129">
        <v>0</v>
      </c>
    </row>
    <row r="1126" spans="1:25" s="1137" customFormat="1" ht="64.150000000000006" customHeight="1">
      <c r="A1126" s="1280">
        <v>101</v>
      </c>
      <c r="B1126" s="1128" t="s">
        <v>1716</v>
      </c>
      <c r="C1126" s="1129">
        <f t="shared" si="521"/>
        <v>36550059.109999999</v>
      </c>
      <c r="D1126" s="1129">
        <f t="shared" si="522"/>
        <v>20722305.82</v>
      </c>
      <c r="E1126" s="1129">
        <v>3009729.37</v>
      </c>
      <c r="F1126" s="1129">
        <v>6098726.9900000002</v>
      </c>
      <c r="G1126" s="1129">
        <v>2442178.16</v>
      </c>
      <c r="H1126" s="1129">
        <v>3476437</v>
      </c>
      <c r="I1126" s="1129">
        <v>3476437</v>
      </c>
      <c r="J1126" s="1129">
        <v>2218797.2999999998</v>
      </c>
      <c r="K1126" s="1136">
        <v>0</v>
      </c>
      <c r="L1126" s="1129">
        <v>0</v>
      </c>
      <c r="M1126" s="1136">
        <v>0</v>
      </c>
      <c r="N1126" s="1129">
        <v>0</v>
      </c>
      <c r="O1126" s="1129">
        <v>2800</v>
      </c>
      <c r="P1126" s="1129">
        <v>13809308.369999999</v>
      </c>
      <c r="Q1126" s="1129">
        <v>0</v>
      </c>
      <c r="R1126" s="1129">
        <v>0</v>
      </c>
      <c r="S1126" s="1129">
        <v>0</v>
      </c>
      <c r="T1126" s="1129">
        <v>0</v>
      </c>
      <c r="U1126" s="1129">
        <v>0</v>
      </c>
      <c r="V1126" s="1129">
        <v>0</v>
      </c>
      <c r="W1126" s="1129">
        <v>0</v>
      </c>
      <c r="X1126" s="1129">
        <v>2018444.92</v>
      </c>
      <c r="Y1126" s="1129">
        <v>0</v>
      </c>
    </row>
    <row r="1127" spans="1:25" s="1137" customFormat="1" ht="91.9" customHeight="1">
      <c r="A1127" s="1280">
        <v>102</v>
      </c>
      <c r="B1127" s="1128" t="s">
        <v>1773</v>
      </c>
      <c r="C1127" s="1129">
        <f t="shared" si="521"/>
        <v>8769829.4000000004</v>
      </c>
      <c r="D1127" s="1129">
        <f t="shared" si="522"/>
        <v>0</v>
      </c>
      <c r="E1127" s="1129">
        <v>0</v>
      </c>
      <c r="F1127" s="1129">
        <v>0</v>
      </c>
      <c r="G1127" s="1129">
        <v>0</v>
      </c>
      <c r="H1127" s="1129">
        <v>0</v>
      </c>
      <c r="I1127" s="1129">
        <v>0</v>
      </c>
      <c r="J1127" s="1129">
        <v>0</v>
      </c>
      <c r="K1127" s="1136">
        <v>0</v>
      </c>
      <c r="L1127" s="1129">
        <v>0</v>
      </c>
      <c r="M1127" s="1136">
        <v>0</v>
      </c>
      <c r="N1127" s="1129">
        <v>0</v>
      </c>
      <c r="O1127" s="1129">
        <v>3590.87</v>
      </c>
      <c r="P1127" s="1129">
        <v>8260098.5800000001</v>
      </c>
      <c r="Q1127" s="1129">
        <v>0</v>
      </c>
      <c r="R1127" s="1129">
        <v>0</v>
      </c>
      <c r="S1127" s="1129">
        <v>0</v>
      </c>
      <c r="T1127" s="1129">
        <v>0</v>
      </c>
      <c r="U1127" s="1129">
        <v>0</v>
      </c>
      <c r="V1127" s="1129">
        <v>0</v>
      </c>
      <c r="W1127" s="1129">
        <v>0</v>
      </c>
      <c r="X1127" s="1129">
        <v>509730.82</v>
      </c>
      <c r="Y1127" s="1129">
        <v>0</v>
      </c>
    </row>
    <row r="1128" spans="1:25" s="1137" customFormat="1" ht="91.9" customHeight="1">
      <c r="A1128" s="1280">
        <v>103</v>
      </c>
      <c r="B1128" s="1128" t="s">
        <v>3047</v>
      </c>
      <c r="C1128" s="1129">
        <f t="shared" si="521"/>
        <v>2244189</v>
      </c>
      <c r="D1128" s="1129">
        <f t="shared" si="522"/>
        <v>0</v>
      </c>
      <c r="E1128" s="1129">
        <v>0</v>
      </c>
      <c r="F1128" s="1129">
        <v>0</v>
      </c>
      <c r="G1128" s="1129">
        <v>0</v>
      </c>
      <c r="H1128" s="1129">
        <v>0</v>
      </c>
      <c r="I1128" s="1129">
        <v>0</v>
      </c>
      <c r="J1128" s="1129">
        <v>0</v>
      </c>
      <c r="K1128" s="1136">
        <v>0</v>
      </c>
      <c r="L1128" s="1129">
        <v>0</v>
      </c>
      <c r="M1128" s="1136">
        <v>0</v>
      </c>
      <c r="N1128" s="1129">
        <v>0</v>
      </c>
      <c r="O1128" s="1129">
        <v>895</v>
      </c>
      <c r="P1128" s="1129">
        <v>2081182.72</v>
      </c>
      <c r="Q1128" s="1129">
        <v>0</v>
      </c>
      <c r="R1128" s="1129">
        <v>0</v>
      </c>
      <c r="S1128" s="1129">
        <v>0</v>
      </c>
      <c r="T1128" s="1129">
        <v>0</v>
      </c>
      <c r="U1128" s="1129">
        <v>0</v>
      </c>
      <c r="V1128" s="1129">
        <v>0</v>
      </c>
      <c r="W1128" s="1129">
        <v>0</v>
      </c>
      <c r="X1128" s="1129">
        <v>163006.28</v>
      </c>
      <c r="Y1128" s="1129">
        <v>0</v>
      </c>
    </row>
    <row r="1129" spans="1:25" s="1137" customFormat="1" ht="87.6" customHeight="1">
      <c r="A1129" s="1280">
        <v>104</v>
      </c>
      <c r="B1129" s="1128" t="s">
        <v>1718</v>
      </c>
      <c r="C1129" s="1129">
        <f t="shared" si="521"/>
        <v>3933713</v>
      </c>
      <c r="D1129" s="1129">
        <f t="shared" si="522"/>
        <v>0</v>
      </c>
      <c r="E1129" s="1129">
        <v>0</v>
      </c>
      <c r="F1129" s="1129">
        <v>0</v>
      </c>
      <c r="G1129" s="1129">
        <v>0</v>
      </c>
      <c r="H1129" s="1129">
        <v>0</v>
      </c>
      <c r="I1129" s="1129">
        <v>0</v>
      </c>
      <c r="J1129" s="1129">
        <v>0</v>
      </c>
      <c r="K1129" s="1136">
        <v>0</v>
      </c>
      <c r="L1129" s="1129">
        <v>0</v>
      </c>
      <c r="M1129" s="1136">
        <v>2</v>
      </c>
      <c r="N1129" s="1129">
        <v>3647988.43</v>
      </c>
      <c r="O1129" s="1129">
        <v>0</v>
      </c>
      <c r="P1129" s="1129">
        <v>0</v>
      </c>
      <c r="Q1129" s="1129">
        <v>0</v>
      </c>
      <c r="R1129" s="1129">
        <v>0</v>
      </c>
      <c r="S1129" s="1129">
        <v>0</v>
      </c>
      <c r="T1129" s="1129">
        <v>0</v>
      </c>
      <c r="U1129" s="1129">
        <v>0</v>
      </c>
      <c r="V1129" s="1129">
        <v>0</v>
      </c>
      <c r="W1129" s="1129">
        <v>0</v>
      </c>
      <c r="X1129" s="1129">
        <v>285724.57</v>
      </c>
      <c r="Y1129" s="1129">
        <v>0</v>
      </c>
    </row>
    <row r="1130" spans="1:25" s="1137" customFormat="1" ht="72.599999999999994" customHeight="1">
      <c r="A1130" s="1280">
        <v>105</v>
      </c>
      <c r="B1130" s="1128" t="s">
        <v>1719</v>
      </c>
      <c r="C1130" s="1129">
        <f t="shared" si="521"/>
        <v>1187834</v>
      </c>
      <c r="D1130" s="1129">
        <f t="shared" si="522"/>
        <v>1101555.8899999999</v>
      </c>
      <c r="E1130" s="1129">
        <v>0</v>
      </c>
      <c r="F1130" s="1129">
        <v>0</v>
      </c>
      <c r="G1130" s="1129">
        <v>0</v>
      </c>
      <c r="H1130" s="1129">
        <v>0</v>
      </c>
      <c r="I1130" s="1129">
        <v>0</v>
      </c>
      <c r="J1130" s="1129">
        <v>1101555.8899999999</v>
      </c>
      <c r="K1130" s="1136">
        <v>0</v>
      </c>
      <c r="L1130" s="1129">
        <v>0</v>
      </c>
      <c r="M1130" s="1136">
        <v>0</v>
      </c>
      <c r="N1130" s="1129">
        <v>0</v>
      </c>
      <c r="O1130" s="1129">
        <v>0</v>
      </c>
      <c r="P1130" s="1129">
        <v>0</v>
      </c>
      <c r="Q1130" s="1129">
        <v>0</v>
      </c>
      <c r="R1130" s="1129">
        <v>0</v>
      </c>
      <c r="S1130" s="1129">
        <v>0</v>
      </c>
      <c r="T1130" s="1129">
        <v>0</v>
      </c>
      <c r="U1130" s="1129">
        <v>0</v>
      </c>
      <c r="V1130" s="1129">
        <v>0</v>
      </c>
      <c r="W1130" s="1129">
        <v>0</v>
      </c>
      <c r="X1130" s="1129">
        <v>86278.11</v>
      </c>
      <c r="Y1130" s="1129">
        <v>0</v>
      </c>
    </row>
    <row r="1131" spans="1:25" s="1143" customFormat="1" ht="94.9" customHeight="1">
      <c r="A1131" s="1280">
        <v>106</v>
      </c>
      <c r="B1131" s="1128" t="s">
        <v>2622</v>
      </c>
      <c r="C1131" s="1129">
        <f t="shared" si="521"/>
        <v>1721427</v>
      </c>
      <c r="D1131" s="1129">
        <f t="shared" si="522"/>
        <v>1596391</v>
      </c>
      <c r="E1131" s="1129">
        <v>0</v>
      </c>
      <c r="F1131" s="1129">
        <v>1596391</v>
      </c>
      <c r="G1131" s="1129">
        <v>0</v>
      </c>
      <c r="H1131" s="1129">
        <v>0</v>
      </c>
      <c r="I1131" s="1129">
        <v>0</v>
      </c>
      <c r="J1131" s="1129">
        <v>0</v>
      </c>
      <c r="K1131" s="1136">
        <v>0</v>
      </c>
      <c r="L1131" s="1129">
        <v>0</v>
      </c>
      <c r="M1131" s="1136">
        <v>0</v>
      </c>
      <c r="N1131" s="1129">
        <v>0</v>
      </c>
      <c r="O1131" s="1129">
        <v>0</v>
      </c>
      <c r="P1131" s="1129">
        <v>0</v>
      </c>
      <c r="Q1131" s="1129">
        <v>0</v>
      </c>
      <c r="R1131" s="1129">
        <v>0</v>
      </c>
      <c r="S1131" s="1129">
        <v>0</v>
      </c>
      <c r="T1131" s="1129">
        <v>0</v>
      </c>
      <c r="U1131" s="1129">
        <v>0</v>
      </c>
      <c r="V1131" s="1129">
        <v>0</v>
      </c>
      <c r="W1131" s="1129">
        <v>0</v>
      </c>
      <c r="X1131" s="1129">
        <v>125036</v>
      </c>
      <c r="Y1131" s="1129">
        <v>0</v>
      </c>
    </row>
    <row r="1132" spans="1:25" s="1143" customFormat="1" ht="66.599999999999994" customHeight="1">
      <c r="A1132" s="1280">
        <v>107</v>
      </c>
      <c r="B1132" s="1128" t="s">
        <v>1609</v>
      </c>
      <c r="C1132" s="1129">
        <f t="shared" si="521"/>
        <v>6969833</v>
      </c>
      <c r="D1132" s="1129">
        <f t="shared" si="522"/>
        <v>6463580.3799999999</v>
      </c>
      <c r="E1132" s="1129">
        <v>0</v>
      </c>
      <c r="F1132" s="1129">
        <v>0</v>
      </c>
      <c r="G1132" s="1129">
        <v>0</v>
      </c>
      <c r="H1132" s="1129">
        <v>6463580.3799999999</v>
      </c>
      <c r="I1132" s="1129">
        <v>0</v>
      </c>
      <c r="J1132" s="1129">
        <v>0</v>
      </c>
      <c r="K1132" s="1136">
        <v>0</v>
      </c>
      <c r="L1132" s="1129">
        <v>0</v>
      </c>
      <c r="M1132" s="1136">
        <v>0</v>
      </c>
      <c r="N1132" s="1129">
        <v>0</v>
      </c>
      <c r="O1132" s="1129">
        <v>0</v>
      </c>
      <c r="P1132" s="1129">
        <v>0</v>
      </c>
      <c r="Q1132" s="1129">
        <v>0</v>
      </c>
      <c r="R1132" s="1129">
        <v>0</v>
      </c>
      <c r="S1132" s="1129">
        <v>0</v>
      </c>
      <c r="T1132" s="1129">
        <v>0</v>
      </c>
      <c r="U1132" s="1129">
        <v>0</v>
      </c>
      <c r="V1132" s="1129">
        <v>0</v>
      </c>
      <c r="W1132" s="1129">
        <v>0</v>
      </c>
      <c r="X1132" s="1129">
        <v>506252.62</v>
      </c>
      <c r="Y1132" s="1129">
        <v>0</v>
      </c>
    </row>
    <row r="1133" spans="1:25" s="1143" customFormat="1" ht="103.15" customHeight="1">
      <c r="A1133" s="1280">
        <v>108</v>
      </c>
      <c r="B1133" s="1128" t="s">
        <v>2531</v>
      </c>
      <c r="C1133" s="1129">
        <f t="shared" si="521"/>
        <v>2263808.9699999997</v>
      </c>
      <c r="D1133" s="1129">
        <f t="shared" si="522"/>
        <v>0</v>
      </c>
      <c r="E1133" s="1129">
        <v>0</v>
      </c>
      <c r="F1133" s="1129">
        <v>0</v>
      </c>
      <c r="G1133" s="1129">
        <v>0</v>
      </c>
      <c r="H1133" s="1129">
        <v>0</v>
      </c>
      <c r="I1133" s="1129">
        <v>0</v>
      </c>
      <c r="J1133" s="1129">
        <v>0</v>
      </c>
      <c r="K1133" s="1136">
        <v>0</v>
      </c>
      <c r="L1133" s="1129">
        <v>0</v>
      </c>
      <c r="M1133" s="1136">
        <v>0</v>
      </c>
      <c r="N1133" s="1129">
        <v>0</v>
      </c>
      <c r="O1133" s="1129">
        <v>477</v>
      </c>
      <c r="P1133" s="1129">
        <v>2160766.59</v>
      </c>
      <c r="Q1133" s="1129">
        <v>0</v>
      </c>
      <c r="R1133" s="1129">
        <v>0</v>
      </c>
      <c r="S1133" s="1129">
        <v>0</v>
      </c>
      <c r="T1133" s="1129">
        <v>0</v>
      </c>
      <c r="U1133" s="1129">
        <v>0</v>
      </c>
      <c r="V1133" s="1129">
        <v>0</v>
      </c>
      <c r="W1133" s="1129">
        <v>0</v>
      </c>
      <c r="X1133" s="1129">
        <v>103042.38</v>
      </c>
      <c r="Y1133" s="1129">
        <v>0</v>
      </c>
    </row>
    <row r="1134" spans="1:25" s="1143" customFormat="1" ht="82.9" customHeight="1">
      <c r="A1134" s="1280">
        <v>109</v>
      </c>
      <c r="B1134" s="1128" t="s">
        <v>1894</v>
      </c>
      <c r="C1134" s="1129">
        <f t="shared" si="521"/>
        <v>3470236</v>
      </c>
      <c r="D1134" s="1129">
        <f t="shared" si="522"/>
        <v>3218176.01</v>
      </c>
      <c r="E1134" s="1129">
        <v>0</v>
      </c>
      <c r="F1134" s="1129">
        <v>0</v>
      </c>
      <c r="G1134" s="1129">
        <v>0</v>
      </c>
      <c r="H1134" s="1129">
        <v>1959959.4</v>
      </c>
      <c r="I1134" s="1129">
        <v>0</v>
      </c>
      <c r="J1134" s="1129">
        <v>1258216.6100000001</v>
      </c>
      <c r="K1134" s="1136">
        <v>0</v>
      </c>
      <c r="L1134" s="1129">
        <v>0</v>
      </c>
      <c r="M1134" s="1136">
        <v>0</v>
      </c>
      <c r="N1134" s="1129">
        <v>0</v>
      </c>
      <c r="O1134" s="1129">
        <v>0</v>
      </c>
      <c r="P1134" s="1129">
        <v>0</v>
      </c>
      <c r="Q1134" s="1129">
        <v>0</v>
      </c>
      <c r="R1134" s="1129">
        <v>0</v>
      </c>
      <c r="S1134" s="1129">
        <v>0</v>
      </c>
      <c r="T1134" s="1129">
        <v>0</v>
      </c>
      <c r="U1134" s="1129">
        <v>0</v>
      </c>
      <c r="V1134" s="1129">
        <v>0</v>
      </c>
      <c r="W1134" s="1129">
        <v>0</v>
      </c>
      <c r="X1134" s="1129">
        <v>252059.99</v>
      </c>
      <c r="Y1134" s="1129">
        <v>0</v>
      </c>
    </row>
    <row r="1135" spans="1:25" s="1137" customFormat="1" ht="72.599999999999994" customHeight="1">
      <c r="A1135" s="1280">
        <v>110</v>
      </c>
      <c r="B1135" s="1128" t="s">
        <v>1721</v>
      </c>
      <c r="C1135" s="1129">
        <f t="shared" si="521"/>
        <v>3275213</v>
      </c>
      <c r="D1135" s="1129">
        <f t="shared" si="522"/>
        <v>3037298.45</v>
      </c>
      <c r="E1135" s="1129">
        <v>0</v>
      </c>
      <c r="F1135" s="1129">
        <v>0</v>
      </c>
      <c r="G1135" s="1129">
        <v>0</v>
      </c>
      <c r="H1135" s="1129">
        <v>1849306.57</v>
      </c>
      <c r="I1135" s="1129">
        <v>0</v>
      </c>
      <c r="J1135" s="1129">
        <v>1187991.8799999999</v>
      </c>
      <c r="K1135" s="1136">
        <v>0</v>
      </c>
      <c r="L1135" s="1129">
        <v>0</v>
      </c>
      <c r="M1135" s="1136">
        <v>0</v>
      </c>
      <c r="N1135" s="1129">
        <v>0</v>
      </c>
      <c r="O1135" s="1129">
        <v>0</v>
      </c>
      <c r="P1135" s="1129">
        <v>0</v>
      </c>
      <c r="Q1135" s="1129">
        <v>0</v>
      </c>
      <c r="R1135" s="1129">
        <v>0</v>
      </c>
      <c r="S1135" s="1129">
        <v>0</v>
      </c>
      <c r="T1135" s="1129">
        <v>0</v>
      </c>
      <c r="U1135" s="1129">
        <v>0</v>
      </c>
      <c r="V1135" s="1129">
        <v>0</v>
      </c>
      <c r="W1135" s="1129">
        <v>0</v>
      </c>
      <c r="X1135" s="1129">
        <v>237914.55</v>
      </c>
      <c r="Y1135" s="1129">
        <v>0</v>
      </c>
    </row>
    <row r="1136" spans="1:25" s="1137" customFormat="1" ht="87.6" customHeight="1">
      <c r="A1136" s="1280">
        <v>111</v>
      </c>
      <c r="B1136" s="1128" t="s">
        <v>1895</v>
      </c>
      <c r="C1136" s="1129">
        <f t="shared" si="521"/>
        <v>1502478</v>
      </c>
      <c r="D1136" s="1129">
        <f t="shared" si="522"/>
        <v>1393345.77</v>
      </c>
      <c r="E1136" s="1129">
        <v>1393345.77</v>
      </c>
      <c r="F1136" s="1129">
        <v>0</v>
      </c>
      <c r="G1136" s="1129">
        <v>0</v>
      </c>
      <c r="H1136" s="1129">
        <v>0</v>
      </c>
      <c r="I1136" s="1129">
        <v>0</v>
      </c>
      <c r="J1136" s="1129">
        <v>0</v>
      </c>
      <c r="K1136" s="1136">
        <v>0</v>
      </c>
      <c r="L1136" s="1129">
        <v>0</v>
      </c>
      <c r="M1136" s="1136">
        <v>0</v>
      </c>
      <c r="N1136" s="1129">
        <v>0</v>
      </c>
      <c r="O1136" s="1129">
        <v>0</v>
      </c>
      <c r="P1136" s="1129">
        <v>0</v>
      </c>
      <c r="Q1136" s="1129">
        <v>0</v>
      </c>
      <c r="R1136" s="1129">
        <v>0</v>
      </c>
      <c r="S1136" s="1129">
        <v>0</v>
      </c>
      <c r="T1136" s="1129">
        <v>0</v>
      </c>
      <c r="U1136" s="1129">
        <v>0</v>
      </c>
      <c r="V1136" s="1129">
        <v>0</v>
      </c>
      <c r="W1136" s="1129">
        <v>0</v>
      </c>
      <c r="X1136" s="1129">
        <v>109132.23</v>
      </c>
      <c r="Y1136" s="1129">
        <v>0</v>
      </c>
    </row>
    <row r="1137" spans="1:25" s="1137" customFormat="1" ht="58.15" customHeight="1">
      <c r="A1137" s="1280">
        <v>112</v>
      </c>
      <c r="B1137" s="1128" t="s">
        <v>1723</v>
      </c>
      <c r="C1137" s="1129">
        <f t="shared" si="521"/>
        <v>310509</v>
      </c>
      <c r="D1137" s="1129">
        <f t="shared" si="522"/>
        <v>287955.23</v>
      </c>
      <c r="E1137" s="1129">
        <v>287955.23</v>
      </c>
      <c r="F1137" s="1129">
        <v>0</v>
      </c>
      <c r="G1137" s="1129">
        <v>0</v>
      </c>
      <c r="H1137" s="1129">
        <v>0</v>
      </c>
      <c r="I1137" s="1129">
        <v>0</v>
      </c>
      <c r="J1137" s="1129">
        <v>0</v>
      </c>
      <c r="K1137" s="1136">
        <v>0</v>
      </c>
      <c r="L1137" s="1129">
        <v>0</v>
      </c>
      <c r="M1137" s="1136">
        <v>0</v>
      </c>
      <c r="N1137" s="1129">
        <v>0</v>
      </c>
      <c r="O1137" s="1129">
        <v>0</v>
      </c>
      <c r="P1137" s="1129">
        <v>0</v>
      </c>
      <c r="Q1137" s="1129">
        <v>0</v>
      </c>
      <c r="R1137" s="1129">
        <v>0</v>
      </c>
      <c r="S1137" s="1129">
        <v>0</v>
      </c>
      <c r="T1137" s="1129">
        <v>0</v>
      </c>
      <c r="U1137" s="1129">
        <v>0</v>
      </c>
      <c r="V1137" s="1129">
        <v>0</v>
      </c>
      <c r="W1137" s="1129">
        <v>0</v>
      </c>
      <c r="X1137" s="1129">
        <v>22553.77</v>
      </c>
      <c r="Y1137" s="1129">
        <v>0</v>
      </c>
    </row>
    <row r="1138" spans="1:25" s="1137" customFormat="1" ht="61.9" customHeight="1">
      <c r="A1138" s="1280">
        <v>113</v>
      </c>
      <c r="B1138" s="1128" t="s">
        <v>1724</v>
      </c>
      <c r="C1138" s="1129">
        <f t="shared" si="521"/>
        <v>211148</v>
      </c>
      <c r="D1138" s="1129">
        <f t="shared" si="522"/>
        <v>195811.3</v>
      </c>
      <c r="E1138" s="1129">
        <v>0</v>
      </c>
      <c r="F1138" s="1129">
        <v>0</v>
      </c>
      <c r="G1138" s="1129">
        <v>0</v>
      </c>
      <c r="H1138" s="1129">
        <v>0</v>
      </c>
      <c r="I1138" s="1129">
        <v>0</v>
      </c>
      <c r="J1138" s="1129">
        <v>195811.3</v>
      </c>
      <c r="K1138" s="1136">
        <v>0</v>
      </c>
      <c r="L1138" s="1129">
        <v>0</v>
      </c>
      <c r="M1138" s="1136">
        <v>0</v>
      </c>
      <c r="N1138" s="1129">
        <v>0</v>
      </c>
      <c r="O1138" s="1129">
        <v>0</v>
      </c>
      <c r="P1138" s="1129">
        <v>0</v>
      </c>
      <c r="Q1138" s="1129">
        <v>0</v>
      </c>
      <c r="R1138" s="1129">
        <v>0</v>
      </c>
      <c r="S1138" s="1129">
        <v>0</v>
      </c>
      <c r="T1138" s="1129">
        <v>0</v>
      </c>
      <c r="U1138" s="1129">
        <v>0</v>
      </c>
      <c r="V1138" s="1129">
        <v>0</v>
      </c>
      <c r="W1138" s="1129">
        <v>0</v>
      </c>
      <c r="X1138" s="1129">
        <v>15336.7</v>
      </c>
      <c r="Y1138" s="1129">
        <v>0</v>
      </c>
    </row>
    <row r="1139" spans="1:25" s="1137" customFormat="1" ht="92.45" customHeight="1">
      <c r="A1139" s="1280">
        <v>114</v>
      </c>
      <c r="B1139" s="1128" t="s">
        <v>1896</v>
      </c>
      <c r="C1139" s="1129">
        <f t="shared" si="521"/>
        <v>1495485.33</v>
      </c>
      <c r="D1139" s="1129">
        <f t="shared" si="522"/>
        <v>0</v>
      </c>
      <c r="E1139" s="1129">
        <v>0</v>
      </c>
      <c r="F1139" s="1129">
        <v>0</v>
      </c>
      <c r="G1139" s="1129">
        <v>0</v>
      </c>
      <c r="H1139" s="1129">
        <v>0</v>
      </c>
      <c r="I1139" s="1129">
        <v>0</v>
      </c>
      <c r="J1139" s="1129">
        <v>0</v>
      </c>
      <c r="K1139" s="1136">
        <v>0</v>
      </c>
      <c r="L1139" s="1129">
        <v>0</v>
      </c>
      <c r="M1139" s="1136">
        <v>0</v>
      </c>
      <c r="N1139" s="1129">
        <v>0</v>
      </c>
      <c r="O1139" s="1129">
        <v>0</v>
      </c>
      <c r="P1139" s="1129">
        <v>0</v>
      </c>
      <c r="Q1139" s="1129">
        <v>0</v>
      </c>
      <c r="R1139" s="1129">
        <v>0</v>
      </c>
      <c r="S1139" s="1129">
        <v>497</v>
      </c>
      <c r="T1139" s="1129">
        <v>1386861.01</v>
      </c>
      <c r="U1139" s="1129">
        <v>0</v>
      </c>
      <c r="V1139" s="1129">
        <v>0</v>
      </c>
      <c r="W1139" s="1129">
        <v>0</v>
      </c>
      <c r="X1139" s="1129">
        <v>108624.32000000001</v>
      </c>
      <c r="Y1139" s="1129">
        <v>0</v>
      </c>
    </row>
    <row r="1140" spans="1:25" s="1137" customFormat="1" ht="65.45" customHeight="1">
      <c r="A1140" s="1280">
        <v>115</v>
      </c>
      <c r="B1140" s="1128" t="s">
        <v>1460</v>
      </c>
      <c r="C1140" s="1129">
        <f t="shared" si="521"/>
        <v>1466735</v>
      </c>
      <c r="D1140" s="1129">
        <f t="shared" ref="D1140:D1183" si="523">SUM(E1140:J1140)</f>
        <v>636230.92999999993</v>
      </c>
      <c r="E1140" s="1129">
        <v>0</v>
      </c>
      <c r="F1140" s="1129">
        <v>0</v>
      </c>
      <c r="G1140" s="1129">
        <v>0</v>
      </c>
      <c r="H1140" s="1129">
        <v>387093.35</v>
      </c>
      <c r="I1140" s="1129">
        <v>0</v>
      </c>
      <c r="J1140" s="1129">
        <v>249137.58</v>
      </c>
      <c r="K1140" s="1136">
        <v>0</v>
      </c>
      <c r="L1140" s="1129">
        <v>0</v>
      </c>
      <c r="M1140" s="1136">
        <v>0</v>
      </c>
      <c r="N1140" s="1129">
        <v>0</v>
      </c>
      <c r="O1140" s="1129">
        <v>0</v>
      </c>
      <c r="P1140" s="1129">
        <v>0</v>
      </c>
      <c r="Q1140" s="1129">
        <v>0</v>
      </c>
      <c r="R1140" s="1129">
        <v>0</v>
      </c>
      <c r="S1140" s="1129">
        <v>501.6</v>
      </c>
      <c r="T1140" s="1129">
        <v>723968.02</v>
      </c>
      <c r="U1140" s="1129">
        <v>0</v>
      </c>
      <c r="V1140" s="1129">
        <v>0</v>
      </c>
      <c r="W1140" s="1129">
        <v>0</v>
      </c>
      <c r="X1140" s="1129">
        <v>106536.05</v>
      </c>
      <c r="Y1140" s="1129">
        <v>0</v>
      </c>
    </row>
    <row r="1141" spans="1:25" s="1137" customFormat="1" ht="69" customHeight="1">
      <c r="A1141" s="1280">
        <v>116</v>
      </c>
      <c r="B1141" s="1128" t="s">
        <v>292</v>
      </c>
      <c r="C1141" s="1129">
        <f t="shared" ref="C1141:C1183" si="524">D1141+N1141+P1141+R1141+T1141+V1141+Y1141+L1141+X1141</f>
        <v>1794824</v>
      </c>
      <c r="D1141" s="1129">
        <f t="shared" si="523"/>
        <v>1664457.27</v>
      </c>
      <c r="E1141" s="1129">
        <v>0</v>
      </c>
      <c r="F1141" s="1129">
        <v>0</v>
      </c>
      <c r="G1141" s="1129">
        <v>0</v>
      </c>
      <c r="H1141" s="1129">
        <v>1013569.33</v>
      </c>
      <c r="I1141" s="1129">
        <v>0</v>
      </c>
      <c r="J1141" s="1129">
        <v>650887.93999999994</v>
      </c>
      <c r="K1141" s="1136">
        <v>0</v>
      </c>
      <c r="L1141" s="1129">
        <v>0</v>
      </c>
      <c r="M1141" s="1136">
        <v>0</v>
      </c>
      <c r="N1141" s="1129">
        <v>0</v>
      </c>
      <c r="O1141" s="1129">
        <v>0</v>
      </c>
      <c r="P1141" s="1129">
        <v>0</v>
      </c>
      <c r="Q1141" s="1129">
        <v>0</v>
      </c>
      <c r="R1141" s="1129">
        <v>0</v>
      </c>
      <c r="S1141" s="1129">
        <v>0</v>
      </c>
      <c r="T1141" s="1129">
        <v>0</v>
      </c>
      <c r="U1141" s="1129">
        <v>0</v>
      </c>
      <c r="V1141" s="1129">
        <v>0</v>
      </c>
      <c r="W1141" s="1129">
        <v>0</v>
      </c>
      <c r="X1141" s="1129">
        <v>130366.73</v>
      </c>
      <c r="Y1141" s="1129">
        <v>0</v>
      </c>
    </row>
    <row r="1142" spans="1:25" s="1137" customFormat="1" ht="63" customHeight="1">
      <c r="A1142" s="1280">
        <v>117</v>
      </c>
      <c r="B1142" s="1128" t="s">
        <v>1726</v>
      </c>
      <c r="C1142" s="1129">
        <f t="shared" si="524"/>
        <v>1817560</v>
      </c>
      <c r="D1142" s="1129">
        <f t="shared" si="523"/>
        <v>1685541.84</v>
      </c>
      <c r="E1142" s="1129">
        <v>0</v>
      </c>
      <c r="F1142" s="1129">
        <v>0</v>
      </c>
      <c r="G1142" s="1129">
        <v>0</v>
      </c>
      <c r="H1142" s="1129">
        <v>1685541.84</v>
      </c>
      <c r="I1142" s="1129">
        <v>0</v>
      </c>
      <c r="J1142" s="1129">
        <v>0</v>
      </c>
      <c r="K1142" s="1136">
        <v>0</v>
      </c>
      <c r="L1142" s="1129">
        <v>0</v>
      </c>
      <c r="M1142" s="1136">
        <v>0</v>
      </c>
      <c r="N1142" s="1129">
        <v>0</v>
      </c>
      <c r="O1142" s="1129">
        <v>0</v>
      </c>
      <c r="P1142" s="1129">
        <v>0</v>
      </c>
      <c r="Q1142" s="1129">
        <v>0</v>
      </c>
      <c r="R1142" s="1129">
        <v>0</v>
      </c>
      <c r="S1142" s="1129">
        <v>0</v>
      </c>
      <c r="T1142" s="1129">
        <v>0</v>
      </c>
      <c r="U1142" s="1129">
        <v>0</v>
      </c>
      <c r="V1142" s="1129">
        <v>0</v>
      </c>
      <c r="W1142" s="1129">
        <v>0</v>
      </c>
      <c r="X1142" s="1129">
        <v>132018.16</v>
      </c>
      <c r="Y1142" s="1129">
        <v>0</v>
      </c>
    </row>
    <row r="1143" spans="1:25" s="1137" customFormat="1" ht="67.900000000000006" customHeight="1">
      <c r="A1143" s="1280">
        <v>118</v>
      </c>
      <c r="B1143" s="1128" t="s">
        <v>258</v>
      </c>
      <c r="C1143" s="1129">
        <f t="shared" si="524"/>
        <v>1864763</v>
      </c>
      <c r="D1143" s="1129">
        <f t="shared" si="523"/>
        <v>1729316.26</v>
      </c>
      <c r="E1143" s="1129">
        <v>0</v>
      </c>
      <c r="F1143" s="1129">
        <v>922234.99</v>
      </c>
      <c r="G1143" s="1129">
        <v>0</v>
      </c>
      <c r="H1143" s="1129">
        <v>807081.27</v>
      </c>
      <c r="I1143" s="1129">
        <v>0</v>
      </c>
      <c r="J1143" s="1129">
        <v>0</v>
      </c>
      <c r="K1143" s="1136">
        <v>0</v>
      </c>
      <c r="L1143" s="1129">
        <v>0</v>
      </c>
      <c r="M1143" s="1136">
        <v>0</v>
      </c>
      <c r="N1143" s="1129">
        <v>0</v>
      </c>
      <c r="O1143" s="1129">
        <v>0</v>
      </c>
      <c r="P1143" s="1129">
        <v>0</v>
      </c>
      <c r="Q1143" s="1129">
        <v>0</v>
      </c>
      <c r="R1143" s="1129">
        <v>0</v>
      </c>
      <c r="S1143" s="1129">
        <v>0</v>
      </c>
      <c r="T1143" s="1129">
        <v>0</v>
      </c>
      <c r="U1143" s="1129">
        <v>0</v>
      </c>
      <c r="V1143" s="1129">
        <v>0</v>
      </c>
      <c r="W1143" s="1129">
        <v>0</v>
      </c>
      <c r="X1143" s="1129">
        <v>135446.74</v>
      </c>
      <c r="Y1143" s="1129">
        <v>0</v>
      </c>
    </row>
    <row r="1144" spans="1:25" s="1137" customFormat="1" ht="97.15" customHeight="1">
      <c r="A1144" s="1280">
        <v>119</v>
      </c>
      <c r="B1144" s="1128" t="s">
        <v>1897</v>
      </c>
      <c r="C1144" s="1129">
        <f t="shared" si="524"/>
        <v>4196302</v>
      </c>
      <c r="D1144" s="1129">
        <f t="shared" si="523"/>
        <v>3891504.41</v>
      </c>
      <c r="E1144" s="1129">
        <v>0</v>
      </c>
      <c r="F1144" s="1129">
        <v>1509591</v>
      </c>
      <c r="G1144" s="1129">
        <v>0</v>
      </c>
      <c r="H1144" s="1129">
        <v>885542.86</v>
      </c>
      <c r="I1144" s="1129">
        <v>926845</v>
      </c>
      <c r="J1144" s="1129">
        <v>569525.55000000005</v>
      </c>
      <c r="K1144" s="1136">
        <v>0</v>
      </c>
      <c r="L1144" s="1129">
        <v>0</v>
      </c>
      <c r="M1144" s="1136">
        <v>0</v>
      </c>
      <c r="N1144" s="1129">
        <v>0</v>
      </c>
      <c r="O1144" s="1129">
        <v>0</v>
      </c>
      <c r="P1144" s="1129">
        <v>0</v>
      </c>
      <c r="Q1144" s="1129">
        <v>0</v>
      </c>
      <c r="R1144" s="1129">
        <v>0</v>
      </c>
      <c r="S1144" s="1129">
        <v>0</v>
      </c>
      <c r="T1144" s="1129">
        <v>0</v>
      </c>
      <c r="U1144" s="1129">
        <v>0</v>
      </c>
      <c r="V1144" s="1129">
        <v>0</v>
      </c>
      <c r="W1144" s="1129">
        <v>0</v>
      </c>
      <c r="X1144" s="1129">
        <v>304797.59000000003</v>
      </c>
      <c r="Y1144" s="1129">
        <v>0</v>
      </c>
    </row>
    <row r="1145" spans="1:25" s="1137" customFormat="1" ht="105.6" customHeight="1">
      <c r="A1145" s="1280">
        <v>120</v>
      </c>
      <c r="B1145" s="1128" t="s">
        <v>2287</v>
      </c>
      <c r="C1145" s="1129">
        <f t="shared" si="524"/>
        <v>5919970</v>
      </c>
      <c r="D1145" s="1129">
        <f t="shared" si="523"/>
        <v>5489973.7599999998</v>
      </c>
      <c r="E1145" s="1129">
        <v>0</v>
      </c>
      <c r="F1145" s="1129">
        <v>0</v>
      </c>
      <c r="G1145" s="1129">
        <v>0</v>
      </c>
      <c r="H1145" s="1129">
        <v>2677296.7599999998</v>
      </c>
      <c r="I1145" s="1129">
        <v>2812677</v>
      </c>
      <c r="J1145" s="1129">
        <v>0</v>
      </c>
      <c r="K1145" s="1136">
        <v>0</v>
      </c>
      <c r="L1145" s="1129">
        <v>0</v>
      </c>
      <c r="M1145" s="1136">
        <v>0</v>
      </c>
      <c r="N1145" s="1129">
        <v>0</v>
      </c>
      <c r="O1145" s="1129">
        <v>0</v>
      </c>
      <c r="P1145" s="1129">
        <v>0</v>
      </c>
      <c r="Q1145" s="1129">
        <v>0</v>
      </c>
      <c r="R1145" s="1129">
        <v>0</v>
      </c>
      <c r="S1145" s="1129">
        <v>0</v>
      </c>
      <c r="T1145" s="1129">
        <v>0</v>
      </c>
      <c r="U1145" s="1129">
        <v>0</v>
      </c>
      <c r="V1145" s="1129">
        <v>0</v>
      </c>
      <c r="W1145" s="1129">
        <v>0</v>
      </c>
      <c r="X1145" s="1129">
        <v>429996.24</v>
      </c>
      <c r="Y1145" s="1129">
        <v>0</v>
      </c>
    </row>
    <row r="1146" spans="1:25" s="1137" customFormat="1" ht="94.9" customHeight="1">
      <c r="A1146" s="1280">
        <v>121</v>
      </c>
      <c r="B1146" s="1128" t="s">
        <v>1898</v>
      </c>
      <c r="C1146" s="1129">
        <f t="shared" si="524"/>
        <v>4014859</v>
      </c>
      <c r="D1146" s="1129">
        <f t="shared" si="523"/>
        <v>0</v>
      </c>
      <c r="E1146" s="1129">
        <v>0</v>
      </c>
      <c r="F1146" s="1129">
        <v>0</v>
      </c>
      <c r="G1146" s="1129">
        <v>0</v>
      </c>
      <c r="H1146" s="1129">
        <v>0</v>
      </c>
      <c r="I1146" s="1129">
        <v>0</v>
      </c>
      <c r="J1146" s="1129">
        <v>0</v>
      </c>
      <c r="K1146" s="1136">
        <v>0</v>
      </c>
      <c r="L1146" s="1129">
        <v>0</v>
      </c>
      <c r="M1146" s="1136">
        <v>0</v>
      </c>
      <c r="N1146" s="1129">
        <v>0</v>
      </c>
      <c r="O1146" s="1129">
        <v>1600</v>
      </c>
      <c r="P1146" s="1129">
        <v>3723240.41</v>
      </c>
      <c r="Q1146" s="1129">
        <v>0</v>
      </c>
      <c r="R1146" s="1129">
        <v>0</v>
      </c>
      <c r="S1146" s="1129">
        <v>0</v>
      </c>
      <c r="T1146" s="1129">
        <v>0</v>
      </c>
      <c r="U1146" s="1129">
        <v>0</v>
      </c>
      <c r="V1146" s="1129">
        <v>0</v>
      </c>
      <c r="W1146" s="1129">
        <v>0</v>
      </c>
      <c r="X1146" s="1129">
        <v>291618.59000000003</v>
      </c>
      <c r="Y1146" s="1129">
        <v>0</v>
      </c>
    </row>
    <row r="1147" spans="1:25" s="1137" customFormat="1" ht="94.9" customHeight="1">
      <c r="A1147" s="1280">
        <v>122</v>
      </c>
      <c r="B1147" s="1128" t="s">
        <v>1899</v>
      </c>
      <c r="C1147" s="1129">
        <f t="shared" si="524"/>
        <v>2766878</v>
      </c>
      <c r="D1147" s="1129">
        <f t="shared" si="523"/>
        <v>0</v>
      </c>
      <c r="E1147" s="1129">
        <v>0</v>
      </c>
      <c r="F1147" s="1129">
        <v>0</v>
      </c>
      <c r="G1147" s="1129">
        <v>0</v>
      </c>
      <c r="H1147" s="1129">
        <v>0</v>
      </c>
      <c r="I1147" s="1129">
        <v>0</v>
      </c>
      <c r="J1147" s="1129">
        <v>0</v>
      </c>
      <c r="K1147" s="1136">
        <v>0</v>
      </c>
      <c r="L1147" s="1129">
        <v>0</v>
      </c>
      <c r="M1147" s="1136">
        <v>0</v>
      </c>
      <c r="N1147" s="1129">
        <v>0</v>
      </c>
      <c r="O1147" s="1129">
        <v>1018.3</v>
      </c>
      <c r="P1147" s="1129">
        <v>2565906</v>
      </c>
      <c r="Q1147" s="1129">
        <v>0</v>
      </c>
      <c r="R1147" s="1129">
        <v>0</v>
      </c>
      <c r="S1147" s="1129">
        <v>0</v>
      </c>
      <c r="T1147" s="1129">
        <v>0</v>
      </c>
      <c r="U1147" s="1129">
        <v>0</v>
      </c>
      <c r="V1147" s="1129">
        <v>0</v>
      </c>
      <c r="W1147" s="1129">
        <v>0</v>
      </c>
      <c r="X1147" s="1129">
        <v>200972</v>
      </c>
      <c r="Y1147" s="1129">
        <v>0</v>
      </c>
    </row>
    <row r="1148" spans="1:25" s="1180" customFormat="1" ht="94.9" customHeight="1">
      <c r="A1148" s="1280">
        <v>123</v>
      </c>
      <c r="B1148" s="1128" t="s">
        <v>1901</v>
      </c>
      <c r="C1148" s="1129">
        <f t="shared" si="524"/>
        <v>872207</v>
      </c>
      <c r="D1148" s="1129">
        <f t="shared" si="523"/>
        <v>0</v>
      </c>
      <c r="E1148" s="1129">
        <v>0</v>
      </c>
      <c r="F1148" s="1129">
        <v>0</v>
      </c>
      <c r="G1148" s="1129">
        <v>0</v>
      </c>
      <c r="H1148" s="1129">
        <v>0</v>
      </c>
      <c r="I1148" s="1129">
        <v>0</v>
      </c>
      <c r="J1148" s="1129">
        <v>0</v>
      </c>
      <c r="K1148" s="1136">
        <v>0</v>
      </c>
      <c r="L1148" s="1129">
        <v>0</v>
      </c>
      <c r="M1148" s="1136">
        <v>0</v>
      </c>
      <c r="N1148" s="1129">
        <v>0</v>
      </c>
      <c r="O1148" s="1129">
        <v>321</v>
      </c>
      <c r="P1148" s="1129">
        <v>808854</v>
      </c>
      <c r="Q1148" s="1129">
        <v>0</v>
      </c>
      <c r="R1148" s="1129">
        <v>0</v>
      </c>
      <c r="S1148" s="1129">
        <v>0</v>
      </c>
      <c r="T1148" s="1129">
        <v>0</v>
      </c>
      <c r="U1148" s="1129">
        <v>0</v>
      </c>
      <c r="V1148" s="1129">
        <v>0</v>
      </c>
      <c r="W1148" s="1129">
        <v>0</v>
      </c>
      <c r="X1148" s="1129">
        <v>63353</v>
      </c>
      <c r="Y1148" s="1129">
        <v>0</v>
      </c>
    </row>
    <row r="1149" spans="1:25" s="1137" customFormat="1" ht="93.6" customHeight="1">
      <c r="A1149" s="1280">
        <v>124</v>
      </c>
      <c r="B1149" s="1128" t="s">
        <v>1900</v>
      </c>
      <c r="C1149" s="1129">
        <f t="shared" si="524"/>
        <v>5660742</v>
      </c>
      <c r="D1149" s="1129">
        <f t="shared" si="523"/>
        <v>0</v>
      </c>
      <c r="E1149" s="1129">
        <v>0</v>
      </c>
      <c r="F1149" s="1129">
        <v>0</v>
      </c>
      <c r="G1149" s="1129">
        <v>0</v>
      </c>
      <c r="H1149" s="1129">
        <v>0</v>
      </c>
      <c r="I1149" s="1129">
        <v>0</v>
      </c>
      <c r="J1149" s="1129">
        <v>0</v>
      </c>
      <c r="K1149" s="1136">
        <v>0</v>
      </c>
      <c r="L1149" s="1129">
        <v>0</v>
      </c>
      <c r="M1149" s="1136">
        <v>0</v>
      </c>
      <c r="N1149" s="1129">
        <v>0</v>
      </c>
      <c r="O1149" s="1129">
        <v>2261</v>
      </c>
      <c r="P1149" s="1129">
        <v>5249574.97</v>
      </c>
      <c r="Q1149" s="1129">
        <v>0</v>
      </c>
      <c r="R1149" s="1129">
        <v>0</v>
      </c>
      <c r="S1149" s="1129">
        <v>0</v>
      </c>
      <c r="T1149" s="1129">
        <v>0</v>
      </c>
      <c r="U1149" s="1129">
        <v>0</v>
      </c>
      <c r="V1149" s="1129">
        <v>0</v>
      </c>
      <c r="W1149" s="1129">
        <v>0</v>
      </c>
      <c r="X1149" s="1129">
        <v>411167.03</v>
      </c>
      <c r="Y1149" s="1129">
        <v>0</v>
      </c>
    </row>
    <row r="1150" spans="1:25" s="1137" customFormat="1" ht="91.15" customHeight="1">
      <c r="A1150" s="1280">
        <v>125</v>
      </c>
      <c r="B1150" s="1128" t="s">
        <v>1902</v>
      </c>
      <c r="C1150" s="1129">
        <f t="shared" si="524"/>
        <v>5360944.45</v>
      </c>
      <c r="D1150" s="1129">
        <f t="shared" si="523"/>
        <v>0</v>
      </c>
      <c r="E1150" s="1129">
        <v>0</v>
      </c>
      <c r="F1150" s="1129">
        <v>0</v>
      </c>
      <c r="G1150" s="1129">
        <v>0</v>
      </c>
      <c r="H1150" s="1129">
        <v>0</v>
      </c>
      <c r="I1150" s="1129">
        <v>0</v>
      </c>
      <c r="J1150" s="1129">
        <v>0</v>
      </c>
      <c r="K1150" s="1136">
        <v>0</v>
      </c>
      <c r="L1150" s="1129">
        <v>0</v>
      </c>
      <c r="M1150" s="1136">
        <v>0</v>
      </c>
      <c r="N1150" s="1129">
        <v>0</v>
      </c>
      <c r="O1150" s="1129">
        <v>1800</v>
      </c>
      <c r="P1150" s="1129">
        <v>4971553.17</v>
      </c>
      <c r="Q1150" s="1129">
        <v>0</v>
      </c>
      <c r="R1150" s="1129">
        <v>0</v>
      </c>
      <c r="S1150" s="1129">
        <v>0</v>
      </c>
      <c r="T1150" s="1129">
        <v>0</v>
      </c>
      <c r="U1150" s="1129">
        <v>0</v>
      </c>
      <c r="V1150" s="1129">
        <v>0</v>
      </c>
      <c r="W1150" s="1129">
        <v>0</v>
      </c>
      <c r="X1150" s="1129">
        <v>389391.28</v>
      </c>
      <c r="Y1150" s="1129">
        <v>0</v>
      </c>
    </row>
    <row r="1151" spans="1:25" s="1137" customFormat="1" ht="69" customHeight="1">
      <c r="A1151" s="1280">
        <v>126</v>
      </c>
      <c r="B1151" s="1128" t="s">
        <v>1730</v>
      </c>
      <c r="C1151" s="1129">
        <f t="shared" si="524"/>
        <v>1861754</v>
      </c>
      <c r="D1151" s="1129">
        <f t="shared" si="523"/>
        <v>0</v>
      </c>
      <c r="E1151" s="1129">
        <v>0</v>
      </c>
      <c r="F1151" s="1129">
        <v>0</v>
      </c>
      <c r="G1151" s="1129">
        <v>0</v>
      </c>
      <c r="H1151" s="1129">
        <v>0</v>
      </c>
      <c r="I1151" s="1129">
        <v>0</v>
      </c>
      <c r="J1151" s="1129">
        <v>0</v>
      </c>
      <c r="K1151" s="1136">
        <v>0</v>
      </c>
      <c r="L1151" s="1129">
        <v>0</v>
      </c>
      <c r="M1151" s="1136">
        <v>0</v>
      </c>
      <c r="N1151" s="1129">
        <v>0</v>
      </c>
      <c r="O1151" s="1129">
        <v>584.70000000000005</v>
      </c>
      <c r="P1151" s="1129">
        <v>1726525.82</v>
      </c>
      <c r="Q1151" s="1129">
        <v>0</v>
      </c>
      <c r="R1151" s="1129">
        <v>0</v>
      </c>
      <c r="S1151" s="1129">
        <v>0</v>
      </c>
      <c r="T1151" s="1129">
        <v>0</v>
      </c>
      <c r="U1151" s="1129">
        <v>0</v>
      </c>
      <c r="V1151" s="1129">
        <v>0</v>
      </c>
      <c r="W1151" s="1129">
        <v>0</v>
      </c>
      <c r="X1151" s="1129">
        <v>135228.18</v>
      </c>
      <c r="Y1151" s="1129">
        <v>0</v>
      </c>
    </row>
    <row r="1152" spans="1:25" s="1137" customFormat="1" ht="60.6" customHeight="1">
      <c r="A1152" s="1280">
        <v>127</v>
      </c>
      <c r="B1152" s="1128" t="s">
        <v>1731</v>
      </c>
      <c r="C1152" s="1129">
        <f t="shared" si="524"/>
        <v>193341</v>
      </c>
      <c r="D1152" s="1129">
        <f t="shared" si="523"/>
        <v>179297.71</v>
      </c>
      <c r="E1152" s="1129">
        <v>0</v>
      </c>
      <c r="F1152" s="1129">
        <v>0</v>
      </c>
      <c r="G1152" s="1129">
        <v>0</v>
      </c>
      <c r="H1152" s="1129">
        <v>179297.71</v>
      </c>
      <c r="I1152" s="1129">
        <v>0</v>
      </c>
      <c r="J1152" s="1129">
        <v>0</v>
      </c>
      <c r="K1152" s="1136">
        <v>0</v>
      </c>
      <c r="L1152" s="1129">
        <v>0</v>
      </c>
      <c r="M1152" s="1136">
        <v>0</v>
      </c>
      <c r="N1152" s="1129">
        <v>0</v>
      </c>
      <c r="O1152" s="1129">
        <v>0</v>
      </c>
      <c r="P1152" s="1129">
        <v>0</v>
      </c>
      <c r="Q1152" s="1129">
        <v>0</v>
      </c>
      <c r="R1152" s="1129">
        <v>0</v>
      </c>
      <c r="S1152" s="1129">
        <v>0</v>
      </c>
      <c r="T1152" s="1129">
        <v>0</v>
      </c>
      <c r="U1152" s="1129">
        <v>0</v>
      </c>
      <c r="V1152" s="1129">
        <v>0</v>
      </c>
      <c r="W1152" s="1129">
        <v>0</v>
      </c>
      <c r="X1152" s="1129">
        <v>14043.29</v>
      </c>
      <c r="Y1152" s="1129">
        <v>0</v>
      </c>
    </row>
    <row r="1153" spans="1:25" s="1137" customFormat="1" ht="78.599999999999994" customHeight="1">
      <c r="A1153" s="1280">
        <v>128</v>
      </c>
      <c r="B1153" s="1128" t="s">
        <v>1732</v>
      </c>
      <c r="C1153" s="1129">
        <f t="shared" si="524"/>
        <v>2610618</v>
      </c>
      <c r="D1153" s="1129">
        <f t="shared" si="523"/>
        <v>2420996.21</v>
      </c>
      <c r="E1153" s="1129">
        <v>2420996.21</v>
      </c>
      <c r="F1153" s="1129">
        <v>0</v>
      </c>
      <c r="G1153" s="1129">
        <v>0</v>
      </c>
      <c r="H1153" s="1129">
        <v>0</v>
      </c>
      <c r="I1153" s="1129">
        <v>0</v>
      </c>
      <c r="J1153" s="1129">
        <v>0</v>
      </c>
      <c r="K1153" s="1136">
        <v>0</v>
      </c>
      <c r="L1153" s="1129">
        <v>0</v>
      </c>
      <c r="M1153" s="1136">
        <v>0</v>
      </c>
      <c r="N1153" s="1129">
        <v>0</v>
      </c>
      <c r="O1153" s="1129">
        <v>0</v>
      </c>
      <c r="P1153" s="1129">
        <v>0</v>
      </c>
      <c r="Q1153" s="1129">
        <v>0</v>
      </c>
      <c r="R1153" s="1129">
        <v>0</v>
      </c>
      <c r="S1153" s="1129">
        <v>0</v>
      </c>
      <c r="T1153" s="1129">
        <v>0</v>
      </c>
      <c r="U1153" s="1129">
        <v>0</v>
      </c>
      <c r="V1153" s="1129">
        <v>0</v>
      </c>
      <c r="W1153" s="1129">
        <v>0</v>
      </c>
      <c r="X1153" s="1129">
        <v>189621.79</v>
      </c>
      <c r="Y1153" s="1129">
        <v>0</v>
      </c>
    </row>
    <row r="1154" spans="1:25" s="1137" customFormat="1" ht="94.9" customHeight="1">
      <c r="A1154" s="1280">
        <v>129</v>
      </c>
      <c r="B1154" s="1128" t="s">
        <v>3048</v>
      </c>
      <c r="C1154" s="1129">
        <f t="shared" si="524"/>
        <v>1300391</v>
      </c>
      <c r="D1154" s="1129">
        <f t="shared" si="523"/>
        <v>0</v>
      </c>
      <c r="E1154" s="1129">
        <v>0</v>
      </c>
      <c r="F1154" s="1129">
        <v>0</v>
      </c>
      <c r="G1154" s="1129">
        <v>0</v>
      </c>
      <c r="H1154" s="1129">
        <v>0</v>
      </c>
      <c r="I1154" s="1129">
        <v>0</v>
      </c>
      <c r="J1154" s="1129">
        <v>0</v>
      </c>
      <c r="K1154" s="1136">
        <v>0</v>
      </c>
      <c r="L1154" s="1129">
        <v>0</v>
      </c>
      <c r="M1154" s="1136">
        <v>0</v>
      </c>
      <c r="N1154" s="1129">
        <v>0</v>
      </c>
      <c r="O1154" s="1129">
        <v>0</v>
      </c>
      <c r="P1154" s="1129">
        <v>0</v>
      </c>
      <c r="Q1154" s="1129">
        <v>0</v>
      </c>
      <c r="R1154" s="1129">
        <v>0</v>
      </c>
      <c r="S1154" s="1129">
        <v>853.25</v>
      </c>
      <c r="T1154" s="1129">
        <v>1205937.32</v>
      </c>
      <c r="U1154" s="1129">
        <v>0</v>
      </c>
      <c r="V1154" s="1129">
        <v>0</v>
      </c>
      <c r="W1154" s="1129">
        <v>0</v>
      </c>
      <c r="X1154" s="1129">
        <v>94453.68</v>
      </c>
      <c r="Y1154" s="1129">
        <v>0</v>
      </c>
    </row>
    <row r="1155" spans="1:25" s="1137" customFormat="1" ht="61.9" customHeight="1">
      <c r="A1155" s="1280">
        <v>130</v>
      </c>
      <c r="B1155" s="1128" t="s">
        <v>1734</v>
      </c>
      <c r="C1155" s="1129">
        <f t="shared" si="524"/>
        <v>1296697</v>
      </c>
      <c r="D1155" s="1129">
        <f t="shared" si="523"/>
        <v>0</v>
      </c>
      <c r="E1155" s="1129">
        <v>0</v>
      </c>
      <c r="F1155" s="1129">
        <v>0</v>
      </c>
      <c r="G1155" s="1129">
        <v>0</v>
      </c>
      <c r="H1155" s="1129">
        <v>0</v>
      </c>
      <c r="I1155" s="1129">
        <v>0</v>
      </c>
      <c r="J1155" s="1129">
        <v>0</v>
      </c>
      <c r="K1155" s="1136">
        <v>0</v>
      </c>
      <c r="L1155" s="1129">
        <v>0</v>
      </c>
      <c r="M1155" s="1136">
        <v>0</v>
      </c>
      <c r="N1155" s="1129">
        <v>0</v>
      </c>
      <c r="O1155" s="1129">
        <v>0</v>
      </c>
      <c r="P1155" s="1129">
        <v>0</v>
      </c>
      <c r="Q1155" s="1129">
        <v>0</v>
      </c>
      <c r="R1155" s="1129">
        <v>0</v>
      </c>
      <c r="S1155" s="1129">
        <v>487.3</v>
      </c>
      <c r="T1155" s="1129">
        <v>1202512</v>
      </c>
      <c r="U1155" s="1129">
        <v>0</v>
      </c>
      <c r="V1155" s="1129">
        <v>0</v>
      </c>
      <c r="W1155" s="1129">
        <v>0</v>
      </c>
      <c r="X1155" s="1129">
        <v>94185</v>
      </c>
      <c r="Y1155" s="1129">
        <v>0</v>
      </c>
    </row>
    <row r="1156" spans="1:25" s="1137" customFormat="1" ht="97.15" customHeight="1">
      <c r="A1156" s="1280">
        <v>131</v>
      </c>
      <c r="B1156" s="1128" t="s">
        <v>1746</v>
      </c>
      <c r="C1156" s="1129">
        <f t="shared" si="524"/>
        <v>1766431</v>
      </c>
      <c r="D1156" s="1129">
        <f t="shared" si="523"/>
        <v>0</v>
      </c>
      <c r="E1156" s="1129">
        <v>0</v>
      </c>
      <c r="F1156" s="1129">
        <v>0</v>
      </c>
      <c r="G1156" s="1129">
        <v>0</v>
      </c>
      <c r="H1156" s="1129">
        <v>0</v>
      </c>
      <c r="I1156" s="1129">
        <v>0</v>
      </c>
      <c r="J1156" s="1129">
        <v>0</v>
      </c>
      <c r="K1156" s="1136">
        <v>0</v>
      </c>
      <c r="L1156" s="1129">
        <v>0</v>
      </c>
      <c r="M1156" s="1136">
        <v>0</v>
      </c>
      <c r="N1156" s="1129">
        <v>0</v>
      </c>
      <c r="O1156" s="1129">
        <v>548.9</v>
      </c>
      <c r="P1156" s="1129">
        <v>1638126.59</v>
      </c>
      <c r="Q1156" s="1129">
        <v>0</v>
      </c>
      <c r="R1156" s="1129">
        <v>0</v>
      </c>
      <c r="S1156" s="1129">
        <v>0</v>
      </c>
      <c r="T1156" s="1129">
        <v>0</v>
      </c>
      <c r="U1156" s="1129">
        <v>0</v>
      </c>
      <c r="V1156" s="1129">
        <v>0</v>
      </c>
      <c r="W1156" s="1129">
        <v>0</v>
      </c>
      <c r="X1156" s="1129">
        <v>128304.41</v>
      </c>
      <c r="Y1156" s="1129">
        <v>0</v>
      </c>
    </row>
    <row r="1157" spans="1:25" s="1137" customFormat="1" ht="60.6" customHeight="1">
      <c r="A1157" s="1280">
        <v>132</v>
      </c>
      <c r="B1157" s="1128" t="s">
        <v>1735</v>
      </c>
      <c r="C1157" s="1129">
        <f t="shared" si="524"/>
        <v>1335814</v>
      </c>
      <c r="D1157" s="1129">
        <f t="shared" si="523"/>
        <v>0</v>
      </c>
      <c r="E1157" s="1129">
        <v>0</v>
      </c>
      <c r="F1157" s="1129">
        <v>0</v>
      </c>
      <c r="G1157" s="1129">
        <v>0</v>
      </c>
      <c r="H1157" s="1129">
        <v>0</v>
      </c>
      <c r="I1157" s="1129">
        <v>0</v>
      </c>
      <c r="J1157" s="1129">
        <v>0</v>
      </c>
      <c r="K1157" s="1136">
        <v>0</v>
      </c>
      <c r="L1157" s="1129">
        <v>0</v>
      </c>
      <c r="M1157" s="1136">
        <v>0</v>
      </c>
      <c r="N1157" s="1129">
        <v>0</v>
      </c>
      <c r="O1157" s="1129">
        <v>0</v>
      </c>
      <c r="P1157" s="1129">
        <v>0</v>
      </c>
      <c r="Q1157" s="1129">
        <v>0</v>
      </c>
      <c r="R1157" s="1129">
        <v>0</v>
      </c>
      <c r="S1157" s="1129">
        <v>502</v>
      </c>
      <c r="T1157" s="1129">
        <v>1238787</v>
      </c>
      <c r="U1157" s="1129">
        <v>0</v>
      </c>
      <c r="V1157" s="1129">
        <v>0</v>
      </c>
      <c r="W1157" s="1129">
        <v>0</v>
      </c>
      <c r="X1157" s="1129">
        <v>97027</v>
      </c>
      <c r="Y1157" s="1129">
        <v>0</v>
      </c>
    </row>
    <row r="1158" spans="1:25" s="1137" customFormat="1" ht="60.6" customHeight="1">
      <c r="A1158" s="1280">
        <v>133</v>
      </c>
      <c r="B1158" s="1128" t="s">
        <v>1133</v>
      </c>
      <c r="C1158" s="1129">
        <f t="shared" si="524"/>
        <v>7569129.8099999996</v>
      </c>
      <c r="D1158" s="1129">
        <f t="shared" si="523"/>
        <v>537728.06000000006</v>
      </c>
      <c r="E1158" s="1129">
        <v>0</v>
      </c>
      <c r="F1158" s="1129">
        <v>0</v>
      </c>
      <c r="G1158" s="1129">
        <v>0</v>
      </c>
      <c r="H1158" s="1129">
        <v>0</v>
      </c>
      <c r="I1158" s="1129">
        <v>0</v>
      </c>
      <c r="J1158" s="1129">
        <v>537728.06000000006</v>
      </c>
      <c r="K1158" s="1136">
        <v>0</v>
      </c>
      <c r="L1158" s="1129">
        <v>0</v>
      </c>
      <c r="M1158" s="1136">
        <v>0</v>
      </c>
      <c r="N1158" s="1129">
        <v>0</v>
      </c>
      <c r="O1158" s="1129">
        <v>1268</v>
      </c>
      <c r="P1158" s="1129">
        <v>6702328.0499999998</v>
      </c>
      <c r="Q1158" s="1129">
        <v>0</v>
      </c>
      <c r="R1158" s="1129">
        <v>0</v>
      </c>
      <c r="S1158" s="1129">
        <v>0</v>
      </c>
      <c r="T1158" s="1129">
        <v>0</v>
      </c>
      <c r="U1158" s="1129">
        <v>0</v>
      </c>
      <c r="V1158" s="1129">
        <v>0</v>
      </c>
      <c r="W1158" s="1129">
        <v>0</v>
      </c>
      <c r="X1158" s="1129">
        <v>329073.7</v>
      </c>
      <c r="Y1158" s="1129">
        <v>0</v>
      </c>
    </row>
    <row r="1159" spans="1:25" s="1137" customFormat="1" ht="73.900000000000006" customHeight="1">
      <c r="A1159" s="1280">
        <v>134</v>
      </c>
      <c r="B1159" s="1128" t="s">
        <v>1495</v>
      </c>
      <c r="C1159" s="1129">
        <f t="shared" si="524"/>
        <v>6599999</v>
      </c>
      <c r="D1159" s="1129">
        <f t="shared" si="523"/>
        <v>6120609.21</v>
      </c>
      <c r="E1159" s="1129">
        <v>0</v>
      </c>
      <c r="F1159" s="1129">
        <v>0</v>
      </c>
      <c r="G1159" s="1129">
        <v>0</v>
      </c>
      <c r="H1159" s="1129">
        <v>2317758.21</v>
      </c>
      <c r="I1159" s="1129">
        <v>2317758.21</v>
      </c>
      <c r="J1159" s="1129">
        <v>1485092.79</v>
      </c>
      <c r="K1159" s="1136">
        <v>0</v>
      </c>
      <c r="L1159" s="1129">
        <v>0</v>
      </c>
      <c r="M1159" s="1136">
        <v>0</v>
      </c>
      <c r="N1159" s="1129">
        <v>0</v>
      </c>
      <c r="O1159" s="1129">
        <v>0</v>
      </c>
      <c r="P1159" s="1129">
        <v>0</v>
      </c>
      <c r="Q1159" s="1129">
        <v>0</v>
      </c>
      <c r="R1159" s="1129">
        <v>0</v>
      </c>
      <c r="S1159" s="1129">
        <v>0</v>
      </c>
      <c r="T1159" s="1129">
        <v>0</v>
      </c>
      <c r="U1159" s="1129">
        <v>0</v>
      </c>
      <c r="V1159" s="1129">
        <v>0</v>
      </c>
      <c r="W1159" s="1129">
        <v>0</v>
      </c>
      <c r="X1159" s="1129">
        <v>479389.79</v>
      </c>
      <c r="Y1159" s="1129">
        <v>0</v>
      </c>
    </row>
    <row r="1160" spans="1:25" s="1137" customFormat="1" ht="90" customHeight="1">
      <c r="A1160" s="1280">
        <v>135</v>
      </c>
      <c r="B1160" s="1128" t="s">
        <v>1903</v>
      </c>
      <c r="C1160" s="1129">
        <f t="shared" si="524"/>
        <v>9367364</v>
      </c>
      <c r="D1160" s="1129">
        <f t="shared" si="523"/>
        <v>5232043.1399999997</v>
      </c>
      <c r="E1160" s="1129">
        <v>5232043.1399999997</v>
      </c>
      <c r="F1160" s="1129">
        <v>0</v>
      </c>
      <c r="G1160" s="1129">
        <v>0</v>
      </c>
      <c r="H1160" s="1129">
        <v>0</v>
      </c>
      <c r="I1160" s="1129">
        <v>0</v>
      </c>
      <c r="J1160" s="1129">
        <v>0</v>
      </c>
      <c r="K1160" s="1136">
        <v>0</v>
      </c>
      <c r="L1160" s="1129">
        <v>0</v>
      </c>
      <c r="M1160" s="1136">
        <v>0</v>
      </c>
      <c r="N1160" s="1129">
        <v>0</v>
      </c>
      <c r="O1160" s="1129">
        <v>1484</v>
      </c>
      <c r="P1160" s="1129">
        <v>3454923.98</v>
      </c>
      <c r="Q1160" s="1129">
        <v>0</v>
      </c>
      <c r="R1160" s="1129">
        <v>0</v>
      </c>
      <c r="S1160" s="1129">
        <v>0</v>
      </c>
      <c r="T1160" s="1129">
        <v>0</v>
      </c>
      <c r="U1160" s="1129">
        <v>0</v>
      </c>
      <c r="V1160" s="1129">
        <v>0</v>
      </c>
      <c r="W1160" s="1129">
        <v>0</v>
      </c>
      <c r="X1160" s="1129">
        <v>680396.88</v>
      </c>
      <c r="Y1160" s="1129">
        <v>0</v>
      </c>
    </row>
    <row r="1161" spans="1:25" s="1137" customFormat="1" ht="65.45" customHeight="1">
      <c r="A1161" s="1280">
        <v>136</v>
      </c>
      <c r="B1161" s="1128" t="s">
        <v>275</v>
      </c>
      <c r="C1161" s="1129">
        <f t="shared" si="524"/>
        <v>467928</v>
      </c>
      <c r="D1161" s="1129">
        <f t="shared" si="523"/>
        <v>0</v>
      </c>
      <c r="E1161" s="1129">
        <v>0</v>
      </c>
      <c r="F1161" s="1129">
        <v>0</v>
      </c>
      <c r="G1161" s="1129">
        <v>0</v>
      </c>
      <c r="H1161" s="1129">
        <v>0</v>
      </c>
      <c r="I1161" s="1129">
        <v>0</v>
      </c>
      <c r="J1161" s="1129">
        <v>0</v>
      </c>
      <c r="K1161" s="1136">
        <v>0</v>
      </c>
      <c r="L1161" s="1129">
        <v>0</v>
      </c>
      <c r="M1161" s="1136">
        <v>0</v>
      </c>
      <c r="N1161" s="1129">
        <v>0</v>
      </c>
      <c r="O1161" s="1129">
        <v>0</v>
      </c>
      <c r="P1161" s="1129">
        <v>0</v>
      </c>
      <c r="Q1161" s="1129">
        <v>0</v>
      </c>
      <c r="R1161" s="1129">
        <v>0</v>
      </c>
      <c r="S1161" s="1129">
        <v>294.7</v>
      </c>
      <c r="T1161" s="1129">
        <v>433248.3</v>
      </c>
      <c r="U1161" s="1129">
        <v>0</v>
      </c>
      <c r="V1161" s="1129">
        <v>0</v>
      </c>
      <c r="W1161" s="1129">
        <v>0</v>
      </c>
      <c r="X1161" s="1129">
        <v>34679.699999999997</v>
      </c>
      <c r="Y1161" s="1129">
        <v>0</v>
      </c>
    </row>
    <row r="1162" spans="1:25" s="1137" customFormat="1" ht="67.900000000000006" customHeight="1">
      <c r="A1162" s="1280">
        <v>137</v>
      </c>
      <c r="B1162" s="1128" t="s">
        <v>1737</v>
      </c>
      <c r="C1162" s="1129">
        <f t="shared" si="524"/>
        <v>720823</v>
      </c>
      <c r="D1162" s="1129">
        <f t="shared" si="523"/>
        <v>0</v>
      </c>
      <c r="E1162" s="1129">
        <v>0</v>
      </c>
      <c r="F1162" s="1129">
        <v>0</v>
      </c>
      <c r="G1162" s="1129">
        <v>0</v>
      </c>
      <c r="H1162" s="1129">
        <v>0</v>
      </c>
      <c r="I1162" s="1129">
        <v>0</v>
      </c>
      <c r="J1162" s="1129">
        <v>0</v>
      </c>
      <c r="K1162" s="1136">
        <v>0</v>
      </c>
      <c r="L1162" s="1129">
        <v>0</v>
      </c>
      <c r="M1162" s="1136">
        <v>0</v>
      </c>
      <c r="N1162" s="1129">
        <v>0</v>
      </c>
      <c r="O1162" s="1129">
        <v>0</v>
      </c>
      <c r="P1162" s="1129">
        <v>0</v>
      </c>
      <c r="Q1162" s="1129">
        <v>0</v>
      </c>
      <c r="R1162" s="1129">
        <v>0</v>
      </c>
      <c r="S1162" s="1129">
        <v>469.8</v>
      </c>
      <c r="T1162" s="1129">
        <v>668466.14</v>
      </c>
      <c r="U1162" s="1129">
        <v>0</v>
      </c>
      <c r="V1162" s="1129">
        <v>0</v>
      </c>
      <c r="W1162" s="1129">
        <v>0</v>
      </c>
      <c r="X1162" s="1129">
        <v>52356.86</v>
      </c>
      <c r="Y1162" s="1129">
        <v>0</v>
      </c>
    </row>
    <row r="1163" spans="1:25" s="1137" customFormat="1" ht="67.900000000000006" customHeight="1">
      <c r="A1163" s="1280">
        <v>138</v>
      </c>
      <c r="B1163" s="1128" t="s">
        <v>1738</v>
      </c>
      <c r="C1163" s="1129">
        <f t="shared" si="524"/>
        <v>691750</v>
      </c>
      <c r="D1163" s="1129">
        <f t="shared" si="523"/>
        <v>641504.86</v>
      </c>
      <c r="E1163" s="1129">
        <v>0</v>
      </c>
      <c r="F1163" s="1129">
        <v>0</v>
      </c>
      <c r="G1163" s="1129">
        <v>0</v>
      </c>
      <c r="H1163" s="1129">
        <v>390239.9</v>
      </c>
      <c r="I1163" s="1129">
        <v>0</v>
      </c>
      <c r="J1163" s="1129">
        <v>251264.96</v>
      </c>
      <c r="K1163" s="1136">
        <v>0</v>
      </c>
      <c r="L1163" s="1129">
        <v>0</v>
      </c>
      <c r="M1163" s="1136">
        <v>0</v>
      </c>
      <c r="N1163" s="1129">
        <v>0</v>
      </c>
      <c r="O1163" s="1129">
        <v>0</v>
      </c>
      <c r="P1163" s="1129">
        <v>0</v>
      </c>
      <c r="Q1163" s="1129">
        <v>0</v>
      </c>
      <c r="R1163" s="1129">
        <v>0</v>
      </c>
      <c r="S1163" s="1129">
        <v>0</v>
      </c>
      <c r="T1163" s="1129">
        <v>0</v>
      </c>
      <c r="U1163" s="1129">
        <v>0</v>
      </c>
      <c r="V1163" s="1129">
        <v>0</v>
      </c>
      <c r="W1163" s="1129">
        <v>0</v>
      </c>
      <c r="X1163" s="1129">
        <v>50245.14</v>
      </c>
      <c r="Y1163" s="1129">
        <v>0</v>
      </c>
    </row>
    <row r="1164" spans="1:25" s="1137" customFormat="1" ht="72.599999999999994" customHeight="1">
      <c r="A1164" s="1280">
        <v>139</v>
      </c>
      <c r="B1164" s="1128" t="s">
        <v>900</v>
      </c>
      <c r="C1164" s="1129">
        <f t="shared" si="524"/>
        <v>5704245</v>
      </c>
      <c r="D1164" s="1129">
        <f t="shared" si="523"/>
        <v>5289917.8499999996</v>
      </c>
      <c r="E1164" s="1129">
        <v>0</v>
      </c>
      <c r="F1164" s="1129">
        <v>0</v>
      </c>
      <c r="G1164" s="1129">
        <v>0</v>
      </c>
      <c r="H1164" s="1129">
        <v>1968976.17</v>
      </c>
      <c r="I1164" s="1129">
        <v>2051414</v>
      </c>
      <c r="J1164" s="1129">
        <v>1269527.68</v>
      </c>
      <c r="K1164" s="1136">
        <v>0</v>
      </c>
      <c r="L1164" s="1129">
        <v>0</v>
      </c>
      <c r="M1164" s="1136">
        <v>0</v>
      </c>
      <c r="N1164" s="1129">
        <v>0</v>
      </c>
      <c r="O1164" s="1129">
        <v>0</v>
      </c>
      <c r="P1164" s="1129">
        <v>0</v>
      </c>
      <c r="Q1164" s="1129">
        <v>0</v>
      </c>
      <c r="R1164" s="1129">
        <v>0</v>
      </c>
      <c r="S1164" s="1129">
        <v>0</v>
      </c>
      <c r="T1164" s="1129">
        <v>0</v>
      </c>
      <c r="U1164" s="1129">
        <v>0</v>
      </c>
      <c r="V1164" s="1129">
        <v>0</v>
      </c>
      <c r="W1164" s="1129">
        <v>0</v>
      </c>
      <c r="X1164" s="1129">
        <v>414327.15</v>
      </c>
      <c r="Y1164" s="1129">
        <v>0</v>
      </c>
    </row>
    <row r="1165" spans="1:25" s="1137" customFormat="1" ht="99.6" customHeight="1">
      <c r="A1165" s="1280">
        <v>140</v>
      </c>
      <c r="B1165" s="1128" t="s">
        <v>3049</v>
      </c>
      <c r="C1165" s="1129">
        <f t="shared" si="524"/>
        <v>18696087</v>
      </c>
      <c r="D1165" s="1129">
        <f t="shared" si="523"/>
        <v>17338099.93</v>
      </c>
      <c r="E1165" s="1129">
        <v>0</v>
      </c>
      <c r="F1165" s="1129">
        <v>0</v>
      </c>
      <c r="G1165" s="1129">
        <v>0</v>
      </c>
      <c r="H1165" s="1129">
        <v>6569424.2699999996</v>
      </c>
      <c r="I1165" s="1129">
        <v>6569424.2699999996</v>
      </c>
      <c r="J1165" s="1129">
        <v>4199251.3899999997</v>
      </c>
      <c r="K1165" s="1136">
        <v>0</v>
      </c>
      <c r="L1165" s="1129">
        <v>0</v>
      </c>
      <c r="M1165" s="1136">
        <v>0</v>
      </c>
      <c r="N1165" s="1129">
        <v>0</v>
      </c>
      <c r="O1165" s="1129">
        <v>0</v>
      </c>
      <c r="P1165" s="1129">
        <v>0</v>
      </c>
      <c r="Q1165" s="1129">
        <v>0</v>
      </c>
      <c r="R1165" s="1129">
        <v>0</v>
      </c>
      <c r="S1165" s="1129">
        <v>0</v>
      </c>
      <c r="T1165" s="1129">
        <v>0</v>
      </c>
      <c r="U1165" s="1129">
        <v>0</v>
      </c>
      <c r="V1165" s="1129">
        <v>0</v>
      </c>
      <c r="W1165" s="1129">
        <v>0</v>
      </c>
      <c r="X1165" s="1129">
        <v>1357987.07</v>
      </c>
      <c r="Y1165" s="1129">
        <v>0</v>
      </c>
    </row>
    <row r="1166" spans="1:25" s="1137" customFormat="1" ht="112.9" customHeight="1">
      <c r="A1166" s="1280">
        <v>141</v>
      </c>
      <c r="B1166" s="1128" t="s">
        <v>1905</v>
      </c>
      <c r="C1166" s="1129">
        <f t="shared" si="524"/>
        <v>6817111</v>
      </c>
      <c r="D1166" s="1129">
        <f t="shared" si="523"/>
        <v>6321951.4800000004</v>
      </c>
      <c r="E1166" s="1129">
        <v>0</v>
      </c>
      <c r="F1166" s="1129">
        <v>3984688</v>
      </c>
      <c r="G1166" s="1129">
        <v>0</v>
      </c>
      <c r="H1166" s="1129">
        <v>2337263.48</v>
      </c>
      <c r="I1166" s="1129">
        <v>0</v>
      </c>
      <c r="J1166" s="1129">
        <v>0</v>
      </c>
      <c r="K1166" s="1136">
        <v>0</v>
      </c>
      <c r="L1166" s="1129">
        <v>0</v>
      </c>
      <c r="M1166" s="1136">
        <v>0</v>
      </c>
      <c r="N1166" s="1129">
        <v>0</v>
      </c>
      <c r="O1166" s="1129">
        <v>0</v>
      </c>
      <c r="P1166" s="1129">
        <v>0</v>
      </c>
      <c r="Q1166" s="1129">
        <v>0</v>
      </c>
      <c r="R1166" s="1129">
        <v>0</v>
      </c>
      <c r="S1166" s="1129">
        <v>0</v>
      </c>
      <c r="T1166" s="1129">
        <v>0</v>
      </c>
      <c r="U1166" s="1129">
        <v>0</v>
      </c>
      <c r="V1166" s="1129">
        <v>0</v>
      </c>
      <c r="W1166" s="1129">
        <v>0</v>
      </c>
      <c r="X1166" s="1129">
        <v>495159.52</v>
      </c>
      <c r="Y1166" s="1129">
        <v>0</v>
      </c>
    </row>
    <row r="1167" spans="1:25" s="1137" customFormat="1" ht="88.9" customHeight="1">
      <c r="A1167" s="1280">
        <v>142</v>
      </c>
      <c r="B1167" s="1128" t="s">
        <v>1904</v>
      </c>
      <c r="C1167" s="1129">
        <f t="shared" si="524"/>
        <v>3967506</v>
      </c>
      <c r="D1167" s="1129">
        <f t="shared" si="523"/>
        <v>1338558.8899999999</v>
      </c>
      <c r="E1167" s="1129">
        <v>0</v>
      </c>
      <c r="F1167" s="1129">
        <v>0</v>
      </c>
      <c r="G1167" s="1129">
        <v>0</v>
      </c>
      <c r="H1167" s="1129">
        <v>0</v>
      </c>
      <c r="I1167" s="1129">
        <v>0</v>
      </c>
      <c r="J1167" s="1129">
        <v>1338558.8899999999</v>
      </c>
      <c r="K1167" s="1136">
        <v>0</v>
      </c>
      <c r="L1167" s="1129">
        <v>0</v>
      </c>
      <c r="M1167" s="1136">
        <v>0</v>
      </c>
      <c r="N1167" s="1129">
        <v>0</v>
      </c>
      <c r="O1167" s="1129">
        <v>1008</v>
      </c>
      <c r="P1167" s="1129">
        <v>2340767.9900000002</v>
      </c>
      <c r="Q1167" s="1129">
        <v>0</v>
      </c>
      <c r="R1167" s="1129">
        <v>0</v>
      </c>
      <c r="S1167" s="1129">
        <v>0</v>
      </c>
      <c r="T1167" s="1129">
        <v>0</v>
      </c>
      <c r="U1167" s="1129">
        <v>0</v>
      </c>
      <c r="V1167" s="1129">
        <v>0</v>
      </c>
      <c r="W1167" s="1129">
        <v>0</v>
      </c>
      <c r="X1167" s="1129">
        <v>288179.12</v>
      </c>
      <c r="Y1167" s="1129">
        <v>0</v>
      </c>
    </row>
    <row r="1168" spans="1:25" s="1137" customFormat="1" ht="66.599999999999994" customHeight="1">
      <c r="A1168" s="1280">
        <v>143</v>
      </c>
      <c r="B1168" s="1128" t="s">
        <v>1740</v>
      </c>
      <c r="C1168" s="1129">
        <f t="shared" si="524"/>
        <v>1288447</v>
      </c>
      <c r="D1168" s="1129">
        <f t="shared" si="523"/>
        <v>0</v>
      </c>
      <c r="E1168" s="1129">
        <v>0</v>
      </c>
      <c r="F1168" s="1129">
        <v>0</v>
      </c>
      <c r="G1168" s="1129">
        <v>0</v>
      </c>
      <c r="H1168" s="1129">
        <v>0</v>
      </c>
      <c r="I1168" s="1129">
        <v>0</v>
      </c>
      <c r="J1168" s="1129">
        <v>0</v>
      </c>
      <c r="K1168" s="1136">
        <v>0</v>
      </c>
      <c r="L1168" s="1129">
        <v>0</v>
      </c>
      <c r="M1168" s="1136">
        <v>0</v>
      </c>
      <c r="N1168" s="1129">
        <v>0</v>
      </c>
      <c r="O1168" s="1129">
        <v>0</v>
      </c>
      <c r="P1168" s="1129">
        <v>0</v>
      </c>
      <c r="Q1168" s="1129">
        <v>0</v>
      </c>
      <c r="R1168" s="1129">
        <v>0</v>
      </c>
      <c r="S1168" s="1129">
        <v>484.2</v>
      </c>
      <c r="T1168" s="1129">
        <v>1194861</v>
      </c>
      <c r="U1168" s="1129">
        <v>0</v>
      </c>
      <c r="V1168" s="1129">
        <v>0</v>
      </c>
      <c r="W1168" s="1129">
        <v>0</v>
      </c>
      <c r="X1168" s="1129">
        <v>93586</v>
      </c>
      <c r="Y1168" s="1129">
        <v>0</v>
      </c>
    </row>
    <row r="1169" spans="1:25" s="1137" customFormat="1" ht="75" customHeight="1">
      <c r="A1169" s="1280">
        <v>144</v>
      </c>
      <c r="B1169" s="1128" t="s">
        <v>302</v>
      </c>
      <c r="C1169" s="1129">
        <f t="shared" si="524"/>
        <v>3431464</v>
      </c>
      <c r="D1169" s="1129">
        <f t="shared" si="523"/>
        <v>0</v>
      </c>
      <c r="E1169" s="1129">
        <v>0</v>
      </c>
      <c r="F1169" s="1129">
        <v>0</v>
      </c>
      <c r="G1169" s="1129">
        <v>0</v>
      </c>
      <c r="H1169" s="1129">
        <v>0</v>
      </c>
      <c r="I1169" s="1129">
        <v>0</v>
      </c>
      <c r="J1169" s="1129">
        <v>0</v>
      </c>
      <c r="K1169" s="1136">
        <v>0</v>
      </c>
      <c r="L1169" s="1129">
        <v>0</v>
      </c>
      <c r="M1169" s="1136">
        <v>0</v>
      </c>
      <c r="N1169" s="1129">
        <v>0</v>
      </c>
      <c r="O1169" s="1129">
        <v>1365</v>
      </c>
      <c r="P1169" s="1129">
        <v>3182220.2</v>
      </c>
      <c r="Q1169" s="1129">
        <v>0</v>
      </c>
      <c r="R1169" s="1129">
        <v>0</v>
      </c>
      <c r="S1169" s="1129">
        <v>0</v>
      </c>
      <c r="T1169" s="1129">
        <v>0</v>
      </c>
      <c r="U1169" s="1129">
        <v>0</v>
      </c>
      <c r="V1169" s="1129">
        <v>0</v>
      </c>
      <c r="W1169" s="1129">
        <v>0</v>
      </c>
      <c r="X1169" s="1129">
        <v>249243.8</v>
      </c>
      <c r="Y1169" s="1129">
        <v>0</v>
      </c>
    </row>
    <row r="1170" spans="1:25" s="1137" customFormat="1" ht="95.45" customHeight="1">
      <c r="A1170" s="1280">
        <v>145</v>
      </c>
      <c r="B1170" s="1128" t="s">
        <v>1856</v>
      </c>
      <c r="C1170" s="1129">
        <f t="shared" si="524"/>
        <v>2740531</v>
      </c>
      <c r="D1170" s="1129">
        <f t="shared" si="523"/>
        <v>2541473</v>
      </c>
      <c r="E1170" s="1129">
        <v>0</v>
      </c>
      <c r="F1170" s="1129">
        <v>2541473</v>
      </c>
      <c r="G1170" s="1129">
        <v>0</v>
      </c>
      <c r="H1170" s="1129">
        <v>0</v>
      </c>
      <c r="I1170" s="1129">
        <v>0</v>
      </c>
      <c r="J1170" s="1129">
        <v>0</v>
      </c>
      <c r="K1170" s="1136">
        <v>0</v>
      </c>
      <c r="L1170" s="1129">
        <v>0</v>
      </c>
      <c r="M1170" s="1136">
        <v>0</v>
      </c>
      <c r="N1170" s="1129">
        <v>0</v>
      </c>
      <c r="O1170" s="1129">
        <v>0</v>
      </c>
      <c r="P1170" s="1129">
        <v>0</v>
      </c>
      <c r="Q1170" s="1129">
        <v>0</v>
      </c>
      <c r="R1170" s="1129">
        <v>0</v>
      </c>
      <c r="S1170" s="1129">
        <v>0</v>
      </c>
      <c r="T1170" s="1129">
        <v>0</v>
      </c>
      <c r="U1170" s="1129">
        <v>0</v>
      </c>
      <c r="V1170" s="1129">
        <v>0</v>
      </c>
      <c r="W1170" s="1129">
        <v>0</v>
      </c>
      <c r="X1170" s="1129">
        <v>199058</v>
      </c>
      <c r="Y1170" s="1129">
        <v>0</v>
      </c>
    </row>
    <row r="1171" spans="1:25" s="1137" customFormat="1" ht="104.45" customHeight="1">
      <c r="A1171" s="1280">
        <v>146</v>
      </c>
      <c r="B1171" s="1128" t="s">
        <v>1906</v>
      </c>
      <c r="C1171" s="1129">
        <f t="shared" si="524"/>
        <v>1194865</v>
      </c>
      <c r="D1171" s="1129">
        <f t="shared" si="523"/>
        <v>0</v>
      </c>
      <c r="E1171" s="1129">
        <v>0</v>
      </c>
      <c r="F1171" s="1129">
        <v>0</v>
      </c>
      <c r="G1171" s="1129">
        <v>0</v>
      </c>
      <c r="H1171" s="1129">
        <v>0</v>
      </c>
      <c r="I1171" s="1129">
        <v>0</v>
      </c>
      <c r="J1171" s="1129">
        <v>0</v>
      </c>
      <c r="K1171" s="1136">
        <v>0</v>
      </c>
      <c r="L1171" s="1129">
        <v>0</v>
      </c>
      <c r="M1171" s="1136">
        <v>0</v>
      </c>
      <c r="N1171" s="1129">
        <v>0</v>
      </c>
      <c r="O1171" s="1129">
        <v>0</v>
      </c>
      <c r="P1171" s="1129">
        <v>0</v>
      </c>
      <c r="Q1171" s="1129">
        <v>820</v>
      </c>
      <c r="R1171" s="1129">
        <v>1108076</v>
      </c>
      <c r="S1171" s="1129">
        <v>0</v>
      </c>
      <c r="T1171" s="1129">
        <v>0</v>
      </c>
      <c r="U1171" s="1129">
        <v>0</v>
      </c>
      <c r="V1171" s="1129">
        <v>0</v>
      </c>
      <c r="W1171" s="1129">
        <v>0</v>
      </c>
      <c r="X1171" s="1129">
        <v>86789</v>
      </c>
      <c r="Y1171" s="1129">
        <v>0</v>
      </c>
    </row>
    <row r="1172" spans="1:25" s="1137" customFormat="1" ht="67.900000000000006" customHeight="1">
      <c r="A1172" s="1280">
        <v>147</v>
      </c>
      <c r="B1172" s="1128" t="s">
        <v>1751</v>
      </c>
      <c r="C1172" s="1129">
        <f t="shared" si="524"/>
        <v>968415</v>
      </c>
      <c r="D1172" s="1129">
        <f t="shared" si="523"/>
        <v>898073.7</v>
      </c>
      <c r="E1172" s="1129">
        <v>0</v>
      </c>
      <c r="F1172" s="1129">
        <v>448542</v>
      </c>
      <c r="G1172" s="1129">
        <v>0</v>
      </c>
      <c r="H1172" s="1129">
        <v>275392</v>
      </c>
      <c r="I1172" s="1129">
        <v>0</v>
      </c>
      <c r="J1172" s="1129">
        <v>174139.7</v>
      </c>
      <c r="K1172" s="1136">
        <v>0</v>
      </c>
      <c r="L1172" s="1129">
        <v>0</v>
      </c>
      <c r="M1172" s="1136">
        <v>0</v>
      </c>
      <c r="N1172" s="1129">
        <v>0</v>
      </c>
      <c r="O1172" s="1129">
        <v>0</v>
      </c>
      <c r="P1172" s="1129">
        <v>0</v>
      </c>
      <c r="Q1172" s="1129">
        <v>0</v>
      </c>
      <c r="R1172" s="1129">
        <v>0</v>
      </c>
      <c r="S1172" s="1129">
        <v>0</v>
      </c>
      <c r="T1172" s="1129">
        <v>0</v>
      </c>
      <c r="U1172" s="1129">
        <v>0</v>
      </c>
      <c r="V1172" s="1129">
        <v>0</v>
      </c>
      <c r="W1172" s="1129">
        <v>0</v>
      </c>
      <c r="X1172" s="1129">
        <v>70341.3</v>
      </c>
      <c r="Y1172" s="1129">
        <v>0</v>
      </c>
    </row>
    <row r="1173" spans="1:25" s="1137" customFormat="1" ht="67.900000000000006" customHeight="1">
      <c r="A1173" s="1280">
        <v>148</v>
      </c>
      <c r="B1173" s="1128" t="s">
        <v>1752</v>
      </c>
      <c r="C1173" s="1129">
        <f t="shared" si="524"/>
        <v>1418463</v>
      </c>
      <c r="D1173" s="1129">
        <f t="shared" si="523"/>
        <v>1319189.76</v>
      </c>
      <c r="E1173" s="1129">
        <v>0</v>
      </c>
      <c r="F1173" s="1129">
        <v>0</v>
      </c>
      <c r="G1173" s="1129">
        <v>0</v>
      </c>
      <c r="H1173" s="1129">
        <v>798198.96</v>
      </c>
      <c r="I1173" s="1129">
        <v>0</v>
      </c>
      <c r="J1173" s="1129">
        <v>520990.8</v>
      </c>
      <c r="K1173" s="1136">
        <v>0</v>
      </c>
      <c r="L1173" s="1129">
        <v>0</v>
      </c>
      <c r="M1173" s="1136">
        <v>0</v>
      </c>
      <c r="N1173" s="1129">
        <v>0</v>
      </c>
      <c r="O1173" s="1129">
        <v>0</v>
      </c>
      <c r="P1173" s="1129">
        <v>0</v>
      </c>
      <c r="Q1173" s="1129">
        <v>0</v>
      </c>
      <c r="R1173" s="1129">
        <v>0</v>
      </c>
      <c r="S1173" s="1129">
        <v>0</v>
      </c>
      <c r="T1173" s="1129">
        <v>0</v>
      </c>
      <c r="U1173" s="1129">
        <v>0</v>
      </c>
      <c r="V1173" s="1129">
        <v>0</v>
      </c>
      <c r="W1173" s="1129">
        <v>0</v>
      </c>
      <c r="X1173" s="1129">
        <v>99273.24</v>
      </c>
      <c r="Y1173" s="1129">
        <v>0</v>
      </c>
    </row>
    <row r="1174" spans="1:25" s="1137" customFormat="1" ht="63" customHeight="1">
      <c r="A1174" s="1280">
        <v>149</v>
      </c>
      <c r="B1174" s="1128" t="s">
        <v>1753</v>
      </c>
      <c r="C1174" s="1129">
        <f t="shared" si="524"/>
        <v>214414</v>
      </c>
      <c r="D1174" s="1129">
        <f t="shared" si="523"/>
        <v>198840.08</v>
      </c>
      <c r="E1174" s="1129">
        <v>0</v>
      </c>
      <c r="F1174" s="1129">
        <v>0</v>
      </c>
      <c r="G1174" s="1129">
        <v>0</v>
      </c>
      <c r="H1174" s="1129">
        <v>0</v>
      </c>
      <c r="I1174" s="1129">
        <v>0</v>
      </c>
      <c r="J1174" s="1129">
        <v>198840.08</v>
      </c>
      <c r="K1174" s="1136">
        <v>0</v>
      </c>
      <c r="L1174" s="1129">
        <v>0</v>
      </c>
      <c r="M1174" s="1136">
        <v>0</v>
      </c>
      <c r="N1174" s="1129">
        <v>0</v>
      </c>
      <c r="O1174" s="1129">
        <v>0</v>
      </c>
      <c r="P1174" s="1129">
        <v>0</v>
      </c>
      <c r="Q1174" s="1129">
        <v>0</v>
      </c>
      <c r="R1174" s="1129">
        <v>0</v>
      </c>
      <c r="S1174" s="1129">
        <v>0</v>
      </c>
      <c r="T1174" s="1129">
        <v>0</v>
      </c>
      <c r="U1174" s="1129">
        <v>0</v>
      </c>
      <c r="V1174" s="1129">
        <v>0</v>
      </c>
      <c r="W1174" s="1129">
        <v>0</v>
      </c>
      <c r="X1174" s="1129">
        <v>15573.92</v>
      </c>
      <c r="Y1174" s="1129">
        <v>0</v>
      </c>
    </row>
    <row r="1175" spans="1:25" s="1137" customFormat="1" ht="58.15" customHeight="1">
      <c r="A1175" s="1280">
        <v>150</v>
      </c>
      <c r="B1175" s="1128" t="s">
        <v>1774</v>
      </c>
      <c r="C1175" s="1129">
        <f t="shared" si="524"/>
        <v>3036528</v>
      </c>
      <c r="D1175" s="1129">
        <f t="shared" si="523"/>
        <v>0</v>
      </c>
      <c r="E1175" s="1129">
        <v>0</v>
      </c>
      <c r="F1175" s="1129">
        <v>0</v>
      </c>
      <c r="G1175" s="1129">
        <v>0</v>
      </c>
      <c r="H1175" s="1129">
        <v>0</v>
      </c>
      <c r="I1175" s="1129">
        <v>0</v>
      </c>
      <c r="J1175" s="1129">
        <v>0</v>
      </c>
      <c r="K1175" s="1136">
        <v>0</v>
      </c>
      <c r="L1175" s="1129">
        <v>0</v>
      </c>
      <c r="M1175" s="1136">
        <v>0</v>
      </c>
      <c r="N1175" s="1129">
        <v>0</v>
      </c>
      <c r="O1175" s="1129">
        <v>1117.54</v>
      </c>
      <c r="P1175" s="1129">
        <v>2815970</v>
      </c>
      <c r="Q1175" s="1129">
        <v>0</v>
      </c>
      <c r="R1175" s="1129">
        <v>0</v>
      </c>
      <c r="S1175" s="1129">
        <v>0</v>
      </c>
      <c r="T1175" s="1129">
        <v>0</v>
      </c>
      <c r="U1175" s="1129">
        <v>0</v>
      </c>
      <c r="V1175" s="1129">
        <v>0</v>
      </c>
      <c r="W1175" s="1129">
        <v>0</v>
      </c>
      <c r="X1175" s="1129">
        <v>220558</v>
      </c>
      <c r="Y1175" s="1129">
        <v>0</v>
      </c>
    </row>
    <row r="1176" spans="1:25" s="1137" customFormat="1" ht="58.15" customHeight="1">
      <c r="A1176" s="1280">
        <v>151</v>
      </c>
      <c r="B1176" s="1128" t="s">
        <v>1754</v>
      </c>
      <c r="C1176" s="1129">
        <f t="shared" si="524"/>
        <v>8859284.879999999</v>
      </c>
      <c r="D1176" s="1129">
        <f t="shared" si="523"/>
        <v>0</v>
      </c>
      <c r="E1176" s="1129">
        <v>0</v>
      </c>
      <c r="F1176" s="1129">
        <v>0</v>
      </c>
      <c r="G1176" s="1129">
        <v>0</v>
      </c>
      <c r="H1176" s="1129">
        <v>0</v>
      </c>
      <c r="I1176" s="1129">
        <v>0</v>
      </c>
      <c r="J1176" s="1129">
        <v>0</v>
      </c>
      <c r="K1176" s="1136">
        <v>0</v>
      </c>
      <c r="L1176" s="1129">
        <v>0</v>
      </c>
      <c r="M1176" s="1136">
        <v>0</v>
      </c>
      <c r="N1176" s="1129">
        <v>0</v>
      </c>
      <c r="O1176" s="1129">
        <v>0</v>
      </c>
      <c r="P1176" s="1129">
        <v>0</v>
      </c>
      <c r="Q1176" s="1129">
        <v>0</v>
      </c>
      <c r="R1176" s="1129">
        <v>0</v>
      </c>
      <c r="S1176" s="1129">
        <v>4480</v>
      </c>
      <c r="T1176" s="1129">
        <v>8289108.8799999999</v>
      </c>
      <c r="U1176" s="1129">
        <v>0</v>
      </c>
      <c r="V1176" s="1129">
        <v>0</v>
      </c>
      <c r="W1176" s="1129">
        <v>0</v>
      </c>
      <c r="X1176" s="1129">
        <v>570176</v>
      </c>
      <c r="Y1176" s="1129">
        <v>0</v>
      </c>
    </row>
    <row r="1177" spans="1:25" s="1137" customFormat="1" ht="58.15" customHeight="1">
      <c r="A1177" s="1280">
        <v>152</v>
      </c>
      <c r="B1177" s="1128" t="s">
        <v>258</v>
      </c>
      <c r="C1177" s="1129">
        <f t="shared" si="524"/>
        <v>72530</v>
      </c>
      <c r="D1177" s="1129">
        <f t="shared" si="523"/>
        <v>0</v>
      </c>
      <c r="E1177" s="1129">
        <v>0</v>
      </c>
      <c r="F1177" s="1129">
        <v>0</v>
      </c>
      <c r="G1177" s="1129">
        <v>0</v>
      </c>
      <c r="H1177" s="1129">
        <v>0</v>
      </c>
      <c r="I1177" s="1129">
        <v>0</v>
      </c>
      <c r="J1177" s="1129">
        <v>0</v>
      </c>
      <c r="K1177" s="1136">
        <v>0</v>
      </c>
      <c r="L1177" s="1129">
        <v>0</v>
      </c>
      <c r="M1177" s="1136">
        <v>0</v>
      </c>
      <c r="N1177" s="1129">
        <v>0</v>
      </c>
      <c r="O1177" s="1129">
        <v>0</v>
      </c>
      <c r="P1177" s="1129">
        <v>0</v>
      </c>
      <c r="Q1177" s="1129">
        <v>0</v>
      </c>
      <c r="R1177" s="1129">
        <v>0</v>
      </c>
      <c r="S1177" s="1129">
        <v>0</v>
      </c>
      <c r="T1177" s="1129">
        <v>0</v>
      </c>
      <c r="U1177" s="1129">
        <v>0</v>
      </c>
      <c r="V1177" s="1129">
        <v>0</v>
      </c>
      <c r="W1177" s="1129">
        <v>0</v>
      </c>
      <c r="X1177" s="1129">
        <v>72530</v>
      </c>
      <c r="Y1177" s="1129">
        <v>0</v>
      </c>
    </row>
    <row r="1178" spans="1:25" s="1137" customFormat="1" ht="82.15" customHeight="1">
      <c r="A1178" s="1280">
        <v>153</v>
      </c>
      <c r="B1178" s="1128" t="s">
        <v>1775</v>
      </c>
      <c r="C1178" s="1129">
        <f t="shared" si="524"/>
        <v>454777</v>
      </c>
      <c r="D1178" s="1129">
        <f t="shared" si="523"/>
        <v>0</v>
      </c>
      <c r="E1178" s="1129">
        <v>0</v>
      </c>
      <c r="F1178" s="1129">
        <v>0</v>
      </c>
      <c r="G1178" s="1129">
        <v>0</v>
      </c>
      <c r="H1178" s="1129">
        <v>0</v>
      </c>
      <c r="I1178" s="1129">
        <v>0</v>
      </c>
      <c r="J1178" s="1129">
        <v>0</v>
      </c>
      <c r="K1178" s="1136">
        <v>0</v>
      </c>
      <c r="L1178" s="1129">
        <v>0</v>
      </c>
      <c r="M1178" s="1136">
        <v>0</v>
      </c>
      <c r="N1178" s="1129">
        <v>0</v>
      </c>
      <c r="O1178" s="1129">
        <v>114</v>
      </c>
      <c r="P1178" s="1129">
        <v>421744</v>
      </c>
      <c r="Q1178" s="1129">
        <v>0</v>
      </c>
      <c r="R1178" s="1129">
        <v>0</v>
      </c>
      <c r="S1178" s="1129">
        <v>0</v>
      </c>
      <c r="T1178" s="1129">
        <v>0</v>
      </c>
      <c r="U1178" s="1129">
        <v>0</v>
      </c>
      <c r="V1178" s="1129">
        <v>0</v>
      </c>
      <c r="W1178" s="1129">
        <v>0</v>
      </c>
      <c r="X1178" s="1129">
        <v>33033</v>
      </c>
      <c r="Y1178" s="1129">
        <v>0</v>
      </c>
    </row>
    <row r="1179" spans="1:25" s="1137" customFormat="1" ht="82.15" customHeight="1">
      <c r="A1179" s="1280">
        <v>154</v>
      </c>
      <c r="B1179" s="1128" t="s">
        <v>1776</v>
      </c>
      <c r="C1179" s="1129">
        <f t="shared" si="524"/>
        <v>372974</v>
      </c>
      <c r="D1179" s="1129">
        <f t="shared" si="523"/>
        <v>345883</v>
      </c>
      <c r="E1179" s="1129">
        <v>0</v>
      </c>
      <c r="F1179" s="1129">
        <v>0</v>
      </c>
      <c r="G1179" s="1129">
        <v>345883</v>
      </c>
      <c r="H1179" s="1129">
        <v>0</v>
      </c>
      <c r="I1179" s="1129">
        <v>0</v>
      </c>
      <c r="J1179" s="1129">
        <v>0</v>
      </c>
      <c r="K1179" s="1136">
        <v>0</v>
      </c>
      <c r="L1179" s="1129">
        <v>0</v>
      </c>
      <c r="M1179" s="1136">
        <v>0</v>
      </c>
      <c r="N1179" s="1129">
        <v>0</v>
      </c>
      <c r="O1179" s="1129">
        <v>0</v>
      </c>
      <c r="P1179" s="1129">
        <v>0</v>
      </c>
      <c r="Q1179" s="1129">
        <v>0</v>
      </c>
      <c r="R1179" s="1129">
        <v>0</v>
      </c>
      <c r="S1179" s="1129">
        <v>0</v>
      </c>
      <c r="T1179" s="1129">
        <v>0</v>
      </c>
      <c r="U1179" s="1129">
        <v>0</v>
      </c>
      <c r="V1179" s="1129">
        <v>0</v>
      </c>
      <c r="W1179" s="1129">
        <v>0</v>
      </c>
      <c r="X1179" s="1129">
        <v>27091</v>
      </c>
      <c r="Y1179" s="1129">
        <v>0</v>
      </c>
    </row>
    <row r="1180" spans="1:25" s="1137" customFormat="1" ht="82.15" customHeight="1">
      <c r="A1180" s="1280">
        <v>155</v>
      </c>
      <c r="B1180" s="1128" t="s">
        <v>1794</v>
      </c>
      <c r="C1180" s="1129">
        <f t="shared" si="524"/>
        <v>2568253.77</v>
      </c>
      <c r="D1180" s="1129">
        <f t="shared" si="523"/>
        <v>0</v>
      </c>
      <c r="E1180" s="1129">
        <v>0</v>
      </c>
      <c r="F1180" s="1129">
        <v>0</v>
      </c>
      <c r="G1180" s="1129">
        <v>0</v>
      </c>
      <c r="H1180" s="1129">
        <v>0</v>
      </c>
      <c r="I1180" s="1129">
        <v>0</v>
      </c>
      <c r="J1180" s="1129">
        <v>0</v>
      </c>
      <c r="K1180" s="1136">
        <v>0</v>
      </c>
      <c r="L1180" s="1129">
        <v>0</v>
      </c>
      <c r="M1180" s="1136">
        <v>0</v>
      </c>
      <c r="N1180" s="1129">
        <v>0</v>
      </c>
      <c r="O1180" s="1129">
        <v>945.2</v>
      </c>
      <c r="P1180" s="1129">
        <v>2381709.1</v>
      </c>
      <c r="Q1180" s="1129">
        <v>0</v>
      </c>
      <c r="R1180" s="1129">
        <v>0</v>
      </c>
      <c r="S1180" s="1129">
        <v>0</v>
      </c>
      <c r="T1180" s="1129">
        <v>0</v>
      </c>
      <c r="U1180" s="1129">
        <v>0</v>
      </c>
      <c r="V1180" s="1129">
        <v>0</v>
      </c>
      <c r="W1180" s="1129">
        <v>0</v>
      </c>
      <c r="X1180" s="1129">
        <v>186544.67</v>
      </c>
      <c r="Y1180" s="1129">
        <v>0</v>
      </c>
    </row>
    <row r="1181" spans="1:25" s="1137" customFormat="1" ht="75" customHeight="1">
      <c r="A1181" s="1280">
        <v>156</v>
      </c>
      <c r="B1181" s="1128" t="s">
        <v>1777</v>
      </c>
      <c r="C1181" s="1129">
        <f t="shared" si="524"/>
        <v>243748</v>
      </c>
      <c r="D1181" s="1129">
        <f t="shared" si="523"/>
        <v>226043</v>
      </c>
      <c r="E1181" s="1129">
        <v>0</v>
      </c>
      <c r="F1181" s="1129">
        <v>0</v>
      </c>
      <c r="G1181" s="1129">
        <v>226043</v>
      </c>
      <c r="H1181" s="1129">
        <v>0</v>
      </c>
      <c r="I1181" s="1129">
        <v>0</v>
      </c>
      <c r="J1181" s="1129">
        <v>0</v>
      </c>
      <c r="K1181" s="1136">
        <v>0</v>
      </c>
      <c r="L1181" s="1129">
        <v>0</v>
      </c>
      <c r="M1181" s="1136">
        <v>0</v>
      </c>
      <c r="N1181" s="1129">
        <v>0</v>
      </c>
      <c r="O1181" s="1129">
        <v>0</v>
      </c>
      <c r="P1181" s="1129">
        <v>0</v>
      </c>
      <c r="Q1181" s="1129">
        <v>0</v>
      </c>
      <c r="R1181" s="1129">
        <v>0</v>
      </c>
      <c r="S1181" s="1129">
        <v>0</v>
      </c>
      <c r="T1181" s="1129">
        <v>0</v>
      </c>
      <c r="U1181" s="1129">
        <v>0</v>
      </c>
      <c r="V1181" s="1129">
        <v>0</v>
      </c>
      <c r="W1181" s="1129">
        <v>0</v>
      </c>
      <c r="X1181" s="1129">
        <v>17705</v>
      </c>
      <c r="Y1181" s="1129">
        <v>0</v>
      </c>
    </row>
    <row r="1182" spans="1:25" s="1137" customFormat="1" ht="96" customHeight="1">
      <c r="A1182" s="1280">
        <v>157</v>
      </c>
      <c r="B1182" s="1128" t="s">
        <v>1778</v>
      </c>
      <c r="C1182" s="1129">
        <f t="shared" si="524"/>
        <v>3647790</v>
      </c>
      <c r="D1182" s="1129">
        <f t="shared" si="523"/>
        <v>0</v>
      </c>
      <c r="E1182" s="1129">
        <v>0</v>
      </c>
      <c r="F1182" s="1129">
        <v>0</v>
      </c>
      <c r="G1182" s="1129">
        <v>0</v>
      </c>
      <c r="H1182" s="1129">
        <v>0</v>
      </c>
      <c r="I1182" s="1129">
        <v>0</v>
      </c>
      <c r="J1182" s="1129">
        <v>0</v>
      </c>
      <c r="K1182" s="1136">
        <v>0</v>
      </c>
      <c r="L1182" s="1129">
        <v>0</v>
      </c>
      <c r="M1182" s="1136">
        <v>0</v>
      </c>
      <c r="N1182" s="1129">
        <v>0</v>
      </c>
      <c r="O1182" s="1129">
        <v>914.4</v>
      </c>
      <c r="P1182" s="1129">
        <v>3382833</v>
      </c>
      <c r="Q1182" s="1129">
        <v>0</v>
      </c>
      <c r="R1182" s="1129">
        <v>0</v>
      </c>
      <c r="S1182" s="1129">
        <v>0</v>
      </c>
      <c r="T1182" s="1129">
        <v>0</v>
      </c>
      <c r="U1182" s="1129">
        <v>0</v>
      </c>
      <c r="V1182" s="1129">
        <v>0</v>
      </c>
      <c r="W1182" s="1129">
        <v>0</v>
      </c>
      <c r="X1182" s="1129">
        <v>264957</v>
      </c>
      <c r="Y1182" s="1129">
        <v>0</v>
      </c>
    </row>
    <row r="1183" spans="1:25" s="1137" customFormat="1" ht="75" customHeight="1">
      <c r="A1183" s="1280">
        <v>158</v>
      </c>
      <c r="B1183" s="1128" t="s">
        <v>1779</v>
      </c>
      <c r="C1183" s="1129">
        <f t="shared" si="524"/>
        <v>11661978.049999999</v>
      </c>
      <c r="D1183" s="1129">
        <f t="shared" si="523"/>
        <v>2303006.5099999998</v>
      </c>
      <c r="E1183" s="1129">
        <v>0</v>
      </c>
      <c r="F1183" s="1212">
        <v>1406791.38</v>
      </c>
      <c r="G1183" s="1129">
        <v>183048</v>
      </c>
      <c r="H1183" s="1129">
        <v>261721</v>
      </c>
      <c r="I1183" s="1129">
        <v>0</v>
      </c>
      <c r="J1183" s="1212">
        <v>451446.13</v>
      </c>
      <c r="K1183" s="1136">
        <v>0</v>
      </c>
      <c r="L1183" s="1129">
        <v>0</v>
      </c>
      <c r="M1183" s="1136">
        <v>0</v>
      </c>
      <c r="N1183" s="1129">
        <v>0</v>
      </c>
      <c r="O1183" s="1149">
        <v>545.20000000000005</v>
      </c>
      <c r="P1183" s="1212">
        <v>3697041.87</v>
      </c>
      <c r="Q1183" s="1129">
        <v>0</v>
      </c>
      <c r="R1183" s="1129">
        <v>0</v>
      </c>
      <c r="S1183" s="1129">
        <v>1014</v>
      </c>
      <c r="T1183" s="1129">
        <v>4860538</v>
      </c>
      <c r="U1183" s="1129">
        <v>0</v>
      </c>
      <c r="V1183" s="1129">
        <v>0</v>
      </c>
      <c r="W1183" s="1129">
        <v>0</v>
      </c>
      <c r="X1183" s="1213">
        <v>801391.67</v>
      </c>
      <c r="Y1183" s="1129">
        <v>0</v>
      </c>
    </row>
    <row r="1184" spans="1:25" s="1137" customFormat="1" ht="75" customHeight="1">
      <c r="A1184" s="1280">
        <v>159</v>
      </c>
      <c r="B1184" s="1128" t="s">
        <v>1780</v>
      </c>
      <c r="C1184" s="1129">
        <f t="shared" ref="C1184:C1204" si="525">D1184+N1184+P1184+R1184+T1184+V1184+Y1184+L1184+X1184</f>
        <v>405378</v>
      </c>
      <c r="D1184" s="1129">
        <f t="shared" ref="D1184:D1204" si="526">SUM(E1184:J1184)</f>
        <v>375934</v>
      </c>
      <c r="E1184" s="1129">
        <v>67061</v>
      </c>
      <c r="F1184" s="1129">
        <v>127023</v>
      </c>
      <c r="G1184" s="1129">
        <v>54546</v>
      </c>
      <c r="H1184" s="1129">
        <v>77989</v>
      </c>
      <c r="I1184" s="1129">
        <v>0</v>
      </c>
      <c r="J1184" s="1129">
        <v>49315</v>
      </c>
      <c r="K1184" s="1136">
        <v>0</v>
      </c>
      <c r="L1184" s="1129">
        <v>0</v>
      </c>
      <c r="M1184" s="1136">
        <v>0</v>
      </c>
      <c r="N1184" s="1129">
        <v>0</v>
      </c>
      <c r="O1184" s="1129">
        <v>0</v>
      </c>
      <c r="P1184" s="1129">
        <v>0</v>
      </c>
      <c r="Q1184" s="1129">
        <v>0</v>
      </c>
      <c r="R1184" s="1129">
        <v>0</v>
      </c>
      <c r="S1184" s="1129">
        <v>0</v>
      </c>
      <c r="T1184" s="1129">
        <v>0</v>
      </c>
      <c r="U1184" s="1129">
        <v>0</v>
      </c>
      <c r="V1184" s="1129">
        <v>0</v>
      </c>
      <c r="W1184" s="1129">
        <v>0</v>
      </c>
      <c r="X1184" s="1129">
        <v>29444</v>
      </c>
      <c r="Y1184" s="1129">
        <v>0</v>
      </c>
    </row>
    <row r="1185" spans="1:25" s="1137" customFormat="1" ht="103.9" customHeight="1">
      <c r="A1185" s="1280">
        <v>160</v>
      </c>
      <c r="B1185" s="1128" t="s">
        <v>1795</v>
      </c>
      <c r="C1185" s="1129">
        <f t="shared" si="525"/>
        <v>3165498</v>
      </c>
      <c r="D1185" s="1129">
        <f t="shared" si="526"/>
        <v>258396</v>
      </c>
      <c r="E1185" s="1129">
        <v>0</v>
      </c>
      <c r="F1185" s="1129">
        <v>0</v>
      </c>
      <c r="G1185" s="1129">
        <v>258396</v>
      </c>
      <c r="H1185" s="1129">
        <v>0</v>
      </c>
      <c r="I1185" s="1129">
        <v>0</v>
      </c>
      <c r="J1185" s="1129">
        <v>0</v>
      </c>
      <c r="K1185" s="1136">
        <v>0</v>
      </c>
      <c r="L1185" s="1129">
        <v>0</v>
      </c>
      <c r="M1185" s="1136">
        <v>0</v>
      </c>
      <c r="N1185" s="1129">
        <v>0</v>
      </c>
      <c r="O1185" s="1129">
        <v>591</v>
      </c>
      <c r="P1185" s="1129">
        <v>2677176</v>
      </c>
      <c r="Q1185" s="1129">
        <v>0</v>
      </c>
      <c r="R1185" s="1129">
        <v>0</v>
      </c>
      <c r="S1185" s="1129">
        <v>0</v>
      </c>
      <c r="T1185" s="1129">
        <v>0</v>
      </c>
      <c r="U1185" s="1129">
        <v>0</v>
      </c>
      <c r="V1185" s="1129">
        <v>0</v>
      </c>
      <c r="W1185" s="1129">
        <v>0</v>
      </c>
      <c r="X1185" s="1129">
        <v>229926</v>
      </c>
      <c r="Y1185" s="1129">
        <v>0</v>
      </c>
    </row>
    <row r="1186" spans="1:25" s="1137" customFormat="1" ht="104.45" customHeight="1">
      <c r="A1186" s="1280">
        <v>161</v>
      </c>
      <c r="B1186" s="1128" t="s">
        <v>1750</v>
      </c>
      <c r="C1186" s="1129">
        <f t="shared" si="525"/>
        <v>283306</v>
      </c>
      <c r="D1186" s="1129">
        <f t="shared" si="526"/>
        <v>262728</v>
      </c>
      <c r="E1186" s="1129">
        <v>0</v>
      </c>
      <c r="F1186" s="1129">
        <v>0</v>
      </c>
      <c r="G1186" s="1129">
        <v>262728</v>
      </c>
      <c r="H1186" s="1129">
        <v>0</v>
      </c>
      <c r="I1186" s="1129">
        <v>0</v>
      </c>
      <c r="J1186" s="1129">
        <v>0</v>
      </c>
      <c r="K1186" s="1136">
        <v>0</v>
      </c>
      <c r="L1186" s="1129">
        <v>0</v>
      </c>
      <c r="M1186" s="1136">
        <v>0</v>
      </c>
      <c r="N1186" s="1129">
        <v>0</v>
      </c>
      <c r="O1186" s="1129">
        <v>0</v>
      </c>
      <c r="P1186" s="1129">
        <v>0</v>
      </c>
      <c r="Q1186" s="1129">
        <v>0</v>
      </c>
      <c r="R1186" s="1129">
        <v>0</v>
      </c>
      <c r="S1186" s="1129">
        <v>0</v>
      </c>
      <c r="T1186" s="1129">
        <v>0</v>
      </c>
      <c r="U1186" s="1129">
        <v>0</v>
      </c>
      <c r="V1186" s="1129">
        <v>0</v>
      </c>
      <c r="W1186" s="1129">
        <v>0</v>
      </c>
      <c r="X1186" s="1129">
        <v>20578</v>
      </c>
      <c r="Y1186" s="1129">
        <v>0</v>
      </c>
    </row>
    <row r="1187" spans="1:25" s="1137" customFormat="1" ht="76.150000000000006" customHeight="1">
      <c r="A1187" s="1280">
        <v>162</v>
      </c>
      <c r="B1187" s="1128" t="s">
        <v>1781</v>
      </c>
      <c r="C1187" s="1129">
        <f t="shared" si="525"/>
        <v>7212203</v>
      </c>
      <c r="D1187" s="1129">
        <f t="shared" si="526"/>
        <v>0</v>
      </c>
      <c r="E1187" s="1129">
        <v>0</v>
      </c>
      <c r="F1187" s="1129">
        <v>0</v>
      </c>
      <c r="G1187" s="1129">
        <v>0</v>
      </c>
      <c r="H1187" s="1129">
        <v>0</v>
      </c>
      <c r="I1187" s="1129">
        <v>0</v>
      </c>
      <c r="J1187" s="1129">
        <v>0</v>
      </c>
      <c r="K1187" s="1136">
        <v>0</v>
      </c>
      <c r="L1187" s="1129">
        <v>0</v>
      </c>
      <c r="M1187" s="1136">
        <v>0</v>
      </c>
      <c r="N1187" s="1129">
        <v>0</v>
      </c>
      <c r="O1187" s="1129">
        <v>1807.9</v>
      </c>
      <c r="P1187" s="1129">
        <v>6688346</v>
      </c>
      <c r="Q1187" s="1129">
        <v>0</v>
      </c>
      <c r="R1187" s="1129">
        <v>0</v>
      </c>
      <c r="S1187" s="1129">
        <v>0</v>
      </c>
      <c r="T1187" s="1129">
        <v>0</v>
      </c>
      <c r="U1187" s="1129">
        <v>0</v>
      </c>
      <c r="V1187" s="1129">
        <v>0</v>
      </c>
      <c r="W1187" s="1129">
        <v>0</v>
      </c>
      <c r="X1187" s="1129">
        <v>523857</v>
      </c>
      <c r="Y1187" s="1129">
        <v>0</v>
      </c>
    </row>
    <row r="1188" spans="1:25" s="1137" customFormat="1" ht="71.45" customHeight="1">
      <c r="A1188" s="1280">
        <v>163</v>
      </c>
      <c r="B1188" s="1128" t="s">
        <v>1782</v>
      </c>
      <c r="C1188" s="1129">
        <f t="shared" si="525"/>
        <v>6418249.9000000004</v>
      </c>
      <c r="D1188" s="1129">
        <f t="shared" si="526"/>
        <v>0</v>
      </c>
      <c r="E1188" s="1129">
        <v>0</v>
      </c>
      <c r="F1188" s="1129">
        <v>0</v>
      </c>
      <c r="G1188" s="1129">
        <v>0</v>
      </c>
      <c r="H1188" s="1129">
        <v>0</v>
      </c>
      <c r="I1188" s="1129">
        <v>0</v>
      </c>
      <c r="J1188" s="1129">
        <v>0</v>
      </c>
      <c r="K1188" s="1136">
        <v>0</v>
      </c>
      <c r="L1188" s="1129">
        <v>0</v>
      </c>
      <c r="M1188" s="1136">
        <v>0</v>
      </c>
      <c r="N1188" s="1129">
        <v>0</v>
      </c>
      <c r="O1188" s="1129">
        <v>0</v>
      </c>
      <c r="P1188" s="1129">
        <v>0</v>
      </c>
      <c r="Q1188" s="1129">
        <v>0</v>
      </c>
      <c r="R1188" s="1129">
        <v>0</v>
      </c>
      <c r="S1188" s="1214">
        <v>2133</v>
      </c>
      <c r="T1188" s="1134">
        <v>5952061.4199999999</v>
      </c>
      <c r="U1188" s="1129">
        <v>0</v>
      </c>
      <c r="V1188" s="1129">
        <v>0</v>
      </c>
      <c r="W1188" s="1129">
        <v>0</v>
      </c>
      <c r="X1188" s="1200">
        <v>466188.48</v>
      </c>
      <c r="Y1188" s="1129">
        <v>0</v>
      </c>
    </row>
    <row r="1189" spans="1:25" s="1137" customFormat="1" ht="69" customHeight="1">
      <c r="A1189" s="1280">
        <v>164</v>
      </c>
      <c r="B1189" s="1128" t="s">
        <v>1755</v>
      </c>
      <c r="C1189" s="1129">
        <f t="shared" si="525"/>
        <v>569891</v>
      </c>
      <c r="D1189" s="1129">
        <f t="shared" si="526"/>
        <v>528497</v>
      </c>
      <c r="E1189" s="1129">
        <v>0</v>
      </c>
      <c r="F1189" s="1129">
        <v>0</v>
      </c>
      <c r="G1189" s="1129">
        <v>528497</v>
      </c>
      <c r="H1189" s="1129">
        <v>0</v>
      </c>
      <c r="I1189" s="1129">
        <v>0</v>
      </c>
      <c r="J1189" s="1129">
        <v>0</v>
      </c>
      <c r="K1189" s="1136">
        <v>0</v>
      </c>
      <c r="L1189" s="1129">
        <v>0</v>
      </c>
      <c r="M1189" s="1136">
        <v>0</v>
      </c>
      <c r="N1189" s="1129">
        <v>0</v>
      </c>
      <c r="O1189" s="1129">
        <v>0</v>
      </c>
      <c r="P1189" s="1129">
        <v>0</v>
      </c>
      <c r="Q1189" s="1129">
        <v>0</v>
      </c>
      <c r="R1189" s="1129">
        <v>0</v>
      </c>
      <c r="S1189" s="1129">
        <v>0</v>
      </c>
      <c r="T1189" s="1129">
        <v>0</v>
      </c>
      <c r="U1189" s="1129">
        <v>0</v>
      </c>
      <c r="V1189" s="1129">
        <v>0</v>
      </c>
      <c r="W1189" s="1129">
        <v>0</v>
      </c>
      <c r="X1189" s="1129">
        <v>41394</v>
      </c>
      <c r="Y1189" s="1129">
        <v>0</v>
      </c>
    </row>
    <row r="1190" spans="1:25" s="1137" customFormat="1" ht="69" customHeight="1">
      <c r="A1190" s="1280">
        <v>165</v>
      </c>
      <c r="B1190" s="1128" t="s">
        <v>1783</v>
      </c>
      <c r="C1190" s="1129">
        <f t="shared" si="525"/>
        <v>4332481.6232000003</v>
      </c>
      <c r="D1190" s="1129">
        <f t="shared" si="526"/>
        <v>3222837</v>
      </c>
      <c r="E1190" s="1129">
        <v>0</v>
      </c>
      <c r="F1190" s="1129">
        <v>1996837</v>
      </c>
      <c r="G1190" s="1129">
        <v>0</v>
      </c>
      <c r="H1190" s="1129">
        <v>1226000</v>
      </c>
      <c r="I1190" s="1129">
        <v>0</v>
      </c>
      <c r="J1190" s="1129">
        <v>0</v>
      </c>
      <c r="K1190" s="1136">
        <v>1</v>
      </c>
      <c r="L1190" s="1129">
        <v>794955.62320000026</v>
      </c>
      <c r="M1190" s="1136">
        <v>0</v>
      </c>
      <c r="N1190" s="1129">
        <v>0</v>
      </c>
      <c r="O1190" s="1129">
        <v>0</v>
      </c>
      <c r="P1190" s="1129">
        <v>0</v>
      </c>
      <c r="Q1190" s="1129">
        <v>0</v>
      </c>
      <c r="R1190" s="1129">
        <v>0</v>
      </c>
      <c r="S1190" s="1129">
        <v>0</v>
      </c>
      <c r="T1190" s="1129">
        <v>0</v>
      </c>
      <c r="U1190" s="1129">
        <v>0</v>
      </c>
      <c r="V1190" s="1129">
        <v>0</v>
      </c>
      <c r="W1190" s="1129">
        <v>0</v>
      </c>
      <c r="X1190" s="1129">
        <v>314689</v>
      </c>
      <c r="Y1190" s="1129">
        <v>0</v>
      </c>
    </row>
    <row r="1191" spans="1:25" s="1137" customFormat="1" ht="73.900000000000006" customHeight="1">
      <c r="A1191" s="1280">
        <v>166</v>
      </c>
      <c r="B1191" s="1128" t="s">
        <v>1784</v>
      </c>
      <c r="C1191" s="1129">
        <f t="shared" si="525"/>
        <v>1376298</v>
      </c>
      <c r="D1191" s="1129">
        <f t="shared" si="526"/>
        <v>0</v>
      </c>
      <c r="E1191" s="1129">
        <v>0</v>
      </c>
      <c r="F1191" s="1129">
        <v>0</v>
      </c>
      <c r="G1191" s="1129">
        <v>0</v>
      </c>
      <c r="H1191" s="1129">
        <v>0</v>
      </c>
      <c r="I1191" s="1129">
        <v>0</v>
      </c>
      <c r="J1191" s="1129">
        <v>0</v>
      </c>
      <c r="K1191" s="1136">
        <v>0</v>
      </c>
      <c r="L1191" s="1129">
        <v>0</v>
      </c>
      <c r="M1191" s="1136">
        <v>0</v>
      </c>
      <c r="N1191" s="1129">
        <v>0</v>
      </c>
      <c r="O1191" s="1129">
        <v>1087</v>
      </c>
      <c r="P1191" s="1129">
        <v>1276331</v>
      </c>
      <c r="Q1191" s="1129">
        <v>0</v>
      </c>
      <c r="R1191" s="1129">
        <v>0</v>
      </c>
      <c r="S1191" s="1129">
        <v>0</v>
      </c>
      <c r="T1191" s="1129">
        <v>0</v>
      </c>
      <c r="U1191" s="1129">
        <v>0</v>
      </c>
      <c r="V1191" s="1129">
        <v>0</v>
      </c>
      <c r="W1191" s="1129">
        <v>0</v>
      </c>
      <c r="X1191" s="1129">
        <v>99967</v>
      </c>
      <c r="Y1191" s="1129">
        <v>0</v>
      </c>
    </row>
    <row r="1192" spans="1:25" s="1137" customFormat="1" ht="97.15" customHeight="1">
      <c r="A1192" s="1280">
        <v>167</v>
      </c>
      <c r="B1192" s="1128" t="s">
        <v>1785</v>
      </c>
      <c r="C1192" s="1129">
        <f t="shared" si="525"/>
        <v>1890004</v>
      </c>
      <c r="D1192" s="1129">
        <f t="shared" si="526"/>
        <v>1546420</v>
      </c>
      <c r="E1192" s="1129">
        <v>0</v>
      </c>
      <c r="F1192" s="1129">
        <v>0</v>
      </c>
      <c r="G1192" s="1129">
        <v>1546420</v>
      </c>
      <c r="H1192" s="1129">
        <v>0</v>
      </c>
      <c r="I1192" s="1129">
        <v>0</v>
      </c>
      <c r="J1192" s="1129">
        <v>0</v>
      </c>
      <c r="K1192" s="1136">
        <v>0</v>
      </c>
      <c r="L1192" s="1129">
        <v>0</v>
      </c>
      <c r="M1192" s="1136">
        <v>0</v>
      </c>
      <c r="N1192" s="1129">
        <v>0</v>
      </c>
      <c r="O1192" s="1129">
        <v>0</v>
      </c>
      <c r="P1192" s="1129">
        <v>0</v>
      </c>
      <c r="Q1192" s="1129">
        <v>0</v>
      </c>
      <c r="R1192" s="1129">
        <v>0</v>
      </c>
      <c r="S1192" s="1129">
        <v>0</v>
      </c>
      <c r="T1192" s="1129">
        <v>0</v>
      </c>
      <c r="U1192" s="1129">
        <v>0</v>
      </c>
      <c r="V1192" s="1129">
        <v>0</v>
      </c>
      <c r="W1192" s="1129">
        <v>0</v>
      </c>
      <c r="X1192" s="1129">
        <v>343584</v>
      </c>
      <c r="Y1192" s="1129">
        <v>0</v>
      </c>
    </row>
    <row r="1193" spans="1:25" s="1137" customFormat="1" ht="66.599999999999994" customHeight="1">
      <c r="A1193" s="1280">
        <v>168</v>
      </c>
      <c r="B1193" s="1128" t="s">
        <v>1786</v>
      </c>
      <c r="C1193" s="1129">
        <f t="shared" si="525"/>
        <v>9302719</v>
      </c>
      <c r="D1193" s="1129">
        <f t="shared" si="526"/>
        <v>0</v>
      </c>
      <c r="E1193" s="1129">
        <v>0</v>
      </c>
      <c r="F1193" s="1129">
        <v>0</v>
      </c>
      <c r="G1193" s="1129">
        <v>0</v>
      </c>
      <c r="H1193" s="1129">
        <v>0</v>
      </c>
      <c r="I1193" s="1129">
        <v>0</v>
      </c>
      <c r="J1193" s="1129">
        <v>0</v>
      </c>
      <c r="K1193" s="1136">
        <v>0</v>
      </c>
      <c r="L1193" s="1129">
        <v>0</v>
      </c>
      <c r="M1193" s="1136">
        <v>0</v>
      </c>
      <c r="N1193" s="1129">
        <v>0</v>
      </c>
      <c r="O1193" s="1129">
        <v>3423.7</v>
      </c>
      <c r="P1193" s="1129">
        <v>8627018</v>
      </c>
      <c r="Q1193" s="1129">
        <v>0</v>
      </c>
      <c r="R1193" s="1129">
        <v>0</v>
      </c>
      <c r="S1193" s="1129">
        <v>0</v>
      </c>
      <c r="T1193" s="1129">
        <v>0</v>
      </c>
      <c r="U1193" s="1129">
        <v>0</v>
      </c>
      <c r="V1193" s="1129">
        <v>0</v>
      </c>
      <c r="W1193" s="1129">
        <v>0</v>
      </c>
      <c r="X1193" s="1129">
        <v>675701</v>
      </c>
      <c r="Y1193" s="1129">
        <v>0</v>
      </c>
    </row>
    <row r="1194" spans="1:25" s="1137" customFormat="1" ht="73.900000000000006" customHeight="1">
      <c r="A1194" s="1280">
        <v>169</v>
      </c>
      <c r="B1194" s="1128" t="s">
        <v>1787</v>
      </c>
      <c r="C1194" s="1129">
        <f t="shared" si="525"/>
        <v>3793797</v>
      </c>
      <c r="D1194" s="1129">
        <f t="shared" si="526"/>
        <v>0</v>
      </c>
      <c r="E1194" s="1129">
        <v>0</v>
      </c>
      <c r="F1194" s="1129">
        <v>0</v>
      </c>
      <c r="G1194" s="1129">
        <v>0</v>
      </c>
      <c r="H1194" s="1129">
        <v>0</v>
      </c>
      <c r="I1194" s="1129">
        <v>0</v>
      </c>
      <c r="J1194" s="1129">
        <v>0</v>
      </c>
      <c r="K1194" s="1136">
        <v>0</v>
      </c>
      <c r="L1194" s="1129">
        <v>0</v>
      </c>
      <c r="M1194" s="1136">
        <v>0</v>
      </c>
      <c r="N1194" s="1129">
        <v>0</v>
      </c>
      <c r="O1194" s="1129">
        <v>951</v>
      </c>
      <c r="P1194" s="1129">
        <v>3518235</v>
      </c>
      <c r="Q1194" s="1129">
        <v>0</v>
      </c>
      <c r="R1194" s="1129">
        <v>0</v>
      </c>
      <c r="S1194" s="1129">
        <v>0</v>
      </c>
      <c r="T1194" s="1129">
        <v>0</v>
      </c>
      <c r="U1194" s="1129">
        <v>0</v>
      </c>
      <c r="V1194" s="1129">
        <v>0</v>
      </c>
      <c r="W1194" s="1129">
        <v>0</v>
      </c>
      <c r="X1194" s="1129">
        <v>275562</v>
      </c>
      <c r="Y1194" s="1129">
        <v>0</v>
      </c>
    </row>
    <row r="1195" spans="1:25" s="1137" customFormat="1" ht="59.45" customHeight="1">
      <c r="A1195" s="1280">
        <v>170</v>
      </c>
      <c r="B1195" s="1128" t="s">
        <v>1592</v>
      </c>
      <c r="C1195" s="1129">
        <f t="shared" si="525"/>
        <v>1193601</v>
      </c>
      <c r="D1195" s="1129">
        <f t="shared" si="526"/>
        <v>1106904</v>
      </c>
      <c r="E1195" s="1129">
        <v>0</v>
      </c>
      <c r="F1195" s="1129">
        <v>0</v>
      </c>
      <c r="G1195" s="1129">
        <v>0</v>
      </c>
      <c r="H1195" s="1129">
        <v>1106904</v>
      </c>
      <c r="I1195" s="1129">
        <v>0</v>
      </c>
      <c r="J1195" s="1129">
        <v>0</v>
      </c>
      <c r="K1195" s="1136">
        <v>0</v>
      </c>
      <c r="L1195" s="1129">
        <v>0</v>
      </c>
      <c r="M1195" s="1136">
        <v>0</v>
      </c>
      <c r="N1195" s="1129">
        <v>0</v>
      </c>
      <c r="O1195" s="1129">
        <v>0</v>
      </c>
      <c r="P1195" s="1129">
        <v>0</v>
      </c>
      <c r="Q1195" s="1129">
        <v>0</v>
      </c>
      <c r="R1195" s="1129">
        <v>0</v>
      </c>
      <c r="S1195" s="1129">
        <v>0</v>
      </c>
      <c r="T1195" s="1129">
        <v>0</v>
      </c>
      <c r="U1195" s="1129">
        <v>0</v>
      </c>
      <c r="V1195" s="1129">
        <v>0</v>
      </c>
      <c r="W1195" s="1129">
        <v>0</v>
      </c>
      <c r="X1195" s="1129">
        <v>86697</v>
      </c>
      <c r="Y1195" s="1129">
        <v>0</v>
      </c>
    </row>
    <row r="1196" spans="1:25" s="1137" customFormat="1" ht="71.45" customHeight="1">
      <c r="A1196" s="1280">
        <v>171</v>
      </c>
      <c r="B1196" s="1128" t="s">
        <v>1788</v>
      </c>
      <c r="C1196" s="1129">
        <f t="shared" si="525"/>
        <v>14340281</v>
      </c>
      <c r="D1196" s="1129">
        <f t="shared" si="526"/>
        <v>5202094</v>
      </c>
      <c r="E1196" s="1129">
        <v>0</v>
      </c>
      <c r="F1196" s="1129">
        <v>2139355</v>
      </c>
      <c r="G1196" s="1129">
        <v>918665</v>
      </c>
      <c r="H1196" s="1129">
        <v>0</v>
      </c>
      <c r="I1196" s="1129">
        <v>1313501</v>
      </c>
      <c r="J1196" s="1129">
        <v>830573</v>
      </c>
      <c r="K1196" s="1136">
        <v>0</v>
      </c>
      <c r="L1196" s="1129">
        <v>0</v>
      </c>
      <c r="M1196" s="1136">
        <v>0</v>
      </c>
      <c r="N1196" s="1129">
        <v>0</v>
      </c>
      <c r="O1196" s="1129">
        <v>0</v>
      </c>
      <c r="P1196" s="1129">
        <v>0</v>
      </c>
      <c r="Q1196" s="1129">
        <v>0</v>
      </c>
      <c r="R1196" s="1129">
        <v>0</v>
      </c>
      <c r="S1196" s="1129">
        <v>1689.1</v>
      </c>
      <c r="T1196" s="1129">
        <v>8096583</v>
      </c>
      <c r="U1196" s="1129">
        <v>0</v>
      </c>
      <c r="V1196" s="1129">
        <v>0</v>
      </c>
      <c r="W1196" s="1129">
        <v>0</v>
      </c>
      <c r="X1196" s="1129">
        <v>1041604</v>
      </c>
      <c r="Y1196" s="1129">
        <v>0</v>
      </c>
    </row>
    <row r="1197" spans="1:25" s="1137" customFormat="1" ht="69" customHeight="1">
      <c r="A1197" s="1280">
        <v>172</v>
      </c>
      <c r="B1197" s="1128" t="s">
        <v>1789</v>
      </c>
      <c r="C1197" s="1129">
        <f t="shared" si="525"/>
        <v>3159503</v>
      </c>
      <c r="D1197" s="1129">
        <f t="shared" si="526"/>
        <v>0</v>
      </c>
      <c r="E1197" s="1129">
        <v>0</v>
      </c>
      <c r="F1197" s="1129">
        <v>0</v>
      </c>
      <c r="G1197" s="1129">
        <v>0</v>
      </c>
      <c r="H1197" s="1129">
        <v>0</v>
      </c>
      <c r="I1197" s="1129">
        <v>0</v>
      </c>
      <c r="J1197" s="1129">
        <v>0</v>
      </c>
      <c r="K1197" s="1136">
        <v>0</v>
      </c>
      <c r="L1197" s="1129">
        <v>0</v>
      </c>
      <c r="M1197" s="1136">
        <v>0</v>
      </c>
      <c r="N1197" s="1129">
        <v>0</v>
      </c>
      <c r="O1197" s="1129">
        <v>792</v>
      </c>
      <c r="P1197" s="1129">
        <v>2930013</v>
      </c>
      <c r="Q1197" s="1129">
        <v>0</v>
      </c>
      <c r="R1197" s="1129">
        <v>0</v>
      </c>
      <c r="S1197" s="1129">
        <v>0</v>
      </c>
      <c r="T1197" s="1129">
        <v>0</v>
      </c>
      <c r="U1197" s="1129">
        <v>0</v>
      </c>
      <c r="V1197" s="1129">
        <v>0</v>
      </c>
      <c r="W1197" s="1129">
        <v>0</v>
      </c>
      <c r="X1197" s="1129">
        <v>229490</v>
      </c>
      <c r="Y1197" s="1129">
        <v>0</v>
      </c>
    </row>
    <row r="1198" spans="1:25" s="1137" customFormat="1" ht="73.900000000000006" customHeight="1">
      <c r="A1198" s="1280">
        <v>173</v>
      </c>
      <c r="B1198" s="1128" t="s">
        <v>1790</v>
      </c>
      <c r="C1198" s="1129">
        <f t="shared" si="525"/>
        <v>12525464</v>
      </c>
      <c r="D1198" s="1129">
        <f t="shared" si="526"/>
        <v>0</v>
      </c>
      <c r="E1198" s="1129">
        <v>0</v>
      </c>
      <c r="F1198" s="1129">
        <v>0</v>
      </c>
      <c r="G1198" s="1129">
        <v>0</v>
      </c>
      <c r="H1198" s="1129">
        <v>0</v>
      </c>
      <c r="I1198" s="1129">
        <v>0</v>
      </c>
      <c r="J1198" s="1129">
        <v>0</v>
      </c>
      <c r="K1198" s="1136">
        <v>0</v>
      </c>
      <c r="L1198" s="1129">
        <v>0</v>
      </c>
      <c r="M1198" s="1136">
        <v>0</v>
      </c>
      <c r="N1198" s="1129">
        <v>0</v>
      </c>
      <c r="O1198" s="1129">
        <v>0</v>
      </c>
      <c r="P1198" s="1129">
        <v>0</v>
      </c>
      <c r="Q1198" s="1129">
        <v>0</v>
      </c>
      <c r="R1198" s="1129">
        <v>0</v>
      </c>
      <c r="S1198" s="1129">
        <v>2423.25</v>
      </c>
      <c r="T1198" s="1129">
        <v>11615679</v>
      </c>
      <c r="U1198" s="1129">
        <v>0</v>
      </c>
      <c r="V1198" s="1129">
        <v>0</v>
      </c>
      <c r="W1198" s="1129">
        <v>0</v>
      </c>
      <c r="X1198" s="1129">
        <v>909785</v>
      </c>
      <c r="Y1198" s="1129">
        <v>0</v>
      </c>
    </row>
    <row r="1199" spans="1:25" s="1137" customFormat="1" ht="99.6" customHeight="1">
      <c r="A1199" s="1280">
        <v>174</v>
      </c>
      <c r="B1199" s="1128" t="s">
        <v>1741</v>
      </c>
      <c r="C1199" s="1129">
        <f t="shared" si="525"/>
        <v>1527891</v>
      </c>
      <c r="D1199" s="1129">
        <f t="shared" si="526"/>
        <v>0</v>
      </c>
      <c r="E1199" s="1129">
        <v>0</v>
      </c>
      <c r="F1199" s="1129">
        <v>0</v>
      </c>
      <c r="G1199" s="1129">
        <v>0</v>
      </c>
      <c r="H1199" s="1129">
        <v>0</v>
      </c>
      <c r="I1199" s="1129">
        <v>0</v>
      </c>
      <c r="J1199" s="1129">
        <v>0</v>
      </c>
      <c r="K1199" s="1136">
        <v>0</v>
      </c>
      <c r="L1199" s="1129">
        <v>0</v>
      </c>
      <c r="M1199" s="1136">
        <v>0</v>
      </c>
      <c r="N1199" s="1129">
        <v>0</v>
      </c>
      <c r="O1199" s="1129">
        <v>413</v>
      </c>
      <c r="P1199" s="1129">
        <v>1416913</v>
      </c>
      <c r="Q1199" s="1129">
        <v>0</v>
      </c>
      <c r="R1199" s="1129">
        <v>0</v>
      </c>
      <c r="S1199" s="1129">
        <v>0</v>
      </c>
      <c r="T1199" s="1129">
        <v>0</v>
      </c>
      <c r="U1199" s="1129">
        <v>0</v>
      </c>
      <c r="V1199" s="1129">
        <v>0</v>
      </c>
      <c r="W1199" s="1129">
        <v>0</v>
      </c>
      <c r="X1199" s="1129">
        <v>110978</v>
      </c>
      <c r="Y1199" s="1129">
        <v>0</v>
      </c>
    </row>
    <row r="1200" spans="1:25" s="1137" customFormat="1" ht="73.900000000000006" customHeight="1">
      <c r="A1200" s="1280">
        <v>175</v>
      </c>
      <c r="B1200" s="1128" t="s">
        <v>1791</v>
      </c>
      <c r="C1200" s="1129">
        <f t="shared" si="525"/>
        <v>5568593</v>
      </c>
      <c r="D1200" s="1129">
        <f t="shared" si="526"/>
        <v>5164119</v>
      </c>
      <c r="E1200" s="1129">
        <v>0</v>
      </c>
      <c r="F1200" s="1129">
        <v>0</v>
      </c>
      <c r="G1200" s="1129">
        <v>5164119</v>
      </c>
      <c r="H1200" s="1129">
        <v>0</v>
      </c>
      <c r="I1200" s="1129">
        <v>0</v>
      </c>
      <c r="J1200" s="1129">
        <v>0</v>
      </c>
      <c r="K1200" s="1136">
        <v>0</v>
      </c>
      <c r="L1200" s="1129">
        <v>0</v>
      </c>
      <c r="M1200" s="1136">
        <v>0</v>
      </c>
      <c r="N1200" s="1129">
        <v>0</v>
      </c>
      <c r="O1200" s="1129">
        <v>0</v>
      </c>
      <c r="P1200" s="1129">
        <v>0</v>
      </c>
      <c r="Q1200" s="1129">
        <v>0</v>
      </c>
      <c r="R1200" s="1129">
        <v>0</v>
      </c>
      <c r="S1200" s="1129">
        <v>0</v>
      </c>
      <c r="T1200" s="1129">
        <v>0</v>
      </c>
      <c r="U1200" s="1129">
        <v>0</v>
      </c>
      <c r="V1200" s="1129">
        <v>0</v>
      </c>
      <c r="W1200" s="1129">
        <v>0</v>
      </c>
      <c r="X1200" s="1129">
        <v>404474</v>
      </c>
      <c r="Y1200" s="1129">
        <v>0</v>
      </c>
    </row>
    <row r="1201" spans="1:25" s="1137" customFormat="1" ht="85.9" customHeight="1">
      <c r="A1201" s="1280">
        <v>176</v>
      </c>
      <c r="B1201" s="1128" t="s">
        <v>1792</v>
      </c>
      <c r="C1201" s="1129">
        <f t="shared" si="525"/>
        <v>3073193.41</v>
      </c>
      <c r="D1201" s="1129">
        <f t="shared" si="526"/>
        <v>0</v>
      </c>
      <c r="E1201" s="1129">
        <v>0</v>
      </c>
      <c r="F1201" s="1129">
        <v>0</v>
      </c>
      <c r="G1201" s="1129">
        <v>0</v>
      </c>
      <c r="H1201" s="1129">
        <v>0</v>
      </c>
      <c r="I1201" s="1129">
        <v>0</v>
      </c>
      <c r="J1201" s="1129">
        <v>0</v>
      </c>
      <c r="K1201" s="1136">
        <v>0</v>
      </c>
      <c r="L1201" s="1129">
        <v>0</v>
      </c>
      <c r="M1201" s="1136">
        <v>0</v>
      </c>
      <c r="N1201" s="1129">
        <v>0</v>
      </c>
      <c r="O1201" s="1129">
        <v>552</v>
      </c>
      <c r="P1201" s="1129">
        <v>1732596.73</v>
      </c>
      <c r="Q1201" s="1129">
        <v>0</v>
      </c>
      <c r="R1201" s="1129">
        <v>0</v>
      </c>
      <c r="S1201" s="1129">
        <v>452.8</v>
      </c>
      <c r="T1201" s="1129">
        <v>1117376</v>
      </c>
      <c r="U1201" s="1129">
        <v>0</v>
      </c>
      <c r="V1201" s="1129">
        <v>0</v>
      </c>
      <c r="W1201" s="1129">
        <v>0</v>
      </c>
      <c r="X1201" s="1129">
        <v>223220.68</v>
      </c>
      <c r="Y1201" s="1129">
        <v>0</v>
      </c>
    </row>
    <row r="1202" spans="1:25" s="1137" customFormat="1" ht="104.45" customHeight="1">
      <c r="A1202" s="1280">
        <v>177</v>
      </c>
      <c r="B1202" s="1128" t="s">
        <v>1742</v>
      </c>
      <c r="C1202" s="1129">
        <f t="shared" si="525"/>
        <v>1527891</v>
      </c>
      <c r="D1202" s="1129">
        <f t="shared" si="526"/>
        <v>0</v>
      </c>
      <c r="E1202" s="1129">
        <v>0</v>
      </c>
      <c r="F1202" s="1129">
        <v>0</v>
      </c>
      <c r="G1202" s="1129">
        <v>0</v>
      </c>
      <c r="H1202" s="1129">
        <v>0</v>
      </c>
      <c r="I1202" s="1129">
        <v>0</v>
      </c>
      <c r="J1202" s="1129">
        <v>0</v>
      </c>
      <c r="K1202" s="1136">
        <v>0</v>
      </c>
      <c r="L1202" s="1129">
        <v>0</v>
      </c>
      <c r="M1202" s="1136">
        <v>0</v>
      </c>
      <c r="N1202" s="1129">
        <v>0</v>
      </c>
      <c r="O1202" s="1129">
        <v>413</v>
      </c>
      <c r="P1202" s="1129">
        <v>1416913</v>
      </c>
      <c r="Q1202" s="1129">
        <v>0</v>
      </c>
      <c r="R1202" s="1129">
        <v>0</v>
      </c>
      <c r="S1202" s="1129">
        <v>0</v>
      </c>
      <c r="T1202" s="1129">
        <v>0</v>
      </c>
      <c r="U1202" s="1129">
        <v>0</v>
      </c>
      <c r="V1202" s="1129">
        <v>0</v>
      </c>
      <c r="W1202" s="1129">
        <v>0</v>
      </c>
      <c r="X1202" s="1129">
        <v>110978</v>
      </c>
      <c r="Y1202" s="1129">
        <v>0</v>
      </c>
    </row>
    <row r="1203" spans="1:25" s="1137" customFormat="1" ht="88.15" customHeight="1">
      <c r="A1203" s="1280">
        <v>178</v>
      </c>
      <c r="B1203" s="1128" t="s">
        <v>1793</v>
      </c>
      <c r="C1203" s="1129">
        <f t="shared" si="525"/>
        <v>207695</v>
      </c>
      <c r="D1203" s="1129">
        <f t="shared" si="526"/>
        <v>192609</v>
      </c>
      <c r="E1203" s="1129">
        <v>0</v>
      </c>
      <c r="F1203" s="1129">
        <v>0</v>
      </c>
      <c r="G1203" s="1129">
        <v>192609</v>
      </c>
      <c r="H1203" s="1129">
        <v>0</v>
      </c>
      <c r="I1203" s="1129">
        <v>0</v>
      </c>
      <c r="J1203" s="1129">
        <v>0</v>
      </c>
      <c r="K1203" s="1136">
        <v>0</v>
      </c>
      <c r="L1203" s="1129">
        <v>0</v>
      </c>
      <c r="M1203" s="1136">
        <v>0</v>
      </c>
      <c r="N1203" s="1129">
        <v>0</v>
      </c>
      <c r="O1203" s="1129">
        <v>0</v>
      </c>
      <c r="P1203" s="1129">
        <v>0</v>
      </c>
      <c r="Q1203" s="1129">
        <v>0</v>
      </c>
      <c r="R1203" s="1129">
        <v>0</v>
      </c>
      <c r="S1203" s="1129">
        <v>0</v>
      </c>
      <c r="T1203" s="1129">
        <v>0</v>
      </c>
      <c r="U1203" s="1129">
        <v>0</v>
      </c>
      <c r="V1203" s="1129">
        <v>0</v>
      </c>
      <c r="W1203" s="1129">
        <v>0</v>
      </c>
      <c r="X1203" s="1129">
        <v>15086</v>
      </c>
      <c r="Y1203" s="1129">
        <v>0</v>
      </c>
    </row>
    <row r="1204" spans="1:25" s="1137" customFormat="1" ht="90" customHeight="1">
      <c r="A1204" s="1280">
        <v>179</v>
      </c>
      <c r="B1204" s="1128" t="s">
        <v>1796</v>
      </c>
      <c r="C1204" s="1129">
        <f t="shared" si="525"/>
        <v>11094163</v>
      </c>
      <c r="D1204" s="1129">
        <f t="shared" si="526"/>
        <v>0</v>
      </c>
      <c r="E1204" s="1129">
        <v>0</v>
      </c>
      <c r="F1204" s="1129">
        <v>0</v>
      </c>
      <c r="G1204" s="1129">
        <v>0</v>
      </c>
      <c r="H1204" s="1129">
        <v>0</v>
      </c>
      <c r="I1204" s="1129">
        <v>0</v>
      </c>
      <c r="J1204" s="1129">
        <v>0</v>
      </c>
      <c r="K1204" s="1136">
        <v>0</v>
      </c>
      <c r="L1204" s="1129">
        <v>0</v>
      </c>
      <c r="M1204" s="1136">
        <v>0</v>
      </c>
      <c r="N1204" s="1129">
        <v>0</v>
      </c>
      <c r="O1204" s="1129">
        <v>2781</v>
      </c>
      <c r="P1204" s="1129">
        <v>10288340</v>
      </c>
      <c r="Q1204" s="1129">
        <v>0</v>
      </c>
      <c r="R1204" s="1129">
        <v>0</v>
      </c>
      <c r="S1204" s="1129">
        <v>0</v>
      </c>
      <c r="T1204" s="1129">
        <v>0</v>
      </c>
      <c r="U1204" s="1129">
        <v>0</v>
      </c>
      <c r="V1204" s="1129">
        <v>0</v>
      </c>
      <c r="W1204" s="1129">
        <v>0</v>
      </c>
      <c r="X1204" s="1129">
        <v>805823</v>
      </c>
      <c r="Y1204" s="1129">
        <v>0</v>
      </c>
    </row>
    <row r="1205" spans="1:25" s="1137" customFormat="1" ht="135" customHeight="1">
      <c r="A1205" s="1280"/>
      <c r="B1205" s="1128" t="s">
        <v>1393</v>
      </c>
      <c r="C1205" s="1129">
        <f>SUM(C1206:C1235)+C1236</f>
        <v>71343210.579999998</v>
      </c>
      <c r="D1205" s="1129">
        <f t="shared" ref="D1205:Y1205" si="527">SUM(D1206:D1235)+D1236</f>
        <v>1076251.6299999999</v>
      </c>
      <c r="E1205" s="1129">
        <f t="shared" si="527"/>
        <v>0</v>
      </c>
      <c r="F1205" s="1129">
        <f t="shared" si="527"/>
        <v>0</v>
      </c>
      <c r="G1205" s="1129">
        <f t="shared" si="527"/>
        <v>0</v>
      </c>
      <c r="H1205" s="1129">
        <f t="shared" si="527"/>
        <v>1076251.6299999999</v>
      </c>
      <c r="I1205" s="1129">
        <f t="shared" si="527"/>
        <v>0</v>
      </c>
      <c r="J1205" s="1129">
        <f t="shared" si="527"/>
        <v>0</v>
      </c>
      <c r="K1205" s="1136">
        <f t="shared" si="527"/>
        <v>0</v>
      </c>
      <c r="L1205" s="1129">
        <f t="shared" si="527"/>
        <v>0</v>
      </c>
      <c r="M1205" s="1136">
        <f t="shared" si="527"/>
        <v>0</v>
      </c>
      <c r="N1205" s="1129">
        <f t="shared" si="527"/>
        <v>0</v>
      </c>
      <c r="O1205" s="1129">
        <f t="shared" si="527"/>
        <v>16168.980000000001</v>
      </c>
      <c r="P1205" s="1129">
        <f t="shared" si="527"/>
        <v>58017771.43</v>
      </c>
      <c r="Q1205" s="1129">
        <f t="shared" si="527"/>
        <v>129.4</v>
      </c>
      <c r="R1205" s="1129">
        <f t="shared" si="527"/>
        <v>207769.92</v>
      </c>
      <c r="S1205" s="1129">
        <f t="shared" si="527"/>
        <v>2300.4</v>
      </c>
      <c r="T1205" s="1129">
        <f t="shared" si="527"/>
        <v>6745783.5999999996</v>
      </c>
      <c r="U1205" s="1129">
        <f t="shared" si="527"/>
        <v>0</v>
      </c>
      <c r="V1205" s="1129">
        <f t="shared" si="527"/>
        <v>0</v>
      </c>
      <c r="W1205" s="1129">
        <f t="shared" si="527"/>
        <v>0</v>
      </c>
      <c r="X1205" s="1129">
        <f t="shared" si="527"/>
        <v>5295634</v>
      </c>
      <c r="Y1205" s="1129">
        <f t="shared" si="527"/>
        <v>0</v>
      </c>
    </row>
    <row r="1206" spans="1:25" s="1137" customFormat="1" ht="109.15" customHeight="1">
      <c r="A1206" s="1280">
        <v>180</v>
      </c>
      <c r="B1206" s="1128" t="s">
        <v>2568</v>
      </c>
      <c r="C1206" s="1129">
        <f t="shared" ref="C1206" si="528">D1206+N1206+P1206+R1206+T1206+V1206+X1206</f>
        <v>224043.26</v>
      </c>
      <c r="D1206" s="1129">
        <f t="shared" ref="D1206" si="529">SUM(E1206:J1206)</f>
        <v>0</v>
      </c>
      <c r="E1206" s="1129">
        <v>0</v>
      </c>
      <c r="F1206" s="1129">
        <v>0</v>
      </c>
      <c r="G1206" s="1129">
        <v>0</v>
      </c>
      <c r="H1206" s="1129">
        <v>0</v>
      </c>
      <c r="I1206" s="1129">
        <v>0</v>
      </c>
      <c r="J1206" s="1129">
        <v>0</v>
      </c>
      <c r="K1206" s="1136">
        <v>0</v>
      </c>
      <c r="L1206" s="1129">
        <v>0</v>
      </c>
      <c r="M1206" s="1136">
        <v>0</v>
      </c>
      <c r="N1206" s="1129">
        <v>0</v>
      </c>
      <c r="O1206" s="1129">
        <v>0</v>
      </c>
      <c r="P1206" s="1129">
        <v>0</v>
      </c>
      <c r="Q1206" s="1129">
        <v>129.4</v>
      </c>
      <c r="R1206" s="1129">
        <v>207769.92</v>
      </c>
      <c r="S1206" s="1129">
        <v>0</v>
      </c>
      <c r="T1206" s="1129">
        <v>0</v>
      </c>
      <c r="U1206" s="1129">
        <v>0</v>
      </c>
      <c r="V1206" s="1129">
        <v>0</v>
      </c>
      <c r="W1206" s="1129">
        <v>0</v>
      </c>
      <c r="X1206" s="1129">
        <v>16273.34</v>
      </c>
      <c r="Y1206" s="1129">
        <v>0</v>
      </c>
    </row>
    <row r="1207" spans="1:25" s="1137" customFormat="1" ht="135" customHeight="1">
      <c r="A1207" s="1280">
        <v>181</v>
      </c>
      <c r="B1207" s="1128" t="s">
        <v>2569</v>
      </c>
      <c r="C1207" s="1129">
        <f t="shared" ref="C1207:C1225" si="530">D1207+N1207+P1207+R1207+T1207+V1207+X1207</f>
        <v>1749322.01</v>
      </c>
      <c r="D1207" s="1129">
        <f t="shared" ref="D1207:D1225" si="531">SUM(E1207:J1207)</f>
        <v>0</v>
      </c>
      <c r="E1207" s="1129">
        <v>0</v>
      </c>
      <c r="F1207" s="1129">
        <v>0</v>
      </c>
      <c r="G1207" s="1129">
        <v>0</v>
      </c>
      <c r="H1207" s="1129">
        <v>0</v>
      </c>
      <c r="I1207" s="1129">
        <v>0</v>
      </c>
      <c r="J1207" s="1129">
        <v>0</v>
      </c>
      <c r="K1207" s="1136">
        <v>0</v>
      </c>
      <c r="L1207" s="1129">
        <v>0</v>
      </c>
      <c r="M1207" s="1136">
        <v>0</v>
      </c>
      <c r="N1207" s="1129">
        <v>0</v>
      </c>
      <c r="O1207" s="1129">
        <v>410.3</v>
      </c>
      <c r="P1207" s="1129">
        <v>1622260.31</v>
      </c>
      <c r="Q1207" s="1129">
        <v>0</v>
      </c>
      <c r="R1207" s="1129">
        <v>0</v>
      </c>
      <c r="S1207" s="1129">
        <v>0</v>
      </c>
      <c r="T1207" s="1129">
        <v>0</v>
      </c>
      <c r="U1207" s="1129">
        <v>0</v>
      </c>
      <c r="V1207" s="1129">
        <v>0</v>
      </c>
      <c r="W1207" s="1129">
        <v>0</v>
      </c>
      <c r="X1207" s="1129">
        <v>127061.7</v>
      </c>
      <c r="Y1207" s="1129">
        <v>0</v>
      </c>
    </row>
    <row r="1208" spans="1:25" s="1137" customFormat="1" ht="114" customHeight="1">
      <c r="A1208" s="1280">
        <v>182</v>
      </c>
      <c r="B1208" s="1128" t="s">
        <v>2325</v>
      </c>
      <c r="C1208" s="1129">
        <f t="shared" si="530"/>
        <v>5408489.0199999996</v>
      </c>
      <c r="D1208" s="1129">
        <f t="shared" si="531"/>
        <v>0</v>
      </c>
      <c r="E1208" s="1129">
        <v>0</v>
      </c>
      <c r="F1208" s="1129">
        <v>0</v>
      </c>
      <c r="G1208" s="1129">
        <v>0</v>
      </c>
      <c r="H1208" s="1129">
        <v>0</v>
      </c>
      <c r="I1208" s="1129">
        <v>0</v>
      </c>
      <c r="J1208" s="1129">
        <v>0</v>
      </c>
      <c r="K1208" s="1136">
        <v>0</v>
      </c>
      <c r="L1208" s="1129">
        <v>0</v>
      </c>
      <c r="M1208" s="1136">
        <v>0</v>
      </c>
      <c r="N1208" s="1129">
        <v>0</v>
      </c>
      <c r="O1208" s="1129">
        <v>0</v>
      </c>
      <c r="P1208" s="1129">
        <v>0</v>
      </c>
      <c r="Q1208" s="1129">
        <v>0</v>
      </c>
      <c r="R1208" s="1129">
        <v>0</v>
      </c>
      <c r="S1208" s="1129">
        <v>1710.4</v>
      </c>
      <c r="T1208" s="1129">
        <v>5015644.3499999996</v>
      </c>
      <c r="U1208" s="1129">
        <v>0</v>
      </c>
      <c r="V1208" s="1129">
        <v>0</v>
      </c>
      <c r="W1208" s="1129">
        <v>0</v>
      </c>
      <c r="X1208" s="1129">
        <v>392844.67</v>
      </c>
      <c r="Y1208" s="1129">
        <v>0</v>
      </c>
    </row>
    <row r="1209" spans="1:25" s="1137" customFormat="1" ht="135" customHeight="1">
      <c r="A1209" s="1280">
        <v>183</v>
      </c>
      <c r="B1209" s="1128" t="s">
        <v>2570</v>
      </c>
      <c r="C1209" s="1129">
        <f t="shared" si="530"/>
        <v>1160547.8199999998</v>
      </c>
      <c r="D1209" s="1129">
        <f t="shared" si="531"/>
        <v>1076251.6299999999</v>
      </c>
      <c r="E1209" s="1129">
        <v>0</v>
      </c>
      <c r="F1209" s="1129">
        <v>0</v>
      </c>
      <c r="G1209" s="1129">
        <v>0</v>
      </c>
      <c r="H1209" s="1129">
        <v>1076251.6299999999</v>
      </c>
      <c r="I1209" s="1129">
        <v>0</v>
      </c>
      <c r="J1209" s="1129">
        <v>0</v>
      </c>
      <c r="K1209" s="1136">
        <v>0</v>
      </c>
      <c r="L1209" s="1129">
        <v>0</v>
      </c>
      <c r="M1209" s="1136">
        <v>0</v>
      </c>
      <c r="N1209" s="1129">
        <v>0</v>
      </c>
      <c r="O1209" s="1129">
        <v>0</v>
      </c>
      <c r="P1209" s="1129">
        <v>0</v>
      </c>
      <c r="Q1209" s="1129">
        <v>0</v>
      </c>
      <c r="R1209" s="1129">
        <v>0</v>
      </c>
      <c r="S1209" s="1129">
        <v>0</v>
      </c>
      <c r="T1209" s="1129">
        <v>0</v>
      </c>
      <c r="U1209" s="1129">
        <v>0</v>
      </c>
      <c r="V1209" s="1129">
        <v>0</v>
      </c>
      <c r="W1209" s="1129">
        <v>0</v>
      </c>
      <c r="X1209" s="1129">
        <v>84296.19</v>
      </c>
      <c r="Y1209" s="1129">
        <v>0</v>
      </c>
    </row>
    <row r="1210" spans="1:25" s="1137" customFormat="1" ht="94.9" customHeight="1">
      <c r="A1210" s="1280">
        <v>184</v>
      </c>
      <c r="B1210" s="1128" t="s">
        <v>2571</v>
      </c>
      <c r="C1210" s="1129">
        <f t="shared" ref="C1210:C1212" si="532">D1210+N1210+P1210+R1210+T1210+V1210+X1210</f>
        <v>389230</v>
      </c>
      <c r="D1210" s="1129">
        <f t="shared" ref="D1210:D1212" si="533">SUM(E1210:J1210)</f>
        <v>0</v>
      </c>
      <c r="E1210" s="1129">
        <v>0</v>
      </c>
      <c r="F1210" s="1129">
        <v>0</v>
      </c>
      <c r="G1210" s="1129">
        <v>0</v>
      </c>
      <c r="H1210" s="1129">
        <v>0</v>
      </c>
      <c r="I1210" s="1129">
        <v>0</v>
      </c>
      <c r="J1210" s="1129">
        <v>0</v>
      </c>
      <c r="K1210" s="1136">
        <v>0</v>
      </c>
      <c r="L1210" s="1129">
        <v>0</v>
      </c>
      <c r="M1210" s="1136">
        <v>0</v>
      </c>
      <c r="N1210" s="1129">
        <v>0</v>
      </c>
      <c r="O1210" s="1129">
        <v>115</v>
      </c>
      <c r="P1210" s="1129">
        <v>360958</v>
      </c>
      <c r="Q1210" s="1129">
        <v>0</v>
      </c>
      <c r="R1210" s="1129">
        <v>0</v>
      </c>
      <c r="S1210" s="1129">
        <v>0</v>
      </c>
      <c r="T1210" s="1129">
        <v>0</v>
      </c>
      <c r="U1210" s="1129">
        <v>0</v>
      </c>
      <c r="V1210" s="1129">
        <v>0</v>
      </c>
      <c r="W1210" s="1129">
        <v>0</v>
      </c>
      <c r="X1210" s="1129">
        <v>28272</v>
      </c>
      <c r="Y1210" s="1129">
        <v>0</v>
      </c>
    </row>
    <row r="1211" spans="1:25" s="1137" customFormat="1" ht="92.45" customHeight="1">
      <c r="A1211" s="1280">
        <v>185</v>
      </c>
      <c r="B1211" s="1128" t="s">
        <v>2283</v>
      </c>
      <c r="C1211" s="1129">
        <f t="shared" si="532"/>
        <v>1865650.45</v>
      </c>
      <c r="D1211" s="1129">
        <f t="shared" si="533"/>
        <v>0</v>
      </c>
      <c r="E1211" s="1129">
        <v>0</v>
      </c>
      <c r="F1211" s="1129">
        <v>0</v>
      </c>
      <c r="G1211" s="1129">
        <v>0</v>
      </c>
      <c r="H1211" s="1129">
        <v>0</v>
      </c>
      <c r="I1211" s="1129">
        <v>0</v>
      </c>
      <c r="J1211" s="1129">
        <v>0</v>
      </c>
      <c r="K1211" s="1136">
        <v>0</v>
      </c>
      <c r="L1211" s="1129">
        <v>0</v>
      </c>
      <c r="M1211" s="1136">
        <v>0</v>
      </c>
      <c r="N1211" s="1129">
        <v>0</v>
      </c>
      <c r="O1211" s="1129">
        <v>0</v>
      </c>
      <c r="P1211" s="1129">
        <v>0</v>
      </c>
      <c r="Q1211" s="1129">
        <v>0</v>
      </c>
      <c r="R1211" s="1129">
        <v>0</v>
      </c>
      <c r="S1211" s="1129">
        <v>590</v>
      </c>
      <c r="T1211" s="1129">
        <v>1730139.25</v>
      </c>
      <c r="U1211" s="1129">
        <v>0</v>
      </c>
      <c r="V1211" s="1129">
        <v>0</v>
      </c>
      <c r="W1211" s="1129">
        <v>0</v>
      </c>
      <c r="X1211" s="1129">
        <v>135511.20000000001</v>
      </c>
      <c r="Y1211" s="1129">
        <v>0</v>
      </c>
    </row>
    <row r="1212" spans="1:25" s="1137" customFormat="1" ht="109.15" customHeight="1">
      <c r="A1212" s="1280">
        <v>186</v>
      </c>
      <c r="B1212" s="1128" t="s">
        <v>1907</v>
      </c>
      <c r="C1212" s="1129">
        <f t="shared" si="532"/>
        <v>1738322.13</v>
      </c>
      <c r="D1212" s="1129">
        <f t="shared" si="533"/>
        <v>0</v>
      </c>
      <c r="E1212" s="1129">
        <v>0</v>
      </c>
      <c r="F1212" s="1129">
        <v>0</v>
      </c>
      <c r="G1212" s="1129">
        <v>0</v>
      </c>
      <c r="H1212" s="1129">
        <v>0</v>
      </c>
      <c r="I1212" s="1129">
        <v>0</v>
      </c>
      <c r="J1212" s="1129">
        <v>0</v>
      </c>
      <c r="K1212" s="1136">
        <v>0</v>
      </c>
      <c r="L1212" s="1129">
        <v>0</v>
      </c>
      <c r="M1212" s="1136">
        <v>0</v>
      </c>
      <c r="N1212" s="1129">
        <v>0</v>
      </c>
      <c r="O1212" s="1129">
        <v>407.72</v>
      </c>
      <c r="P1212" s="1129">
        <v>1612059.4</v>
      </c>
      <c r="Q1212" s="1129">
        <v>0</v>
      </c>
      <c r="R1212" s="1129">
        <v>0</v>
      </c>
      <c r="S1212" s="1129">
        <v>0</v>
      </c>
      <c r="T1212" s="1129">
        <v>0</v>
      </c>
      <c r="U1212" s="1129">
        <v>0</v>
      </c>
      <c r="V1212" s="1129">
        <v>0</v>
      </c>
      <c r="W1212" s="1129">
        <v>0</v>
      </c>
      <c r="X1212" s="1129">
        <v>126262.73</v>
      </c>
      <c r="Y1212" s="1129">
        <v>0</v>
      </c>
    </row>
    <row r="1213" spans="1:25" s="1137" customFormat="1" ht="116.45" customHeight="1">
      <c r="A1213" s="1280">
        <v>187</v>
      </c>
      <c r="B1213" s="1128" t="s">
        <v>2572</v>
      </c>
      <c r="C1213" s="1129">
        <f t="shared" si="530"/>
        <v>58288</v>
      </c>
      <c r="D1213" s="1129">
        <f t="shared" si="531"/>
        <v>0</v>
      </c>
      <c r="E1213" s="1129">
        <v>0</v>
      </c>
      <c r="F1213" s="1129">
        <v>0</v>
      </c>
      <c r="G1213" s="1129">
        <v>0</v>
      </c>
      <c r="H1213" s="1129">
        <v>0</v>
      </c>
      <c r="I1213" s="1129">
        <v>0</v>
      </c>
      <c r="J1213" s="1129">
        <v>0</v>
      </c>
      <c r="K1213" s="1136">
        <v>0</v>
      </c>
      <c r="L1213" s="1129">
        <v>0</v>
      </c>
      <c r="M1213" s="1136">
        <v>0</v>
      </c>
      <c r="N1213" s="1129">
        <v>0</v>
      </c>
      <c r="O1213" s="1129">
        <v>0</v>
      </c>
      <c r="P1213" s="1129">
        <v>0</v>
      </c>
      <c r="Q1213" s="1129">
        <v>0</v>
      </c>
      <c r="R1213" s="1129">
        <v>0</v>
      </c>
      <c r="S1213" s="1129">
        <v>0</v>
      </c>
      <c r="T1213" s="1129">
        <v>0</v>
      </c>
      <c r="U1213" s="1129">
        <v>0</v>
      </c>
      <c r="V1213" s="1129">
        <v>0</v>
      </c>
      <c r="W1213" s="1129">
        <v>0</v>
      </c>
      <c r="X1213" s="1129">
        <v>58288</v>
      </c>
      <c r="Y1213" s="1129">
        <v>0</v>
      </c>
    </row>
    <row r="1214" spans="1:25" s="1137" customFormat="1" ht="139.9" customHeight="1">
      <c r="A1214" s="1280">
        <v>188</v>
      </c>
      <c r="B1214" s="1128" t="s">
        <v>2573</v>
      </c>
      <c r="C1214" s="1129">
        <f t="shared" si="530"/>
        <v>64243</v>
      </c>
      <c r="D1214" s="1129">
        <f t="shared" si="531"/>
        <v>0</v>
      </c>
      <c r="E1214" s="1129">
        <v>0</v>
      </c>
      <c r="F1214" s="1129">
        <v>0</v>
      </c>
      <c r="G1214" s="1129">
        <v>0</v>
      </c>
      <c r="H1214" s="1129">
        <v>0</v>
      </c>
      <c r="I1214" s="1129">
        <v>0</v>
      </c>
      <c r="J1214" s="1129">
        <v>0</v>
      </c>
      <c r="K1214" s="1136">
        <v>0</v>
      </c>
      <c r="L1214" s="1129">
        <v>0</v>
      </c>
      <c r="M1214" s="1136">
        <v>0</v>
      </c>
      <c r="N1214" s="1129">
        <v>0</v>
      </c>
      <c r="O1214" s="1129">
        <v>0</v>
      </c>
      <c r="P1214" s="1129">
        <v>0</v>
      </c>
      <c r="Q1214" s="1129">
        <v>0</v>
      </c>
      <c r="R1214" s="1129">
        <v>0</v>
      </c>
      <c r="S1214" s="1129">
        <v>0</v>
      </c>
      <c r="T1214" s="1129">
        <v>0</v>
      </c>
      <c r="U1214" s="1129">
        <v>0</v>
      </c>
      <c r="V1214" s="1129">
        <v>0</v>
      </c>
      <c r="W1214" s="1129">
        <v>0</v>
      </c>
      <c r="X1214" s="1129">
        <v>64243</v>
      </c>
      <c r="Y1214" s="1129">
        <v>0</v>
      </c>
    </row>
    <row r="1215" spans="1:25" s="1137" customFormat="1" ht="111.6" customHeight="1">
      <c r="A1215" s="1280">
        <v>189</v>
      </c>
      <c r="B1215" s="1128" t="s">
        <v>2574</v>
      </c>
      <c r="C1215" s="1129">
        <f t="shared" si="530"/>
        <v>1685224.61</v>
      </c>
      <c r="D1215" s="1129">
        <f t="shared" si="531"/>
        <v>0</v>
      </c>
      <c r="E1215" s="1129">
        <v>0</v>
      </c>
      <c r="F1215" s="1129">
        <v>0</v>
      </c>
      <c r="G1215" s="1129">
        <v>0</v>
      </c>
      <c r="H1215" s="1129">
        <v>0</v>
      </c>
      <c r="I1215" s="1129">
        <v>0</v>
      </c>
      <c r="J1215" s="1129">
        <v>0</v>
      </c>
      <c r="K1215" s="1136">
        <v>0</v>
      </c>
      <c r="L1215" s="1129">
        <v>0</v>
      </c>
      <c r="M1215" s="1136">
        <v>0</v>
      </c>
      <c r="N1215" s="1129">
        <v>0</v>
      </c>
      <c r="O1215" s="1129">
        <v>345</v>
      </c>
      <c r="P1215" s="1129">
        <v>1562818.61</v>
      </c>
      <c r="Q1215" s="1129">
        <v>0</v>
      </c>
      <c r="R1215" s="1129">
        <v>0</v>
      </c>
      <c r="S1215" s="1129">
        <v>0</v>
      </c>
      <c r="T1215" s="1129">
        <v>0</v>
      </c>
      <c r="U1215" s="1129">
        <v>0</v>
      </c>
      <c r="V1215" s="1129">
        <v>0</v>
      </c>
      <c r="W1215" s="1129">
        <v>0</v>
      </c>
      <c r="X1215" s="1129">
        <v>122406</v>
      </c>
      <c r="Y1215" s="1129">
        <v>0</v>
      </c>
    </row>
    <row r="1216" spans="1:25" s="1137" customFormat="1" ht="97.15" customHeight="1">
      <c r="A1216" s="1280">
        <v>190</v>
      </c>
      <c r="B1216" s="1128" t="s">
        <v>2575</v>
      </c>
      <c r="C1216" s="1129">
        <f t="shared" si="530"/>
        <v>4406007.5199999996</v>
      </c>
      <c r="D1216" s="1129">
        <f t="shared" si="531"/>
        <v>0</v>
      </c>
      <c r="E1216" s="1129">
        <v>0</v>
      </c>
      <c r="F1216" s="1129">
        <v>0</v>
      </c>
      <c r="G1216" s="1129">
        <v>0</v>
      </c>
      <c r="H1216" s="1129">
        <v>0</v>
      </c>
      <c r="I1216" s="1129">
        <v>0</v>
      </c>
      <c r="J1216" s="1129">
        <v>0</v>
      </c>
      <c r="K1216" s="1136">
        <v>0</v>
      </c>
      <c r="L1216" s="1129">
        <v>0</v>
      </c>
      <c r="M1216" s="1136">
        <v>0</v>
      </c>
      <c r="N1216" s="1129">
        <v>0</v>
      </c>
      <c r="O1216" s="1129">
        <v>902</v>
      </c>
      <c r="P1216" s="1129">
        <v>4085977.92</v>
      </c>
      <c r="Q1216" s="1129">
        <v>0</v>
      </c>
      <c r="R1216" s="1129">
        <v>0</v>
      </c>
      <c r="S1216" s="1129">
        <v>0</v>
      </c>
      <c r="T1216" s="1129">
        <v>0</v>
      </c>
      <c r="U1216" s="1129">
        <v>0</v>
      </c>
      <c r="V1216" s="1129">
        <v>0</v>
      </c>
      <c r="W1216" s="1129">
        <v>0</v>
      </c>
      <c r="X1216" s="1129">
        <v>320029.59999999998</v>
      </c>
      <c r="Y1216" s="1129">
        <v>0</v>
      </c>
    </row>
    <row r="1217" spans="1:25" s="1137" customFormat="1" ht="104.45" customHeight="1">
      <c r="A1217" s="1280">
        <v>191</v>
      </c>
      <c r="B1217" s="1128" t="s">
        <v>2576</v>
      </c>
      <c r="C1217" s="1129">
        <f t="shared" si="530"/>
        <v>2506832.6599999997</v>
      </c>
      <c r="D1217" s="1129">
        <f t="shared" si="531"/>
        <v>0</v>
      </c>
      <c r="E1217" s="1129">
        <v>0</v>
      </c>
      <c r="F1217" s="1129">
        <v>0</v>
      </c>
      <c r="G1217" s="1129">
        <v>0</v>
      </c>
      <c r="H1217" s="1129">
        <v>0</v>
      </c>
      <c r="I1217" s="1129">
        <v>0</v>
      </c>
      <c r="J1217" s="1129">
        <v>0</v>
      </c>
      <c r="K1217" s="1136">
        <v>0</v>
      </c>
      <c r="L1217" s="1129">
        <v>0</v>
      </c>
      <c r="M1217" s="1136">
        <v>0</v>
      </c>
      <c r="N1217" s="1129">
        <v>0</v>
      </c>
      <c r="O1217" s="1129">
        <v>513.20000000000005</v>
      </c>
      <c r="P1217" s="1129">
        <v>2324749.2999999998</v>
      </c>
      <c r="Q1217" s="1129">
        <v>0</v>
      </c>
      <c r="R1217" s="1129">
        <v>0</v>
      </c>
      <c r="S1217" s="1129">
        <v>0</v>
      </c>
      <c r="T1217" s="1129">
        <v>0</v>
      </c>
      <c r="U1217" s="1129">
        <v>0</v>
      </c>
      <c r="V1217" s="1129">
        <v>0</v>
      </c>
      <c r="W1217" s="1129">
        <v>0</v>
      </c>
      <c r="X1217" s="1129">
        <v>182083.36</v>
      </c>
      <c r="Y1217" s="1129">
        <v>0</v>
      </c>
    </row>
    <row r="1218" spans="1:25" s="1137" customFormat="1" ht="99.6" customHeight="1">
      <c r="A1218" s="1280">
        <v>192</v>
      </c>
      <c r="B1218" s="1128" t="s">
        <v>2194</v>
      </c>
      <c r="C1218" s="1129">
        <f t="shared" si="530"/>
        <v>1097838.3500000001</v>
      </c>
      <c r="D1218" s="1129">
        <f t="shared" si="531"/>
        <v>0</v>
      </c>
      <c r="E1218" s="1129">
        <v>0</v>
      </c>
      <c r="F1218" s="1129">
        <v>0</v>
      </c>
      <c r="G1218" s="1129">
        <v>0</v>
      </c>
      <c r="H1218" s="1129">
        <v>0</v>
      </c>
      <c r="I1218" s="1129">
        <v>0</v>
      </c>
      <c r="J1218" s="1129">
        <v>0</v>
      </c>
      <c r="K1218" s="1136">
        <v>0</v>
      </c>
      <c r="L1218" s="1129">
        <v>0</v>
      </c>
      <c r="M1218" s="1136">
        <v>0</v>
      </c>
      <c r="N1218" s="1129">
        <v>0</v>
      </c>
      <c r="O1218" s="1129">
        <v>224.75</v>
      </c>
      <c r="P1218" s="1129">
        <v>1018097.05</v>
      </c>
      <c r="Q1218" s="1129">
        <v>0</v>
      </c>
      <c r="R1218" s="1129">
        <v>0</v>
      </c>
      <c r="S1218" s="1129">
        <v>0</v>
      </c>
      <c r="T1218" s="1129">
        <v>0</v>
      </c>
      <c r="U1218" s="1129">
        <v>0</v>
      </c>
      <c r="V1218" s="1129">
        <v>0</v>
      </c>
      <c r="W1218" s="1129">
        <v>0</v>
      </c>
      <c r="X1218" s="1129">
        <v>79741.3</v>
      </c>
      <c r="Y1218" s="1129">
        <v>0</v>
      </c>
    </row>
    <row r="1219" spans="1:25" s="1137" customFormat="1" ht="104.45" customHeight="1">
      <c r="A1219" s="1280">
        <v>193</v>
      </c>
      <c r="B1219" s="1128" t="s">
        <v>2577</v>
      </c>
      <c r="C1219" s="1129">
        <f t="shared" si="530"/>
        <v>1963653.02</v>
      </c>
      <c r="D1219" s="1129">
        <f t="shared" si="531"/>
        <v>0</v>
      </c>
      <c r="E1219" s="1129">
        <v>0</v>
      </c>
      <c r="F1219" s="1129">
        <v>0</v>
      </c>
      <c r="G1219" s="1129">
        <v>0</v>
      </c>
      <c r="H1219" s="1129">
        <v>0</v>
      </c>
      <c r="I1219" s="1129">
        <v>0</v>
      </c>
      <c r="J1219" s="1129">
        <v>0</v>
      </c>
      <c r="K1219" s="1136">
        <v>0</v>
      </c>
      <c r="L1219" s="1129">
        <v>0</v>
      </c>
      <c r="M1219" s="1136">
        <v>0</v>
      </c>
      <c r="N1219" s="1129">
        <v>0</v>
      </c>
      <c r="O1219" s="1129">
        <v>402</v>
      </c>
      <c r="P1219" s="1129">
        <v>1821023.42</v>
      </c>
      <c r="Q1219" s="1129">
        <v>0</v>
      </c>
      <c r="R1219" s="1129">
        <v>0</v>
      </c>
      <c r="S1219" s="1129">
        <v>0</v>
      </c>
      <c r="T1219" s="1129">
        <v>0</v>
      </c>
      <c r="U1219" s="1129">
        <v>0</v>
      </c>
      <c r="V1219" s="1129">
        <v>0</v>
      </c>
      <c r="W1219" s="1129">
        <v>0</v>
      </c>
      <c r="X1219" s="1129">
        <v>142629.6</v>
      </c>
      <c r="Y1219" s="1129">
        <v>0</v>
      </c>
    </row>
    <row r="1220" spans="1:25" s="1137" customFormat="1" ht="87.6" customHeight="1">
      <c r="A1220" s="1280">
        <v>194</v>
      </c>
      <c r="B1220" s="1128" t="s">
        <v>2195</v>
      </c>
      <c r="C1220" s="1129">
        <f t="shared" si="530"/>
        <v>2012146.0099999998</v>
      </c>
      <c r="D1220" s="1129">
        <f t="shared" si="531"/>
        <v>0</v>
      </c>
      <c r="E1220" s="1129">
        <v>0</v>
      </c>
      <c r="F1220" s="1129">
        <v>0</v>
      </c>
      <c r="G1220" s="1129">
        <v>0</v>
      </c>
      <c r="H1220" s="1129">
        <v>0</v>
      </c>
      <c r="I1220" s="1129">
        <v>0</v>
      </c>
      <c r="J1220" s="1129">
        <v>0</v>
      </c>
      <c r="K1220" s="1136">
        <v>0</v>
      </c>
      <c r="L1220" s="1129">
        <v>0</v>
      </c>
      <c r="M1220" s="1136">
        <v>0</v>
      </c>
      <c r="N1220" s="1129">
        <v>0</v>
      </c>
      <c r="O1220" s="1129">
        <v>594</v>
      </c>
      <c r="P1220" s="1129">
        <v>1865994.13</v>
      </c>
      <c r="Q1220" s="1129">
        <v>0</v>
      </c>
      <c r="R1220" s="1129">
        <v>0</v>
      </c>
      <c r="S1220" s="1129">
        <v>0</v>
      </c>
      <c r="T1220" s="1129">
        <v>0</v>
      </c>
      <c r="U1220" s="1129">
        <v>0</v>
      </c>
      <c r="V1220" s="1129">
        <v>0</v>
      </c>
      <c r="W1220" s="1129">
        <v>0</v>
      </c>
      <c r="X1220" s="1129">
        <v>146151.88</v>
      </c>
      <c r="Y1220" s="1129">
        <v>0</v>
      </c>
    </row>
    <row r="1221" spans="1:25" s="1137" customFormat="1" ht="97.15" customHeight="1">
      <c r="A1221" s="1280">
        <v>195</v>
      </c>
      <c r="B1221" s="1128" t="s">
        <v>2578</v>
      </c>
      <c r="C1221" s="1129">
        <f t="shared" si="530"/>
        <v>1673843.24</v>
      </c>
      <c r="D1221" s="1129">
        <f t="shared" si="531"/>
        <v>0</v>
      </c>
      <c r="E1221" s="1129">
        <v>0</v>
      </c>
      <c r="F1221" s="1129">
        <v>0</v>
      </c>
      <c r="G1221" s="1129">
        <v>0</v>
      </c>
      <c r="H1221" s="1129">
        <v>0</v>
      </c>
      <c r="I1221" s="1129">
        <v>0</v>
      </c>
      <c r="J1221" s="1129">
        <v>0</v>
      </c>
      <c r="K1221" s="1136">
        <v>0</v>
      </c>
      <c r="L1221" s="1129">
        <v>0</v>
      </c>
      <c r="M1221" s="1136">
        <v>0</v>
      </c>
      <c r="N1221" s="1129">
        <v>0</v>
      </c>
      <c r="O1221" s="1129">
        <v>342.67</v>
      </c>
      <c r="P1221" s="1129">
        <v>1552263.92</v>
      </c>
      <c r="Q1221" s="1129">
        <v>0</v>
      </c>
      <c r="R1221" s="1129">
        <v>0</v>
      </c>
      <c r="S1221" s="1129">
        <v>0</v>
      </c>
      <c r="T1221" s="1129">
        <v>0</v>
      </c>
      <c r="U1221" s="1129">
        <v>0</v>
      </c>
      <c r="V1221" s="1129">
        <v>0</v>
      </c>
      <c r="W1221" s="1129">
        <v>0</v>
      </c>
      <c r="X1221" s="1129">
        <v>121579.32</v>
      </c>
      <c r="Y1221" s="1129">
        <v>0</v>
      </c>
    </row>
    <row r="1222" spans="1:25" s="1137" customFormat="1" ht="137.44999999999999" customHeight="1">
      <c r="A1222" s="1280">
        <v>196</v>
      </c>
      <c r="B1222" s="1128" t="s">
        <v>2579</v>
      </c>
      <c r="C1222" s="1129">
        <f t="shared" si="530"/>
        <v>2813592.38</v>
      </c>
      <c r="D1222" s="1129">
        <f t="shared" si="531"/>
        <v>0</v>
      </c>
      <c r="E1222" s="1129">
        <v>0</v>
      </c>
      <c r="F1222" s="1129">
        <v>0</v>
      </c>
      <c r="G1222" s="1129">
        <v>0</v>
      </c>
      <c r="H1222" s="1129">
        <v>0</v>
      </c>
      <c r="I1222" s="1129">
        <v>0</v>
      </c>
      <c r="J1222" s="1129">
        <v>0</v>
      </c>
      <c r="K1222" s="1136">
        <v>0</v>
      </c>
      <c r="L1222" s="1129">
        <v>0</v>
      </c>
      <c r="M1222" s="1136">
        <v>0</v>
      </c>
      <c r="N1222" s="1129">
        <v>0</v>
      </c>
      <c r="O1222" s="1129">
        <v>576</v>
      </c>
      <c r="P1222" s="1129">
        <v>2609227.58</v>
      </c>
      <c r="Q1222" s="1129">
        <v>0</v>
      </c>
      <c r="R1222" s="1129">
        <v>0</v>
      </c>
      <c r="S1222" s="1129">
        <v>0</v>
      </c>
      <c r="T1222" s="1129">
        <v>0</v>
      </c>
      <c r="U1222" s="1129">
        <v>0</v>
      </c>
      <c r="V1222" s="1129">
        <v>0</v>
      </c>
      <c r="W1222" s="1129">
        <v>0</v>
      </c>
      <c r="X1222" s="1129">
        <v>204364.79999999999</v>
      </c>
      <c r="Y1222" s="1129">
        <v>0</v>
      </c>
    </row>
    <row r="1223" spans="1:25" s="1137" customFormat="1" ht="97.15" customHeight="1">
      <c r="A1223" s="1280">
        <v>197</v>
      </c>
      <c r="B1223" s="1128" t="s">
        <v>2196</v>
      </c>
      <c r="C1223" s="1129">
        <f t="shared" si="530"/>
        <v>4234137.3499999996</v>
      </c>
      <c r="D1223" s="1129">
        <f t="shared" si="531"/>
        <v>0</v>
      </c>
      <c r="E1223" s="1129">
        <v>0</v>
      </c>
      <c r="F1223" s="1129">
        <v>0</v>
      </c>
      <c r="G1223" s="1129">
        <v>0</v>
      </c>
      <c r="H1223" s="1129">
        <v>0</v>
      </c>
      <c r="I1223" s="1129">
        <v>0</v>
      </c>
      <c r="J1223" s="1129">
        <v>0</v>
      </c>
      <c r="K1223" s="1136">
        <v>0</v>
      </c>
      <c r="L1223" s="1129">
        <v>0</v>
      </c>
      <c r="M1223" s="1136">
        <v>0</v>
      </c>
      <c r="N1223" s="1129">
        <v>0</v>
      </c>
      <c r="O1223" s="1129">
        <v>1251</v>
      </c>
      <c r="P1223" s="1129">
        <v>3926591.51</v>
      </c>
      <c r="Q1223" s="1129">
        <v>0</v>
      </c>
      <c r="R1223" s="1129">
        <v>0</v>
      </c>
      <c r="S1223" s="1129">
        <v>0</v>
      </c>
      <c r="T1223" s="1129">
        <v>0</v>
      </c>
      <c r="U1223" s="1129">
        <v>0</v>
      </c>
      <c r="V1223" s="1129">
        <v>0</v>
      </c>
      <c r="W1223" s="1129">
        <v>0</v>
      </c>
      <c r="X1223" s="1129">
        <v>307545.84000000003</v>
      </c>
      <c r="Y1223" s="1129">
        <v>0</v>
      </c>
    </row>
    <row r="1224" spans="1:25" s="1137" customFormat="1" ht="135" customHeight="1">
      <c r="A1224" s="1280">
        <v>198</v>
      </c>
      <c r="B1224" s="1128" t="s">
        <v>2197</v>
      </c>
      <c r="C1224" s="1129">
        <f t="shared" si="530"/>
        <v>2301529.5</v>
      </c>
      <c r="D1224" s="1129">
        <f t="shared" si="531"/>
        <v>0</v>
      </c>
      <c r="E1224" s="1129">
        <v>0</v>
      </c>
      <c r="F1224" s="1129">
        <v>0</v>
      </c>
      <c r="G1224" s="1129">
        <v>0</v>
      </c>
      <c r="H1224" s="1129">
        <v>0</v>
      </c>
      <c r="I1224" s="1129">
        <v>0</v>
      </c>
      <c r="J1224" s="1129">
        <v>0</v>
      </c>
      <c r="K1224" s="1136">
        <v>0</v>
      </c>
      <c r="L1224" s="1129">
        <v>0</v>
      </c>
      <c r="M1224" s="1136">
        <v>0</v>
      </c>
      <c r="N1224" s="1129">
        <v>0</v>
      </c>
      <c r="O1224" s="1129">
        <v>680</v>
      </c>
      <c r="P1224" s="1129">
        <v>2134358.2999999998</v>
      </c>
      <c r="Q1224" s="1129">
        <v>0</v>
      </c>
      <c r="R1224" s="1129">
        <v>0</v>
      </c>
      <c r="S1224" s="1129">
        <v>0</v>
      </c>
      <c r="T1224" s="1129">
        <v>0</v>
      </c>
      <c r="U1224" s="1129">
        <v>0</v>
      </c>
      <c r="V1224" s="1129">
        <v>0</v>
      </c>
      <c r="W1224" s="1129">
        <v>0</v>
      </c>
      <c r="X1224" s="1129">
        <v>167171.20000000001</v>
      </c>
      <c r="Y1224" s="1129">
        <v>0</v>
      </c>
    </row>
    <row r="1225" spans="1:25" s="1137" customFormat="1" ht="97.15" customHeight="1">
      <c r="A1225" s="1280">
        <v>199</v>
      </c>
      <c r="B1225" s="1128" t="s">
        <v>2198</v>
      </c>
      <c r="C1225" s="1129">
        <f t="shared" si="530"/>
        <v>2929066.9</v>
      </c>
      <c r="D1225" s="1129">
        <f t="shared" si="531"/>
        <v>0</v>
      </c>
      <c r="E1225" s="1129">
        <v>0</v>
      </c>
      <c r="F1225" s="1129">
        <v>0</v>
      </c>
      <c r="G1225" s="1129">
        <v>0</v>
      </c>
      <c r="H1225" s="1129">
        <v>0</v>
      </c>
      <c r="I1225" s="1129">
        <v>0</v>
      </c>
      <c r="J1225" s="1129">
        <v>0</v>
      </c>
      <c r="K1225" s="1136">
        <v>0</v>
      </c>
      <c r="L1225" s="1129">
        <v>0</v>
      </c>
      <c r="M1225" s="1136">
        <v>0</v>
      </c>
      <c r="N1225" s="1129">
        <v>0</v>
      </c>
      <c r="O1225" s="1129">
        <v>599.64</v>
      </c>
      <c r="P1225" s="1129">
        <v>2716314.63</v>
      </c>
      <c r="Q1225" s="1129">
        <v>0</v>
      </c>
      <c r="R1225" s="1129">
        <v>0</v>
      </c>
      <c r="S1225" s="1129">
        <v>0</v>
      </c>
      <c r="T1225" s="1129">
        <v>0</v>
      </c>
      <c r="U1225" s="1129">
        <v>0</v>
      </c>
      <c r="V1225" s="1129">
        <v>0</v>
      </c>
      <c r="W1225" s="1129">
        <v>0</v>
      </c>
      <c r="X1225" s="1129">
        <v>212752.27</v>
      </c>
      <c r="Y1225" s="1129">
        <v>0</v>
      </c>
    </row>
    <row r="1226" spans="1:25" s="1137" customFormat="1" ht="102" customHeight="1">
      <c r="A1226" s="1280">
        <v>200</v>
      </c>
      <c r="B1226" s="1128" t="s">
        <v>2580</v>
      </c>
      <c r="C1226" s="1129">
        <f t="shared" ref="C1226:C1236" si="534">D1226+N1226+P1226+R1226+T1226+V1226+X1226</f>
        <v>5137383</v>
      </c>
      <c r="D1226" s="1129">
        <f t="shared" ref="D1226:D1236" si="535">SUM(E1226:J1226)</f>
        <v>0</v>
      </c>
      <c r="E1226" s="1129">
        <v>0</v>
      </c>
      <c r="F1226" s="1129">
        <v>0</v>
      </c>
      <c r="G1226" s="1129">
        <v>0</v>
      </c>
      <c r="H1226" s="1129">
        <v>0</v>
      </c>
      <c r="I1226" s="1129">
        <v>0</v>
      </c>
      <c r="J1226" s="1129">
        <v>0</v>
      </c>
      <c r="K1226" s="1136">
        <v>0</v>
      </c>
      <c r="L1226" s="1129">
        <v>0</v>
      </c>
      <c r="M1226" s="1136">
        <v>0</v>
      </c>
      <c r="N1226" s="1129">
        <v>0</v>
      </c>
      <c r="O1226" s="1129">
        <v>1287.8</v>
      </c>
      <c r="P1226" s="1129">
        <v>4764230</v>
      </c>
      <c r="Q1226" s="1129">
        <v>0</v>
      </c>
      <c r="R1226" s="1129">
        <v>0</v>
      </c>
      <c r="S1226" s="1129">
        <v>0</v>
      </c>
      <c r="T1226" s="1129">
        <v>0</v>
      </c>
      <c r="U1226" s="1129">
        <v>0</v>
      </c>
      <c r="V1226" s="1129">
        <v>0</v>
      </c>
      <c r="W1226" s="1129">
        <v>0</v>
      </c>
      <c r="X1226" s="1129">
        <v>373153</v>
      </c>
      <c r="Y1226" s="1129">
        <v>0</v>
      </c>
    </row>
    <row r="1227" spans="1:25" s="1137" customFormat="1" ht="92.45" customHeight="1">
      <c r="A1227" s="1280">
        <v>201</v>
      </c>
      <c r="B1227" s="1128" t="s">
        <v>2847</v>
      </c>
      <c r="C1227" s="1129">
        <f t="shared" si="534"/>
        <v>2401149</v>
      </c>
      <c r="D1227" s="1129">
        <f t="shared" si="535"/>
        <v>0</v>
      </c>
      <c r="E1227" s="1129">
        <v>0</v>
      </c>
      <c r="F1227" s="1129">
        <v>0</v>
      </c>
      <c r="G1227" s="1129">
        <v>0</v>
      </c>
      <c r="H1227" s="1129">
        <v>0</v>
      </c>
      <c r="I1227" s="1129">
        <v>0</v>
      </c>
      <c r="J1227" s="1129">
        <v>0</v>
      </c>
      <c r="K1227" s="1136">
        <v>0</v>
      </c>
      <c r="L1227" s="1129">
        <v>0</v>
      </c>
      <c r="M1227" s="1136">
        <v>0</v>
      </c>
      <c r="N1227" s="1129">
        <v>0</v>
      </c>
      <c r="O1227" s="1129">
        <v>883.7</v>
      </c>
      <c r="P1227" s="1129">
        <v>2226742</v>
      </c>
      <c r="Q1227" s="1129">
        <v>0</v>
      </c>
      <c r="R1227" s="1129">
        <v>0</v>
      </c>
      <c r="S1227" s="1129">
        <v>0</v>
      </c>
      <c r="T1227" s="1129">
        <v>0</v>
      </c>
      <c r="U1227" s="1129">
        <v>0</v>
      </c>
      <c r="V1227" s="1129">
        <v>0</v>
      </c>
      <c r="W1227" s="1129">
        <v>0</v>
      </c>
      <c r="X1227" s="1129">
        <v>174407</v>
      </c>
      <c r="Y1227" s="1129">
        <v>0</v>
      </c>
    </row>
    <row r="1228" spans="1:25" s="1137" customFormat="1" ht="104.45" customHeight="1">
      <c r="A1228" s="1280">
        <v>202</v>
      </c>
      <c r="B1228" s="1128" t="s">
        <v>2581</v>
      </c>
      <c r="C1228" s="1129">
        <f t="shared" si="534"/>
        <v>1776821</v>
      </c>
      <c r="D1228" s="1129">
        <f t="shared" si="535"/>
        <v>0</v>
      </c>
      <c r="E1228" s="1129">
        <v>0</v>
      </c>
      <c r="F1228" s="1129">
        <v>0</v>
      </c>
      <c r="G1228" s="1129">
        <v>0</v>
      </c>
      <c r="H1228" s="1129">
        <v>0</v>
      </c>
      <c r="I1228" s="1129">
        <v>0</v>
      </c>
      <c r="J1228" s="1129">
        <v>0</v>
      </c>
      <c r="K1228" s="1136">
        <v>0</v>
      </c>
      <c r="L1228" s="1129">
        <v>0</v>
      </c>
      <c r="M1228" s="1136">
        <v>0</v>
      </c>
      <c r="N1228" s="1129">
        <v>0</v>
      </c>
      <c r="O1228" s="1129">
        <v>445.4</v>
      </c>
      <c r="P1228" s="1129">
        <v>1647762</v>
      </c>
      <c r="Q1228" s="1129">
        <v>0</v>
      </c>
      <c r="R1228" s="1129">
        <v>0</v>
      </c>
      <c r="S1228" s="1129">
        <v>0</v>
      </c>
      <c r="T1228" s="1129">
        <v>0</v>
      </c>
      <c r="U1228" s="1129">
        <v>0</v>
      </c>
      <c r="V1228" s="1129">
        <v>0</v>
      </c>
      <c r="W1228" s="1129">
        <v>0</v>
      </c>
      <c r="X1228" s="1129">
        <v>129059</v>
      </c>
      <c r="Y1228" s="1129">
        <v>0</v>
      </c>
    </row>
    <row r="1229" spans="1:25" s="1137" customFormat="1" ht="102" customHeight="1">
      <c r="A1229" s="1280">
        <v>203</v>
      </c>
      <c r="B1229" s="1128" t="s">
        <v>2582</v>
      </c>
      <c r="C1229" s="1129">
        <f t="shared" si="534"/>
        <v>3015490</v>
      </c>
      <c r="D1229" s="1129">
        <f t="shared" si="535"/>
        <v>0</v>
      </c>
      <c r="E1229" s="1129">
        <v>0</v>
      </c>
      <c r="F1229" s="1129">
        <v>0</v>
      </c>
      <c r="G1229" s="1129">
        <v>0</v>
      </c>
      <c r="H1229" s="1129">
        <v>0</v>
      </c>
      <c r="I1229" s="1129">
        <v>0</v>
      </c>
      <c r="J1229" s="1129">
        <v>0</v>
      </c>
      <c r="K1229" s="1136">
        <v>0</v>
      </c>
      <c r="L1229" s="1129">
        <v>0</v>
      </c>
      <c r="M1229" s="1136">
        <v>0</v>
      </c>
      <c r="N1229" s="1129">
        <v>0</v>
      </c>
      <c r="O1229" s="1129">
        <v>755.9</v>
      </c>
      <c r="P1229" s="1129">
        <v>2796460</v>
      </c>
      <c r="Q1229" s="1129">
        <v>0</v>
      </c>
      <c r="R1229" s="1129">
        <v>0</v>
      </c>
      <c r="S1229" s="1129">
        <v>0</v>
      </c>
      <c r="T1229" s="1129">
        <v>0</v>
      </c>
      <c r="U1229" s="1129">
        <v>0</v>
      </c>
      <c r="V1229" s="1129">
        <v>0</v>
      </c>
      <c r="W1229" s="1129">
        <v>0</v>
      </c>
      <c r="X1229" s="1129">
        <v>219030</v>
      </c>
      <c r="Y1229" s="1129">
        <v>0</v>
      </c>
    </row>
    <row r="1230" spans="1:25" s="1137" customFormat="1" ht="102" customHeight="1">
      <c r="A1230" s="1280">
        <v>204</v>
      </c>
      <c r="B1230" s="1128" t="s">
        <v>2583</v>
      </c>
      <c r="C1230" s="1129">
        <f t="shared" si="534"/>
        <v>2452124</v>
      </c>
      <c r="D1230" s="1129">
        <f t="shared" si="535"/>
        <v>0</v>
      </c>
      <c r="E1230" s="1129">
        <v>0</v>
      </c>
      <c r="F1230" s="1129">
        <v>0</v>
      </c>
      <c r="G1230" s="1129">
        <v>0</v>
      </c>
      <c r="H1230" s="1129">
        <v>0</v>
      </c>
      <c r="I1230" s="1129">
        <v>0</v>
      </c>
      <c r="J1230" s="1129">
        <v>0</v>
      </c>
      <c r="K1230" s="1136">
        <v>0</v>
      </c>
      <c r="L1230" s="1129">
        <v>0</v>
      </c>
      <c r="M1230" s="1136">
        <v>0</v>
      </c>
      <c r="N1230" s="1129">
        <v>0</v>
      </c>
      <c r="O1230" s="1129">
        <v>502</v>
      </c>
      <c r="P1230" s="1129">
        <v>2274014</v>
      </c>
      <c r="Q1230" s="1129">
        <v>0</v>
      </c>
      <c r="R1230" s="1129">
        <v>0</v>
      </c>
      <c r="S1230" s="1129">
        <v>0</v>
      </c>
      <c r="T1230" s="1129">
        <v>0</v>
      </c>
      <c r="U1230" s="1129">
        <v>0</v>
      </c>
      <c r="V1230" s="1129">
        <v>0</v>
      </c>
      <c r="W1230" s="1129">
        <v>0</v>
      </c>
      <c r="X1230" s="1129">
        <v>178110</v>
      </c>
      <c r="Y1230" s="1129">
        <v>0</v>
      </c>
    </row>
    <row r="1231" spans="1:25" s="1137" customFormat="1" ht="106.9" customHeight="1">
      <c r="A1231" s="1280">
        <v>205</v>
      </c>
      <c r="B1231" s="1128" t="s">
        <v>2584</v>
      </c>
      <c r="C1231" s="1129">
        <f t="shared" si="534"/>
        <v>4248573</v>
      </c>
      <c r="D1231" s="1129">
        <f t="shared" si="535"/>
        <v>0</v>
      </c>
      <c r="E1231" s="1129">
        <v>0</v>
      </c>
      <c r="F1231" s="1129">
        <v>0</v>
      </c>
      <c r="G1231" s="1129">
        <v>0</v>
      </c>
      <c r="H1231" s="1129">
        <v>0</v>
      </c>
      <c r="I1231" s="1129">
        <v>0</v>
      </c>
      <c r="J1231" s="1129">
        <v>0</v>
      </c>
      <c r="K1231" s="1136">
        <v>0</v>
      </c>
      <c r="L1231" s="1129">
        <v>0</v>
      </c>
      <c r="M1231" s="1136">
        <v>0</v>
      </c>
      <c r="N1231" s="1129">
        <v>0</v>
      </c>
      <c r="O1231" s="1129">
        <v>1065</v>
      </c>
      <c r="P1231" s="1129">
        <v>3939979</v>
      </c>
      <c r="Q1231" s="1129">
        <v>0</v>
      </c>
      <c r="R1231" s="1129">
        <v>0</v>
      </c>
      <c r="S1231" s="1129">
        <v>0</v>
      </c>
      <c r="T1231" s="1129">
        <v>0</v>
      </c>
      <c r="U1231" s="1129">
        <v>0</v>
      </c>
      <c r="V1231" s="1129">
        <v>0</v>
      </c>
      <c r="W1231" s="1129">
        <v>0</v>
      </c>
      <c r="X1231" s="1129">
        <v>308594</v>
      </c>
      <c r="Y1231" s="1129">
        <v>0</v>
      </c>
    </row>
    <row r="1232" spans="1:25" s="1137" customFormat="1" ht="99.6" customHeight="1">
      <c r="A1232" s="1280">
        <v>206</v>
      </c>
      <c r="B1232" s="1128" t="s">
        <v>2585</v>
      </c>
      <c r="C1232" s="1129">
        <f t="shared" si="534"/>
        <v>3545886</v>
      </c>
      <c r="D1232" s="1129">
        <f t="shared" si="535"/>
        <v>0</v>
      </c>
      <c r="E1232" s="1129">
        <v>0</v>
      </c>
      <c r="F1232" s="1129">
        <v>0</v>
      </c>
      <c r="G1232" s="1129">
        <v>0</v>
      </c>
      <c r="H1232" s="1129">
        <v>0</v>
      </c>
      <c r="I1232" s="1129">
        <v>0</v>
      </c>
      <c r="J1232" s="1129">
        <v>0</v>
      </c>
      <c r="K1232" s="1136">
        <v>0</v>
      </c>
      <c r="L1232" s="1129">
        <v>0</v>
      </c>
      <c r="M1232" s="1136">
        <v>0</v>
      </c>
      <c r="N1232" s="1129">
        <v>0</v>
      </c>
      <c r="O1232" s="1129">
        <v>1305</v>
      </c>
      <c r="P1232" s="1129">
        <v>3288331</v>
      </c>
      <c r="Q1232" s="1129">
        <v>0</v>
      </c>
      <c r="R1232" s="1129">
        <v>0</v>
      </c>
      <c r="S1232" s="1129">
        <v>0</v>
      </c>
      <c r="T1232" s="1129">
        <v>0</v>
      </c>
      <c r="U1232" s="1129">
        <v>0</v>
      </c>
      <c r="V1232" s="1129">
        <v>0</v>
      </c>
      <c r="W1232" s="1129">
        <v>0</v>
      </c>
      <c r="X1232" s="1129">
        <v>257555</v>
      </c>
      <c r="Y1232" s="1129">
        <v>0</v>
      </c>
    </row>
    <row r="1233" spans="1:25" s="1137" customFormat="1" ht="102" customHeight="1">
      <c r="A1233" s="1280">
        <v>207</v>
      </c>
      <c r="B1233" s="1128" t="s">
        <v>1908</v>
      </c>
      <c r="C1233" s="1129">
        <f t="shared" si="534"/>
        <v>2579122</v>
      </c>
      <c r="D1233" s="1129">
        <f t="shared" si="535"/>
        <v>0</v>
      </c>
      <c r="E1233" s="1129">
        <v>0</v>
      </c>
      <c r="F1233" s="1129">
        <v>0</v>
      </c>
      <c r="G1233" s="1129">
        <v>0</v>
      </c>
      <c r="H1233" s="1129">
        <v>0</v>
      </c>
      <c r="I1233" s="1129">
        <v>0</v>
      </c>
      <c r="J1233" s="1129">
        <v>0</v>
      </c>
      <c r="K1233" s="1136">
        <v>0</v>
      </c>
      <c r="L1233" s="1129">
        <v>0</v>
      </c>
      <c r="M1233" s="1136">
        <v>0</v>
      </c>
      <c r="N1233" s="1129">
        <v>0</v>
      </c>
      <c r="O1233" s="1129">
        <v>949.2</v>
      </c>
      <c r="P1233" s="1129">
        <v>2391788</v>
      </c>
      <c r="Q1233" s="1129">
        <v>0</v>
      </c>
      <c r="R1233" s="1129">
        <v>0</v>
      </c>
      <c r="S1233" s="1129">
        <v>0</v>
      </c>
      <c r="T1233" s="1129">
        <v>0</v>
      </c>
      <c r="U1233" s="1129">
        <v>0</v>
      </c>
      <c r="V1233" s="1129">
        <v>0</v>
      </c>
      <c r="W1233" s="1129">
        <v>0</v>
      </c>
      <c r="X1233" s="1129">
        <v>187334</v>
      </c>
      <c r="Y1233" s="1129">
        <v>0</v>
      </c>
    </row>
    <row r="1234" spans="1:25" s="1137" customFormat="1" ht="106.9" customHeight="1">
      <c r="A1234" s="1280">
        <v>208</v>
      </c>
      <c r="B1234" s="1128" t="s">
        <v>1909</v>
      </c>
      <c r="C1234" s="1129">
        <f t="shared" si="534"/>
        <v>1468917.79</v>
      </c>
      <c r="D1234" s="1129">
        <f t="shared" si="535"/>
        <v>0</v>
      </c>
      <c r="E1234" s="1129">
        <v>0</v>
      </c>
      <c r="F1234" s="1129">
        <v>0</v>
      </c>
      <c r="G1234" s="1129">
        <v>0</v>
      </c>
      <c r="H1234" s="1129">
        <v>0</v>
      </c>
      <c r="I1234" s="1129">
        <v>0</v>
      </c>
      <c r="J1234" s="1129">
        <v>0</v>
      </c>
      <c r="K1234" s="1136">
        <v>0</v>
      </c>
      <c r="L1234" s="1129">
        <v>0</v>
      </c>
      <c r="M1234" s="1136">
        <v>0</v>
      </c>
      <c r="N1234" s="1129">
        <v>0</v>
      </c>
      <c r="O1234" s="1129">
        <v>434</v>
      </c>
      <c r="P1234" s="1129">
        <v>1362222.79</v>
      </c>
      <c r="Q1234" s="1129">
        <v>0</v>
      </c>
      <c r="R1234" s="1129">
        <v>0</v>
      </c>
      <c r="S1234" s="1129">
        <v>0</v>
      </c>
      <c r="T1234" s="1129">
        <v>0</v>
      </c>
      <c r="U1234" s="1129">
        <v>0</v>
      </c>
      <c r="V1234" s="1129">
        <v>0</v>
      </c>
      <c r="W1234" s="1129">
        <v>0</v>
      </c>
      <c r="X1234" s="1129">
        <v>106695</v>
      </c>
      <c r="Y1234" s="1129">
        <v>0</v>
      </c>
    </row>
    <row r="1235" spans="1:25" s="1137" customFormat="1" ht="102" customHeight="1">
      <c r="A1235" s="1280">
        <v>209</v>
      </c>
      <c r="B1235" s="1128" t="s">
        <v>1910</v>
      </c>
      <c r="C1235" s="1129">
        <f t="shared" si="534"/>
        <v>1468917.79</v>
      </c>
      <c r="D1235" s="1129">
        <f t="shared" si="535"/>
        <v>0</v>
      </c>
      <c r="E1235" s="1129">
        <v>0</v>
      </c>
      <c r="F1235" s="1129">
        <v>0</v>
      </c>
      <c r="G1235" s="1129">
        <v>0</v>
      </c>
      <c r="H1235" s="1129">
        <v>0</v>
      </c>
      <c r="I1235" s="1129">
        <v>0</v>
      </c>
      <c r="J1235" s="1129">
        <v>0</v>
      </c>
      <c r="K1235" s="1136">
        <v>0</v>
      </c>
      <c r="L1235" s="1129">
        <v>0</v>
      </c>
      <c r="M1235" s="1136">
        <v>0</v>
      </c>
      <c r="N1235" s="1129">
        <v>0</v>
      </c>
      <c r="O1235" s="1129">
        <v>434</v>
      </c>
      <c r="P1235" s="1129">
        <v>1362222.79</v>
      </c>
      <c r="Q1235" s="1129">
        <v>0</v>
      </c>
      <c r="R1235" s="1129">
        <v>0</v>
      </c>
      <c r="S1235" s="1129">
        <v>0</v>
      </c>
      <c r="T1235" s="1129">
        <v>0</v>
      </c>
      <c r="U1235" s="1129">
        <v>0</v>
      </c>
      <c r="V1235" s="1129">
        <v>0</v>
      </c>
      <c r="W1235" s="1129">
        <v>0</v>
      </c>
      <c r="X1235" s="1129">
        <v>106695</v>
      </c>
      <c r="Y1235" s="1129">
        <v>0</v>
      </c>
    </row>
    <row r="1236" spans="1:25" s="1137" customFormat="1" ht="94.9" customHeight="1">
      <c r="A1236" s="1280">
        <v>210</v>
      </c>
      <c r="B1236" s="1128" t="s">
        <v>1911</v>
      </c>
      <c r="C1236" s="1129">
        <f t="shared" si="534"/>
        <v>2966819.77</v>
      </c>
      <c r="D1236" s="1129">
        <f t="shared" si="535"/>
        <v>0</v>
      </c>
      <c r="E1236" s="1129">
        <v>0</v>
      </c>
      <c r="F1236" s="1129">
        <v>0</v>
      </c>
      <c r="G1236" s="1129">
        <v>0</v>
      </c>
      <c r="H1236" s="1129">
        <v>0</v>
      </c>
      <c r="I1236" s="1129">
        <v>0</v>
      </c>
      <c r="J1236" s="1129">
        <v>0</v>
      </c>
      <c r="K1236" s="1136">
        <v>0</v>
      </c>
      <c r="L1236" s="1129">
        <v>0</v>
      </c>
      <c r="M1236" s="1136">
        <v>0</v>
      </c>
      <c r="N1236" s="1129">
        <v>0</v>
      </c>
      <c r="O1236" s="1129">
        <v>743.7</v>
      </c>
      <c r="P1236" s="1129">
        <v>2751325.77</v>
      </c>
      <c r="Q1236" s="1129">
        <v>0</v>
      </c>
      <c r="R1236" s="1129">
        <v>0</v>
      </c>
      <c r="S1236" s="1129">
        <v>0</v>
      </c>
      <c r="T1236" s="1129">
        <v>0</v>
      </c>
      <c r="U1236" s="1129">
        <v>0</v>
      </c>
      <c r="V1236" s="1129">
        <v>0</v>
      </c>
      <c r="W1236" s="1129">
        <v>0</v>
      </c>
      <c r="X1236" s="1129">
        <v>215494</v>
      </c>
      <c r="Y1236" s="1129">
        <v>0</v>
      </c>
    </row>
    <row r="1237" spans="1:25" s="1137" customFormat="1" ht="121.5" customHeight="1">
      <c r="A1237" s="1280"/>
      <c r="B1237" s="1128" t="s">
        <v>2703</v>
      </c>
      <c r="C1237" s="1129">
        <f>SUM(C1238:C1308)</f>
        <v>263192866.71000001</v>
      </c>
      <c r="D1237" s="1129">
        <f t="shared" ref="D1237:Y1237" si="536">SUM(D1238:D1308)</f>
        <v>0</v>
      </c>
      <c r="E1237" s="1129">
        <f t="shared" si="536"/>
        <v>0</v>
      </c>
      <c r="F1237" s="1129">
        <f t="shared" si="536"/>
        <v>0</v>
      </c>
      <c r="G1237" s="1129">
        <f t="shared" si="536"/>
        <v>0</v>
      </c>
      <c r="H1237" s="1129">
        <f t="shared" si="536"/>
        <v>0</v>
      </c>
      <c r="I1237" s="1129">
        <f t="shared" si="536"/>
        <v>0</v>
      </c>
      <c r="J1237" s="1129">
        <f t="shared" si="536"/>
        <v>0</v>
      </c>
      <c r="K1237" s="1136">
        <f t="shared" si="536"/>
        <v>0</v>
      </c>
      <c r="L1237" s="1129">
        <f t="shared" si="536"/>
        <v>0</v>
      </c>
      <c r="M1237" s="1136">
        <f t="shared" si="536"/>
        <v>2</v>
      </c>
      <c r="N1237" s="1129">
        <f t="shared" si="536"/>
        <v>3643730.23</v>
      </c>
      <c r="O1237" s="1129">
        <f t="shared" si="536"/>
        <v>35500.04</v>
      </c>
      <c r="P1237" s="1129">
        <f t="shared" si="536"/>
        <v>113991252.25</v>
      </c>
      <c r="Q1237" s="1129">
        <f t="shared" si="536"/>
        <v>0</v>
      </c>
      <c r="R1237" s="1129">
        <f t="shared" si="536"/>
        <v>0</v>
      </c>
      <c r="S1237" s="1129">
        <f t="shared" si="536"/>
        <v>52357.729999999989</v>
      </c>
      <c r="T1237" s="1129">
        <f t="shared" si="536"/>
        <v>127528640.43999998</v>
      </c>
      <c r="U1237" s="1129">
        <f t="shared" si="536"/>
        <v>0</v>
      </c>
      <c r="V1237" s="1129">
        <f t="shared" si="536"/>
        <v>0</v>
      </c>
      <c r="W1237" s="1129">
        <v>0</v>
      </c>
      <c r="X1237" s="1129">
        <f t="shared" si="536"/>
        <v>18029243.789999999</v>
      </c>
      <c r="Y1237" s="1129">
        <f t="shared" si="536"/>
        <v>0</v>
      </c>
    </row>
    <row r="1238" spans="1:25" s="1137" customFormat="1" ht="87.6" customHeight="1">
      <c r="A1238" s="1280">
        <v>211</v>
      </c>
      <c r="B1238" s="1181" t="s">
        <v>1912</v>
      </c>
      <c r="C1238" s="1129">
        <f t="shared" ref="C1238" si="537">D1238+N1238+P1238+R1238+T1238+V1238+X1238</f>
        <v>3525282.72</v>
      </c>
      <c r="D1238" s="1129">
        <f t="shared" ref="D1238" si="538">SUM(E1238:J1238)</f>
        <v>0</v>
      </c>
      <c r="E1238" s="1129">
        <v>0</v>
      </c>
      <c r="F1238" s="1129">
        <v>0</v>
      </c>
      <c r="G1238" s="1129">
        <v>0</v>
      </c>
      <c r="H1238" s="1129">
        <v>0</v>
      </c>
      <c r="I1238" s="1129">
        <v>0</v>
      </c>
      <c r="J1238" s="1129">
        <v>0</v>
      </c>
      <c r="K1238" s="1136">
        <v>0</v>
      </c>
      <c r="L1238" s="1129">
        <v>0</v>
      </c>
      <c r="M1238" s="1136">
        <v>0</v>
      </c>
      <c r="N1238" s="1129">
        <v>0</v>
      </c>
      <c r="O1238" s="1129">
        <v>894</v>
      </c>
      <c r="P1238" s="1129">
        <v>3363063.68</v>
      </c>
      <c r="Q1238" s="1129">
        <v>0</v>
      </c>
      <c r="R1238" s="1129">
        <v>0</v>
      </c>
      <c r="S1238" s="1129">
        <v>0</v>
      </c>
      <c r="T1238" s="1129">
        <v>0</v>
      </c>
      <c r="U1238" s="1129">
        <v>0</v>
      </c>
      <c r="V1238" s="1129">
        <v>0</v>
      </c>
      <c r="W1238" s="1129">
        <v>0</v>
      </c>
      <c r="X1238" s="1129">
        <v>162219.04</v>
      </c>
      <c r="Y1238" s="1129">
        <v>0</v>
      </c>
    </row>
    <row r="1239" spans="1:25" s="1137" customFormat="1" ht="64.150000000000006" customHeight="1">
      <c r="A1239" s="1280">
        <v>212</v>
      </c>
      <c r="B1239" s="1135" t="s">
        <v>1097</v>
      </c>
      <c r="C1239" s="1129">
        <f t="shared" ref="C1239:C1300" si="539">D1239+N1239+P1239+R1239+T1239+V1239+X1239</f>
        <v>4196830.01</v>
      </c>
      <c r="D1239" s="1129">
        <f t="shared" ref="D1239:D1300" si="540">SUM(E1239:J1239)</f>
        <v>0</v>
      </c>
      <c r="E1239" s="1129">
        <v>0</v>
      </c>
      <c r="F1239" s="1129">
        <v>0</v>
      </c>
      <c r="G1239" s="1129">
        <v>0</v>
      </c>
      <c r="H1239" s="1129">
        <v>0</v>
      </c>
      <c r="I1239" s="1129">
        <v>0</v>
      </c>
      <c r="J1239" s="1129">
        <v>0</v>
      </c>
      <c r="K1239" s="1136">
        <v>0</v>
      </c>
      <c r="L1239" s="1129">
        <v>0</v>
      </c>
      <c r="M1239" s="1136">
        <v>0</v>
      </c>
      <c r="N1239" s="1129">
        <v>0</v>
      </c>
      <c r="O1239" s="1129">
        <v>1071</v>
      </c>
      <c r="P1239" s="1129">
        <v>4028905.15</v>
      </c>
      <c r="Q1239" s="1129">
        <v>0</v>
      </c>
      <c r="R1239" s="1129">
        <v>0</v>
      </c>
      <c r="S1239" s="1129">
        <v>0</v>
      </c>
      <c r="T1239" s="1129">
        <v>0</v>
      </c>
      <c r="U1239" s="1129">
        <v>0</v>
      </c>
      <c r="V1239" s="1129">
        <v>0</v>
      </c>
      <c r="W1239" s="1129">
        <v>0</v>
      </c>
      <c r="X1239" s="1129">
        <v>167924.86</v>
      </c>
      <c r="Y1239" s="1129">
        <v>0</v>
      </c>
    </row>
    <row r="1240" spans="1:25" s="1137" customFormat="1" ht="66.599999999999994" customHeight="1">
      <c r="A1240" s="1280">
        <v>213</v>
      </c>
      <c r="B1240" s="1135" t="s">
        <v>771</v>
      </c>
      <c r="C1240" s="1129">
        <f t="shared" si="539"/>
        <v>4615004.63</v>
      </c>
      <c r="D1240" s="1129">
        <f t="shared" si="540"/>
        <v>0</v>
      </c>
      <c r="E1240" s="1129">
        <v>0</v>
      </c>
      <c r="F1240" s="1129">
        <v>0</v>
      </c>
      <c r="G1240" s="1129">
        <v>0</v>
      </c>
      <c r="H1240" s="1129">
        <v>0</v>
      </c>
      <c r="I1240" s="1129">
        <v>0</v>
      </c>
      <c r="J1240" s="1129">
        <v>0</v>
      </c>
      <c r="K1240" s="1136">
        <v>0</v>
      </c>
      <c r="L1240" s="1129">
        <v>0</v>
      </c>
      <c r="M1240" s="1136">
        <v>0</v>
      </c>
      <c r="N1240" s="1129">
        <v>0</v>
      </c>
      <c r="O1240" s="1129">
        <v>1171</v>
      </c>
      <c r="P1240" s="1129">
        <v>4405086.7699999996</v>
      </c>
      <c r="Q1240" s="1129">
        <v>0</v>
      </c>
      <c r="R1240" s="1129">
        <v>0</v>
      </c>
      <c r="S1240" s="1129">
        <v>0</v>
      </c>
      <c r="T1240" s="1129">
        <v>0</v>
      </c>
      <c r="U1240" s="1129">
        <v>0</v>
      </c>
      <c r="V1240" s="1129">
        <v>0</v>
      </c>
      <c r="W1240" s="1129">
        <v>0</v>
      </c>
      <c r="X1240" s="1129">
        <v>209917.86</v>
      </c>
      <c r="Y1240" s="1129">
        <v>0</v>
      </c>
    </row>
    <row r="1241" spans="1:25" s="1137" customFormat="1" ht="66.599999999999994" customHeight="1">
      <c r="A1241" s="1280">
        <v>214</v>
      </c>
      <c r="B1241" s="1135" t="s">
        <v>1098</v>
      </c>
      <c r="C1241" s="1129">
        <f t="shared" si="539"/>
        <v>5661296.2299999995</v>
      </c>
      <c r="D1241" s="1129">
        <f t="shared" si="540"/>
        <v>0</v>
      </c>
      <c r="E1241" s="1129">
        <v>0</v>
      </c>
      <c r="F1241" s="1129">
        <v>0</v>
      </c>
      <c r="G1241" s="1129">
        <v>0</v>
      </c>
      <c r="H1241" s="1129">
        <v>0</v>
      </c>
      <c r="I1241" s="1129">
        <v>0</v>
      </c>
      <c r="J1241" s="1129">
        <v>0</v>
      </c>
      <c r="K1241" s="1136">
        <v>0</v>
      </c>
      <c r="L1241" s="1129">
        <v>0</v>
      </c>
      <c r="M1241" s="1136">
        <v>0</v>
      </c>
      <c r="N1241" s="1129">
        <v>0</v>
      </c>
      <c r="O1241" s="1129">
        <v>1429.5</v>
      </c>
      <c r="P1241" s="1129">
        <v>5377516.2599999998</v>
      </c>
      <c r="Q1241" s="1129">
        <v>0</v>
      </c>
      <c r="R1241" s="1129">
        <v>0</v>
      </c>
      <c r="S1241" s="1129">
        <v>0</v>
      </c>
      <c r="T1241" s="1129">
        <v>0</v>
      </c>
      <c r="U1241" s="1129">
        <v>0</v>
      </c>
      <c r="V1241" s="1129">
        <v>0</v>
      </c>
      <c r="W1241" s="1129">
        <v>0</v>
      </c>
      <c r="X1241" s="1129">
        <v>283779.96999999997</v>
      </c>
      <c r="Y1241" s="1129">
        <v>0</v>
      </c>
    </row>
    <row r="1242" spans="1:25" s="1137" customFormat="1" ht="76.150000000000006" customHeight="1">
      <c r="A1242" s="1280">
        <v>215</v>
      </c>
      <c r="B1242" s="1135" t="s">
        <v>357</v>
      </c>
      <c r="C1242" s="1129">
        <f t="shared" si="539"/>
        <v>3919423.39</v>
      </c>
      <c r="D1242" s="1129">
        <f t="shared" si="540"/>
        <v>0</v>
      </c>
      <c r="E1242" s="1129">
        <v>0</v>
      </c>
      <c r="F1242" s="1129">
        <v>0</v>
      </c>
      <c r="G1242" s="1129">
        <v>0</v>
      </c>
      <c r="H1242" s="1129">
        <v>0</v>
      </c>
      <c r="I1242" s="1129">
        <v>0</v>
      </c>
      <c r="J1242" s="1129">
        <v>0</v>
      </c>
      <c r="K1242" s="1136">
        <v>0</v>
      </c>
      <c r="L1242" s="1129">
        <v>0</v>
      </c>
      <c r="M1242" s="1136">
        <v>0</v>
      </c>
      <c r="N1242" s="1129">
        <v>0</v>
      </c>
      <c r="O1242" s="1129">
        <v>992</v>
      </c>
      <c r="P1242" s="1129">
        <v>3731721.67</v>
      </c>
      <c r="Q1242" s="1129">
        <v>0</v>
      </c>
      <c r="R1242" s="1129">
        <v>0</v>
      </c>
      <c r="S1242" s="1129">
        <v>0</v>
      </c>
      <c r="T1242" s="1129">
        <v>0</v>
      </c>
      <c r="U1242" s="1129">
        <v>0</v>
      </c>
      <c r="V1242" s="1129">
        <v>0</v>
      </c>
      <c r="W1242" s="1129">
        <v>0</v>
      </c>
      <c r="X1242" s="1129">
        <v>187701.72</v>
      </c>
      <c r="Y1242" s="1129">
        <v>0</v>
      </c>
    </row>
    <row r="1243" spans="1:25" s="1137" customFormat="1" ht="78.599999999999994" customHeight="1">
      <c r="A1243" s="1280">
        <v>216</v>
      </c>
      <c r="B1243" s="1150" t="s">
        <v>1048</v>
      </c>
      <c r="C1243" s="1129">
        <f t="shared" si="539"/>
        <v>3552093</v>
      </c>
      <c r="D1243" s="1129">
        <f t="shared" si="540"/>
        <v>0</v>
      </c>
      <c r="E1243" s="1129">
        <v>0</v>
      </c>
      <c r="F1243" s="1129">
        <v>0</v>
      </c>
      <c r="G1243" s="1129">
        <v>0</v>
      </c>
      <c r="H1243" s="1129">
        <v>0</v>
      </c>
      <c r="I1243" s="1129">
        <v>0</v>
      </c>
      <c r="J1243" s="1129">
        <v>0</v>
      </c>
      <c r="K1243" s="1136">
        <v>0</v>
      </c>
      <c r="L1243" s="1129">
        <v>0</v>
      </c>
      <c r="M1243" s="1136">
        <v>0</v>
      </c>
      <c r="N1243" s="1129">
        <v>0</v>
      </c>
      <c r="O1243" s="1129">
        <v>1135</v>
      </c>
      <c r="P1243" s="1129">
        <v>3294087.33</v>
      </c>
      <c r="Q1243" s="1129">
        <v>0</v>
      </c>
      <c r="R1243" s="1129">
        <v>0</v>
      </c>
      <c r="S1243" s="1129">
        <v>0</v>
      </c>
      <c r="T1243" s="1129">
        <v>0</v>
      </c>
      <c r="U1243" s="1129">
        <v>0</v>
      </c>
      <c r="V1243" s="1129">
        <v>0</v>
      </c>
      <c r="W1243" s="1129">
        <v>0</v>
      </c>
      <c r="X1243" s="1129">
        <v>258005.67</v>
      </c>
      <c r="Y1243" s="1129">
        <v>0</v>
      </c>
    </row>
    <row r="1244" spans="1:25" s="1137" customFormat="1" ht="78.599999999999994" customHeight="1">
      <c r="A1244" s="1280">
        <v>217</v>
      </c>
      <c r="B1244" s="1150" t="s">
        <v>1056</v>
      </c>
      <c r="C1244" s="1129">
        <f t="shared" si="539"/>
        <v>1763431</v>
      </c>
      <c r="D1244" s="1129">
        <f t="shared" si="540"/>
        <v>0</v>
      </c>
      <c r="E1244" s="1129">
        <v>0</v>
      </c>
      <c r="F1244" s="1129">
        <v>0</v>
      </c>
      <c r="G1244" s="1129">
        <v>0</v>
      </c>
      <c r="H1244" s="1129">
        <v>0</v>
      </c>
      <c r="I1244" s="1129">
        <v>0</v>
      </c>
      <c r="J1244" s="1129">
        <v>0</v>
      </c>
      <c r="K1244" s="1136">
        <v>0</v>
      </c>
      <c r="L1244" s="1129">
        <v>0</v>
      </c>
      <c r="M1244" s="1136">
        <v>0</v>
      </c>
      <c r="N1244" s="1129">
        <v>0</v>
      </c>
      <c r="O1244" s="1129">
        <v>560</v>
      </c>
      <c r="P1244" s="1129">
        <v>1635344.49</v>
      </c>
      <c r="Q1244" s="1129">
        <v>0</v>
      </c>
      <c r="R1244" s="1129">
        <v>0</v>
      </c>
      <c r="S1244" s="1129">
        <v>0</v>
      </c>
      <c r="T1244" s="1129">
        <v>0</v>
      </c>
      <c r="U1244" s="1129">
        <v>0</v>
      </c>
      <c r="V1244" s="1129">
        <v>0</v>
      </c>
      <c r="W1244" s="1129">
        <v>0</v>
      </c>
      <c r="X1244" s="1129">
        <v>128086.51</v>
      </c>
      <c r="Y1244" s="1129">
        <v>0</v>
      </c>
    </row>
    <row r="1245" spans="1:25" s="1137" customFormat="1" ht="73.900000000000006" customHeight="1">
      <c r="A1245" s="1280">
        <v>218</v>
      </c>
      <c r="B1245" s="1150" t="s">
        <v>1049</v>
      </c>
      <c r="C1245" s="1129">
        <f t="shared" si="539"/>
        <v>2904552.11</v>
      </c>
      <c r="D1245" s="1129">
        <f t="shared" si="540"/>
        <v>0</v>
      </c>
      <c r="E1245" s="1129">
        <v>0</v>
      </c>
      <c r="F1245" s="1129">
        <v>0</v>
      </c>
      <c r="G1245" s="1129">
        <v>0</v>
      </c>
      <c r="H1245" s="1129">
        <v>0</v>
      </c>
      <c r="I1245" s="1129">
        <v>0</v>
      </c>
      <c r="J1245" s="1129">
        <v>0</v>
      </c>
      <c r="K1245" s="1136">
        <v>0</v>
      </c>
      <c r="L1245" s="1129">
        <v>0</v>
      </c>
      <c r="M1245" s="1136">
        <v>0</v>
      </c>
      <c r="N1245" s="1129">
        <v>0</v>
      </c>
      <c r="O1245" s="1129">
        <v>1076</v>
      </c>
      <c r="P1245" s="1129">
        <v>2711298</v>
      </c>
      <c r="Q1245" s="1129">
        <v>0</v>
      </c>
      <c r="R1245" s="1129">
        <v>0</v>
      </c>
      <c r="S1245" s="1129">
        <v>0</v>
      </c>
      <c r="T1245" s="1129">
        <v>0</v>
      </c>
      <c r="U1245" s="1129">
        <v>0</v>
      </c>
      <c r="V1245" s="1129">
        <v>0</v>
      </c>
      <c r="W1245" s="1129">
        <v>0</v>
      </c>
      <c r="X1245" s="1129">
        <v>193254.11</v>
      </c>
      <c r="Y1245" s="1129">
        <v>0</v>
      </c>
    </row>
    <row r="1246" spans="1:25" s="1137" customFormat="1" ht="83.45" customHeight="1">
      <c r="A1246" s="1280">
        <v>219</v>
      </c>
      <c r="B1246" s="1150" t="s">
        <v>1050</v>
      </c>
      <c r="C1246" s="1129">
        <f t="shared" si="539"/>
        <v>3902737</v>
      </c>
      <c r="D1246" s="1129">
        <f t="shared" si="540"/>
        <v>0</v>
      </c>
      <c r="E1246" s="1129">
        <v>0</v>
      </c>
      <c r="F1246" s="1129">
        <v>0</v>
      </c>
      <c r="G1246" s="1129">
        <v>0</v>
      </c>
      <c r="H1246" s="1129">
        <v>0</v>
      </c>
      <c r="I1246" s="1129">
        <v>0</v>
      </c>
      <c r="J1246" s="1129">
        <v>0</v>
      </c>
      <c r="K1246" s="1136">
        <v>0</v>
      </c>
      <c r="L1246" s="1129">
        <v>0</v>
      </c>
      <c r="M1246" s="1136">
        <v>0</v>
      </c>
      <c r="N1246" s="1129">
        <v>0</v>
      </c>
      <c r="O1246" s="1129">
        <v>1243</v>
      </c>
      <c r="P1246" s="1129">
        <v>3619262.37</v>
      </c>
      <c r="Q1246" s="1129">
        <v>0</v>
      </c>
      <c r="R1246" s="1129">
        <v>0</v>
      </c>
      <c r="S1246" s="1129">
        <v>0</v>
      </c>
      <c r="T1246" s="1129">
        <v>0</v>
      </c>
      <c r="U1246" s="1129">
        <v>0</v>
      </c>
      <c r="V1246" s="1129">
        <v>0</v>
      </c>
      <c r="W1246" s="1129">
        <v>0</v>
      </c>
      <c r="X1246" s="1129">
        <v>283474.63</v>
      </c>
      <c r="Y1246" s="1129">
        <v>0</v>
      </c>
    </row>
    <row r="1247" spans="1:25" s="1137" customFormat="1" ht="85.15" customHeight="1">
      <c r="A1247" s="1280">
        <v>220</v>
      </c>
      <c r="B1247" s="1135" t="s">
        <v>1913</v>
      </c>
      <c r="C1247" s="1129">
        <f t="shared" si="539"/>
        <v>4368894.3599999994</v>
      </c>
      <c r="D1247" s="1129">
        <f t="shared" si="540"/>
        <v>0</v>
      </c>
      <c r="E1247" s="1129">
        <v>0</v>
      </c>
      <c r="F1247" s="1129">
        <v>0</v>
      </c>
      <c r="G1247" s="1129">
        <v>0</v>
      </c>
      <c r="H1247" s="1129">
        <v>0</v>
      </c>
      <c r="I1247" s="1129">
        <v>0</v>
      </c>
      <c r="J1247" s="1129">
        <v>0</v>
      </c>
      <c r="K1247" s="1136">
        <v>0</v>
      </c>
      <c r="L1247" s="1129">
        <v>0</v>
      </c>
      <c r="M1247" s="1136">
        <v>0</v>
      </c>
      <c r="N1247" s="1129">
        <v>0</v>
      </c>
      <c r="O1247" s="1129">
        <v>900</v>
      </c>
      <c r="P1247" s="1129">
        <v>4077837.36</v>
      </c>
      <c r="Q1247" s="1129">
        <v>0</v>
      </c>
      <c r="R1247" s="1129">
        <v>0</v>
      </c>
      <c r="S1247" s="1129">
        <v>0</v>
      </c>
      <c r="T1247" s="1129">
        <v>0</v>
      </c>
      <c r="U1247" s="1129">
        <v>0</v>
      </c>
      <c r="V1247" s="1129">
        <v>0</v>
      </c>
      <c r="W1247" s="1129">
        <v>0</v>
      </c>
      <c r="X1247" s="1129">
        <v>291057</v>
      </c>
      <c r="Y1247" s="1129">
        <v>0</v>
      </c>
    </row>
    <row r="1248" spans="1:25" s="1137" customFormat="1" ht="92.45" customHeight="1">
      <c r="A1248" s="1280">
        <v>221</v>
      </c>
      <c r="B1248" s="1135" t="s">
        <v>1914</v>
      </c>
      <c r="C1248" s="1129">
        <f t="shared" si="539"/>
        <v>1862600</v>
      </c>
      <c r="D1248" s="1129">
        <f t="shared" si="540"/>
        <v>0</v>
      </c>
      <c r="E1248" s="1129">
        <v>0</v>
      </c>
      <c r="F1248" s="1129">
        <v>0</v>
      </c>
      <c r="G1248" s="1129">
        <v>0</v>
      </c>
      <c r="H1248" s="1129">
        <v>0</v>
      </c>
      <c r="I1248" s="1129">
        <v>0</v>
      </c>
      <c r="J1248" s="1129">
        <v>0</v>
      </c>
      <c r="K1248" s="1136">
        <v>0</v>
      </c>
      <c r="L1248" s="1129">
        <v>0</v>
      </c>
      <c r="M1248" s="1136">
        <v>0</v>
      </c>
      <c r="N1248" s="1129">
        <v>0</v>
      </c>
      <c r="O1248" s="1129">
        <v>580</v>
      </c>
      <c r="P1248" s="1129">
        <v>1727310.37</v>
      </c>
      <c r="Q1248" s="1129">
        <v>0</v>
      </c>
      <c r="R1248" s="1129">
        <v>0</v>
      </c>
      <c r="S1248" s="1129">
        <v>0</v>
      </c>
      <c r="T1248" s="1129">
        <v>0</v>
      </c>
      <c r="U1248" s="1129">
        <v>0</v>
      </c>
      <c r="V1248" s="1129">
        <v>0</v>
      </c>
      <c r="W1248" s="1129">
        <v>0</v>
      </c>
      <c r="X1248" s="1129">
        <v>135289.63</v>
      </c>
      <c r="Y1248" s="1129">
        <v>0</v>
      </c>
    </row>
    <row r="1249" spans="1:25" s="1137" customFormat="1" ht="90" customHeight="1">
      <c r="A1249" s="1280">
        <v>222</v>
      </c>
      <c r="B1249" s="1135" t="s">
        <v>1915</v>
      </c>
      <c r="C1249" s="1129">
        <f t="shared" si="539"/>
        <v>7047781.5</v>
      </c>
      <c r="D1249" s="1129">
        <f t="shared" si="540"/>
        <v>0</v>
      </c>
      <c r="E1249" s="1129">
        <v>0</v>
      </c>
      <c r="F1249" s="1129">
        <v>0</v>
      </c>
      <c r="G1249" s="1129">
        <v>0</v>
      </c>
      <c r="H1249" s="1129">
        <v>0</v>
      </c>
      <c r="I1249" s="1129">
        <v>0</v>
      </c>
      <c r="J1249" s="1129">
        <v>0</v>
      </c>
      <c r="K1249" s="1136">
        <v>0</v>
      </c>
      <c r="L1249" s="1129">
        <v>0</v>
      </c>
      <c r="M1249" s="1136">
        <v>0</v>
      </c>
      <c r="N1249" s="1129">
        <v>0</v>
      </c>
      <c r="O1249" s="1129">
        <v>1442.5</v>
      </c>
      <c r="P1249" s="1129">
        <v>6535867.0999999996</v>
      </c>
      <c r="Q1249" s="1129">
        <v>0</v>
      </c>
      <c r="R1249" s="1129">
        <v>0</v>
      </c>
      <c r="S1249" s="1129">
        <v>0</v>
      </c>
      <c r="T1249" s="1129">
        <v>0</v>
      </c>
      <c r="U1249" s="1129">
        <v>0</v>
      </c>
      <c r="V1249" s="1129">
        <v>0</v>
      </c>
      <c r="W1249" s="1129">
        <v>0</v>
      </c>
      <c r="X1249" s="1129">
        <v>511914.4</v>
      </c>
      <c r="Y1249" s="1129">
        <v>0</v>
      </c>
    </row>
    <row r="1250" spans="1:25" s="1137" customFormat="1" ht="71.45" customHeight="1">
      <c r="A1250" s="1280">
        <v>223</v>
      </c>
      <c r="B1250" s="1135" t="s">
        <v>1054</v>
      </c>
      <c r="C1250" s="1129">
        <f t="shared" si="539"/>
        <v>1408601</v>
      </c>
      <c r="D1250" s="1129">
        <f t="shared" si="540"/>
        <v>0</v>
      </c>
      <c r="E1250" s="1129">
        <v>0</v>
      </c>
      <c r="F1250" s="1129">
        <v>0</v>
      </c>
      <c r="G1250" s="1129">
        <v>0</v>
      </c>
      <c r="H1250" s="1129">
        <v>0</v>
      </c>
      <c r="I1250" s="1129">
        <v>0</v>
      </c>
      <c r="J1250" s="1129">
        <v>0</v>
      </c>
      <c r="K1250" s="1136">
        <v>0</v>
      </c>
      <c r="L1250" s="1129">
        <v>0</v>
      </c>
      <c r="M1250" s="1136">
        <v>0</v>
      </c>
      <c r="N1250" s="1129">
        <v>0</v>
      </c>
      <c r="O1250" s="1129">
        <v>440</v>
      </c>
      <c r="P1250" s="1129">
        <v>1306287.51</v>
      </c>
      <c r="Q1250" s="1129">
        <v>0</v>
      </c>
      <c r="R1250" s="1129">
        <v>0</v>
      </c>
      <c r="S1250" s="1129">
        <v>0</v>
      </c>
      <c r="T1250" s="1129">
        <v>0</v>
      </c>
      <c r="U1250" s="1129">
        <v>0</v>
      </c>
      <c r="V1250" s="1129">
        <v>0</v>
      </c>
      <c r="W1250" s="1129">
        <v>0</v>
      </c>
      <c r="X1250" s="1129">
        <v>102313.49</v>
      </c>
      <c r="Y1250" s="1129">
        <v>0</v>
      </c>
    </row>
    <row r="1251" spans="1:25" s="1137" customFormat="1" ht="81" customHeight="1">
      <c r="A1251" s="1280">
        <v>224</v>
      </c>
      <c r="B1251" s="1135" t="s">
        <v>1053</v>
      </c>
      <c r="C1251" s="1129">
        <f t="shared" ref="C1251" si="541">D1251+N1251+P1251+R1251+T1251+V1251+X1251</f>
        <v>1964604.77</v>
      </c>
      <c r="D1251" s="1129">
        <f t="shared" ref="D1251" si="542">SUM(E1251:J1251)</f>
        <v>0</v>
      </c>
      <c r="E1251" s="1129">
        <v>0</v>
      </c>
      <c r="F1251" s="1129">
        <v>0</v>
      </c>
      <c r="G1251" s="1129">
        <v>0</v>
      </c>
      <c r="H1251" s="1129">
        <v>0</v>
      </c>
      <c r="I1251" s="1129">
        <v>0</v>
      </c>
      <c r="J1251" s="1129">
        <v>0</v>
      </c>
      <c r="K1251" s="1136">
        <v>0</v>
      </c>
      <c r="L1251" s="1129">
        <v>0</v>
      </c>
      <c r="M1251" s="1136">
        <v>1</v>
      </c>
      <c r="N1251" s="1129">
        <v>1821913</v>
      </c>
      <c r="O1251" s="1129">
        <v>0</v>
      </c>
      <c r="P1251" s="1129">
        <v>0</v>
      </c>
      <c r="Q1251" s="1129">
        <v>0</v>
      </c>
      <c r="R1251" s="1129">
        <v>0</v>
      </c>
      <c r="S1251" s="1129">
        <v>0</v>
      </c>
      <c r="T1251" s="1129">
        <v>0</v>
      </c>
      <c r="U1251" s="1129">
        <v>0</v>
      </c>
      <c r="V1251" s="1129">
        <v>0</v>
      </c>
      <c r="W1251" s="1129">
        <v>0</v>
      </c>
      <c r="X1251" s="1129">
        <v>142691.76999999999</v>
      </c>
      <c r="Y1251" s="1129">
        <v>0</v>
      </c>
    </row>
    <row r="1252" spans="1:25" s="1137" customFormat="1" ht="114" customHeight="1">
      <c r="A1252" s="1280">
        <v>225</v>
      </c>
      <c r="B1252" s="1135" t="s">
        <v>1916</v>
      </c>
      <c r="C1252" s="1129">
        <f t="shared" si="539"/>
        <v>3158928.8600000003</v>
      </c>
      <c r="D1252" s="1129">
        <f t="shared" si="540"/>
        <v>0</v>
      </c>
      <c r="E1252" s="1129">
        <v>0</v>
      </c>
      <c r="F1252" s="1129">
        <v>0</v>
      </c>
      <c r="G1252" s="1129">
        <v>0</v>
      </c>
      <c r="H1252" s="1129">
        <v>0</v>
      </c>
      <c r="I1252" s="1129">
        <v>0</v>
      </c>
      <c r="J1252" s="1129">
        <v>0</v>
      </c>
      <c r="K1252" s="1136">
        <v>0</v>
      </c>
      <c r="L1252" s="1129">
        <v>0</v>
      </c>
      <c r="M1252" s="1136">
        <v>0</v>
      </c>
      <c r="N1252" s="1129">
        <v>0</v>
      </c>
      <c r="O1252" s="1129">
        <v>680</v>
      </c>
      <c r="P1252" s="1129">
        <v>3080338.12</v>
      </c>
      <c r="Q1252" s="1129">
        <v>0</v>
      </c>
      <c r="R1252" s="1129">
        <v>0</v>
      </c>
      <c r="S1252" s="1129">
        <v>0</v>
      </c>
      <c r="T1252" s="1129">
        <v>0</v>
      </c>
      <c r="U1252" s="1129">
        <v>0</v>
      </c>
      <c r="V1252" s="1129">
        <v>0</v>
      </c>
      <c r="W1252" s="1129">
        <v>0</v>
      </c>
      <c r="X1252" s="1129">
        <v>78590.740000000005</v>
      </c>
      <c r="Y1252" s="1129">
        <v>0</v>
      </c>
    </row>
    <row r="1253" spans="1:25" s="1137" customFormat="1" ht="94.9" customHeight="1">
      <c r="A1253" s="1280">
        <v>226</v>
      </c>
      <c r="B1253" s="1135" t="s">
        <v>1917</v>
      </c>
      <c r="C1253" s="1129">
        <f t="shared" si="539"/>
        <v>1784217.5699999998</v>
      </c>
      <c r="D1253" s="1129">
        <f t="shared" si="540"/>
        <v>0</v>
      </c>
      <c r="E1253" s="1129">
        <v>0</v>
      </c>
      <c r="F1253" s="1129">
        <v>0</v>
      </c>
      <c r="G1253" s="1129">
        <v>0</v>
      </c>
      <c r="H1253" s="1129">
        <v>0</v>
      </c>
      <c r="I1253" s="1129">
        <v>0</v>
      </c>
      <c r="J1253" s="1129">
        <v>0</v>
      </c>
      <c r="K1253" s="1136">
        <v>0</v>
      </c>
      <c r="L1253" s="1129">
        <v>0</v>
      </c>
      <c r="M1253" s="1136">
        <v>0</v>
      </c>
      <c r="N1253" s="1129">
        <v>0</v>
      </c>
      <c r="O1253" s="1129">
        <v>380</v>
      </c>
      <c r="P1253" s="1129">
        <v>1721365.42</v>
      </c>
      <c r="Q1253" s="1129">
        <v>0</v>
      </c>
      <c r="R1253" s="1129">
        <v>0</v>
      </c>
      <c r="S1253" s="1129">
        <v>0</v>
      </c>
      <c r="T1253" s="1129">
        <v>0</v>
      </c>
      <c r="U1253" s="1129">
        <v>0</v>
      </c>
      <c r="V1253" s="1129">
        <v>0</v>
      </c>
      <c r="W1253" s="1129">
        <v>0</v>
      </c>
      <c r="X1253" s="1129">
        <v>62852.15</v>
      </c>
      <c r="Y1253" s="1129">
        <v>0</v>
      </c>
    </row>
    <row r="1254" spans="1:25" s="1137" customFormat="1" ht="71.45" customHeight="1">
      <c r="A1254" s="1280">
        <v>227</v>
      </c>
      <c r="B1254" s="1135" t="s">
        <v>1506</v>
      </c>
      <c r="C1254" s="1129">
        <f t="shared" ref="C1254:C1255" si="543">D1254+N1254+P1254+R1254+T1254+V1254+X1254</f>
        <v>2267684</v>
      </c>
      <c r="D1254" s="1129">
        <f t="shared" ref="D1254:D1255" si="544">SUM(E1254:J1254)</f>
        <v>0</v>
      </c>
      <c r="E1254" s="1129">
        <v>0</v>
      </c>
      <c r="F1254" s="1129">
        <v>0</v>
      </c>
      <c r="G1254" s="1129">
        <v>0</v>
      </c>
      <c r="H1254" s="1129">
        <v>0</v>
      </c>
      <c r="I1254" s="1129">
        <v>0</v>
      </c>
      <c r="J1254" s="1129">
        <v>0</v>
      </c>
      <c r="K1254" s="1136">
        <v>0</v>
      </c>
      <c r="L1254" s="1129">
        <v>0</v>
      </c>
      <c r="M1254" s="1136">
        <v>0</v>
      </c>
      <c r="N1254" s="1129">
        <v>0</v>
      </c>
      <c r="O1254" s="1129">
        <v>670</v>
      </c>
      <c r="P1254" s="1129">
        <v>2102971</v>
      </c>
      <c r="Q1254" s="1129">
        <v>0</v>
      </c>
      <c r="R1254" s="1129">
        <v>0</v>
      </c>
      <c r="S1254" s="1129">
        <v>0</v>
      </c>
      <c r="T1254" s="1129">
        <v>0</v>
      </c>
      <c r="U1254" s="1129">
        <v>0</v>
      </c>
      <c r="V1254" s="1129">
        <v>0</v>
      </c>
      <c r="W1254" s="1129">
        <v>0</v>
      </c>
      <c r="X1254" s="1129">
        <v>164713</v>
      </c>
      <c r="Y1254" s="1129">
        <v>0</v>
      </c>
    </row>
    <row r="1255" spans="1:25" s="1137" customFormat="1" ht="86.25" customHeight="1">
      <c r="A1255" s="1280">
        <v>228</v>
      </c>
      <c r="B1255" s="1135" t="s">
        <v>2284</v>
      </c>
      <c r="C1255" s="1129">
        <f t="shared" si="543"/>
        <v>1489225</v>
      </c>
      <c r="D1255" s="1129">
        <f t="shared" si="544"/>
        <v>0</v>
      </c>
      <c r="E1255" s="1129">
        <v>0</v>
      </c>
      <c r="F1255" s="1129">
        <v>0</v>
      </c>
      <c r="G1255" s="1129">
        <v>0</v>
      </c>
      <c r="H1255" s="1129">
        <v>0</v>
      </c>
      <c r="I1255" s="1129">
        <v>0</v>
      </c>
      <c r="J1255" s="1129">
        <v>0</v>
      </c>
      <c r="K1255" s="1136">
        <v>0</v>
      </c>
      <c r="L1255" s="1129">
        <v>0</v>
      </c>
      <c r="M1255" s="1136">
        <v>0</v>
      </c>
      <c r="N1255" s="1129">
        <v>0</v>
      </c>
      <c r="O1255" s="1129">
        <v>440</v>
      </c>
      <c r="P1255" s="1129">
        <v>1381055</v>
      </c>
      <c r="Q1255" s="1129">
        <v>0</v>
      </c>
      <c r="R1255" s="1129">
        <v>0</v>
      </c>
      <c r="S1255" s="1129">
        <v>0</v>
      </c>
      <c r="T1255" s="1129">
        <v>0</v>
      </c>
      <c r="U1255" s="1129">
        <v>0</v>
      </c>
      <c r="V1255" s="1129">
        <v>0</v>
      </c>
      <c r="W1255" s="1129">
        <v>0</v>
      </c>
      <c r="X1255" s="1129">
        <v>108170</v>
      </c>
      <c r="Y1255" s="1129">
        <v>0</v>
      </c>
    </row>
    <row r="1256" spans="1:25" s="1137" customFormat="1" ht="73.900000000000006" customHeight="1">
      <c r="A1256" s="1280">
        <v>229</v>
      </c>
      <c r="B1256" s="1135" t="s">
        <v>1127</v>
      </c>
      <c r="C1256" s="1129">
        <f t="shared" ref="C1256" si="545">D1256+N1256+P1256+R1256+T1256+V1256+X1256</f>
        <v>1198875.73</v>
      </c>
      <c r="D1256" s="1129">
        <f t="shared" ref="D1256" si="546">SUM(E1256:J1256)</f>
        <v>0</v>
      </c>
      <c r="E1256" s="1129">
        <v>0</v>
      </c>
      <c r="F1256" s="1129">
        <v>0</v>
      </c>
      <c r="G1256" s="1129">
        <v>0</v>
      </c>
      <c r="H1256" s="1129">
        <v>0</v>
      </c>
      <c r="I1256" s="1129">
        <v>0</v>
      </c>
      <c r="J1256" s="1129">
        <v>0</v>
      </c>
      <c r="K1256" s="1136">
        <v>0</v>
      </c>
      <c r="L1256" s="1129">
        <v>0</v>
      </c>
      <c r="M1256" s="1136">
        <v>0</v>
      </c>
      <c r="N1256" s="1129">
        <v>0</v>
      </c>
      <c r="O1256" s="1129">
        <v>299</v>
      </c>
      <c r="P1256" s="1129">
        <v>1124783.04</v>
      </c>
      <c r="Q1256" s="1129">
        <v>0</v>
      </c>
      <c r="R1256" s="1129">
        <v>0</v>
      </c>
      <c r="S1256" s="1129">
        <v>0</v>
      </c>
      <c r="T1256" s="1129">
        <v>0</v>
      </c>
      <c r="U1256" s="1129">
        <v>0</v>
      </c>
      <c r="V1256" s="1129">
        <v>0</v>
      </c>
      <c r="W1256" s="1129">
        <v>0</v>
      </c>
      <c r="X1256" s="1129">
        <v>74092.69</v>
      </c>
      <c r="Y1256" s="1129">
        <v>0</v>
      </c>
    </row>
    <row r="1257" spans="1:25" s="1137" customFormat="1" ht="64.150000000000006" customHeight="1">
      <c r="A1257" s="1280">
        <v>230</v>
      </c>
      <c r="B1257" s="1135" t="s">
        <v>1409</v>
      </c>
      <c r="C1257" s="1129">
        <f t="shared" si="539"/>
        <v>3019437</v>
      </c>
      <c r="D1257" s="1129">
        <f t="shared" si="540"/>
        <v>0</v>
      </c>
      <c r="E1257" s="1129">
        <v>0</v>
      </c>
      <c r="F1257" s="1129">
        <v>0</v>
      </c>
      <c r="G1257" s="1129">
        <v>0</v>
      </c>
      <c r="H1257" s="1129">
        <v>0</v>
      </c>
      <c r="I1257" s="1129">
        <v>0</v>
      </c>
      <c r="J1257" s="1129">
        <v>0</v>
      </c>
      <c r="K1257" s="1136">
        <v>0</v>
      </c>
      <c r="L1257" s="1129">
        <v>0</v>
      </c>
      <c r="M1257" s="1136">
        <v>0</v>
      </c>
      <c r="N1257" s="1129">
        <v>0</v>
      </c>
      <c r="O1257" s="1129">
        <v>1111.25</v>
      </c>
      <c r="P1257" s="1129">
        <v>2800121</v>
      </c>
      <c r="Q1257" s="1129">
        <v>0</v>
      </c>
      <c r="R1257" s="1129">
        <v>0</v>
      </c>
      <c r="S1257" s="1129">
        <v>0</v>
      </c>
      <c r="T1257" s="1129">
        <v>0</v>
      </c>
      <c r="U1257" s="1129">
        <v>0</v>
      </c>
      <c r="V1257" s="1129">
        <v>0</v>
      </c>
      <c r="W1257" s="1129">
        <v>0</v>
      </c>
      <c r="X1257" s="1129">
        <v>219316</v>
      </c>
      <c r="Y1257" s="1129">
        <v>0</v>
      </c>
    </row>
    <row r="1258" spans="1:25" s="1137" customFormat="1" ht="73.900000000000006" customHeight="1">
      <c r="A1258" s="1280">
        <v>231</v>
      </c>
      <c r="B1258" s="1135" t="s">
        <v>1136</v>
      </c>
      <c r="C1258" s="1129">
        <f t="shared" si="539"/>
        <v>760568</v>
      </c>
      <c r="D1258" s="1129">
        <f t="shared" si="540"/>
        <v>0</v>
      </c>
      <c r="E1258" s="1129">
        <v>0</v>
      </c>
      <c r="F1258" s="1129">
        <v>0</v>
      </c>
      <c r="G1258" s="1129">
        <v>0</v>
      </c>
      <c r="H1258" s="1129">
        <v>0</v>
      </c>
      <c r="I1258" s="1129">
        <v>0</v>
      </c>
      <c r="J1258" s="1129">
        <v>0</v>
      </c>
      <c r="K1258" s="1136">
        <v>0</v>
      </c>
      <c r="L1258" s="1129">
        <v>0</v>
      </c>
      <c r="M1258" s="1136">
        <v>0</v>
      </c>
      <c r="N1258" s="1129">
        <v>0</v>
      </c>
      <c r="O1258" s="1129">
        <v>234</v>
      </c>
      <c r="P1258" s="1129">
        <v>705324.27</v>
      </c>
      <c r="Q1258" s="1129">
        <v>0</v>
      </c>
      <c r="R1258" s="1129">
        <v>0</v>
      </c>
      <c r="S1258" s="1129">
        <v>0</v>
      </c>
      <c r="T1258" s="1129">
        <v>0</v>
      </c>
      <c r="U1258" s="1129">
        <v>0</v>
      </c>
      <c r="V1258" s="1129">
        <v>0</v>
      </c>
      <c r="W1258" s="1129">
        <v>0</v>
      </c>
      <c r="X1258" s="1129">
        <v>55243.73</v>
      </c>
      <c r="Y1258" s="1129">
        <v>0</v>
      </c>
    </row>
    <row r="1259" spans="1:25" s="1137" customFormat="1" ht="73.900000000000006" customHeight="1">
      <c r="A1259" s="1280">
        <v>232</v>
      </c>
      <c r="B1259" s="1135" t="s">
        <v>1137</v>
      </c>
      <c r="C1259" s="1129">
        <f t="shared" si="539"/>
        <v>3540294</v>
      </c>
      <c r="D1259" s="1129">
        <f t="shared" si="540"/>
        <v>0</v>
      </c>
      <c r="E1259" s="1129">
        <v>0</v>
      </c>
      <c r="F1259" s="1129">
        <v>0</v>
      </c>
      <c r="G1259" s="1129">
        <v>0</v>
      </c>
      <c r="H1259" s="1129">
        <v>0</v>
      </c>
      <c r="I1259" s="1129">
        <v>0</v>
      </c>
      <c r="J1259" s="1129">
        <v>0</v>
      </c>
      <c r="K1259" s="1136">
        <v>0</v>
      </c>
      <c r="L1259" s="1129">
        <v>0</v>
      </c>
      <c r="M1259" s="1136">
        <v>0</v>
      </c>
      <c r="N1259" s="1129">
        <v>0</v>
      </c>
      <c r="O1259" s="1129">
        <v>1046</v>
      </c>
      <c r="P1259" s="1129">
        <v>3283145</v>
      </c>
      <c r="Q1259" s="1129">
        <v>0</v>
      </c>
      <c r="R1259" s="1129">
        <v>0</v>
      </c>
      <c r="S1259" s="1129">
        <v>0</v>
      </c>
      <c r="T1259" s="1129">
        <v>0</v>
      </c>
      <c r="U1259" s="1129">
        <v>0</v>
      </c>
      <c r="V1259" s="1129">
        <v>0</v>
      </c>
      <c r="W1259" s="1129">
        <v>0</v>
      </c>
      <c r="X1259" s="1129">
        <v>257149</v>
      </c>
      <c r="Y1259" s="1129">
        <v>0</v>
      </c>
    </row>
    <row r="1260" spans="1:25" s="1137" customFormat="1" ht="71.45" customHeight="1">
      <c r="A1260" s="1280">
        <v>233</v>
      </c>
      <c r="B1260" s="1135" t="s">
        <v>1410</v>
      </c>
      <c r="C1260" s="1129">
        <f t="shared" si="539"/>
        <v>1658455</v>
      </c>
      <c r="D1260" s="1129">
        <f t="shared" si="540"/>
        <v>0</v>
      </c>
      <c r="E1260" s="1129">
        <v>0</v>
      </c>
      <c r="F1260" s="1129">
        <v>0</v>
      </c>
      <c r="G1260" s="1129">
        <v>0</v>
      </c>
      <c r="H1260" s="1129">
        <v>0</v>
      </c>
      <c r="I1260" s="1129">
        <v>0</v>
      </c>
      <c r="J1260" s="1129">
        <v>0</v>
      </c>
      <c r="K1260" s="1136">
        <v>0</v>
      </c>
      <c r="L1260" s="1129">
        <v>0</v>
      </c>
      <c r="M1260" s="1136">
        <v>0</v>
      </c>
      <c r="N1260" s="1129">
        <v>0</v>
      </c>
      <c r="O1260" s="1129">
        <v>490</v>
      </c>
      <c r="P1260" s="1129">
        <v>1537993</v>
      </c>
      <c r="Q1260" s="1129">
        <v>0</v>
      </c>
      <c r="R1260" s="1129">
        <v>0</v>
      </c>
      <c r="S1260" s="1129">
        <v>0</v>
      </c>
      <c r="T1260" s="1129">
        <v>0</v>
      </c>
      <c r="U1260" s="1129">
        <v>0</v>
      </c>
      <c r="V1260" s="1129">
        <v>0</v>
      </c>
      <c r="W1260" s="1129">
        <v>0</v>
      </c>
      <c r="X1260" s="1129">
        <v>120462</v>
      </c>
      <c r="Y1260" s="1129">
        <v>0</v>
      </c>
    </row>
    <row r="1261" spans="1:25" s="1137" customFormat="1" ht="69" customHeight="1">
      <c r="A1261" s="1280">
        <v>234</v>
      </c>
      <c r="B1261" s="1135" t="s">
        <v>1628</v>
      </c>
      <c r="C1261" s="1129">
        <f t="shared" ref="C1261:C1263" si="547">D1261+N1261+P1261+R1261+T1261+V1261+X1261</f>
        <v>1093226</v>
      </c>
      <c r="D1261" s="1129">
        <f t="shared" ref="D1261:D1263" si="548">SUM(E1261:J1261)</f>
        <v>0</v>
      </c>
      <c r="E1261" s="1129">
        <v>0</v>
      </c>
      <c r="F1261" s="1129">
        <v>0</v>
      </c>
      <c r="G1261" s="1129">
        <v>0</v>
      </c>
      <c r="H1261" s="1129">
        <v>0</v>
      </c>
      <c r="I1261" s="1129">
        <v>0</v>
      </c>
      <c r="J1261" s="1129">
        <v>0</v>
      </c>
      <c r="K1261" s="1136">
        <v>0</v>
      </c>
      <c r="L1261" s="1129">
        <v>0</v>
      </c>
      <c r="M1261" s="1136">
        <v>0</v>
      </c>
      <c r="N1261" s="1129">
        <v>0</v>
      </c>
      <c r="O1261" s="1129">
        <v>323</v>
      </c>
      <c r="P1261" s="1129">
        <v>1013820</v>
      </c>
      <c r="Q1261" s="1129">
        <v>0</v>
      </c>
      <c r="R1261" s="1129">
        <v>0</v>
      </c>
      <c r="S1261" s="1129">
        <v>0</v>
      </c>
      <c r="T1261" s="1129">
        <v>0</v>
      </c>
      <c r="U1261" s="1129">
        <v>0</v>
      </c>
      <c r="V1261" s="1129">
        <v>0</v>
      </c>
      <c r="W1261" s="1129">
        <v>0</v>
      </c>
      <c r="X1261" s="1129">
        <v>79406</v>
      </c>
      <c r="Y1261" s="1129">
        <v>0</v>
      </c>
    </row>
    <row r="1262" spans="1:25" s="1137" customFormat="1" ht="69" customHeight="1">
      <c r="A1262" s="1280">
        <v>235</v>
      </c>
      <c r="B1262" s="1181" t="s">
        <v>791</v>
      </c>
      <c r="C1262" s="1129">
        <f t="shared" si="547"/>
        <v>2518802</v>
      </c>
      <c r="D1262" s="1129">
        <f t="shared" si="548"/>
        <v>0</v>
      </c>
      <c r="E1262" s="1129">
        <v>0</v>
      </c>
      <c r="F1262" s="1129">
        <v>0</v>
      </c>
      <c r="G1262" s="1129">
        <v>0</v>
      </c>
      <c r="H1262" s="1129">
        <v>0</v>
      </c>
      <c r="I1262" s="1129">
        <v>0</v>
      </c>
      <c r="J1262" s="1129">
        <v>0</v>
      </c>
      <c r="K1262" s="1136">
        <v>0</v>
      </c>
      <c r="L1262" s="1129">
        <v>0</v>
      </c>
      <c r="M1262" s="1136">
        <v>0</v>
      </c>
      <c r="N1262" s="1129">
        <v>0</v>
      </c>
      <c r="O1262" s="1129">
        <v>927</v>
      </c>
      <c r="P1262" s="1129">
        <v>2335849</v>
      </c>
      <c r="Q1262" s="1129">
        <v>0</v>
      </c>
      <c r="R1262" s="1129">
        <v>0</v>
      </c>
      <c r="S1262" s="1129">
        <v>0</v>
      </c>
      <c r="T1262" s="1129">
        <v>0</v>
      </c>
      <c r="U1262" s="1129">
        <v>0</v>
      </c>
      <c r="V1262" s="1129">
        <v>0</v>
      </c>
      <c r="W1262" s="1129">
        <v>0</v>
      </c>
      <c r="X1262" s="1129">
        <v>182953</v>
      </c>
      <c r="Y1262" s="1129">
        <v>0</v>
      </c>
    </row>
    <row r="1263" spans="1:25" s="1137" customFormat="1" ht="81" customHeight="1">
      <c r="A1263" s="1280">
        <v>236</v>
      </c>
      <c r="B1263" s="1135" t="s">
        <v>1798</v>
      </c>
      <c r="C1263" s="1129">
        <f t="shared" si="547"/>
        <v>1964255</v>
      </c>
      <c r="D1263" s="1129">
        <f t="shared" si="548"/>
        <v>0</v>
      </c>
      <c r="E1263" s="1129">
        <v>0</v>
      </c>
      <c r="F1263" s="1129">
        <v>0</v>
      </c>
      <c r="G1263" s="1129">
        <v>0</v>
      </c>
      <c r="H1263" s="1129">
        <v>0</v>
      </c>
      <c r="I1263" s="1129">
        <v>0</v>
      </c>
      <c r="J1263" s="1129">
        <v>0</v>
      </c>
      <c r="K1263" s="1136">
        <v>0</v>
      </c>
      <c r="L1263" s="1129">
        <v>0</v>
      </c>
      <c r="M1263" s="1136">
        <v>1</v>
      </c>
      <c r="N1263" s="1129">
        <v>1821817.23</v>
      </c>
      <c r="O1263" s="1129">
        <v>0</v>
      </c>
      <c r="P1263" s="1129">
        <v>0</v>
      </c>
      <c r="Q1263" s="1129">
        <v>0</v>
      </c>
      <c r="R1263" s="1129">
        <v>0</v>
      </c>
      <c r="S1263" s="1129">
        <v>0</v>
      </c>
      <c r="T1263" s="1129">
        <v>0</v>
      </c>
      <c r="U1263" s="1129">
        <v>0</v>
      </c>
      <c r="V1263" s="1129">
        <v>0</v>
      </c>
      <c r="W1263" s="1129">
        <v>0</v>
      </c>
      <c r="X1263" s="1129">
        <v>142437.76999999999</v>
      </c>
      <c r="Y1263" s="1129">
        <v>0</v>
      </c>
    </row>
    <row r="1264" spans="1:25" s="1137" customFormat="1" ht="91.5" customHeight="1">
      <c r="A1264" s="1280">
        <v>237</v>
      </c>
      <c r="B1264" s="1135" t="s">
        <v>1918</v>
      </c>
      <c r="C1264" s="1129">
        <f t="shared" si="539"/>
        <v>3697504</v>
      </c>
      <c r="D1264" s="1129">
        <f t="shared" si="540"/>
        <v>0</v>
      </c>
      <c r="E1264" s="1129">
        <v>0</v>
      </c>
      <c r="F1264" s="1129">
        <v>0</v>
      </c>
      <c r="G1264" s="1129">
        <v>0</v>
      </c>
      <c r="H1264" s="1129">
        <v>0</v>
      </c>
      <c r="I1264" s="1129">
        <v>0</v>
      </c>
      <c r="J1264" s="1129">
        <v>0</v>
      </c>
      <c r="K1264" s="1136">
        <v>0</v>
      </c>
      <c r="L1264" s="1129">
        <v>0</v>
      </c>
      <c r="M1264" s="1136">
        <v>0</v>
      </c>
      <c r="N1264" s="1129">
        <v>0</v>
      </c>
      <c r="O1264" s="1129">
        <v>1360.8</v>
      </c>
      <c r="P1264" s="1129">
        <v>3428936</v>
      </c>
      <c r="Q1264" s="1129">
        <v>0</v>
      </c>
      <c r="R1264" s="1129">
        <v>0</v>
      </c>
      <c r="S1264" s="1129">
        <v>0</v>
      </c>
      <c r="T1264" s="1129">
        <v>0</v>
      </c>
      <c r="U1264" s="1129">
        <v>0</v>
      </c>
      <c r="V1264" s="1129">
        <v>0</v>
      </c>
      <c r="W1264" s="1129">
        <v>0</v>
      </c>
      <c r="X1264" s="1129">
        <v>268568</v>
      </c>
      <c r="Y1264" s="1129">
        <v>0</v>
      </c>
    </row>
    <row r="1265" spans="1:25" s="1137" customFormat="1" ht="78.599999999999994" customHeight="1">
      <c r="A1265" s="1280">
        <v>238</v>
      </c>
      <c r="B1265" s="1181" t="s">
        <v>792</v>
      </c>
      <c r="C1265" s="1129">
        <f t="shared" si="539"/>
        <v>4662878.04</v>
      </c>
      <c r="D1265" s="1129">
        <f t="shared" si="540"/>
        <v>0</v>
      </c>
      <c r="E1265" s="1129">
        <v>0</v>
      </c>
      <c r="F1265" s="1129">
        <v>0</v>
      </c>
      <c r="G1265" s="1129">
        <v>0</v>
      </c>
      <c r="H1265" s="1129">
        <v>0</v>
      </c>
      <c r="I1265" s="1129">
        <v>0</v>
      </c>
      <c r="J1265" s="1129">
        <v>0</v>
      </c>
      <c r="K1265" s="1136">
        <v>0</v>
      </c>
      <c r="L1265" s="1129">
        <v>0</v>
      </c>
      <c r="M1265" s="1136">
        <v>0</v>
      </c>
      <c r="N1265" s="1129">
        <v>0</v>
      </c>
      <c r="O1265" s="1129">
        <v>1388</v>
      </c>
      <c r="P1265" s="1129">
        <v>4349226.04</v>
      </c>
      <c r="Q1265" s="1129">
        <v>0</v>
      </c>
      <c r="R1265" s="1129">
        <v>0</v>
      </c>
      <c r="S1265" s="1129">
        <v>0</v>
      </c>
      <c r="T1265" s="1129">
        <v>0</v>
      </c>
      <c r="U1265" s="1129">
        <v>0</v>
      </c>
      <c r="V1265" s="1129">
        <v>0</v>
      </c>
      <c r="W1265" s="1129">
        <v>0</v>
      </c>
      <c r="X1265" s="1129">
        <v>313652</v>
      </c>
      <c r="Y1265" s="1129">
        <v>0</v>
      </c>
    </row>
    <row r="1266" spans="1:25" s="1137" customFormat="1" ht="71.45" customHeight="1">
      <c r="A1266" s="1280">
        <v>239</v>
      </c>
      <c r="B1266" s="1135" t="s">
        <v>1155</v>
      </c>
      <c r="C1266" s="1129">
        <f t="shared" si="539"/>
        <v>5828295</v>
      </c>
      <c r="D1266" s="1129">
        <f t="shared" si="540"/>
        <v>0</v>
      </c>
      <c r="E1266" s="1129">
        <v>0</v>
      </c>
      <c r="F1266" s="1129">
        <v>0</v>
      </c>
      <c r="G1266" s="1129">
        <v>0</v>
      </c>
      <c r="H1266" s="1129">
        <v>0</v>
      </c>
      <c r="I1266" s="1129">
        <v>0</v>
      </c>
      <c r="J1266" s="1129">
        <v>0</v>
      </c>
      <c r="K1266" s="1136">
        <v>0</v>
      </c>
      <c r="L1266" s="1129">
        <v>0</v>
      </c>
      <c r="M1266" s="1136">
        <v>0</v>
      </c>
      <c r="N1266" s="1129">
        <v>0</v>
      </c>
      <c r="O1266" s="1129">
        <v>2145</v>
      </c>
      <c r="P1266" s="1129">
        <v>5404958</v>
      </c>
      <c r="Q1266" s="1129">
        <v>0</v>
      </c>
      <c r="R1266" s="1129">
        <v>0</v>
      </c>
      <c r="S1266" s="1129">
        <v>0</v>
      </c>
      <c r="T1266" s="1129">
        <v>0</v>
      </c>
      <c r="U1266" s="1129">
        <v>0</v>
      </c>
      <c r="V1266" s="1129">
        <v>0</v>
      </c>
      <c r="W1266" s="1129">
        <v>0</v>
      </c>
      <c r="X1266" s="1129">
        <v>423337</v>
      </c>
      <c r="Y1266" s="1129">
        <v>0</v>
      </c>
    </row>
    <row r="1267" spans="1:25" s="1137" customFormat="1" ht="92.45" customHeight="1">
      <c r="A1267" s="1280">
        <v>240</v>
      </c>
      <c r="B1267" s="1135" t="s">
        <v>1919</v>
      </c>
      <c r="C1267" s="1129">
        <f t="shared" si="539"/>
        <v>2937787</v>
      </c>
      <c r="D1267" s="1129">
        <f t="shared" si="540"/>
        <v>0</v>
      </c>
      <c r="E1267" s="1129">
        <v>0</v>
      </c>
      <c r="F1267" s="1129">
        <v>0</v>
      </c>
      <c r="G1267" s="1129">
        <v>0</v>
      </c>
      <c r="H1267" s="1129">
        <v>0</v>
      </c>
      <c r="I1267" s="1129">
        <v>0</v>
      </c>
      <c r="J1267" s="1129">
        <v>0</v>
      </c>
      <c r="K1267" s="1136">
        <v>0</v>
      </c>
      <c r="L1267" s="1129">
        <v>0</v>
      </c>
      <c r="M1267" s="1136">
        <v>0</v>
      </c>
      <c r="N1267" s="1129">
        <v>0</v>
      </c>
      <c r="O1267" s="1129">
        <v>1081.2</v>
      </c>
      <c r="P1267" s="1129">
        <v>2724401</v>
      </c>
      <c r="Q1267" s="1129">
        <v>0</v>
      </c>
      <c r="R1267" s="1129">
        <v>0</v>
      </c>
      <c r="S1267" s="1129">
        <v>0</v>
      </c>
      <c r="T1267" s="1129">
        <v>0</v>
      </c>
      <c r="U1267" s="1129">
        <v>0</v>
      </c>
      <c r="V1267" s="1129">
        <v>0</v>
      </c>
      <c r="W1267" s="1129">
        <v>0</v>
      </c>
      <c r="X1267" s="1129">
        <v>213386</v>
      </c>
      <c r="Y1267" s="1129">
        <v>0</v>
      </c>
    </row>
    <row r="1268" spans="1:25" s="1137" customFormat="1" ht="69" customHeight="1">
      <c r="A1268" s="1280">
        <v>241</v>
      </c>
      <c r="B1268" s="1135" t="s">
        <v>2285</v>
      </c>
      <c r="C1268" s="1129">
        <f t="shared" si="539"/>
        <v>3227979</v>
      </c>
      <c r="D1268" s="1129">
        <f t="shared" si="540"/>
        <v>0</v>
      </c>
      <c r="E1268" s="1129">
        <v>0</v>
      </c>
      <c r="F1268" s="1129">
        <v>0</v>
      </c>
      <c r="G1268" s="1129">
        <v>0</v>
      </c>
      <c r="H1268" s="1129">
        <v>0</v>
      </c>
      <c r="I1268" s="1129">
        <v>0</v>
      </c>
      <c r="J1268" s="1129">
        <v>0</v>
      </c>
      <c r="K1268" s="1136">
        <v>0</v>
      </c>
      <c r="L1268" s="1129">
        <v>0</v>
      </c>
      <c r="M1268" s="1136">
        <v>0</v>
      </c>
      <c r="N1268" s="1129">
        <v>0</v>
      </c>
      <c r="O1268" s="1129">
        <v>1188</v>
      </c>
      <c r="P1268" s="1129">
        <v>2993515</v>
      </c>
      <c r="Q1268" s="1129">
        <v>0</v>
      </c>
      <c r="R1268" s="1129">
        <v>0</v>
      </c>
      <c r="S1268" s="1129">
        <v>0</v>
      </c>
      <c r="T1268" s="1129">
        <v>0</v>
      </c>
      <c r="U1268" s="1129">
        <v>0</v>
      </c>
      <c r="V1268" s="1129">
        <v>0</v>
      </c>
      <c r="W1268" s="1129">
        <v>0</v>
      </c>
      <c r="X1268" s="1129">
        <v>234464</v>
      </c>
      <c r="Y1268" s="1129">
        <v>0</v>
      </c>
    </row>
    <row r="1269" spans="1:25" s="1137" customFormat="1" ht="85.15" customHeight="1">
      <c r="A1269" s="1280">
        <v>242</v>
      </c>
      <c r="B1269" s="1135" t="s">
        <v>1920</v>
      </c>
      <c r="C1269" s="1129">
        <f t="shared" si="539"/>
        <v>2436914</v>
      </c>
      <c r="D1269" s="1129">
        <f t="shared" si="540"/>
        <v>0</v>
      </c>
      <c r="E1269" s="1129">
        <v>0</v>
      </c>
      <c r="F1269" s="1129">
        <v>0</v>
      </c>
      <c r="G1269" s="1129">
        <v>0</v>
      </c>
      <c r="H1269" s="1129">
        <v>0</v>
      </c>
      <c r="I1269" s="1129">
        <v>0</v>
      </c>
      <c r="J1269" s="1129">
        <v>0</v>
      </c>
      <c r="K1269" s="1136">
        <v>0</v>
      </c>
      <c r="L1269" s="1129">
        <v>0</v>
      </c>
      <c r="M1269" s="1136">
        <v>0</v>
      </c>
      <c r="N1269" s="1129">
        <v>0</v>
      </c>
      <c r="O1269" s="1129">
        <v>720</v>
      </c>
      <c r="P1269" s="1129">
        <v>2259909</v>
      </c>
      <c r="Q1269" s="1129">
        <v>0</v>
      </c>
      <c r="R1269" s="1129">
        <v>0</v>
      </c>
      <c r="S1269" s="1129">
        <v>0</v>
      </c>
      <c r="T1269" s="1129">
        <v>0</v>
      </c>
      <c r="U1269" s="1129">
        <v>0</v>
      </c>
      <c r="V1269" s="1129">
        <v>0</v>
      </c>
      <c r="W1269" s="1129">
        <v>0</v>
      </c>
      <c r="X1269" s="1129">
        <v>177005</v>
      </c>
      <c r="Y1269" s="1129">
        <v>0</v>
      </c>
    </row>
    <row r="1270" spans="1:25" s="1137" customFormat="1" ht="71.45" customHeight="1">
      <c r="A1270" s="1280">
        <v>243</v>
      </c>
      <c r="B1270" s="1135" t="s">
        <v>1156</v>
      </c>
      <c r="C1270" s="1129">
        <f t="shared" si="539"/>
        <v>2920940</v>
      </c>
      <c r="D1270" s="1129">
        <f t="shared" si="540"/>
        <v>0</v>
      </c>
      <c r="E1270" s="1129">
        <v>0</v>
      </c>
      <c r="F1270" s="1129">
        <v>0</v>
      </c>
      <c r="G1270" s="1129">
        <v>0</v>
      </c>
      <c r="H1270" s="1129">
        <v>0</v>
      </c>
      <c r="I1270" s="1129">
        <v>0</v>
      </c>
      <c r="J1270" s="1129">
        <v>0</v>
      </c>
      <c r="K1270" s="1136">
        <v>0</v>
      </c>
      <c r="L1270" s="1129">
        <v>0</v>
      </c>
      <c r="M1270" s="1136">
        <v>0</v>
      </c>
      <c r="N1270" s="1129">
        <v>0</v>
      </c>
      <c r="O1270" s="1129">
        <v>1075</v>
      </c>
      <c r="P1270" s="1129">
        <v>2708778</v>
      </c>
      <c r="Q1270" s="1129">
        <v>0</v>
      </c>
      <c r="R1270" s="1129">
        <v>0</v>
      </c>
      <c r="S1270" s="1129">
        <v>0</v>
      </c>
      <c r="T1270" s="1129">
        <v>0</v>
      </c>
      <c r="U1270" s="1129">
        <v>0</v>
      </c>
      <c r="V1270" s="1129">
        <v>0</v>
      </c>
      <c r="W1270" s="1129">
        <v>0</v>
      </c>
      <c r="X1270" s="1129">
        <v>212162</v>
      </c>
      <c r="Y1270" s="1129">
        <v>0</v>
      </c>
    </row>
    <row r="1271" spans="1:25" s="1137" customFormat="1" ht="76.150000000000006" customHeight="1">
      <c r="A1271" s="1280">
        <v>244</v>
      </c>
      <c r="B1271" s="1135" t="s">
        <v>848</v>
      </c>
      <c r="C1271" s="1129">
        <f t="shared" si="539"/>
        <v>1353840.88</v>
      </c>
      <c r="D1271" s="1129">
        <f t="shared" si="540"/>
        <v>0</v>
      </c>
      <c r="E1271" s="1129">
        <v>0</v>
      </c>
      <c r="F1271" s="1129">
        <v>0</v>
      </c>
      <c r="G1271" s="1129">
        <v>0</v>
      </c>
      <c r="H1271" s="1129">
        <v>0</v>
      </c>
      <c r="I1271" s="1129">
        <v>0</v>
      </c>
      <c r="J1271" s="1129">
        <v>0</v>
      </c>
      <c r="K1271" s="1136">
        <v>0</v>
      </c>
      <c r="L1271" s="1129">
        <v>0</v>
      </c>
      <c r="M1271" s="1136">
        <v>0</v>
      </c>
      <c r="N1271" s="1129">
        <v>0</v>
      </c>
      <c r="O1271" s="1129">
        <v>400</v>
      </c>
      <c r="P1271" s="1129">
        <v>1255504.8799999999</v>
      </c>
      <c r="Q1271" s="1129">
        <v>0</v>
      </c>
      <c r="R1271" s="1129">
        <v>0</v>
      </c>
      <c r="S1271" s="1129">
        <v>0</v>
      </c>
      <c r="T1271" s="1129">
        <v>0</v>
      </c>
      <c r="U1271" s="1129">
        <v>0</v>
      </c>
      <c r="V1271" s="1129">
        <v>0</v>
      </c>
      <c r="W1271" s="1129">
        <v>0</v>
      </c>
      <c r="X1271" s="1129">
        <v>98336</v>
      </c>
      <c r="Y1271" s="1129">
        <v>0</v>
      </c>
    </row>
    <row r="1272" spans="1:25" s="1137" customFormat="1" ht="78.599999999999994" customHeight="1">
      <c r="A1272" s="1280">
        <v>245</v>
      </c>
      <c r="B1272" s="1135" t="s">
        <v>1135</v>
      </c>
      <c r="C1272" s="1129">
        <f t="shared" si="539"/>
        <v>1468863</v>
      </c>
      <c r="D1272" s="1129">
        <f t="shared" si="540"/>
        <v>0</v>
      </c>
      <c r="E1272" s="1129">
        <v>0</v>
      </c>
      <c r="F1272" s="1129">
        <v>0</v>
      </c>
      <c r="G1272" s="1129">
        <v>0</v>
      </c>
      <c r="H1272" s="1129">
        <v>0</v>
      </c>
      <c r="I1272" s="1129">
        <v>0</v>
      </c>
      <c r="J1272" s="1129">
        <v>0</v>
      </c>
      <c r="K1272" s="1136">
        <v>0</v>
      </c>
      <c r="L1272" s="1129">
        <v>0</v>
      </c>
      <c r="M1272" s="1136">
        <v>0</v>
      </c>
      <c r="N1272" s="1129">
        <v>0</v>
      </c>
      <c r="O1272" s="1129">
        <v>0</v>
      </c>
      <c r="P1272" s="1129">
        <v>0</v>
      </c>
      <c r="Q1272" s="1129">
        <v>0</v>
      </c>
      <c r="R1272" s="1129">
        <v>0</v>
      </c>
      <c r="S1272" s="1129">
        <v>552</v>
      </c>
      <c r="T1272" s="1129">
        <v>1362172</v>
      </c>
      <c r="U1272" s="1129">
        <v>0</v>
      </c>
      <c r="V1272" s="1129">
        <v>0</v>
      </c>
      <c r="W1272" s="1129">
        <v>0</v>
      </c>
      <c r="X1272" s="1129">
        <v>106691</v>
      </c>
      <c r="Y1272" s="1129">
        <v>0</v>
      </c>
    </row>
    <row r="1273" spans="1:25" s="1137" customFormat="1" ht="71.45" customHeight="1">
      <c r="A1273" s="1280">
        <v>246</v>
      </c>
      <c r="B1273" s="1135" t="s">
        <v>1157</v>
      </c>
      <c r="C1273" s="1129">
        <f t="shared" si="539"/>
        <v>10109420</v>
      </c>
      <c r="D1273" s="1129">
        <f t="shared" si="540"/>
        <v>0</v>
      </c>
      <c r="E1273" s="1129">
        <v>0</v>
      </c>
      <c r="F1273" s="1129">
        <v>0</v>
      </c>
      <c r="G1273" s="1129">
        <v>0</v>
      </c>
      <c r="H1273" s="1129">
        <v>0</v>
      </c>
      <c r="I1273" s="1129">
        <v>0</v>
      </c>
      <c r="J1273" s="1129">
        <v>0</v>
      </c>
      <c r="K1273" s="1136">
        <v>0</v>
      </c>
      <c r="L1273" s="1129">
        <v>0</v>
      </c>
      <c r="M1273" s="1136">
        <v>0</v>
      </c>
      <c r="N1273" s="1129">
        <v>0</v>
      </c>
      <c r="O1273" s="1129">
        <v>1100</v>
      </c>
      <c r="P1273" s="1129">
        <v>3452638</v>
      </c>
      <c r="Q1273" s="1129">
        <v>0</v>
      </c>
      <c r="R1273" s="1129">
        <v>0</v>
      </c>
      <c r="S1273" s="1129">
        <v>2400</v>
      </c>
      <c r="T1273" s="1129">
        <v>5922486</v>
      </c>
      <c r="U1273" s="1129">
        <v>0</v>
      </c>
      <c r="V1273" s="1129">
        <v>0</v>
      </c>
      <c r="W1273" s="1129">
        <v>0</v>
      </c>
      <c r="X1273" s="1129">
        <v>734296</v>
      </c>
      <c r="Y1273" s="1129">
        <v>0</v>
      </c>
    </row>
    <row r="1274" spans="1:25" s="1137" customFormat="1" ht="66.599999999999994" customHeight="1">
      <c r="A1274" s="1280">
        <v>247</v>
      </c>
      <c r="B1274" s="1135" t="s">
        <v>1411</v>
      </c>
      <c r="C1274" s="1129">
        <f t="shared" si="539"/>
        <v>5788595</v>
      </c>
      <c r="D1274" s="1129">
        <f t="shared" si="540"/>
        <v>0</v>
      </c>
      <c r="E1274" s="1129">
        <v>0</v>
      </c>
      <c r="F1274" s="1129">
        <v>0</v>
      </c>
      <c r="G1274" s="1129">
        <v>0</v>
      </c>
      <c r="H1274" s="1129">
        <v>0</v>
      </c>
      <c r="I1274" s="1129">
        <v>0</v>
      </c>
      <c r="J1274" s="1129">
        <v>0</v>
      </c>
      <c r="K1274" s="1136">
        <v>0</v>
      </c>
      <c r="L1274" s="1129">
        <v>0</v>
      </c>
      <c r="M1274" s="1136">
        <v>0</v>
      </c>
      <c r="N1274" s="1129">
        <v>0</v>
      </c>
      <c r="O1274" s="1129">
        <v>0</v>
      </c>
      <c r="P1274" s="1129">
        <v>0</v>
      </c>
      <c r="Q1274" s="1129">
        <v>0</v>
      </c>
      <c r="R1274" s="1129">
        <v>0</v>
      </c>
      <c r="S1274" s="1129">
        <v>2226</v>
      </c>
      <c r="T1274" s="1129">
        <v>5368141</v>
      </c>
      <c r="U1274" s="1129">
        <v>0</v>
      </c>
      <c r="V1274" s="1129">
        <v>0</v>
      </c>
      <c r="W1274" s="1129">
        <v>0</v>
      </c>
      <c r="X1274" s="1129">
        <v>420454</v>
      </c>
      <c r="Y1274" s="1129">
        <v>0</v>
      </c>
    </row>
    <row r="1275" spans="1:25" s="1137" customFormat="1" ht="76.150000000000006" customHeight="1">
      <c r="A1275" s="1280">
        <v>248</v>
      </c>
      <c r="B1275" s="1135" t="s">
        <v>1636</v>
      </c>
      <c r="C1275" s="1129">
        <f t="shared" si="539"/>
        <v>9464281.75</v>
      </c>
      <c r="D1275" s="1129">
        <f t="shared" si="540"/>
        <v>0</v>
      </c>
      <c r="E1275" s="1129">
        <v>0</v>
      </c>
      <c r="F1275" s="1129">
        <v>0</v>
      </c>
      <c r="G1275" s="1129">
        <v>0</v>
      </c>
      <c r="H1275" s="1129">
        <v>0</v>
      </c>
      <c r="I1275" s="1129">
        <v>0</v>
      </c>
      <c r="J1275" s="1129">
        <v>0</v>
      </c>
      <c r="K1275" s="1136">
        <v>0</v>
      </c>
      <c r="L1275" s="1129">
        <v>0</v>
      </c>
      <c r="M1275" s="1136">
        <v>0</v>
      </c>
      <c r="N1275" s="1129">
        <v>0</v>
      </c>
      <c r="O1275" s="1129">
        <v>937.2</v>
      </c>
      <c r="P1275" s="1129">
        <v>3525574.14</v>
      </c>
      <c r="Q1275" s="1129">
        <v>0</v>
      </c>
      <c r="R1275" s="1129">
        <v>0</v>
      </c>
      <c r="S1275" s="1129">
        <v>2128</v>
      </c>
      <c r="T1275" s="1129">
        <v>5251271</v>
      </c>
      <c r="U1275" s="1129">
        <v>0</v>
      </c>
      <c r="V1275" s="1129">
        <v>0</v>
      </c>
      <c r="W1275" s="1129">
        <v>0</v>
      </c>
      <c r="X1275" s="1129">
        <f>411300+276136.61</f>
        <v>687436.61</v>
      </c>
      <c r="Y1275" s="1129">
        <v>0</v>
      </c>
    </row>
    <row r="1276" spans="1:25" s="1137" customFormat="1" ht="83.45" customHeight="1">
      <c r="A1276" s="1280">
        <v>249</v>
      </c>
      <c r="B1276" s="1135" t="s">
        <v>1158</v>
      </c>
      <c r="C1276" s="1129">
        <f t="shared" si="539"/>
        <v>1843220</v>
      </c>
      <c r="D1276" s="1129">
        <f t="shared" si="540"/>
        <v>0</v>
      </c>
      <c r="E1276" s="1129">
        <v>0</v>
      </c>
      <c r="F1276" s="1129">
        <v>0</v>
      </c>
      <c r="G1276" s="1129">
        <v>0</v>
      </c>
      <c r="H1276" s="1129">
        <v>0</v>
      </c>
      <c r="I1276" s="1129">
        <v>0</v>
      </c>
      <c r="J1276" s="1129">
        <v>0</v>
      </c>
      <c r="K1276" s="1136">
        <v>0</v>
      </c>
      <c r="L1276" s="1129">
        <v>0</v>
      </c>
      <c r="M1276" s="1136">
        <v>0</v>
      </c>
      <c r="N1276" s="1129">
        <v>0</v>
      </c>
      <c r="O1276" s="1129">
        <v>544.59</v>
      </c>
      <c r="P1276" s="1129">
        <v>1709338</v>
      </c>
      <c r="Q1276" s="1129">
        <v>0</v>
      </c>
      <c r="R1276" s="1129">
        <v>0</v>
      </c>
      <c r="S1276" s="1129">
        <v>0</v>
      </c>
      <c r="T1276" s="1129">
        <v>0</v>
      </c>
      <c r="U1276" s="1129">
        <v>0</v>
      </c>
      <c r="V1276" s="1129">
        <v>0</v>
      </c>
      <c r="W1276" s="1129">
        <v>0</v>
      </c>
      <c r="X1276" s="1129">
        <v>133882</v>
      </c>
      <c r="Y1276" s="1129">
        <v>0</v>
      </c>
    </row>
    <row r="1277" spans="1:25" s="1137" customFormat="1" ht="94.9" customHeight="1">
      <c r="A1277" s="1280">
        <v>250</v>
      </c>
      <c r="B1277" s="1181" t="s">
        <v>1921</v>
      </c>
      <c r="C1277" s="1129">
        <f t="shared" si="539"/>
        <v>10628639.77</v>
      </c>
      <c r="D1277" s="1129">
        <f t="shared" si="540"/>
        <v>0</v>
      </c>
      <c r="E1277" s="1129">
        <v>0</v>
      </c>
      <c r="F1277" s="1129">
        <v>0</v>
      </c>
      <c r="G1277" s="1129">
        <v>0</v>
      </c>
      <c r="H1277" s="1129">
        <v>0</v>
      </c>
      <c r="I1277" s="1129">
        <v>0</v>
      </c>
      <c r="J1277" s="1129">
        <v>0</v>
      </c>
      <c r="K1277" s="1136">
        <v>0</v>
      </c>
      <c r="L1277" s="1129">
        <v>0</v>
      </c>
      <c r="M1277" s="1136">
        <v>0</v>
      </c>
      <c r="N1277" s="1129">
        <v>0</v>
      </c>
      <c r="O1277" s="1129">
        <v>1275</v>
      </c>
      <c r="P1277" s="1129">
        <v>4001922</v>
      </c>
      <c r="Q1277" s="1129">
        <v>0</v>
      </c>
      <c r="R1277" s="1129">
        <v>0</v>
      </c>
      <c r="S1277" s="1129">
        <v>2377</v>
      </c>
      <c r="T1277" s="1129">
        <v>5858290.6500000004</v>
      </c>
      <c r="U1277" s="1129">
        <v>0</v>
      </c>
      <c r="V1277" s="1129">
        <v>0</v>
      </c>
      <c r="W1277" s="1129">
        <v>0</v>
      </c>
      <c r="X1277" s="1129">
        <v>768427.12</v>
      </c>
      <c r="Y1277" s="1129">
        <v>0</v>
      </c>
    </row>
    <row r="1278" spans="1:25" s="1137" customFormat="1" ht="78.599999999999994" customHeight="1">
      <c r="A1278" s="1280">
        <v>251</v>
      </c>
      <c r="B1278" s="1135" t="s">
        <v>1161</v>
      </c>
      <c r="C1278" s="1129">
        <f t="shared" si="539"/>
        <v>1380917.7</v>
      </c>
      <c r="D1278" s="1129">
        <f t="shared" si="540"/>
        <v>0</v>
      </c>
      <c r="E1278" s="1129">
        <v>0</v>
      </c>
      <c r="F1278" s="1129">
        <v>0</v>
      </c>
      <c r="G1278" s="1129">
        <v>0</v>
      </c>
      <c r="H1278" s="1129">
        <v>0</v>
      </c>
      <c r="I1278" s="1129">
        <v>0</v>
      </c>
      <c r="J1278" s="1129">
        <v>0</v>
      </c>
      <c r="K1278" s="1136">
        <v>0</v>
      </c>
      <c r="L1278" s="1129">
        <v>0</v>
      </c>
      <c r="M1278" s="1136">
        <v>0</v>
      </c>
      <c r="N1278" s="1129">
        <v>0</v>
      </c>
      <c r="O1278" s="1129">
        <v>408</v>
      </c>
      <c r="P1278" s="1129">
        <v>1280614.98</v>
      </c>
      <c r="Q1278" s="1129">
        <v>0</v>
      </c>
      <c r="R1278" s="1129">
        <v>0</v>
      </c>
      <c r="S1278" s="1129">
        <v>0</v>
      </c>
      <c r="T1278" s="1129">
        <v>0</v>
      </c>
      <c r="U1278" s="1129">
        <v>0</v>
      </c>
      <c r="V1278" s="1129">
        <v>0</v>
      </c>
      <c r="W1278" s="1129">
        <v>0</v>
      </c>
      <c r="X1278" s="1129">
        <v>100302.72</v>
      </c>
      <c r="Y1278" s="1129">
        <v>0</v>
      </c>
    </row>
    <row r="1279" spans="1:25" s="1137" customFormat="1" ht="71.45" customHeight="1">
      <c r="A1279" s="1280">
        <v>252</v>
      </c>
      <c r="B1279" s="1135" t="s">
        <v>1138</v>
      </c>
      <c r="C1279" s="1129">
        <f t="shared" si="539"/>
        <v>978176</v>
      </c>
      <c r="D1279" s="1129">
        <f t="shared" si="540"/>
        <v>0</v>
      </c>
      <c r="E1279" s="1129">
        <v>0</v>
      </c>
      <c r="F1279" s="1129">
        <v>0</v>
      </c>
      <c r="G1279" s="1129">
        <v>0</v>
      </c>
      <c r="H1279" s="1129">
        <v>0</v>
      </c>
      <c r="I1279" s="1129">
        <v>0</v>
      </c>
      <c r="J1279" s="1129">
        <v>0</v>
      </c>
      <c r="K1279" s="1136">
        <v>0</v>
      </c>
      <c r="L1279" s="1129">
        <v>0</v>
      </c>
      <c r="M1279" s="1136">
        <v>0</v>
      </c>
      <c r="N1279" s="1129">
        <v>0</v>
      </c>
      <c r="O1279" s="1129">
        <v>360</v>
      </c>
      <c r="P1279" s="1129">
        <v>907126</v>
      </c>
      <c r="Q1279" s="1129">
        <v>0</v>
      </c>
      <c r="R1279" s="1129">
        <v>0</v>
      </c>
      <c r="S1279" s="1129">
        <v>0</v>
      </c>
      <c r="T1279" s="1129">
        <v>0</v>
      </c>
      <c r="U1279" s="1129">
        <v>0</v>
      </c>
      <c r="V1279" s="1129">
        <v>0</v>
      </c>
      <c r="W1279" s="1129">
        <v>0</v>
      </c>
      <c r="X1279" s="1129">
        <v>71050</v>
      </c>
      <c r="Y1279" s="1129">
        <v>0</v>
      </c>
    </row>
    <row r="1280" spans="1:25" s="1137" customFormat="1" ht="69" customHeight="1">
      <c r="A1280" s="1280">
        <v>253</v>
      </c>
      <c r="B1280" s="1135" t="s">
        <v>1162</v>
      </c>
      <c r="C1280" s="1129">
        <f t="shared" si="539"/>
        <v>1825405.29</v>
      </c>
      <c r="D1280" s="1129">
        <f t="shared" si="540"/>
        <v>0</v>
      </c>
      <c r="E1280" s="1129">
        <v>0</v>
      </c>
      <c r="F1280" s="1129">
        <v>0</v>
      </c>
      <c r="G1280" s="1129">
        <v>0</v>
      </c>
      <c r="H1280" s="1129">
        <v>0</v>
      </c>
      <c r="I1280" s="1129">
        <v>0</v>
      </c>
      <c r="J1280" s="1129">
        <v>0</v>
      </c>
      <c r="K1280" s="1136">
        <v>0</v>
      </c>
      <c r="L1280" s="1129">
        <v>0</v>
      </c>
      <c r="M1280" s="1136">
        <v>0</v>
      </c>
      <c r="N1280" s="1129">
        <v>0</v>
      </c>
      <c r="O1280" s="1129">
        <v>450</v>
      </c>
      <c r="P1280" s="1129">
        <v>1692817.29</v>
      </c>
      <c r="Q1280" s="1129">
        <v>0</v>
      </c>
      <c r="R1280" s="1129">
        <v>0</v>
      </c>
      <c r="S1280" s="1129">
        <v>0</v>
      </c>
      <c r="T1280" s="1129">
        <v>0</v>
      </c>
      <c r="U1280" s="1129">
        <v>0</v>
      </c>
      <c r="V1280" s="1129">
        <v>0</v>
      </c>
      <c r="W1280" s="1129">
        <v>0</v>
      </c>
      <c r="X1280" s="1129">
        <v>132588</v>
      </c>
      <c r="Y1280" s="1129">
        <v>0</v>
      </c>
    </row>
    <row r="1281" spans="1:25" s="1137" customFormat="1" ht="73.900000000000006" customHeight="1">
      <c r="A1281" s="1280">
        <v>254</v>
      </c>
      <c r="B1281" s="1135" t="s">
        <v>1412</v>
      </c>
      <c r="C1281" s="1129">
        <f t="shared" si="539"/>
        <v>1441841</v>
      </c>
      <c r="D1281" s="1129">
        <f t="shared" si="540"/>
        <v>0</v>
      </c>
      <c r="E1281" s="1129">
        <v>0</v>
      </c>
      <c r="F1281" s="1129">
        <v>0</v>
      </c>
      <c r="G1281" s="1129">
        <v>0</v>
      </c>
      <c r="H1281" s="1129">
        <v>0</v>
      </c>
      <c r="I1281" s="1129">
        <v>0</v>
      </c>
      <c r="J1281" s="1129">
        <v>0</v>
      </c>
      <c r="K1281" s="1136">
        <v>0</v>
      </c>
      <c r="L1281" s="1129">
        <v>0</v>
      </c>
      <c r="M1281" s="1136">
        <v>0</v>
      </c>
      <c r="N1281" s="1129">
        <v>0</v>
      </c>
      <c r="O1281" s="1129">
        <v>426</v>
      </c>
      <c r="P1281" s="1129">
        <v>1337113</v>
      </c>
      <c r="Q1281" s="1129">
        <v>0</v>
      </c>
      <c r="R1281" s="1129">
        <v>0</v>
      </c>
      <c r="S1281" s="1129">
        <v>0</v>
      </c>
      <c r="T1281" s="1129">
        <v>0</v>
      </c>
      <c r="U1281" s="1129">
        <v>0</v>
      </c>
      <c r="V1281" s="1129">
        <v>0</v>
      </c>
      <c r="W1281" s="1129">
        <v>0</v>
      </c>
      <c r="X1281" s="1129">
        <v>104728</v>
      </c>
      <c r="Y1281" s="1129">
        <v>0</v>
      </c>
    </row>
    <row r="1282" spans="1:25" s="1137" customFormat="1" ht="76.150000000000006" customHeight="1">
      <c r="A1282" s="1280">
        <v>255</v>
      </c>
      <c r="B1282" s="1135" t="s">
        <v>1163</v>
      </c>
      <c r="C1282" s="1129">
        <f t="shared" si="539"/>
        <v>1353840.88</v>
      </c>
      <c r="D1282" s="1129">
        <f t="shared" si="540"/>
        <v>0</v>
      </c>
      <c r="E1282" s="1129">
        <v>0</v>
      </c>
      <c r="F1282" s="1129">
        <v>0</v>
      </c>
      <c r="G1282" s="1129">
        <v>0</v>
      </c>
      <c r="H1282" s="1129">
        <v>0</v>
      </c>
      <c r="I1282" s="1129">
        <v>0</v>
      </c>
      <c r="J1282" s="1129">
        <v>0</v>
      </c>
      <c r="K1282" s="1136">
        <v>0</v>
      </c>
      <c r="L1282" s="1129">
        <v>0</v>
      </c>
      <c r="M1282" s="1136">
        <v>0</v>
      </c>
      <c r="N1282" s="1129">
        <v>0</v>
      </c>
      <c r="O1282" s="1129">
        <v>400</v>
      </c>
      <c r="P1282" s="1129">
        <v>1255504.8799999999</v>
      </c>
      <c r="Q1282" s="1129">
        <v>0</v>
      </c>
      <c r="R1282" s="1129">
        <v>0</v>
      </c>
      <c r="S1282" s="1129">
        <v>0</v>
      </c>
      <c r="T1282" s="1129">
        <v>0</v>
      </c>
      <c r="U1282" s="1129">
        <v>0</v>
      </c>
      <c r="V1282" s="1129">
        <v>0</v>
      </c>
      <c r="W1282" s="1129">
        <v>0</v>
      </c>
      <c r="X1282" s="1129">
        <v>98336</v>
      </c>
      <c r="Y1282" s="1129">
        <v>0</v>
      </c>
    </row>
    <row r="1283" spans="1:25" s="1137" customFormat="1" ht="106.9" customHeight="1">
      <c r="A1283" s="1280">
        <v>256</v>
      </c>
      <c r="B1283" s="1128" t="s">
        <v>1922</v>
      </c>
      <c r="C1283" s="1129">
        <f t="shared" si="539"/>
        <v>2676948.29</v>
      </c>
      <c r="D1283" s="1129">
        <f t="shared" si="540"/>
        <v>0</v>
      </c>
      <c r="E1283" s="1129">
        <v>0</v>
      </c>
      <c r="F1283" s="1129">
        <v>0</v>
      </c>
      <c r="G1283" s="1129">
        <v>0</v>
      </c>
      <c r="H1283" s="1129">
        <v>0</v>
      </c>
      <c r="I1283" s="1129">
        <v>0</v>
      </c>
      <c r="J1283" s="1129">
        <v>0</v>
      </c>
      <c r="K1283" s="1136">
        <v>0</v>
      </c>
      <c r="L1283" s="1129">
        <v>0</v>
      </c>
      <c r="M1283" s="1136">
        <v>0</v>
      </c>
      <c r="N1283" s="1129">
        <v>0</v>
      </c>
      <c r="O1283" s="1129">
        <v>0</v>
      </c>
      <c r="P1283" s="1129">
        <v>0</v>
      </c>
      <c r="Q1283" s="1129">
        <v>0</v>
      </c>
      <c r="R1283" s="1129">
        <v>0</v>
      </c>
      <c r="S1283" s="1129">
        <v>1006</v>
      </c>
      <c r="T1283" s="1129">
        <v>2482508.61</v>
      </c>
      <c r="U1283" s="1129">
        <v>0</v>
      </c>
      <c r="V1283" s="1129">
        <v>0</v>
      </c>
      <c r="W1283" s="1129">
        <v>0</v>
      </c>
      <c r="X1283" s="1129">
        <v>194439.67999999999</v>
      </c>
      <c r="Y1283" s="1129">
        <v>0</v>
      </c>
    </row>
    <row r="1284" spans="1:25" s="1137" customFormat="1" ht="102" customHeight="1">
      <c r="A1284" s="1280">
        <v>257</v>
      </c>
      <c r="B1284" s="1128" t="s">
        <v>1924</v>
      </c>
      <c r="C1284" s="1129">
        <f t="shared" si="539"/>
        <v>1907924.3800000001</v>
      </c>
      <c r="D1284" s="1129">
        <f t="shared" si="540"/>
        <v>0</v>
      </c>
      <c r="E1284" s="1129">
        <v>0</v>
      </c>
      <c r="F1284" s="1129">
        <v>0</v>
      </c>
      <c r="G1284" s="1129">
        <v>0</v>
      </c>
      <c r="H1284" s="1129">
        <v>0</v>
      </c>
      <c r="I1284" s="1129">
        <v>0</v>
      </c>
      <c r="J1284" s="1129">
        <v>0</v>
      </c>
      <c r="K1284" s="1136">
        <v>0</v>
      </c>
      <c r="L1284" s="1129">
        <v>0</v>
      </c>
      <c r="M1284" s="1136">
        <v>0</v>
      </c>
      <c r="N1284" s="1129">
        <v>0</v>
      </c>
      <c r="O1284" s="1129">
        <v>0</v>
      </c>
      <c r="P1284" s="1129">
        <v>0</v>
      </c>
      <c r="Q1284" s="1129">
        <v>0</v>
      </c>
      <c r="R1284" s="1129">
        <v>0</v>
      </c>
      <c r="S1284" s="1129">
        <v>717</v>
      </c>
      <c r="T1284" s="1129">
        <v>1769342.62</v>
      </c>
      <c r="U1284" s="1129">
        <v>0</v>
      </c>
      <c r="V1284" s="1129">
        <v>0</v>
      </c>
      <c r="W1284" s="1129">
        <v>0</v>
      </c>
      <c r="X1284" s="1129">
        <v>138581.76000000001</v>
      </c>
      <c r="Y1284" s="1129">
        <v>0</v>
      </c>
    </row>
    <row r="1285" spans="1:25" s="1137" customFormat="1" ht="82.9" customHeight="1">
      <c r="A1285" s="1280">
        <v>258</v>
      </c>
      <c r="B1285" s="1128" t="s">
        <v>1923</v>
      </c>
      <c r="C1285" s="1129">
        <f t="shared" si="539"/>
        <v>1428947.55</v>
      </c>
      <c r="D1285" s="1129">
        <f t="shared" si="540"/>
        <v>0</v>
      </c>
      <c r="E1285" s="1129">
        <v>0</v>
      </c>
      <c r="F1285" s="1129">
        <v>0</v>
      </c>
      <c r="G1285" s="1129">
        <v>0</v>
      </c>
      <c r="H1285" s="1129">
        <v>0</v>
      </c>
      <c r="I1285" s="1129">
        <v>0</v>
      </c>
      <c r="J1285" s="1129">
        <v>0</v>
      </c>
      <c r="K1285" s="1136">
        <v>0</v>
      </c>
      <c r="L1285" s="1129">
        <v>0</v>
      </c>
      <c r="M1285" s="1136">
        <v>0</v>
      </c>
      <c r="N1285" s="1129">
        <v>0</v>
      </c>
      <c r="O1285" s="1129">
        <v>0</v>
      </c>
      <c r="P1285" s="1129">
        <v>0</v>
      </c>
      <c r="Q1285" s="1129">
        <v>0</v>
      </c>
      <c r="R1285" s="1129">
        <v>0</v>
      </c>
      <c r="S1285" s="1129">
        <v>537</v>
      </c>
      <c r="T1285" s="1129">
        <v>1325156.19</v>
      </c>
      <c r="U1285" s="1129">
        <v>0</v>
      </c>
      <c r="V1285" s="1129">
        <v>0</v>
      </c>
      <c r="W1285" s="1129">
        <v>0</v>
      </c>
      <c r="X1285" s="1129">
        <v>103791.36</v>
      </c>
      <c r="Y1285" s="1129">
        <v>0</v>
      </c>
    </row>
    <row r="1286" spans="1:25" s="1137" customFormat="1" ht="78.599999999999994" customHeight="1">
      <c r="A1286" s="1280">
        <v>259</v>
      </c>
      <c r="B1286" s="1128" t="s">
        <v>1413</v>
      </c>
      <c r="C1286" s="1129">
        <f t="shared" si="539"/>
        <v>3877826.44</v>
      </c>
      <c r="D1286" s="1129">
        <f t="shared" si="540"/>
        <v>0</v>
      </c>
      <c r="E1286" s="1129">
        <v>0</v>
      </c>
      <c r="F1286" s="1129">
        <v>0</v>
      </c>
      <c r="G1286" s="1129">
        <v>0</v>
      </c>
      <c r="H1286" s="1129">
        <v>0</v>
      </c>
      <c r="I1286" s="1129">
        <v>0</v>
      </c>
      <c r="J1286" s="1129">
        <v>0</v>
      </c>
      <c r="K1286" s="1136">
        <v>0</v>
      </c>
      <c r="L1286" s="1129">
        <v>0</v>
      </c>
      <c r="M1286" s="1136">
        <v>0</v>
      </c>
      <c r="N1286" s="1129">
        <v>0</v>
      </c>
      <c r="O1286" s="1129">
        <v>0</v>
      </c>
      <c r="P1286" s="1129">
        <v>0</v>
      </c>
      <c r="Q1286" s="1129">
        <v>0</v>
      </c>
      <c r="R1286" s="1129">
        <v>0</v>
      </c>
      <c r="S1286" s="1129">
        <v>1591.35</v>
      </c>
      <c r="T1286" s="1129">
        <v>3601822.63</v>
      </c>
      <c r="U1286" s="1129">
        <v>0</v>
      </c>
      <c r="V1286" s="1129">
        <v>0</v>
      </c>
      <c r="W1286" s="1129">
        <v>0</v>
      </c>
      <c r="X1286" s="1129">
        <v>276003.81</v>
      </c>
      <c r="Y1286" s="1129">
        <v>0</v>
      </c>
    </row>
    <row r="1287" spans="1:25" s="1137" customFormat="1" ht="71.45" customHeight="1">
      <c r="A1287" s="1280">
        <v>260</v>
      </c>
      <c r="B1287" s="1135" t="s">
        <v>1414</v>
      </c>
      <c r="C1287" s="1129">
        <f t="shared" si="539"/>
        <v>3060129.76</v>
      </c>
      <c r="D1287" s="1129">
        <f t="shared" si="540"/>
        <v>0</v>
      </c>
      <c r="E1287" s="1129">
        <v>0</v>
      </c>
      <c r="F1287" s="1129">
        <v>0</v>
      </c>
      <c r="G1287" s="1129">
        <v>0</v>
      </c>
      <c r="H1287" s="1129">
        <v>0</v>
      </c>
      <c r="I1287" s="1129">
        <v>0</v>
      </c>
      <c r="J1287" s="1129">
        <v>0</v>
      </c>
      <c r="K1287" s="1136">
        <v>0</v>
      </c>
      <c r="L1287" s="1129">
        <v>0</v>
      </c>
      <c r="M1287" s="1136">
        <v>0</v>
      </c>
      <c r="N1287" s="1129">
        <v>0</v>
      </c>
      <c r="O1287" s="1129">
        <v>0</v>
      </c>
      <c r="P1287" s="1129">
        <v>0</v>
      </c>
      <c r="Q1287" s="1129">
        <v>0</v>
      </c>
      <c r="R1287" s="1129">
        <v>0</v>
      </c>
      <c r="S1287" s="1129">
        <v>1150</v>
      </c>
      <c r="T1287" s="1129">
        <v>2837857.76</v>
      </c>
      <c r="U1287" s="1129">
        <v>0</v>
      </c>
      <c r="V1287" s="1129">
        <v>0</v>
      </c>
      <c r="W1287" s="1129">
        <v>0</v>
      </c>
      <c r="X1287" s="1129">
        <v>222272</v>
      </c>
      <c r="Y1287" s="1129">
        <v>0</v>
      </c>
    </row>
    <row r="1288" spans="1:25" s="1137" customFormat="1" ht="71.45" customHeight="1">
      <c r="A1288" s="1280">
        <v>261</v>
      </c>
      <c r="B1288" s="1135" t="s">
        <v>1415</v>
      </c>
      <c r="C1288" s="1129">
        <f t="shared" si="539"/>
        <v>3060129.76</v>
      </c>
      <c r="D1288" s="1129">
        <f t="shared" si="540"/>
        <v>0</v>
      </c>
      <c r="E1288" s="1129">
        <v>0</v>
      </c>
      <c r="F1288" s="1129">
        <v>0</v>
      </c>
      <c r="G1288" s="1129">
        <v>0</v>
      </c>
      <c r="H1288" s="1129">
        <v>0</v>
      </c>
      <c r="I1288" s="1129">
        <v>0</v>
      </c>
      <c r="J1288" s="1129">
        <v>0</v>
      </c>
      <c r="K1288" s="1136">
        <v>0</v>
      </c>
      <c r="L1288" s="1129">
        <v>0</v>
      </c>
      <c r="M1288" s="1136">
        <v>0</v>
      </c>
      <c r="N1288" s="1129">
        <v>0</v>
      </c>
      <c r="O1288" s="1129">
        <v>0</v>
      </c>
      <c r="P1288" s="1129">
        <v>0</v>
      </c>
      <c r="Q1288" s="1129">
        <v>0</v>
      </c>
      <c r="R1288" s="1129">
        <v>0</v>
      </c>
      <c r="S1288" s="1129">
        <v>1150</v>
      </c>
      <c r="T1288" s="1129">
        <v>2837857.76</v>
      </c>
      <c r="U1288" s="1129">
        <v>0</v>
      </c>
      <c r="V1288" s="1129">
        <v>0</v>
      </c>
      <c r="W1288" s="1129">
        <v>0</v>
      </c>
      <c r="X1288" s="1129">
        <v>222272</v>
      </c>
      <c r="Y1288" s="1129">
        <v>0</v>
      </c>
    </row>
    <row r="1289" spans="1:25" s="1137" customFormat="1" ht="71.45" customHeight="1">
      <c r="A1289" s="1280">
        <v>262</v>
      </c>
      <c r="B1289" s="1135" t="s">
        <v>1416</v>
      </c>
      <c r="C1289" s="1129">
        <f t="shared" si="539"/>
        <v>2847251.17</v>
      </c>
      <c r="D1289" s="1129">
        <f t="shared" si="540"/>
        <v>0</v>
      </c>
      <c r="E1289" s="1129">
        <v>0</v>
      </c>
      <c r="F1289" s="1129">
        <v>0</v>
      </c>
      <c r="G1289" s="1129">
        <v>0</v>
      </c>
      <c r="H1289" s="1129">
        <v>0</v>
      </c>
      <c r="I1289" s="1129">
        <v>0</v>
      </c>
      <c r="J1289" s="1129">
        <v>0</v>
      </c>
      <c r="K1289" s="1136">
        <v>0</v>
      </c>
      <c r="L1289" s="1129">
        <v>0</v>
      </c>
      <c r="M1289" s="1136">
        <v>0</v>
      </c>
      <c r="N1289" s="1129">
        <v>0</v>
      </c>
      <c r="O1289" s="1129">
        <v>0</v>
      </c>
      <c r="P1289" s="1129">
        <v>0</v>
      </c>
      <c r="Q1289" s="1129">
        <v>0</v>
      </c>
      <c r="R1289" s="1129">
        <v>0</v>
      </c>
      <c r="S1289" s="1129">
        <v>1070</v>
      </c>
      <c r="T1289" s="1129">
        <v>2640441.5699999998</v>
      </c>
      <c r="U1289" s="1129">
        <v>0</v>
      </c>
      <c r="V1289" s="1129">
        <v>0</v>
      </c>
      <c r="W1289" s="1129">
        <v>0</v>
      </c>
      <c r="X1289" s="1129">
        <v>206809.60000000001</v>
      </c>
      <c r="Y1289" s="1129">
        <v>0</v>
      </c>
    </row>
    <row r="1290" spans="1:25" s="1137" customFormat="1" ht="102" customHeight="1">
      <c r="A1290" s="1280">
        <v>263</v>
      </c>
      <c r="B1290" s="1135" t="s">
        <v>1925</v>
      </c>
      <c r="C1290" s="1129">
        <f t="shared" si="539"/>
        <v>7367461.9699999997</v>
      </c>
      <c r="D1290" s="1129">
        <f t="shared" si="540"/>
        <v>0</v>
      </c>
      <c r="E1290" s="1129">
        <v>0</v>
      </c>
      <c r="F1290" s="1129">
        <v>0</v>
      </c>
      <c r="G1290" s="1129">
        <v>0</v>
      </c>
      <c r="H1290" s="1129">
        <v>0</v>
      </c>
      <c r="I1290" s="1129">
        <v>0</v>
      </c>
      <c r="J1290" s="1129">
        <v>0</v>
      </c>
      <c r="K1290" s="1136">
        <v>0</v>
      </c>
      <c r="L1290" s="1129">
        <v>0</v>
      </c>
      <c r="M1290" s="1136">
        <v>0</v>
      </c>
      <c r="N1290" s="1129">
        <v>0</v>
      </c>
      <c r="O1290" s="1129">
        <v>0</v>
      </c>
      <c r="P1290" s="1129">
        <v>0</v>
      </c>
      <c r="Q1290" s="1129">
        <v>0</v>
      </c>
      <c r="R1290" s="1129">
        <v>0</v>
      </c>
      <c r="S1290" s="1129">
        <v>2768.7</v>
      </c>
      <c r="T1290" s="1129">
        <v>6832327.6299999999</v>
      </c>
      <c r="U1290" s="1129">
        <v>0</v>
      </c>
      <c r="V1290" s="1129">
        <v>0</v>
      </c>
      <c r="W1290" s="1129">
        <v>0</v>
      </c>
      <c r="X1290" s="1129">
        <v>535134.34</v>
      </c>
      <c r="Y1290" s="1129">
        <v>0</v>
      </c>
    </row>
    <row r="1291" spans="1:25" s="1137" customFormat="1" ht="73.900000000000006" customHeight="1">
      <c r="A1291" s="1280">
        <v>264</v>
      </c>
      <c r="B1291" s="1128" t="s">
        <v>1417</v>
      </c>
      <c r="C1291" s="1129">
        <f t="shared" si="539"/>
        <v>3219788.6999999997</v>
      </c>
      <c r="D1291" s="1129">
        <f t="shared" si="540"/>
        <v>0</v>
      </c>
      <c r="E1291" s="1129">
        <v>0</v>
      </c>
      <c r="F1291" s="1129">
        <v>0</v>
      </c>
      <c r="G1291" s="1129">
        <v>0</v>
      </c>
      <c r="H1291" s="1129">
        <v>0</v>
      </c>
      <c r="I1291" s="1129">
        <v>0</v>
      </c>
      <c r="J1291" s="1129">
        <v>0</v>
      </c>
      <c r="K1291" s="1136">
        <v>0</v>
      </c>
      <c r="L1291" s="1129">
        <v>0</v>
      </c>
      <c r="M1291" s="1136">
        <v>0</v>
      </c>
      <c r="N1291" s="1129">
        <v>0</v>
      </c>
      <c r="O1291" s="1129">
        <v>0</v>
      </c>
      <c r="P1291" s="1129">
        <v>0</v>
      </c>
      <c r="Q1291" s="1129">
        <v>0</v>
      </c>
      <c r="R1291" s="1129">
        <v>0</v>
      </c>
      <c r="S1291" s="1129">
        <v>1210</v>
      </c>
      <c r="T1291" s="1129">
        <v>2985919.9</v>
      </c>
      <c r="U1291" s="1129">
        <v>0</v>
      </c>
      <c r="V1291" s="1129">
        <v>0</v>
      </c>
      <c r="W1291" s="1129">
        <v>0</v>
      </c>
      <c r="X1291" s="1129">
        <v>233868.79999999999</v>
      </c>
      <c r="Y1291" s="1129">
        <v>0</v>
      </c>
    </row>
    <row r="1292" spans="1:25" s="1137" customFormat="1" ht="76.150000000000006" customHeight="1">
      <c r="A1292" s="1280">
        <v>265</v>
      </c>
      <c r="B1292" s="1135" t="s">
        <v>1418</v>
      </c>
      <c r="C1292" s="1129">
        <f t="shared" si="539"/>
        <v>3432667.3000000003</v>
      </c>
      <c r="D1292" s="1129">
        <f t="shared" si="540"/>
        <v>0</v>
      </c>
      <c r="E1292" s="1129">
        <v>0</v>
      </c>
      <c r="F1292" s="1129">
        <v>0</v>
      </c>
      <c r="G1292" s="1129">
        <v>0</v>
      </c>
      <c r="H1292" s="1129">
        <v>0</v>
      </c>
      <c r="I1292" s="1129">
        <v>0</v>
      </c>
      <c r="J1292" s="1129">
        <v>0</v>
      </c>
      <c r="K1292" s="1136">
        <v>0</v>
      </c>
      <c r="L1292" s="1129">
        <v>0</v>
      </c>
      <c r="M1292" s="1136">
        <v>0</v>
      </c>
      <c r="N1292" s="1129">
        <v>0</v>
      </c>
      <c r="O1292" s="1129">
        <v>0</v>
      </c>
      <c r="P1292" s="1129">
        <v>0</v>
      </c>
      <c r="Q1292" s="1129">
        <v>0</v>
      </c>
      <c r="R1292" s="1129">
        <v>0</v>
      </c>
      <c r="S1292" s="1129">
        <v>1290</v>
      </c>
      <c r="T1292" s="1129">
        <v>3183336.1</v>
      </c>
      <c r="U1292" s="1129">
        <v>0</v>
      </c>
      <c r="V1292" s="1129">
        <v>0</v>
      </c>
      <c r="W1292" s="1129">
        <v>0</v>
      </c>
      <c r="X1292" s="1129">
        <v>249331.20000000001</v>
      </c>
      <c r="Y1292" s="1129">
        <v>0</v>
      </c>
    </row>
    <row r="1293" spans="1:25" s="1137" customFormat="1" ht="69" customHeight="1">
      <c r="A1293" s="1280">
        <v>266</v>
      </c>
      <c r="B1293" s="1135" t="s">
        <v>1419</v>
      </c>
      <c r="C1293" s="1129">
        <f t="shared" si="539"/>
        <v>4529255.87</v>
      </c>
      <c r="D1293" s="1129">
        <f t="shared" si="540"/>
        <v>0</v>
      </c>
      <c r="E1293" s="1129">
        <v>0</v>
      </c>
      <c r="F1293" s="1129">
        <v>0</v>
      </c>
      <c r="G1293" s="1129">
        <v>0</v>
      </c>
      <c r="H1293" s="1129">
        <v>0</v>
      </c>
      <c r="I1293" s="1129">
        <v>0</v>
      </c>
      <c r="J1293" s="1129">
        <v>0</v>
      </c>
      <c r="K1293" s="1136">
        <v>0</v>
      </c>
      <c r="L1293" s="1129">
        <v>0</v>
      </c>
      <c r="M1293" s="1136">
        <v>0</v>
      </c>
      <c r="N1293" s="1129">
        <v>0</v>
      </c>
      <c r="O1293" s="1129">
        <v>0</v>
      </c>
      <c r="P1293" s="1129">
        <v>0</v>
      </c>
      <c r="Q1293" s="1129">
        <v>0</v>
      </c>
      <c r="R1293" s="1129">
        <v>0</v>
      </c>
      <c r="S1293" s="1129">
        <v>1704.34</v>
      </c>
      <c r="T1293" s="1129">
        <v>4204545.47</v>
      </c>
      <c r="U1293" s="1129">
        <v>0</v>
      </c>
      <c r="V1293" s="1129">
        <v>0</v>
      </c>
      <c r="W1293" s="1129">
        <v>0</v>
      </c>
      <c r="X1293" s="1129">
        <v>324710.40000000002</v>
      </c>
      <c r="Y1293" s="1129">
        <v>0</v>
      </c>
    </row>
    <row r="1294" spans="1:25" s="1137" customFormat="1" ht="73.900000000000006" customHeight="1">
      <c r="A1294" s="1280">
        <v>267</v>
      </c>
      <c r="B1294" s="1135" t="s">
        <v>1420</v>
      </c>
      <c r="C1294" s="1129">
        <f t="shared" si="539"/>
        <v>5422386.9000000004</v>
      </c>
      <c r="D1294" s="1129">
        <f t="shared" si="540"/>
        <v>0</v>
      </c>
      <c r="E1294" s="1129">
        <v>0</v>
      </c>
      <c r="F1294" s="1129">
        <v>0</v>
      </c>
      <c r="G1294" s="1129">
        <v>0</v>
      </c>
      <c r="H1294" s="1129">
        <v>0</v>
      </c>
      <c r="I1294" s="1129">
        <v>0</v>
      </c>
      <c r="J1294" s="1129">
        <v>0</v>
      </c>
      <c r="K1294" s="1136">
        <v>0</v>
      </c>
      <c r="L1294" s="1129">
        <v>0</v>
      </c>
      <c r="M1294" s="1136">
        <v>0</v>
      </c>
      <c r="N1294" s="1129">
        <v>0</v>
      </c>
      <c r="O1294" s="1129">
        <v>0</v>
      </c>
      <c r="P1294" s="1129">
        <v>0</v>
      </c>
      <c r="Q1294" s="1129">
        <v>0</v>
      </c>
      <c r="R1294" s="1129">
        <v>0</v>
      </c>
      <c r="S1294" s="1129">
        <v>2173.48</v>
      </c>
      <c r="T1294" s="1129">
        <v>5057087.7</v>
      </c>
      <c r="U1294" s="1129">
        <v>0</v>
      </c>
      <c r="V1294" s="1129">
        <v>0</v>
      </c>
      <c r="W1294" s="1129">
        <v>0</v>
      </c>
      <c r="X1294" s="1129">
        <v>365299.20000000001</v>
      </c>
      <c r="Y1294" s="1129">
        <v>0</v>
      </c>
    </row>
    <row r="1295" spans="1:25" s="1137" customFormat="1" ht="73.900000000000006" customHeight="1">
      <c r="A1295" s="1280">
        <v>268</v>
      </c>
      <c r="B1295" s="1135" t="s">
        <v>1421</v>
      </c>
      <c r="C1295" s="1129">
        <f t="shared" si="539"/>
        <v>7078213.1799999997</v>
      </c>
      <c r="D1295" s="1129">
        <f t="shared" si="540"/>
        <v>0</v>
      </c>
      <c r="E1295" s="1129">
        <v>0</v>
      </c>
      <c r="F1295" s="1129">
        <v>0</v>
      </c>
      <c r="G1295" s="1129">
        <v>0</v>
      </c>
      <c r="H1295" s="1129">
        <v>0</v>
      </c>
      <c r="I1295" s="1129">
        <v>0</v>
      </c>
      <c r="J1295" s="1129">
        <v>0</v>
      </c>
      <c r="K1295" s="1136">
        <v>0</v>
      </c>
      <c r="L1295" s="1129">
        <v>0</v>
      </c>
      <c r="M1295" s="1136">
        <v>0</v>
      </c>
      <c r="N1295" s="1129">
        <v>0</v>
      </c>
      <c r="O1295" s="1129">
        <v>0</v>
      </c>
      <c r="P1295" s="1129">
        <v>0</v>
      </c>
      <c r="Q1295" s="1129">
        <v>0</v>
      </c>
      <c r="R1295" s="1129">
        <v>0</v>
      </c>
      <c r="S1295" s="1129">
        <v>2660</v>
      </c>
      <c r="T1295" s="1129">
        <v>6564088.3799999999</v>
      </c>
      <c r="U1295" s="1129">
        <v>0</v>
      </c>
      <c r="V1295" s="1129">
        <v>0</v>
      </c>
      <c r="W1295" s="1129">
        <v>0</v>
      </c>
      <c r="X1295" s="1129">
        <v>514124.79999999999</v>
      </c>
      <c r="Y1295" s="1129">
        <v>0</v>
      </c>
    </row>
    <row r="1296" spans="1:25" s="1137" customFormat="1" ht="64.150000000000006" customHeight="1">
      <c r="A1296" s="1280">
        <v>269</v>
      </c>
      <c r="B1296" s="1135" t="s">
        <v>1422</v>
      </c>
      <c r="C1296" s="1129">
        <f t="shared" si="539"/>
        <v>6785505.1200000001</v>
      </c>
      <c r="D1296" s="1129">
        <f t="shared" si="540"/>
        <v>0</v>
      </c>
      <c r="E1296" s="1129">
        <v>0</v>
      </c>
      <c r="F1296" s="1129">
        <v>0</v>
      </c>
      <c r="G1296" s="1129">
        <v>0</v>
      </c>
      <c r="H1296" s="1129">
        <v>0</v>
      </c>
      <c r="I1296" s="1129">
        <v>0</v>
      </c>
      <c r="J1296" s="1129">
        <v>0</v>
      </c>
      <c r="K1296" s="1136">
        <v>0</v>
      </c>
      <c r="L1296" s="1129">
        <v>0</v>
      </c>
      <c r="M1296" s="1136">
        <v>0</v>
      </c>
      <c r="N1296" s="1129">
        <v>0</v>
      </c>
      <c r="O1296" s="1129">
        <v>0</v>
      </c>
      <c r="P1296" s="1129">
        <v>0</v>
      </c>
      <c r="Q1296" s="1129">
        <v>0</v>
      </c>
      <c r="R1296" s="1129">
        <v>0</v>
      </c>
      <c r="S1296" s="1129">
        <v>2550</v>
      </c>
      <c r="T1296" s="1129">
        <v>6292641.1200000001</v>
      </c>
      <c r="U1296" s="1129">
        <v>0</v>
      </c>
      <c r="V1296" s="1129">
        <v>0</v>
      </c>
      <c r="W1296" s="1129">
        <v>0</v>
      </c>
      <c r="X1296" s="1129">
        <v>492864</v>
      </c>
      <c r="Y1296" s="1129">
        <v>0</v>
      </c>
    </row>
    <row r="1297" spans="1:25" s="1177" customFormat="1" ht="73.900000000000006" customHeight="1">
      <c r="A1297" s="1280">
        <v>270</v>
      </c>
      <c r="B1297" s="1135" t="s">
        <v>1423</v>
      </c>
      <c r="C1297" s="1129">
        <f t="shared" si="539"/>
        <v>5662570.5499999998</v>
      </c>
      <c r="D1297" s="1129">
        <f t="shared" si="540"/>
        <v>0</v>
      </c>
      <c r="E1297" s="1129">
        <v>0</v>
      </c>
      <c r="F1297" s="1129">
        <v>0</v>
      </c>
      <c r="G1297" s="1129">
        <v>0</v>
      </c>
      <c r="H1297" s="1129">
        <v>0</v>
      </c>
      <c r="I1297" s="1129">
        <v>0</v>
      </c>
      <c r="J1297" s="1129">
        <v>0</v>
      </c>
      <c r="K1297" s="1136">
        <v>0</v>
      </c>
      <c r="L1297" s="1129">
        <v>0</v>
      </c>
      <c r="M1297" s="1136">
        <v>0</v>
      </c>
      <c r="N1297" s="1129">
        <v>0</v>
      </c>
      <c r="O1297" s="1129">
        <v>0</v>
      </c>
      <c r="P1297" s="1129">
        <v>0</v>
      </c>
      <c r="Q1297" s="1129">
        <v>0</v>
      </c>
      <c r="R1297" s="1129">
        <v>0</v>
      </c>
      <c r="S1297" s="1129">
        <v>2128</v>
      </c>
      <c r="T1297" s="1129">
        <v>5251270.71</v>
      </c>
      <c r="U1297" s="1129">
        <v>0</v>
      </c>
      <c r="V1297" s="1129">
        <v>0</v>
      </c>
      <c r="W1297" s="1129">
        <v>0</v>
      </c>
      <c r="X1297" s="1129">
        <v>411299.84000000003</v>
      </c>
      <c r="Y1297" s="1129">
        <v>0</v>
      </c>
    </row>
    <row r="1298" spans="1:25" s="1177" customFormat="1" ht="73.900000000000006" customHeight="1">
      <c r="A1298" s="1280">
        <v>271</v>
      </c>
      <c r="B1298" s="1135" t="s">
        <v>1424</v>
      </c>
      <c r="C1298" s="1129">
        <f t="shared" si="539"/>
        <v>8262350.3500000006</v>
      </c>
      <c r="D1298" s="1129">
        <f t="shared" si="540"/>
        <v>0</v>
      </c>
      <c r="E1298" s="1129">
        <v>0</v>
      </c>
      <c r="F1298" s="1129">
        <v>0</v>
      </c>
      <c r="G1298" s="1129">
        <v>0</v>
      </c>
      <c r="H1298" s="1129">
        <v>0</v>
      </c>
      <c r="I1298" s="1129">
        <v>0</v>
      </c>
      <c r="J1298" s="1129">
        <v>0</v>
      </c>
      <c r="K1298" s="1136">
        <v>0</v>
      </c>
      <c r="L1298" s="1129">
        <v>0</v>
      </c>
      <c r="M1298" s="1136">
        <v>0</v>
      </c>
      <c r="N1298" s="1129">
        <v>0</v>
      </c>
      <c r="O1298" s="1129">
        <v>0</v>
      </c>
      <c r="P1298" s="1129">
        <v>0</v>
      </c>
      <c r="Q1298" s="1129">
        <v>0</v>
      </c>
      <c r="R1298" s="1129">
        <v>0</v>
      </c>
      <c r="S1298" s="1129">
        <v>3105</v>
      </c>
      <c r="T1298" s="1129">
        <v>7662215.9500000002</v>
      </c>
      <c r="U1298" s="1129">
        <v>0</v>
      </c>
      <c r="V1298" s="1129">
        <v>0</v>
      </c>
      <c r="W1298" s="1129">
        <v>0</v>
      </c>
      <c r="X1298" s="1129">
        <v>600134.40000000002</v>
      </c>
      <c r="Y1298" s="1129">
        <v>0</v>
      </c>
    </row>
    <row r="1299" spans="1:25" s="1177" customFormat="1" ht="76.150000000000006" customHeight="1">
      <c r="A1299" s="1280">
        <v>272</v>
      </c>
      <c r="B1299" s="1135" t="s">
        <v>1425</v>
      </c>
      <c r="C1299" s="1129">
        <f t="shared" si="539"/>
        <v>2792414.78</v>
      </c>
      <c r="D1299" s="1129">
        <f t="shared" si="540"/>
        <v>0</v>
      </c>
      <c r="E1299" s="1129">
        <v>0</v>
      </c>
      <c r="F1299" s="1129">
        <v>0</v>
      </c>
      <c r="G1299" s="1129">
        <v>0</v>
      </c>
      <c r="H1299" s="1129">
        <v>0</v>
      </c>
      <c r="I1299" s="1129">
        <v>0</v>
      </c>
      <c r="J1299" s="1129">
        <v>0</v>
      </c>
      <c r="K1299" s="1136">
        <v>0</v>
      </c>
      <c r="L1299" s="1129">
        <v>0</v>
      </c>
      <c r="M1299" s="1136">
        <v>0</v>
      </c>
      <c r="N1299" s="1129">
        <v>0</v>
      </c>
      <c r="O1299" s="1129">
        <v>285.7</v>
      </c>
      <c r="P1299" s="1129">
        <v>896744.36</v>
      </c>
      <c r="Q1299" s="1129">
        <v>0</v>
      </c>
      <c r="R1299" s="1129">
        <v>0</v>
      </c>
      <c r="S1299" s="1129">
        <v>686</v>
      </c>
      <c r="T1299" s="1129">
        <v>1692843.85</v>
      </c>
      <c r="U1299" s="1129">
        <v>0</v>
      </c>
      <c r="V1299" s="1129">
        <v>0</v>
      </c>
      <c r="W1299" s="1129">
        <v>0</v>
      </c>
      <c r="X1299" s="1129">
        <v>202826.57</v>
      </c>
      <c r="Y1299" s="1129">
        <v>0</v>
      </c>
    </row>
    <row r="1300" spans="1:25" s="1177" customFormat="1" ht="73.900000000000006" customHeight="1">
      <c r="A1300" s="1280">
        <v>273</v>
      </c>
      <c r="B1300" s="1135" t="s">
        <v>1426</v>
      </c>
      <c r="C1300" s="1129">
        <f t="shared" si="539"/>
        <v>4229642.34</v>
      </c>
      <c r="D1300" s="1129">
        <f t="shared" si="540"/>
        <v>0</v>
      </c>
      <c r="E1300" s="1129">
        <v>0</v>
      </c>
      <c r="F1300" s="1129">
        <v>0</v>
      </c>
      <c r="G1300" s="1129">
        <v>0</v>
      </c>
      <c r="H1300" s="1129">
        <v>0</v>
      </c>
      <c r="I1300" s="1129">
        <v>0</v>
      </c>
      <c r="J1300" s="1129">
        <v>0</v>
      </c>
      <c r="K1300" s="1136">
        <v>0</v>
      </c>
      <c r="L1300" s="1129">
        <v>0</v>
      </c>
      <c r="M1300" s="1136">
        <v>0</v>
      </c>
      <c r="N1300" s="1129">
        <v>0</v>
      </c>
      <c r="O1300" s="1129">
        <v>421.3</v>
      </c>
      <c r="P1300" s="1129">
        <v>1906278.77</v>
      </c>
      <c r="Q1300" s="1129">
        <v>0</v>
      </c>
      <c r="R1300" s="1129">
        <v>0</v>
      </c>
      <c r="S1300" s="1129">
        <v>820</v>
      </c>
      <c r="T1300" s="1129">
        <v>2023515.97</v>
      </c>
      <c r="U1300" s="1129">
        <v>0</v>
      </c>
      <c r="V1300" s="1129">
        <v>0</v>
      </c>
      <c r="W1300" s="1129">
        <v>0</v>
      </c>
      <c r="X1300" s="1129">
        <v>299847.59999999998</v>
      </c>
      <c r="Y1300" s="1129">
        <v>0</v>
      </c>
    </row>
    <row r="1301" spans="1:25" s="1177" customFormat="1" ht="83.45" customHeight="1">
      <c r="A1301" s="1280">
        <v>274</v>
      </c>
      <c r="B1301" s="1128" t="s">
        <v>1427</v>
      </c>
      <c r="C1301" s="1129">
        <f t="shared" ref="C1301:C1333" si="549">D1301+N1301+P1301+R1301+T1301+V1301+X1301</f>
        <v>4847750.93</v>
      </c>
      <c r="D1301" s="1129">
        <f t="shared" ref="D1301:D1333" si="550">SUM(E1301:J1301)</f>
        <v>0</v>
      </c>
      <c r="E1301" s="1129">
        <v>0</v>
      </c>
      <c r="F1301" s="1129">
        <v>0</v>
      </c>
      <c r="G1301" s="1129">
        <v>0</v>
      </c>
      <c r="H1301" s="1129">
        <v>0</v>
      </c>
      <c r="I1301" s="1129">
        <v>0</v>
      </c>
      <c r="J1301" s="1129">
        <v>0</v>
      </c>
      <c r="K1301" s="1136">
        <v>0</v>
      </c>
      <c r="L1301" s="1129">
        <v>0</v>
      </c>
      <c r="M1301" s="1136">
        <v>0</v>
      </c>
      <c r="N1301" s="1129">
        <v>0</v>
      </c>
      <c r="O1301" s="1129">
        <v>0</v>
      </c>
      <c r="P1301" s="1129">
        <v>0</v>
      </c>
      <c r="Q1301" s="1129">
        <v>0</v>
      </c>
      <c r="R1301" s="1129">
        <v>0</v>
      </c>
      <c r="S1301" s="1129">
        <v>1857.32</v>
      </c>
      <c r="T1301" s="1129">
        <v>4515309.33</v>
      </c>
      <c r="U1301" s="1129">
        <v>0</v>
      </c>
      <c r="V1301" s="1129">
        <v>0</v>
      </c>
      <c r="W1301" s="1129">
        <v>0</v>
      </c>
      <c r="X1301" s="1129">
        <v>332441.59999999998</v>
      </c>
      <c r="Y1301" s="1129">
        <v>0</v>
      </c>
    </row>
    <row r="1302" spans="1:25" s="1177" customFormat="1" ht="85.15" customHeight="1">
      <c r="A1302" s="1280">
        <v>275</v>
      </c>
      <c r="B1302" s="1128" t="s">
        <v>1926</v>
      </c>
      <c r="C1302" s="1129">
        <f t="shared" si="549"/>
        <v>2256513.08</v>
      </c>
      <c r="D1302" s="1129">
        <f t="shared" si="550"/>
        <v>0</v>
      </c>
      <c r="E1302" s="1129">
        <v>0</v>
      </c>
      <c r="F1302" s="1129">
        <v>0</v>
      </c>
      <c r="G1302" s="1129">
        <v>0</v>
      </c>
      <c r="H1302" s="1129">
        <v>0</v>
      </c>
      <c r="I1302" s="1129">
        <v>0</v>
      </c>
      <c r="J1302" s="1129">
        <v>0</v>
      </c>
      <c r="K1302" s="1136">
        <v>0</v>
      </c>
      <c r="L1302" s="1129">
        <v>0</v>
      </c>
      <c r="M1302" s="1136">
        <v>0</v>
      </c>
      <c r="N1302" s="1129">
        <v>0</v>
      </c>
      <c r="O1302" s="1129">
        <v>0</v>
      </c>
      <c r="P1302" s="1129">
        <v>0</v>
      </c>
      <c r="Q1302" s="1129">
        <v>0</v>
      </c>
      <c r="R1302" s="1129">
        <v>0</v>
      </c>
      <c r="S1302" s="1129">
        <v>848</v>
      </c>
      <c r="T1302" s="1129">
        <v>2092611.64</v>
      </c>
      <c r="U1302" s="1129">
        <v>0</v>
      </c>
      <c r="V1302" s="1129">
        <v>0</v>
      </c>
      <c r="W1302" s="1129">
        <v>0</v>
      </c>
      <c r="X1302" s="1129">
        <v>163901.44</v>
      </c>
      <c r="Y1302" s="1129">
        <v>0</v>
      </c>
    </row>
    <row r="1303" spans="1:25" s="1177" customFormat="1" ht="69" customHeight="1">
      <c r="A1303" s="1280">
        <v>276</v>
      </c>
      <c r="B1303" s="1135" t="s">
        <v>1428</v>
      </c>
      <c r="C1303" s="1129">
        <f t="shared" si="549"/>
        <v>7460912.7699999996</v>
      </c>
      <c r="D1303" s="1129">
        <f t="shared" si="550"/>
        <v>0</v>
      </c>
      <c r="E1303" s="1129">
        <v>0</v>
      </c>
      <c r="F1303" s="1129">
        <v>0</v>
      </c>
      <c r="G1303" s="1129">
        <v>0</v>
      </c>
      <c r="H1303" s="1129">
        <v>0</v>
      </c>
      <c r="I1303" s="1129">
        <v>0</v>
      </c>
      <c r="J1303" s="1129">
        <v>0</v>
      </c>
      <c r="K1303" s="1136">
        <v>0</v>
      </c>
      <c r="L1303" s="1129">
        <v>0</v>
      </c>
      <c r="M1303" s="1136">
        <v>0</v>
      </c>
      <c r="N1303" s="1129">
        <v>0</v>
      </c>
      <c r="O1303" s="1129">
        <v>0</v>
      </c>
      <c r="P1303" s="1129">
        <v>0</v>
      </c>
      <c r="Q1303" s="1129">
        <v>0</v>
      </c>
      <c r="R1303" s="1129">
        <v>0</v>
      </c>
      <c r="S1303" s="1129">
        <v>2950.54</v>
      </c>
      <c r="T1303" s="1129">
        <v>6964183.1699999999</v>
      </c>
      <c r="U1303" s="1129">
        <v>0</v>
      </c>
      <c r="V1303" s="1129">
        <v>0</v>
      </c>
      <c r="W1303" s="1129">
        <v>0</v>
      </c>
      <c r="X1303" s="1129">
        <v>496729.59999999998</v>
      </c>
      <c r="Y1303" s="1129">
        <v>0</v>
      </c>
    </row>
    <row r="1304" spans="1:25" s="1177" customFormat="1" ht="85.9" customHeight="1">
      <c r="A1304" s="1280">
        <v>277</v>
      </c>
      <c r="B1304" s="1135" t="s">
        <v>1429</v>
      </c>
      <c r="C1304" s="1129">
        <f t="shared" si="549"/>
        <v>4924643.8999999994</v>
      </c>
      <c r="D1304" s="1129">
        <f t="shared" si="550"/>
        <v>0</v>
      </c>
      <c r="E1304" s="1129">
        <v>0</v>
      </c>
      <c r="F1304" s="1129">
        <v>0</v>
      </c>
      <c r="G1304" s="1129">
        <v>0</v>
      </c>
      <c r="H1304" s="1129">
        <v>0</v>
      </c>
      <c r="I1304" s="1129">
        <v>0</v>
      </c>
      <c r="J1304" s="1129">
        <v>0</v>
      </c>
      <c r="K1304" s="1136">
        <v>0</v>
      </c>
      <c r="L1304" s="1129">
        <v>0</v>
      </c>
      <c r="M1304" s="1136">
        <v>0</v>
      </c>
      <c r="N1304" s="1129">
        <v>0</v>
      </c>
      <c r="O1304" s="1129">
        <v>0</v>
      </c>
      <c r="P1304" s="1129">
        <v>0</v>
      </c>
      <c r="Q1304" s="1129">
        <v>0</v>
      </c>
      <c r="R1304" s="1129">
        <v>0</v>
      </c>
      <c r="S1304" s="1129">
        <v>1964.46</v>
      </c>
      <c r="T1304" s="1129">
        <v>4594135.0999999996</v>
      </c>
      <c r="U1304" s="1129">
        <v>0</v>
      </c>
      <c r="V1304" s="1129">
        <v>0</v>
      </c>
      <c r="W1304" s="1129">
        <v>0</v>
      </c>
      <c r="X1304" s="1129">
        <v>330508.79999999999</v>
      </c>
      <c r="Y1304" s="1129">
        <v>0</v>
      </c>
    </row>
    <row r="1305" spans="1:25" s="1177" customFormat="1" ht="76.150000000000006" customHeight="1">
      <c r="A1305" s="1280">
        <v>278</v>
      </c>
      <c r="B1305" s="1128" t="s">
        <v>1430</v>
      </c>
      <c r="C1305" s="1129">
        <f t="shared" si="549"/>
        <v>4896207.62</v>
      </c>
      <c r="D1305" s="1129">
        <f t="shared" si="550"/>
        <v>0</v>
      </c>
      <c r="E1305" s="1129">
        <v>0</v>
      </c>
      <c r="F1305" s="1129">
        <v>0</v>
      </c>
      <c r="G1305" s="1129">
        <v>0</v>
      </c>
      <c r="H1305" s="1129">
        <v>0</v>
      </c>
      <c r="I1305" s="1129">
        <v>0</v>
      </c>
      <c r="J1305" s="1129">
        <v>0</v>
      </c>
      <c r="K1305" s="1136">
        <v>0</v>
      </c>
      <c r="L1305" s="1129">
        <v>0</v>
      </c>
      <c r="M1305" s="1136">
        <v>0</v>
      </c>
      <c r="N1305" s="1129">
        <v>0</v>
      </c>
      <c r="O1305" s="1129">
        <v>0</v>
      </c>
      <c r="P1305" s="1129">
        <v>0</v>
      </c>
      <c r="Q1305" s="1129">
        <v>0</v>
      </c>
      <c r="R1305" s="1129">
        <v>0</v>
      </c>
      <c r="S1305" s="1129">
        <v>1840</v>
      </c>
      <c r="T1305" s="1129">
        <v>4540572.42</v>
      </c>
      <c r="U1305" s="1129">
        <v>0</v>
      </c>
      <c r="V1305" s="1129">
        <v>0</v>
      </c>
      <c r="W1305" s="1129">
        <v>0</v>
      </c>
      <c r="X1305" s="1129">
        <v>355635.20000000001</v>
      </c>
      <c r="Y1305" s="1129">
        <v>0</v>
      </c>
    </row>
    <row r="1306" spans="1:25" s="1177" customFormat="1" ht="78.599999999999994" customHeight="1">
      <c r="A1306" s="1280">
        <v>279</v>
      </c>
      <c r="B1306" s="1128" t="s">
        <v>1637</v>
      </c>
      <c r="C1306" s="1129">
        <f t="shared" si="549"/>
        <v>3344154.72</v>
      </c>
      <c r="D1306" s="1129">
        <f t="shared" si="550"/>
        <v>0</v>
      </c>
      <c r="E1306" s="1129">
        <v>0</v>
      </c>
      <c r="F1306" s="1129">
        <v>0</v>
      </c>
      <c r="G1306" s="1129">
        <v>0</v>
      </c>
      <c r="H1306" s="1129">
        <v>0</v>
      </c>
      <c r="I1306" s="1129">
        <v>0</v>
      </c>
      <c r="J1306" s="1129">
        <v>0</v>
      </c>
      <c r="K1306" s="1136">
        <v>0</v>
      </c>
      <c r="L1306" s="1129">
        <v>0</v>
      </c>
      <c r="M1306" s="1136">
        <v>0</v>
      </c>
      <c r="N1306" s="1129">
        <v>0</v>
      </c>
      <c r="O1306" s="1129">
        <v>0</v>
      </c>
      <c r="P1306" s="1129">
        <v>0</v>
      </c>
      <c r="Q1306" s="1129">
        <v>0</v>
      </c>
      <c r="R1306" s="1129">
        <v>0</v>
      </c>
      <c r="S1306" s="1129">
        <v>1277.7</v>
      </c>
      <c r="T1306" s="1129">
        <v>3141210.72</v>
      </c>
      <c r="U1306" s="1129">
        <v>0</v>
      </c>
      <c r="V1306" s="1129">
        <v>0</v>
      </c>
      <c r="W1306" s="1129">
        <v>0</v>
      </c>
      <c r="X1306" s="1129">
        <v>202944</v>
      </c>
      <c r="Y1306" s="1129">
        <v>0</v>
      </c>
    </row>
    <row r="1307" spans="1:25" s="1177" customFormat="1" ht="85.15" customHeight="1">
      <c r="A1307" s="1280">
        <v>280</v>
      </c>
      <c r="B1307" s="1128" t="s">
        <v>1927</v>
      </c>
      <c r="C1307" s="1129">
        <f t="shared" si="549"/>
        <v>3662260.54</v>
      </c>
      <c r="D1307" s="1129">
        <f t="shared" si="550"/>
        <v>0</v>
      </c>
      <c r="E1307" s="1129">
        <v>0</v>
      </c>
      <c r="F1307" s="1129">
        <v>0</v>
      </c>
      <c r="G1307" s="1129">
        <v>0</v>
      </c>
      <c r="H1307" s="1129">
        <v>0</v>
      </c>
      <c r="I1307" s="1129">
        <v>0</v>
      </c>
      <c r="J1307" s="1129">
        <v>0</v>
      </c>
      <c r="K1307" s="1136">
        <v>0</v>
      </c>
      <c r="L1307" s="1129">
        <v>0</v>
      </c>
      <c r="M1307" s="1136">
        <v>0</v>
      </c>
      <c r="N1307" s="1129">
        <v>0</v>
      </c>
      <c r="O1307" s="1129">
        <v>0</v>
      </c>
      <c r="P1307" s="1129">
        <v>0</v>
      </c>
      <c r="Q1307" s="1129">
        <v>0</v>
      </c>
      <c r="R1307" s="1129">
        <v>0</v>
      </c>
      <c r="S1307" s="1129">
        <v>1491.84</v>
      </c>
      <c r="T1307" s="1129">
        <v>3422206.78</v>
      </c>
      <c r="U1307" s="1129">
        <v>0</v>
      </c>
      <c r="V1307" s="1129">
        <v>0</v>
      </c>
      <c r="W1307" s="1129">
        <v>0</v>
      </c>
      <c r="X1307" s="1129">
        <v>240053.76000000001</v>
      </c>
      <c r="Y1307" s="1129">
        <v>0</v>
      </c>
    </row>
    <row r="1308" spans="1:25" s="1177" customFormat="1" ht="116.45" customHeight="1">
      <c r="A1308" s="1280">
        <v>281</v>
      </c>
      <c r="B1308" s="1128" t="s">
        <v>1928</v>
      </c>
      <c r="C1308" s="1129">
        <f t="shared" si="549"/>
        <v>5662570.5499999998</v>
      </c>
      <c r="D1308" s="1129">
        <f t="shared" si="550"/>
        <v>0</v>
      </c>
      <c r="E1308" s="1129">
        <v>0</v>
      </c>
      <c r="F1308" s="1129">
        <v>0</v>
      </c>
      <c r="G1308" s="1129">
        <v>0</v>
      </c>
      <c r="H1308" s="1129">
        <v>0</v>
      </c>
      <c r="I1308" s="1129">
        <v>0</v>
      </c>
      <c r="J1308" s="1129">
        <v>0</v>
      </c>
      <c r="K1308" s="1136">
        <v>0</v>
      </c>
      <c r="L1308" s="1129">
        <v>0</v>
      </c>
      <c r="M1308" s="1136">
        <v>0</v>
      </c>
      <c r="N1308" s="1129">
        <v>0</v>
      </c>
      <c r="O1308" s="1129">
        <v>0</v>
      </c>
      <c r="P1308" s="1129">
        <v>0</v>
      </c>
      <c r="Q1308" s="1129">
        <v>0</v>
      </c>
      <c r="R1308" s="1129">
        <v>0</v>
      </c>
      <c r="S1308" s="1129">
        <v>2128</v>
      </c>
      <c r="T1308" s="1129">
        <v>5251270.71</v>
      </c>
      <c r="U1308" s="1129">
        <v>0</v>
      </c>
      <c r="V1308" s="1129">
        <v>0</v>
      </c>
      <c r="W1308" s="1129">
        <v>0</v>
      </c>
      <c r="X1308" s="1129">
        <v>411299.84000000003</v>
      </c>
      <c r="Y1308" s="1129">
        <v>0</v>
      </c>
    </row>
    <row r="1309" spans="1:25" s="1177" customFormat="1" ht="99.6" customHeight="1">
      <c r="A1309" s="1280"/>
      <c r="B1309" s="1135" t="s">
        <v>2586</v>
      </c>
      <c r="C1309" s="1129">
        <f>SUM(C1310:C1333)</f>
        <v>62321284.950000003</v>
      </c>
      <c r="D1309" s="1129">
        <f t="shared" ref="D1309:Y1309" si="551">SUM(D1310:D1333)</f>
        <v>12848489</v>
      </c>
      <c r="E1309" s="1129">
        <f t="shared" si="551"/>
        <v>0</v>
      </c>
      <c r="F1309" s="1129">
        <f t="shared" si="551"/>
        <v>12848489</v>
      </c>
      <c r="G1309" s="1129">
        <f t="shared" si="551"/>
        <v>0</v>
      </c>
      <c r="H1309" s="1129">
        <f t="shared" si="551"/>
        <v>0</v>
      </c>
      <c r="I1309" s="1129">
        <f t="shared" si="551"/>
        <v>0</v>
      </c>
      <c r="J1309" s="1129">
        <f t="shared" si="551"/>
        <v>0</v>
      </c>
      <c r="K1309" s="1136">
        <f t="shared" si="551"/>
        <v>0</v>
      </c>
      <c r="L1309" s="1129">
        <f t="shared" si="551"/>
        <v>0</v>
      </c>
      <c r="M1309" s="1136">
        <f t="shared" si="551"/>
        <v>0</v>
      </c>
      <c r="N1309" s="1129">
        <f t="shared" si="551"/>
        <v>0</v>
      </c>
      <c r="O1309" s="1129">
        <f t="shared" si="551"/>
        <v>14435.55</v>
      </c>
      <c r="P1309" s="1129">
        <f t="shared" si="551"/>
        <v>43829990.579999998</v>
      </c>
      <c r="Q1309" s="1129">
        <f t="shared" si="551"/>
        <v>0</v>
      </c>
      <c r="R1309" s="1129">
        <f t="shared" si="551"/>
        <v>0</v>
      </c>
      <c r="S1309" s="1129">
        <f t="shared" si="551"/>
        <v>596</v>
      </c>
      <c r="T1309" s="1129">
        <f t="shared" si="551"/>
        <v>1470750.63</v>
      </c>
      <c r="U1309" s="1129">
        <f t="shared" si="551"/>
        <v>0</v>
      </c>
      <c r="V1309" s="1129">
        <f t="shared" si="551"/>
        <v>0</v>
      </c>
      <c r="W1309" s="1129">
        <v>0</v>
      </c>
      <c r="X1309" s="1129">
        <f t="shared" si="551"/>
        <v>4172054.7399999998</v>
      </c>
      <c r="Y1309" s="1129">
        <f t="shared" si="551"/>
        <v>0</v>
      </c>
    </row>
    <row r="1310" spans="1:25" s="1177" customFormat="1" ht="81" customHeight="1">
      <c r="A1310" s="1280">
        <v>282</v>
      </c>
      <c r="B1310" s="1135" t="s">
        <v>1638</v>
      </c>
      <c r="C1310" s="1129">
        <f t="shared" si="549"/>
        <v>4202669</v>
      </c>
      <c r="D1310" s="1129">
        <f t="shared" si="550"/>
        <v>3897409</v>
      </c>
      <c r="E1310" s="1129">
        <v>0</v>
      </c>
      <c r="F1310" s="1129">
        <v>3897409</v>
      </c>
      <c r="G1310" s="1129">
        <v>0</v>
      </c>
      <c r="H1310" s="1129">
        <v>0</v>
      </c>
      <c r="I1310" s="1129">
        <v>0</v>
      </c>
      <c r="J1310" s="1129">
        <v>0</v>
      </c>
      <c r="K1310" s="1136">
        <v>0</v>
      </c>
      <c r="L1310" s="1129">
        <v>0</v>
      </c>
      <c r="M1310" s="1136">
        <v>0</v>
      </c>
      <c r="N1310" s="1129">
        <v>0</v>
      </c>
      <c r="O1310" s="1129">
        <v>0</v>
      </c>
      <c r="P1310" s="1129">
        <v>0</v>
      </c>
      <c r="Q1310" s="1129">
        <v>0</v>
      </c>
      <c r="R1310" s="1129">
        <v>0</v>
      </c>
      <c r="S1310" s="1129">
        <v>0</v>
      </c>
      <c r="T1310" s="1129">
        <v>0</v>
      </c>
      <c r="U1310" s="1129">
        <v>0</v>
      </c>
      <c r="V1310" s="1129">
        <v>0</v>
      </c>
      <c r="W1310" s="1129">
        <v>0</v>
      </c>
      <c r="X1310" s="1129">
        <v>305260</v>
      </c>
      <c r="Y1310" s="1129">
        <v>0</v>
      </c>
    </row>
    <row r="1311" spans="1:25" s="1177" customFormat="1" ht="85.9" customHeight="1">
      <c r="A1311" s="1280">
        <v>283</v>
      </c>
      <c r="B1311" s="1135" t="s">
        <v>1639</v>
      </c>
      <c r="C1311" s="1129">
        <f t="shared" si="549"/>
        <v>2250909.38</v>
      </c>
      <c r="D1311" s="1129">
        <f t="shared" si="550"/>
        <v>0</v>
      </c>
      <c r="E1311" s="1129">
        <v>0</v>
      </c>
      <c r="F1311" s="1129">
        <v>0</v>
      </c>
      <c r="G1311" s="1129">
        <v>0</v>
      </c>
      <c r="H1311" s="1129">
        <v>0</v>
      </c>
      <c r="I1311" s="1129">
        <v>0</v>
      </c>
      <c r="J1311" s="1129">
        <v>0</v>
      </c>
      <c r="K1311" s="1136">
        <v>0</v>
      </c>
      <c r="L1311" s="1129">
        <v>0</v>
      </c>
      <c r="M1311" s="1136">
        <v>0</v>
      </c>
      <c r="N1311" s="1129">
        <v>0</v>
      </c>
      <c r="O1311" s="1129">
        <v>845</v>
      </c>
      <c r="P1311" s="1129">
        <v>2129226</v>
      </c>
      <c r="Q1311" s="1149">
        <v>0</v>
      </c>
      <c r="R1311" s="1129">
        <v>0</v>
      </c>
      <c r="S1311" s="1129">
        <v>0</v>
      </c>
      <c r="T1311" s="1129">
        <v>0</v>
      </c>
      <c r="U1311" s="1149">
        <v>0</v>
      </c>
      <c r="V1311" s="1129">
        <v>0</v>
      </c>
      <c r="W1311" s="1129">
        <v>0</v>
      </c>
      <c r="X1311" s="1129">
        <v>121683.38</v>
      </c>
      <c r="Y1311" s="1129">
        <v>0</v>
      </c>
    </row>
    <row r="1312" spans="1:25" s="1177" customFormat="1" ht="93" customHeight="1">
      <c r="A1312" s="1280">
        <v>284</v>
      </c>
      <c r="B1312" s="1135" t="s">
        <v>1103</v>
      </c>
      <c r="C1312" s="1129">
        <f t="shared" si="549"/>
        <v>2556927.04</v>
      </c>
      <c r="D1312" s="1129">
        <f t="shared" si="550"/>
        <v>0</v>
      </c>
      <c r="E1312" s="1129">
        <v>0</v>
      </c>
      <c r="F1312" s="1129">
        <v>0</v>
      </c>
      <c r="G1312" s="1129">
        <v>0</v>
      </c>
      <c r="H1312" s="1129">
        <v>0</v>
      </c>
      <c r="I1312" s="1129">
        <v>0</v>
      </c>
      <c r="J1312" s="1129">
        <v>0</v>
      </c>
      <c r="K1312" s="1136">
        <v>0</v>
      </c>
      <c r="L1312" s="1129">
        <v>0</v>
      </c>
      <c r="M1312" s="1136">
        <v>0</v>
      </c>
      <c r="N1312" s="1129">
        <v>0</v>
      </c>
      <c r="O1312" s="1129">
        <v>960</v>
      </c>
      <c r="P1312" s="1129">
        <v>2419002</v>
      </c>
      <c r="Q1312" s="1149">
        <v>0</v>
      </c>
      <c r="R1312" s="1129">
        <v>0</v>
      </c>
      <c r="S1312" s="1129">
        <v>0</v>
      </c>
      <c r="T1312" s="1129">
        <v>0</v>
      </c>
      <c r="U1312" s="1149">
        <v>0</v>
      </c>
      <c r="V1312" s="1129">
        <v>0</v>
      </c>
      <c r="W1312" s="1129">
        <v>0</v>
      </c>
      <c r="X1312" s="1129">
        <v>137925.04</v>
      </c>
      <c r="Y1312" s="1129">
        <v>0</v>
      </c>
    </row>
    <row r="1313" spans="1:25" s="1177" customFormat="1" ht="85.15" customHeight="1">
      <c r="A1313" s="1280">
        <v>285</v>
      </c>
      <c r="B1313" s="1135" t="s">
        <v>1842</v>
      </c>
      <c r="C1313" s="1129">
        <f t="shared" si="549"/>
        <v>2617852.0699999998</v>
      </c>
      <c r="D1313" s="1129">
        <f t="shared" si="550"/>
        <v>0</v>
      </c>
      <c r="E1313" s="1129">
        <v>0</v>
      </c>
      <c r="F1313" s="1129">
        <v>0</v>
      </c>
      <c r="G1313" s="1129">
        <v>0</v>
      </c>
      <c r="H1313" s="1129">
        <v>0</v>
      </c>
      <c r="I1313" s="1129">
        <v>0</v>
      </c>
      <c r="J1313" s="1129">
        <v>0</v>
      </c>
      <c r="K1313" s="1136">
        <v>0</v>
      </c>
      <c r="L1313" s="1129">
        <v>0</v>
      </c>
      <c r="M1313" s="1136">
        <v>0</v>
      </c>
      <c r="N1313" s="1129">
        <v>0</v>
      </c>
      <c r="O1313" s="1129">
        <v>983.5</v>
      </c>
      <c r="P1313" s="1129">
        <v>2478218</v>
      </c>
      <c r="Q1313" s="1129">
        <v>0</v>
      </c>
      <c r="R1313" s="1129">
        <v>0</v>
      </c>
      <c r="S1313" s="1129">
        <v>0</v>
      </c>
      <c r="T1313" s="1129">
        <v>0</v>
      </c>
      <c r="U1313" s="1129">
        <v>0</v>
      </c>
      <c r="V1313" s="1129">
        <v>0</v>
      </c>
      <c r="W1313" s="1129">
        <v>0</v>
      </c>
      <c r="X1313" s="1129">
        <v>139634.07</v>
      </c>
      <c r="Y1313" s="1129">
        <v>0</v>
      </c>
    </row>
    <row r="1314" spans="1:25" s="1177" customFormat="1" ht="76.150000000000006" customHeight="1">
      <c r="A1314" s="1280">
        <v>286</v>
      </c>
      <c r="B1314" s="1135" t="s">
        <v>2268</v>
      </c>
      <c r="C1314" s="1129">
        <f t="shared" si="549"/>
        <v>3577155.73</v>
      </c>
      <c r="D1314" s="1129">
        <f t="shared" si="550"/>
        <v>3408028</v>
      </c>
      <c r="E1314" s="1129">
        <v>0</v>
      </c>
      <c r="F1314" s="1129">
        <v>3408028</v>
      </c>
      <c r="G1314" s="1129">
        <v>0</v>
      </c>
      <c r="H1314" s="1129">
        <v>0</v>
      </c>
      <c r="I1314" s="1129">
        <v>0</v>
      </c>
      <c r="J1314" s="1129">
        <v>0</v>
      </c>
      <c r="K1314" s="1136">
        <v>0</v>
      </c>
      <c r="L1314" s="1129">
        <v>0</v>
      </c>
      <c r="M1314" s="1136">
        <v>0</v>
      </c>
      <c r="N1314" s="1129">
        <v>0</v>
      </c>
      <c r="O1314" s="1129">
        <v>0</v>
      </c>
      <c r="P1314" s="1129">
        <v>0</v>
      </c>
      <c r="Q1314" s="1129">
        <v>0</v>
      </c>
      <c r="R1314" s="1129">
        <v>0</v>
      </c>
      <c r="S1314" s="1129">
        <v>0</v>
      </c>
      <c r="T1314" s="1129">
        <v>0</v>
      </c>
      <c r="U1314" s="1129">
        <v>0</v>
      </c>
      <c r="V1314" s="1129">
        <v>0</v>
      </c>
      <c r="W1314" s="1129">
        <v>0</v>
      </c>
      <c r="X1314" s="1129">
        <v>169127.73</v>
      </c>
      <c r="Y1314" s="1129">
        <v>0</v>
      </c>
    </row>
    <row r="1315" spans="1:25" s="1177" customFormat="1" ht="93" customHeight="1">
      <c r="A1315" s="1280">
        <v>287</v>
      </c>
      <c r="B1315" s="1135" t="s">
        <v>1101</v>
      </c>
      <c r="C1315" s="1129">
        <f t="shared" si="549"/>
        <v>1500157.35</v>
      </c>
      <c r="D1315" s="1129">
        <f t="shared" si="550"/>
        <v>0</v>
      </c>
      <c r="E1315" s="1129">
        <v>0</v>
      </c>
      <c r="F1315" s="1129">
        <v>0</v>
      </c>
      <c r="G1315" s="1129">
        <v>0</v>
      </c>
      <c r="H1315" s="1129">
        <v>0</v>
      </c>
      <c r="I1315" s="1129">
        <v>0</v>
      </c>
      <c r="J1315" s="1129">
        <v>0</v>
      </c>
      <c r="K1315" s="1136">
        <v>0</v>
      </c>
      <c r="L1315" s="1129">
        <v>0</v>
      </c>
      <c r="M1315" s="1136">
        <v>0</v>
      </c>
      <c r="N1315" s="1129">
        <v>0</v>
      </c>
      <c r="O1315" s="1129">
        <v>563</v>
      </c>
      <c r="P1315" s="1129">
        <v>1418644</v>
      </c>
      <c r="Q1315" s="1129">
        <v>0</v>
      </c>
      <c r="R1315" s="1129">
        <v>0</v>
      </c>
      <c r="S1315" s="1129">
        <v>0</v>
      </c>
      <c r="T1315" s="1129">
        <v>0</v>
      </c>
      <c r="U1315" s="1129">
        <v>0</v>
      </c>
      <c r="V1315" s="1129">
        <v>0</v>
      </c>
      <c r="W1315" s="1129">
        <v>0</v>
      </c>
      <c r="X1315" s="1129">
        <v>81513.350000000006</v>
      </c>
      <c r="Y1315" s="1129">
        <v>0</v>
      </c>
    </row>
    <row r="1316" spans="1:25" s="1177" customFormat="1" ht="99.6" customHeight="1">
      <c r="A1316" s="1280">
        <v>288</v>
      </c>
      <c r="B1316" s="1135" t="s">
        <v>1929</v>
      </c>
      <c r="C1316" s="1129">
        <f t="shared" si="549"/>
        <v>2939370.25</v>
      </c>
      <c r="D1316" s="1129">
        <f t="shared" si="550"/>
        <v>0</v>
      </c>
      <c r="E1316" s="1129">
        <v>0</v>
      </c>
      <c r="F1316" s="1129">
        <v>0</v>
      </c>
      <c r="G1316" s="1129">
        <v>0</v>
      </c>
      <c r="H1316" s="1129">
        <v>0</v>
      </c>
      <c r="I1316" s="1129">
        <v>0</v>
      </c>
      <c r="J1316" s="1129">
        <v>0</v>
      </c>
      <c r="K1316" s="1136">
        <v>0</v>
      </c>
      <c r="L1316" s="1129">
        <v>0</v>
      </c>
      <c r="M1316" s="1136">
        <v>0</v>
      </c>
      <c r="N1316" s="1129">
        <v>0</v>
      </c>
      <c r="O1316" s="1129">
        <v>895</v>
      </c>
      <c r="P1316" s="1129">
        <v>2809192</v>
      </c>
      <c r="Q1316" s="1129">
        <v>0</v>
      </c>
      <c r="R1316" s="1129">
        <v>0</v>
      </c>
      <c r="S1316" s="1129">
        <v>0</v>
      </c>
      <c r="T1316" s="1129">
        <v>0</v>
      </c>
      <c r="U1316" s="1129">
        <v>0</v>
      </c>
      <c r="V1316" s="1129">
        <v>0</v>
      </c>
      <c r="W1316" s="1129">
        <v>0</v>
      </c>
      <c r="X1316" s="1129">
        <v>130178.25</v>
      </c>
      <c r="Y1316" s="1129">
        <v>0</v>
      </c>
    </row>
    <row r="1317" spans="1:25" s="1177" customFormat="1" ht="76.150000000000006" customHeight="1">
      <c r="A1317" s="1280">
        <v>289</v>
      </c>
      <c r="B1317" s="1135" t="s">
        <v>1094</v>
      </c>
      <c r="C1317" s="1129">
        <f>D1317+N1317+P1317+R1317+T1317+V1317+X1317+L1317</f>
        <v>5977205.2800000003</v>
      </c>
      <c r="D1317" s="1129">
        <f t="shared" si="550"/>
        <v>5543052</v>
      </c>
      <c r="E1317" s="1129">
        <v>0</v>
      </c>
      <c r="F1317" s="1129">
        <v>5543052</v>
      </c>
      <c r="G1317" s="1129">
        <v>0</v>
      </c>
      <c r="H1317" s="1129">
        <v>0</v>
      </c>
      <c r="I1317" s="1129">
        <v>0</v>
      </c>
      <c r="J1317" s="1129">
        <v>0</v>
      </c>
      <c r="K1317" s="1136">
        <v>0</v>
      </c>
      <c r="L1317" s="1129">
        <v>0</v>
      </c>
      <c r="M1317" s="1136">
        <v>0</v>
      </c>
      <c r="N1317" s="1129">
        <v>0</v>
      </c>
      <c r="O1317" s="1129">
        <v>0</v>
      </c>
      <c r="P1317" s="1129">
        <v>0</v>
      </c>
      <c r="Q1317" s="1129">
        <v>0</v>
      </c>
      <c r="R1317" s="1129">
        <v>0</v>
      </c>
      <c r="S1317" s="1129">
        <v>0</v>
      </c>
      <c r="T1317" s="1129">
        <v>0</v>
      </c>
      <c r="U1317" s="1129">
        <v>0</v>
      </c>
      <c r="V1317" s="1129">
        <v>0</v>
      </c>
      <c r="W1317" s="1129">
        <v>0</v>
      </c>
      <c r="X1317" s="1129">
        <v>434153.28</v>
      </c>
      <c r="Y1317" s="1129">
        <v>0</v>
      </c>
    </row>
    <row r="1318" spans="1:25" s="1177" customFormat="1" ht="76.150000000000006" customHeight="1">
      <c r="A1318" s="1280">
        <v>290</v>
      </c>
      <c r="B1318" s="1135" t="s">
        <v>977</v>
      </c>
      <c r="C1318" s="1129">
        <f t="shared" si="549"/>
        <v>1585945.5099999998</v>
      </c>
      <c r="D1318" s="1129">
        <f t="shared" si="550"/>
        <v>0</v>
      </c>
      <c r="E1318" s="1129">
        <v>0</v>
      </c>
      <c r="F1318" s="1129">
        <v>0</v>
      </c>
      <c r="G1318" s="1129">
        <v>0</v>
      </c>
      <c r="H1318" s="1129">
        <v>0</v>
      </c>
      <c r="I1318" s="1129">
        <v>0</v>
      </c>
      <c r="J1318" s="1129">
        <v>0</v>
      </c>
      <c r="K1318" s="1136">
        <v>0</v>
      </c>
      <c r="L1318" s="1129">
        <v>0</v>
      </c>
      <c r="M1318" s="1136">
        <v>0</v>
      </c>
      <c r="N1318" s="1129">
        <v>0</v>
      </c>
      <c r="O1318" s="1129">
        <v>0</v>
      </c>
      <c r="P1318" s="1129">
        <v>0</v>
      </c>
      <c r="Q1318" s="1129">
        <v>0</v>
      </c>
      <c r="R1318" s="1129">
        <v>0</v>
      </c>
      <c r="S1318" s="1129">
        <v>596</v>
      </c>
      <c r="T1318" s="1129">
        <v>1470750.63</v>
      </c>
      <c r="U1318" s="1129">
        <v>0</v>
      </c>
      <c r="V1318" s="1129">
        <v>0</v>
      </c>
      <c r="W1318" s="1129">
        <v>0</v>
      </c>
      <c r="X1318" s="1129">
        <v>115194.88</v>
      </c>
      <c r="Y1318" s="1129">
        <v>0</v>
      </c>
    </row>
    <row r="1319" spans="1:25" s="1177" customFormat="1" ht="73.900000000000006" customHeight="1">
      <c r="A1319" s="1280">
        <v>291</v>
      </c>
      <c r="B1319" s="1135" t="s">
        <v>1640</v>
      </c>
      <c r="C1319" s="1129">
        <f t="shared" si="549"/>
        <v>1191379.97</v>
      </c>
      <c r="D1319" s="1129">
        <f t="shared" si="550"/>
        <v>0</v>
      </c>
      <c r="E1319" s="1129">
        <v>0</v>
      </c>
      <c r="F1319" s="1129">
        <v>0</v>
      </c>
      <c r="G1319" s="1129">
        <v>0</v>
      </c>
      <c r="H1319" s="1129">
        <v>0</v>
      </c>
      <c r="I1319" s="1129">
        <v>0</v>
      </c>
      <c r="J1319" s="1129">
        <v>0</v>
      </c>
      <c r="K1319" s="1136">
        <v>0</v>
      </c>
      <c r="L1319" s="1129">
        <v>0</v>
      </c>
      <c r="M1319" s="1136">
        <v>0</v>
      </c>
      <c r="N1319" s="1129">
        <v>0</v>
      </c>
      <c r="O1319" s="1129">
        <v>352</v>
      </c>
      <c r="P1319" s="1129">
        <v>1104844.29</v>
      </c>
      <c r="Q1319" s="1129">
        <v>0</v>
      </c>
      <c r="R1319" s="1129">
        <v>0</v>
      </c>
      <c r="S1319" s="1129">
        <v>0</v>
      </c>
      <c r="T1319" s="1129">
        <v>0</v>
      </c>
      <c r="U1319" s="1129">
        <v>0</v>
      </c>
      <c r="V1319" s="1129">
        <v>0</v>
      </c>
      <c r="W1319" s="1129">
        <v>0</v>
      </c>
      <c r="X1319" s="1129">
        <v>86535.679999999993</v>
      </c>
      <c r="Y1319" s="1129">
        <v>0</v>
      </c>
    </row>
    <row r="1320" spans="1:25" s="1177" customFormat="1" ht="71.45" customHeight="1">
      <c r="A1320" s="1280">
        <v>292</v>
      </c>
      <c r="B1320" s="1135" t="s">
        <v>1434</v>
      </c>
      <c r="C1320" s="1129">
        <f t="shared" si="549"/>
        <v>3105641.71</v>
      </c>
      <c r="D1320" s="1129">
        <f t="shared" si="550"/>
        <v>0</v>
      </c>
      <c r="E1320" s="1129">
        <v>0</v>
      </c>
      <c r="F1320" s="1129">
        <v>0</v>
      </c>
      <c r="G1320" s="1129">
        <v>0</v>
      </c>
      <c r="H1320" s="1129">
        <v>0</v>
      </c>
      <c r="I1320" s="1129">
        <v>0</v>
      </c>
      <c r="J1320" s="1129">
        <v>0</v>
      </c>
      <c r="K1320" s="1136">
        <v>0</v>
      </c>
      <c r="L1320" s="1129">
        <v>0</v>
      </c>
      <c r="M1320" s="1136">
        <v>0</v>
      </c>
      <c r="N1320" s="1129">
        <v>0</v>
      </c>
      <c r="O1320" s="1129">
        <v>963</v>
      </c>
      <c r="P1320" s="1129">
        <v>2893112.71</v>
      </c>
      <c r="Q1320" s="1129">
        <v>0</v>
      </c>
      <c r="R1320" s="1129">
        <v>0</v>
      </c>
      <c r="S1320" s="1129">
        <v>0</v>
      </c>
      <c r="T1320" s="1129">
        <v>0</v>
      </c>
      <c r="U1320" s="1129">
        <v>0</v>
      </c>
      <c r="V1320" s="1129">
        <v>0</v>
      </c>
      <c r="W1320" s="1129">
        <v>0</v>
      </c>
      <c r="X1320" s="1129">
        <v>212529</v>
      </c>
      <c r="Y1320" s="1129">
        <v>0</v>
      </c>
    </row>
    <row r="1321" spans="1:25" s="1177" customFormat="1" ht="81" customHeight="1">
      <c r="A1321" s="1280">
        <v>293</v>
      </c>
      <c r="B1321" s="1135" t="s">
        <v>1144</v>
      </c>
      <c r="C1321" s="1129">
        <f t="shared" si="549"/>
        <v>1249211.18</v>
      </c>
      <c r="D1321" s="1129">
        <f t="shared" si="550"/>
        <v>0</v>
      </c>
      <c r="E1321" s="1129">
        <v>0</v>
      </c>
      <c r="F1321" s="1129">
        <v>0</v>
      </c>
      <c r="G1321" s="1129">
        <v>0</v>
      </c>
      <c r="H1321" s="1129">
        <v>0</v>
      </c>
      <c r="I1321" s="1129">
        <v>0</v>
      </c>
      <c r="J1321" s="1129">
        <v>0</v>
      </c>
      <c r="K1321" s="1136">
        <v>0</v>
      </c>
      <c r="L1321" s="1129">
        <v>0</v>
      </c>
      <c r="M1321" s="1136">
        <v>0</v>
      </c>
      <c r="N1321" s="1129">
        <v>0</v>
      </c>
      <c r="O1321" s="1129">
        <v>293</v>
      </c>
      <c r="P1321" s="1129">
        <v>1158474.94</v>
      </c>
      <c r="Q1321" s="1129">
        <v>0</v>
      </c>
      <c r="R1321" s="1129">
        <v>0</v>
      </c>
      <c r="S1321" s="1129">
        <v>0</v>
      </c>
      <c r="T1321" s="1129">
        <v>0</v>
      </c>
      <c r="U1321" s="1129">
        <v>0</v>
      </c>
      <c r="V1321" s="1129">
        <v>0</v>
      </c>
      <c r="W1321" s="1129">
        <v>0</v>
      </c>
      <c r="X1321" s="1129">
        <v>90736.24</v>
      </c>
      <c r="Y1321" s="1129">
        <v>0</v>
      </c>
    </row>
    <row r="1322" spans="1:25" s="1177" customFormat="1" ht="76.150000000000006" customHeight="1">
      <c r="A1322" s="1280">
        <v>294</v>
      </c>
      <c r="B1322" s="1135" t="s">
        <v>1145</v>
      </c>
      <c r="C1322" s="1129">
        <f t="shared" si="549"/>
        <v>2233837.4500000002</v>
      </c>
      <c r="D1322" s="1129">
        <f t="shared" si="550"/>
        <v>0</v>
      </c>
      <c r="E1322" s="1129">
        <v>0</v>
      </c>
      <c r="F1322" s="1129">
        <v>0</v>
      </c>
      <c r="G1322" s="1129">
        <v>0</v>
      </c>
      <c r="H1322" s="1129">
        <v>0</v>
      </c>
      <c r="I1322" s="1129">
        <v>0</v>
      </c>
      <c r="J1322" s="1129">
        <v>0</v>
      </c>
      <c r="K1322" s="1136">
        <v>0</v>
      </c>
      <c r="L1322" s="1129">
        <v>0</v>
      </c>
      <c r="M1322" s="1136">
        <v>0</v>
      </c>
      <c r="N1322" s="1129">
        <v>0</v>
      </c>
      <c r="O1322" s="1129">
        <v>660</v>
      </c>
      <c r="P1322" s="1129">
        <v>2071583.05</v>
      </c>
      <c r="Q1322" s="1129">
        <v>0</v>
      </c>
      <c r="R1322" s="1129">
        <v>0</v>
      </c>
      <c r="S1322" s="1129">
        <v>0</v>
      </c>
      <c r="T1322" s="1129">
        <v>0</v>
      </c>
      <c r="U1322" s="1129">
        <v>0</v>
      </c>
      <c r="V1322" s="1129">
        <v>0</v>
      </c>
      <c r="W1322" s="1129">
        <v>0</v>
      </c>
      <c r="X1322" s="1129">
        <v>162254.39999999999</v>
      </c>
      <c r="Y1322" s="1129">
        <v>0</v>
      </c>
    </row>
    <row r="1323" spans="1:25" s="1177" customFormat="1" ht="99.6" customHeight="1">
      <c r="A1323" s="1280">
        <v>295</v>
      </c>
      <c r="B1323" s="1135" t="s">
        <v>2587</v>
      </c>
      <c r="C1323" s="1129">
        <f t="shared" si="549"/>
        <v>2426418.34</v>
      </c>
      <c r="D1323" s="1129">
        <f t="shared" si="550"/>
        <v>0</v>
      </c>
      <c r="E1323" s="1129">
        <v>0</v>
      </c>
      <c r="F1323" s="1129">
        <v>0</v>
      </c>
      <c r="G1323" s="1129">
        <v>0</v>
      </c>
      <c r="H1323" s="1129">
        <v>0</v>
      </c>
      <c r="I1323" s="1129">
        <v>0</v>
      </c>
      <c r="J1323" s="1129">
        <v>0</v>
      </c>
      <c r="K1323" s="1136">
        <v>0</v>
      </c>
      <c r="L1323" s="1129">
        <v>0</v>
      </c>
      <c r="M1323" s="1136">
        <v>0</v>
      </c>
      <c r="N1323" s="1129">
        <v>0</v>
      </c>
      <c r="O1323" s="1129">
        <v>893</v>
      </c>
      <c r="P1323" s="1129">
        <v>2250175.86</v>
      </c>
      <c r="Q1323" s="1129">
        <v>0</v>
      </c>
      <c r="R1323" s="1129">
        <v>0</v>
      </c>
      <c r="S1323" s="1129">
        <v>0</v>
      </c>
      <c r="T1323" s="1129">
        <v>0</v>
      </c>
      <c r="U1323" s="1129">
        <v>0</v>
      </c>
      <c r="V1323" s="1129">
        <v>0</v>
      </c>
      <c r="W1323" s="1129">
        <v>0</v>
      </c>
      <c r="X1323" s="1129">
        <v>176242.48</v>
      </c>
      <c r="Y1323" s="1129">
        <v>0</v>
      </c>
    </row>
    <row r="1324" spans="1:25" s="1177" customFormat="1" ht="72" customHeight="1">
      <c r="A1324" s="1280">
        <v>296</v>
      </c>
      <c r="B1324" s="1135" t="s">
        <v>1641</v>
      </c>
      <c r="C1324" s="1129">
        <f t="shared" si="549"/>
        <v>4106298.6799999997</v>
      </c>
      <c r="D1324" s="1129">
        <f t="shared" si="550"/>
        <v>0</v>
      </c>
      <c r="E1324" s="1129">
        <v>0</v>
      </c>
      <c r="F1324" s="1129">
        <v>0</v>
      </c>
      <c r="G1324" s="1129">
        <v>0</v>
      </c>
      <c r="H1324" s="1129">
        <v>0</v>
      </c>
      <c r="I1324" s="1129">
        <v>0</v>
      </c>
      <c r="J1324" s="1129">
        <v>0</v>
      </c>
      <c r="K1324" s="1136">
        <v>0</v>
      </c>
      <c r="L1324" s="1129">
        <v>0</v>
      </c>
      <c r="M1324" s="1136">
        <v>0</v>
      </c>
      <c r="N1324" s="1129">
        <v>0</v>
      </c>
      <c r="O1324" s="1129">
        <v>1511.25</v>
      </c>
      <c r="P1324" s="1129">
        <v>3808038.38</v>
      </c>
      <c r="Q1324" s="1129">
        <v>0</v>
      </c>
      <c r="R1324" s="1129">
        <v>0</v>
      </c>
      <c r="S1324" s="1129">
        <v>0</v>
      </c>
      <c r="T1324" s="1129">
        <v>0</v>
      </c>
      <c r="U1324" s="1129">
        <v>0</v>
      </c>
      <c r="V1324" s="1129">
        <v>0</v>
      </c>
      <c r="W1324" s="1129">
        <v>0</v>
      </c>
      <c r="X1324" s="1129">
        <v>298260.3</v>
      </c>
      <c r="Y1324" s="1129">
        <v>0</v>
      </c>
    </row>
    <row r="1325" spans="1:25" s="1177" customFormat="1" ht="78.599999999999994" customHeight="1">
      <c r="A1325" s="1280">
        <v>297</v>
      </c>
      <c r="B1325" s="1135" t="s">
        <v>1642</v>
      </c>
      <c r="C1325" s="1129">
        <f t="shared" si="549"/>
        <v>998457.65</v>
      </c>
      <c r="D1325" s="1129">
        <f t="shared" si="550"/>
        <v>0</v>
      </c>
      <c r="E1325" s="1129">
        <v>0</v>
      </c>
      <c r="F1325" s="1129">
        <v>0</v>
      </c>
      <c r="G1325" s="1129">
        <v>0</v>
      </c>
      <c r="H1325" s="1129">
        <v>0</v>
      </c>
      <c r="I1325" s="1129">
        <v>0</v>
      </c>
      <c r="J1325" s="1129">
        <v>0</v>
      </c>
      <c r="K1325" s="1136">
        <v>0</v>
      </c>
      <c r="L1325" s="1129">
        <v>0</v>
      </c>
      <c r="M1325" s="1136">
        <v>0</v>
      </c>
      <c r="N1325" s="1129">
        <v>0</v>
      </c>
      <c r="O1325" s="1129">
        <v>295</v>
      </c>
      <c r="P1325" s="1129">
        <v>925934.85</v>
      </c>
      <c r="Q1325" s="1129">
        <v>0</v>
      </c>
      <c r="R1325" s="1129">
        <v>0</v>
      </c>
      <c r="S1325" s="1129">
        <v>0</v>
      </c>
      <c r="T1325" s="1129">
        <v>0</v>
      </c>
      <c r="U1325" s="1129">
        <v>0</v>
      </c>
      <c r="V1325" s="1129">
        <v>0</v>
      </c>
      <c r="W1325" s="1129">
        <v>0</v>
      </c>
      <c r="X1325" s="1129">
        <v>72522.8</v>
      </c>
      <c r="Y1325" s="1129">
        <v>0</v>
      </c>
    </row>
    <row r="1326" spans="1:25" s="1177" customFormat="1" ht="88.15" customHeight="1">
      <c r="A1326" s="1280">
        <v>298</v>
      </c>
      <c r="B1326" s="1135" t="s">
        <v>1372</v>
      </c>
      <c r="C1326" s="1129">
        <f t="shared" si="549"/>
        <v>2051068.93</v>
      </c>
      <c r="D1326" s="1129">
        <f t="shared" si="550"/>
        <v>0</v>
      </c>
      <c r="E1326" s="1129">
        <v>0</v>
      </c>
      <c r="F1326" s="1129">
        <v>0</v>
      </c>
      <c r="G1326" s="1129">
        <v>0</v>
      </c>
      <c r="H1326" s="1129">
        <v>0</v>
      </c>
      <c r="I1326" s="1129">
        <v>0</v>
      </c>
      <c r="J1326" s="1129">
        <v>0</v>
      </c>
      <c r="K1326" s="1136">
        <v>0</v>
      </c>
      <c r="L1326" s="1129">
        <v>0</v>
      </c>
      <c r="M1326" s="1136">
        <v>0</v>
      </c>
      <c r="N1326" s="1129">
        <v>0</v>
      </c>
      <c r="O1326" s="1129">
        <v>606</v>
      </c>
      <c r="P1326" s="1129">
        <v>1902089.89</v>
      </c>
      <c r="Q1326" s="1129">
        <v>0</v>
      </c>
      <c r="R1326" s="1129">
        <v>0</v>
      </c>
      <c r="S1326" s="1129">
        <v>0</v>
      </c>
      <c r="T1326" s="1129">
        <v>0</v>
      </c>
      <c r="U1326" s="1129">
        <v>0</v>
      </c>
      <c r="V1326" s="1129">
        <v>0</v>
      </c>
      <c r="W1326" s="1129">
        <v>0</v>
      </c>
      <c r="X1326" s="1129">
        <v>148979.04</v>
      </c>
      <c r="Y1326" s="1129">
        <v>0</v>
      </c>
    </row>
    <row r="1327" spans="1:25" s="1177" customFormat="1" ht="85.9" customHeight="1">
      <c r="A1327" s="1280">
        <v>299</v>
      </c>
      <c r="B1327" s="1135" t="s">
        <v>1373</v>
      </c>
      <c r="C1327" s="1129">
        <f t="shared" si="549"/>
        <v>3698293.39</v>
      </c>
      <c r="D1327" s="1129">
        <f t="shared" si="550"/>
        <v>0</v>
      </c>
      <c r="E1327" s="1129">
        <v>0</v>
      </c>
      <c r="F1327" s="1129">
        <v>0</v>
      </c>
      <c r="G1327" s="1129">
        <v>0</v>
      </c>
      <c r="H1327" s="1129">
        <v>0</v>
      </c>
      <c r="I1327" s="1129">
        <v>0</v>
      </c>
      <c r="J1327" s="1129">
        <v>0</v>
      </c>
      <c r="K1327" s="1136">
        <v>0</v>
      </c>
      <c r="L1327" s="1129">
        <v>0</v>
      </c>
      <c r="M1327" s="1136">
        <v>0</v>
      </c>
      <c r="N1327" s="1129">
        <v>0</v>
      </c>
      <c r="O1327" s="1129">
        <v>927.06</v>
      </c>
      <c r="P1327" s="1129">
        <v>3429668.48</v>
      </c>
      <c r="Q1327" s="1129">
        <v>0</v>
      </c>
      <c r="R1327" s="1129">
        <v>0</v>
      </c>
      <c r="S1327" s="1129">
        <v>0</v>
      </c>
      <c r="T1327" s="1129">
        <v>0</v>
      </c>
      <c r="U1327" s="1129">
        <v>0</v>
      </c>
      <c r="V1327" s="1129">
        <v>0</v>
      </c>
      <c r="W1327" s="1129">
        <v>0</v>
      </c>
      <c r="X1327" s="1129">
        <v>268624.90999999997</v>
      </c>
      <c r="Y1327" s="1129">
        <v>0</v>
      </c>
    </row>
    <row r="1328" spans="1:25" s="1177" customFormat="1" ht="97.15" customHeight="1">
      <c r="A1328" s="1280">
        <v>300</v>
      </c>
      <c r="B1328" s="1135" t="s">
        <v>1930</v>
      </c>
      <c r="C1328" s="1129">
        <f t="shared" si="549"/>
        <v>1537624.78</v>
      </c>
      <c r="D1328" s="1129">
        <f t="shared" si="550"/>
        <v>0</v>
      </c>
      <c r="E1328" s="1129">
        <v>0</v>
      </c>
      <c r="F1328" s="1129">
        <v>0</v>
      </c>
      <c r="G1328" s="1129">
        <v>0</v>
      </c>
      <c r="H1328" s="1129">
        <v>0</v>
      </c>
      <c r="I1328" s="1129">
        <v>0</v>
      </c>
      <c r="J1328" s="1129">
        <v>0</v>
      </c>
      <c r="K1328" s="1136">
        <v>0</v>
      </c>
      <c r="L1328" s="1129">
        <v>0</v>
      </c>
      <c r="M1328" s="1136">
        <v>0</v>
      </c>
      <c r="N1328" s="1129">
        <v>0</v>
      </c>
      <c r="O1328" s="1129">
        <v>454.3</v>
      </c>
      <c r="P1328" s="1129">
        <v>1425939.67</v>
      </c>
      <c r="Q1328" s="1129">
        <v>0</v>
      </c>
      <c r="R1328" s="1129">
        <v>0</v>
      </c>
      <c r="S1328" s="1129">
        <v>0</v>
      </c>
      <c r="T1328" s="1129">
        <v>0</v>
      </c>
      <c r="U1328" s="1129">
        <v>0</v>
      </c>
      <c r="V1328" s="1129">
        <v>0</v>
      </c>
      <c r="W1328" s="1129">
        <v>0</v>
      </c>
      <c r="X1328" s="1129">
        <v>111685.11</v>
      </c>
      <c r="Y1328" s="1129">
        <v>0</v>
      </c>
    </row>
    <row r="1329" spans="1:25" s="1177" customFormat="1" ht="66.599999999999994" customHeight="1">
      <c r="A1329" s="1280">
        <v>301</v>
      </c>
      <c r="B1329" s="1135" t="s">
        <v>1375</v>
      </c>
      <c r="C1329" s="1129">
        <f t="shared" si="549"/>
        <v>2443526.83</v>
      </c>
      <c r="D1329" s="1129">
        <f t="shared" si="550"/>
        <v>0</v>
      </c>
      <c r="E1329" s="1129">
        <v>0</v>
      </c>
      <c r="F1329" s="1129">
        <v>0</v>
      </c>
      <c r="G1329" s="1129">
        <v>0</v>
      </c>
      <c r="H1329" s="1129">
        <v>0</v>
      </c>
      <c r="I1329" s="1129">
        <v>0</v>
      </c>
      <c r="J1329" s="1129">
        <v>0</v>
      </c>
      <c r="K1329" s="1136">
        <v>0</v>
      </c>
      <c r="L1329" s="1129">
        <v>0</v>
      </c>
      <c r="M1329" s="1136">
        <v>0</v>
      </c>
      <c r="N1329" s="1129">
        <v>0</v>
      </c>
      <c r="O1329" s="1129">
        <v>500.24</v>
      </c>
      <c r="P1329" s="1129">
        <v>2266041.6800000002</v>
      </c>
      <c r="Q1329" s="1129">
        <v>0</v>
      </c>
      <c r="R1329" s="1129">
        <v>0</v>
      </c>
      <c r="S1329" s="1129">
        <v>0</v>
      </c>
      <c r="T1329" s="1129">
        <v>0</v>
      </c>
      <c r="U1329" s="1129">
        <v>0</v>
      </c>
      <c r="V1329" s="1129">
        <v>0</v>
      </c>
      <c r="W1329" s="1129">
        <v>0</v>
      </c>
      <c r="X1329" s="1129">
        <v>177485.15</v>
      </c>
      <c r="Y1329" s="1129">
        <v>0</v>
      </c>
    </row>
    <row r="1330" spans="1:25" s="1177" customFormat="1" ht="85.9" customHeight="1">
      <c r="A1330" s="1280">
        <v>302</v>
      </c>
      <c r="B1330" s="1135" t="s">
        <v>1376</v>
      </c>
      <c r="C1330" s="1129">
        <f t="shared" si="549"/>
        <v>3854035.4000000004</v>
      </c>
      <c r="D1330" s="1129">
        <f t="shared" si="550"/>
        <v>0</v>
      </c>
      <c r="E1330" s="1129">
        <v>0</v>
      </c>
      <c r="F1330" s="1129">
        <v>0</v>
      </c>
      <c r="G1330" s="1129">
        <v>0</v>
      </c>
      <c r="H1330" s="1129">
        <v>0</v>
      </c>
      <c r="I1330" s="1129">
        <v>0</v>
      </c>
      <c r="J1330" s="1129">
        <v>0</v>
      </c>
      <c r="K1330" s="1136">
        <v>0</v>
      </c>
      <c r="L1330" s="1129">
        <v>0</v>
      </c>
      <c r="M1330" s="1136">
        <v>0</v>
      </c>
      <c r="N1330" s="1129">
        <v>0</v>
      </c>
      <c r="O1330" s="1129">
        <v>789</v>
      </c>
      <c r="P1330" s="1129">
        <v>3574098.2</v>
      </c>
      <c r="Q1330" s="1129">
        <v>0</v>
      </c>
      <c r="R1330" s="1129">
        <v>0</v>
      </c>
      <c r="S1330" s="1129">
        <v>0</v>
      </c>
      <c r="T1330" s="1129">
        <v>0</v>
      </c>
      <c r="U1330" s="1129">
        <v>0</v>
      </c>
      <c r="V1330" s="1129">
        <v>0</v>
      </c>
      <c r="W1330" s="1129">
        <v>0</v>
      </c>
      <c r="X1330" s="1129">
        <v>279937.2</v>
      </c>
      <c r="Y1330" s="1129">
        <v>0</v>
      </c>
    </row>
    <row r="1331" spans="1:25" s="1177" customFormat="1" ht="78.599999999999994" customHeight="1">
      <c r="A1331" s="1280">
        <v>303</v>
      </c>
      <c r="B1331" s="1135" t="s">
        <v>1377</v>
      </c>
      <c r="C1331" s="1129">
        <f t="shared" si="549"/>
        <v>2833588.96</v>
      </c>
      <c r="D1331" s="1129">
        <f t="shared" si="550"/>
        <v>0</v>
      </c>
      <c r="E1331" s="1129">
        <v>0</v>
      </c>
      <c r="F1331" s="1129">
        <v>0</v>
      </c>
      <c r="G1331" s="1129">
        <v>0</v>
      </c>
      <c r="H1331" s="1129">
        <v>0</v>
      </c>
      <c r="I1331" s="1129">
        <v>0</v>
      </c>
      <c r="J1331" s="1129">
        <v>0</v>
      </c>
      <c r="K1331" s="1136">
        <v>0</v>
      </c>
      <c r="L1331" s="1129">
        <v>0</v>
      </c>
      <c r="M1331" s="1136">
        <v>0</v>
      </c>
      <c r="N1331" s="1129">
        <v>0</v>
      </c>
      <c r="O1331" s="1129">
        <v>837.2</v>
      </c>
      <c r="P1331" s="1129">
        <v>2627771.71</v>
      </c>
      <c r="Q1331" s="1129">
        <v>0</v>
      </c>
      <c r="R1331" s="1129">
        <v>0</v>
      </c>
      <c r="S1331" s="1129">
        <v>0</v>
      </c>
      <c r="T1331" s="1129">
        <v>0</v>
      </c>
      <c r="U1331" s="1129">
        <v>0</v>
      </c>
      <c r="V1331" s="1129">
        <v>0</v>
      </c>
      <c r="W1331" s="1129">
        <v>0</v>
      </c>
      <c r="X1331" s="1129">
        <v>205817.25</v>
      </c>
      <c r="Y1331" s="1129">
        <v>0</v>
      </c>
    </row>
    <row r="1332" spans="1:25" s="1177" customFormat="1" ht="78.599999999999994" customHeight="1">
      <c r="A1332" s="1280">
        <v>304</v>
      </c>
      <c r="B1332" s="1135" t="s">
        <v>1378</v>
      </c>
      <c r="C1332" s="1129">
        <f t="shared" si="549"/>
        <v>1491717.44</v>
      </c>
      <c r="D1332" s="1129">
        <f t="shared" si="550"/>
        <v>0</v>
      </c>
      <c r="E1332" s="1129">
        <v>0</v>
      </c>
      <c r="F1332" s="1129">
        <v>0</v>
      </c>
      <c r="G1332" s="1129">
        <v>0</v>
      </c>
      <c r="H1332" s="1129">
        <v>0</v>
      </c>
      <c r="I1332" s="1129">
        <v>0</v>
      </c>
      <c r="J1332" s="1129">
        <v>0</v>
      </c>
      <c r="K1332" s="1136">
        <v>0</v>
      </c>
      <c r="L1332" s="1129">
        <v>0</v>
      </c>
      <c r="M1332" s="1136">
        <v>0</v>
      </c>
      <c r="N1332" s="1129">
        <v>0</v>
      </c>
      <c r="O1332" s="1129">
        <v>549</v>
      </c>
      <c r="P1332" s="1129">
        <v>1383366.8</v>
      </c>
      <c r="Q1332" s="1129">
        <v>0</v>
      </c>
      <c r="R1332" s="1129">
        <v>0</v>
      </c>
      <c r="S1332" s="1129">
        <v>0</v>
      </c>
      <c r="T1332" s="1129">
        <v>0</v>
      </c>
      <c r="U1332" s="1129">
        <v>0</v>
      </c>
      <c r="V1332" s="1129">
        <v>0</v>
      </c>
      <c r="W1332" s="1129">
        <v>0</v>
      </c>
      <c r="X1332" s="1129">
        <v>108350.64</v>
      </c>
      <c r="Y1332" s="1129">
        <v>0</v>
      </c>
    </row>
    <row r="1333" spans="1:25" s="1177" customFormat="1" ht="88.15" customHeight="1">
      <c r="A1333" s="1280">
        <v>305</v>
      </c>
      <c r="B1333" s="1135" t="s">
        <v>1379</v>
      </c>
      <c r="C1333" s="1129">
        <f t="shared" si="549"/>
        <v>1891992.6300000001</v>
      </c>
      <c r="D1333" s="1129">
        <f t="shared" si="550"/>
        <v>0</v>
      </c>
      <c r="E1333" s="1129">
        <v>0</v>
      </c>
      <c r="F1333" s="1129">
        <v>0</v>
      </c>
      <c r="G1333" s="1129">
        <v>0</v>
      </c>
      <c r="H1333" s="1129">
        <v>0</v>
      </c>
      <c r="I1333" s="1129">
        <v>0</v>
      </c>
      <c r="J1333" s="1129">
        <v>0</v>
      </c>
      <c r="K1333" s="1136">
        <v>0</v>
      </c>
      <c r="L1333" s="1129">
        <v>0</v>
      </c>
      <c r="M1333" s="1136">
        <v>0</v>
      </c>
      <c r="N1333" s="1129">
        <v>0</v>
      </c>
      <c r="O1333" s="1129">
        <v>559</v>
      </c>
      <c r="P1333" s="1129">
        <v>1754568.07</v>
      </c>
      <c r="Q1333" s="1129">
        <v>0</v>
      </c>
      <c r="R1333" s="1129">
        <v>0</v>
      </c>
      <c r="S1333" s="1129">
        <v>0</v>
      </c>
      <c r="T1333" s="1129">
        <v>0</v>
      </c>
      <c r="U1333" s="1129">
        <v>0</v>
      </c>
      <c r="V1333" s="1129">
        <v>0</v>
      </c>
      <c r="W1333" s="1129">
        <v>0</v>
      </c>
      <c r="X1333" s="1129">
        <v>137424.56</v>
      </c>
      <c r="Y1333" s="1129">
        <v>0</v>
      </c>
    </row>
    <row r="1334" spans="1:25" s="1177" customFormat="1" ht="111.6" customHeight="1">
      <c r="A1334" s="1280"/>
      <c r="B1334" s="1128" t="s">
        <v>2485</v>
      </c>
      <c r="C1334" s="1129">
        <f>SUM(C1335:C1343)</f>
        <v>31266103.439999998</v>
      </c>
      <c r="D1334" s="1129">
        <f t="shared" ref="D1334:Y1334" si="552">SUM(D1335:D1343)</f>
        <v>9060868.3300000001</v>
      </c>
      <c r="E1334" s="1129">
        <f t="shared" si="552"/>
        <v>0</v>
      </c>
      <c r="F1334" s="1129">
        <f t="shared" si="552"/>
        <v>0</v>
      </c>
      <c r="G1334" s="1129">
        <f t="shared" si="552"/>
        <v>0</v>
      </c>
      <c r="H1334" s="1129">
        <f t="shared" si="552"/>
        <v>0</v>
      </c>
      <c r="I1334" s="1129">
        <f t="shared" si="552"/>
        <v>3618838</v>
      </c>
      <c r="J1334" s="1129">
        <f t="shared" si="552"/>
        <v>5442030.3300000001</v>
      </c>
      <c r="K1334" s="1129">
        <f t="shared" si="552"/>
        <v>0</v>
      </c>
      <c r="L1334" s="1129">
        <f t="shared" si="552"/>
        <v>0</v>
      </c>
      <c r="M1334" s="1129">
        <f t="shared" si="552"/>
        <v>0</v>
      </c>
      <c r="N1334" s="1129">
        <f t="shared" si="552"/>
        <v>0</v>
      </c>
      <c r="O1334" s="1129">
        <f t="shared" si="552"/>
        <v>5773.0999999999995</v>
      </c>
      <c r="P1334" s="1129">
        <f t="shared" si="552"/>
        <v>20030886.600000001</v>
      </c>
      <c r="Q1334" s="1129">
        <f t="shared" si="552"/>
        <v>0</v>
      </c>
      <c r="R1334" s="1129">
        <f t="shared" si="552"/>
        <v>0</v>
      </c>
      <c r="S1334" s="1129">
        <f t="shared" si="552"/>
        <v>0</v>
      </c>
      <c r="T1334" s="1129">
        <f t="shared" si="552"/>
        <v>0</v>
      </c>
      <c r="U1334" s="1129">
        <f t="shared" si="552"/>
        <v>0</v>
      </c>
      <c r="V1334" s="1129">
        <f t="shared" si="552"/>
        <v>0</v>
      </c>
      <c r="W1334" s="1129">
        <f t="shared" si="552"/>
        <v>0</v>
      </c>
      <c r="X1334" s="1129">
        <f t="shared" si="552"/>
        <v>2174348.5099999998</v>
      </c>
      <c r="Y1334" s="1129">
        <f t="shared" si="552"/>
        <v>0</v>
      </c>
    </row>
    <row r="1335" spans="1:25" s="1177" customFormat="1" ht="81" customHeight="1">
      <c r="A1335" s="1280">
        <v>306</v>
      </c>
      <c r="B1335" s="1135" t="s">
        <v>1104</v>
      </c>
      <c r="C1335" s="1129">
        <f t="shared" ref="C1335:C1339" si="553">D1335+N1335+P1335+R1335+T1335+V1335+X1335</f>
        <v>2121484.12</v>
      </c>
      <c r="D1335" s="1129">
        <f t="shared" ref="D1335:D1339" si="554">SUM(E1335:J1335)</f>
        <v>0</v>
      </c>
      <c r="E1335" s="1129">
        <v>0</v>
      </c>
      <c r="F1335" s="1129">
        <v>0</v>
      </c>
      <c r="G1335" s="1129">
        <v>0</v>
      </c>
      <c r="H1335" s="1129">
        <v>0</v>
      </c>
      <c r="I1335" s="1129">
        <v>0</v>
      </c>
      <c r="J1335" s="1129">
        <v>0</v>
      </c>
      <c r="K1335" s="1136">
        <v>0</v>
      </c>
      <c r="L1335" s="1129">
        <v>0</v>
      </c>
      <c r="M1335" s="1136">
        <v>0</v>
      </c>
      <c r="N1335" s="1129">
        <v>0</v>
      </c>
      <c r="O1335" s="1129">
        <v>803.9</v>
      </c>
      <c r="P1335" s="1129">
        <v>2025662</v>
      </c>
      <c r="Q1335" s="1149">
        <v>0</v>
      </c>
      <c r="R1335" s="1129">
        <v>0</v>
      </c>
      <c r="S1335" s="1129">
        <v>0</v>
      </c>
      <c r="T1335" s="1129">
        <v>0</v>
      </c>
      <c r="U1335" s="1149">
        <v>0</v>
      </c>
      <c r="V1335" s="1129">
        <v>0</v>
      </c>
      <c r="W1335" s="1129">
        <v>0</v>
      </c>
      <c r="X1335" s="1129">
        <v>95822.12</v>
      </c>
      <c r="Y1335" s="1129">
        <v>0</v>
      </c>
    </row>
    <row r="1336" spans="1:25" s="1177" customFormat="1" ht="69" customHeight="1">
      <c r="A1336" s="1280">
        <v>307</v>
      </c>
      <c r="B1336" s="1135" t="s">
        <v>942</v>
      </c>
      <c r="C1336" s="1129">
        <f t="shared" si="553"/>
        <v>2463360.0700000003</v>
      </c>
      <c r="D1336" s="1129">
        <f t="shared" si="554"/>
        <v>2284434.33</v>
      </c>
      <c r="E1336" s="1129">
        <v>0</v>
      </c>
      <c r="F1336" s="1129">
        <v>0</v>
      </c>
      <c r="G1336" s="1129">
        <v>0</v>
      </c>
      <c r="H1336" s="1129">
        <v>0</v>
      </c>
      <c r="I1336" s="1129">
        <v>0</v>
      </c>
      <c r="J1336" s="1129">
        <v>2284434.33</v>
      </c>
      <c r="K1336" s="1136">
        <v>0</v>
      </c>
      <c r="L1336" s="1129">
        <v>0</v>
      </c>
      <c r="M1336" s="1136">
        <v>0</v>
      </c>
      <c r="N1336" s="1129">
        <v>0</v>
      </c>
      <c r="O1336" s="1129">
        <v>0</v>
      </c>
      <c r="P1336" s="1129">
        <v>0</v>
      </c>
      <c r="Q1336" s="1149">
        <v>0</v>
      </c>
      <c r="R1336" s="1129">
        <v>0</v>
      </c>
      <c r="S1336" s="1129">
        <v>0</v>
      </c>
      <c r="T1336" s="1129">
        <v>0</v>
      </c>
      <c r="U1336" s="1149">
        <v>0</v>
      </c>
      <c r="V1336" s="1129">
        <v>0</v>
      </c>
      <c r="W1336" s="1129">
        <v>0</v>
      </c>
      <c r="X1336" s="1129">
        <v>178925.74</v>
      </c>
      <c r="Y1336" s="1129">
        <v>0</v>
      </c>
    </row>
    <row r="1337" spans="1:25" s="1177" customFormat="1" ht="71.45" customHeight="1">
      <c r="A1337" s="1280">
        <v>308</v>
      </c>
      <c r="B1337" s="1135" t="s">
        <v>357</v>
      </c>
      <c r="C1337" s="1129">
        <f t="shared" si="553"/>
        <v>1958042</v>
      </c>
      <c r="D1337" s="1129">
        <f t="shared" si="554"/>
        <v>1815820</v>
      </c>
      <c r="E1337" s="1129">
        <v>0</v>
      </c>
      <c r="F1337" s="1129">
        <v>0</v>
      </c>
      <c r="G1337" s="1129">
        <v>0</v>
      </c>
      <c r="H1337" s="1129">
        <v>0</v>
      </c>
      <c r="I1337" s="1129">
        <v>0</v>
      </c>
      <c r="J1337" s="1129">
        <v>1815820</v>
      </c>
      <c r="K1337" s="1136">
        <v>0</v>
      </c>
      <c r="L1337" s="1129">
        <v>0</v>
      </c>
      <c r="M1337" s="1136">
        <v>0</v>
      </c>
      <c r="N1337" s="1129">
        <v>0</v>
      </c>
      <c r="O1337" s="1129">
        <v>0</v>
      </c>
      <c r="P1337" s="1129">
        <v>0</v>
      </c>
      <c r="Q1337" s="1149">
        <v>0</v>
      </c>
      <c r="R1337" s="1129">
        <v>0</v>
      </c>
      <c r="S1337" s="1129">
        <v>0</v>
      </c>
      <c r="T1337" s="1129">
        <v>0</v>
      </c>
      <c r="U1337" s="1149">
        <v>0</v>
      </c>
      <c r="V1337" s="1129">
        <v>0</v>
      </c>
      <c r="W1337" s="1129">
        <v>0</v>
      </c>
      <c r="X1337" s="1129">
        <v>142222</v>
      </c>
      <c r="Y1337" s="1129">
        <v>0</v>
      </c>
    </row>
    <row r="1338" spans="1:25" s="1177" customFormat="1" ht="66.599999999999994" customHeight="1">
      <c r="A1338" s="1280">
        <v>309</v>
      </c>
      <c r="B1338" s="1135" t="s">
        <v>737</v>
      </c>
      <c r="C1338" s="1129">
        <f t="shared" si="553"/>
        <v>6279770.8799999999</v>
      </c>
      <c r="D1338" s="1129">
        <f t="shared" si="554"/>
        <v>0</v>
      </c>
      <c r="E1338" s="1129">
        <v>0</v>
      </c>
      <c r="F1338" s="1129">
        <v>0</v>
      </c>
      <c r="G1338" s="1129">
        <v>0</v>
      </c>
      <c r="H1338" s="1129">
        <v>0</v>
      </c>
      <c r="I1338" s="1129">
        <v>0</v>
      </c>
      <c r="J1338" s="1129">
        <v>0</v>
      </c>
      <c r="K1338" s="1136">
        <v>0</v>
      </c>
      <c r="L1338" s="1129">
        <v>0</v>
      </c>
      <c r="M1338" s="1136">
        <v>0</v>
      </c>
      <c r="N1338" s="1129">
        <v>0</v>
      </c>
      <c r="O1338" s="1129">
        <v>1223</v>
      </c>
      <c r="P1338" s="1129">
        <v>5823640.7999999998</v>
      </c>
      <c r="Q1338" s="1149">
        <v>0</v>
      </c>
      <c r="R1338" s="1129">
        <v>0</v>
      </c>
      <c r="S1338" s="1129">
        <v>0</v>
      </c>
      <c r="T1338" s="1129">
        <v>0</v>
      </c>
      <c r="U1338" s="1149">
        <v>0</v>
      </c>
      <c r="V1338" s="1129">
        <v>0</v>
      </c>
      <c r="W1338" s="1129">
        <v>0</v>
      </c>
      <c r="X1338" s="1129">
        <v>456130.08</v>
      </c>
      <c r="Y1338" s="1129">
        <v>0</v>
      </c>
    </row>
    <row r="1339" spans="1:25" s="1177" customFormat="1" ht="78.599999999999994" customHeight="1">
      <c r="A1339" s="1280">
        <v>310</v>
      </c>
      <c r="B1339" s="1135" t="s">
        <v>739</v>
      </c>
      <c r="C1339" s="1129">
        <f t="shared" si="553"/>
        <v>6279770.8799999999</v>
      </c>
      <c r="D1339" s="1129">
        <f t="shared" si="554"/>
        <v>0</v>
      </c>
      <c r="E1339" s="1129">
        <v>0</v>
      </c>
      <c r="F1339" s="1129">
        <v>0</v>
      </c>
      <c r="G1339" s="1129">
        <v>0</v>
      </c>
      <c r="H1339" s="1129">
        <v>0</v>
      </c>
      <c r="I1339" s="1129">
        <v>0</v>
      </c>
      <c r="J1339" s="1129">
        <v>0</v>
      </c>
      <c r="K1339" s="1136">
        <v>0</v>
      </c>
      <c r="L1339" s="1129">
        <v>0</v>
      </c>
      <c r="M1339" s="1136">
        <v>0</v>
      </c>
      <c r="N1339" s="1129">
        <v>0</v>
      </c>
      <c r="O1339" s="1129">
        <v>1223</v>
      </c>
      <c r="P1339" s="1129">
        <v>5823640.7999999998</v>
      </c>
      <c r="Q1339" s="1149">
        <v>0</v>
      </c>
      <c r="R1339" s="1129">
        <v>0</v>
      </c>
      <c r="S1339" s="1129">
        <v>0</v>
      </c>
      <c r="T1339" s="1129">
        <v>0</v>
      </c>
      <c r="U1339" s="1149">
        <v>0</v>
      </c>
      <c r="V1339" s="1129">
        <v>0</v>
      </c>
      <c r="W1339" s="1129">
        <v>0</v>
      </c>
      <c r="X1339" s="1129">
        <v>456130.08</v>
      </c>
      <c r="Y1339" s="1129">
        <v>0</v>
      </c>
    </row>
    <row r="1340" spans="1:25" s="1177" customFormat="1" ht="75" customHeight="1">
      <c r="A1340" s="1280">
        <v>311</v>
      </c>
      <c r="B1340" s="1135" t="s">
        <v>907</v>
      </c>
      <c r="C1340" s="1129">
        <v>1405474.49</v>
      </c>
      <c r="D1340" s="1129">
        <v>1341776</v>
      </c>
      <c r="E1340" s="1129">
        <v>0</v>
      </c>
      <c r="F1340" s="1129">
        <v>0</v>
      </c>
      <c r="G1340" s="1129">
        <v>0</v>
      </c>
      <c r="H1340" s="1129">
        <v>0</v>
      </c>
      <c r="I1340" s="1129">
        <v>0</v>
      </c>
      <c r="J1340" s="1129">
        <v>1341776</v>
      </c>
      <c r="K1340" s="1136">
        <v>0</v>
      </c>
      <c r="L1340" s="1129">
        <v>0</v>
      </c>
      <c r="M1340" s="1136">
        <v>0</v>
      </c>
      <c r="N1340" s="1129">
        <v>0</v>
      </c>
      <c r="O1340" s="1129">
        <v>0</v>
      </c>
      <c r="P1340" s="1129">
        <v>0</v>
      </c>
      <c r="Q1340" s="1149">
        <v>0</v>
      </c>
      <c r="R1340" s="1129">
        <v>0</v>
      </c>
      <c r="S1340" s="1129">
        <v>0</v>
      </c>
      <c r="T1340" s="1129">
        <v>0</v>
      </c>
      <c r="U1340" s="1149">
        <v>0</v>
      </c>
      <c r="V1340" s="1129">
        <v>0</v>
      </c>
      <c r="W1340" s="1129">
        <v>0</v>
      </c>
      <c r="X1340" s="1129">
        <v>63698.49</v>
      </c>
      <c r="Y1340" s="1129">
        <v>0</v>
      </c>
    </row>
    <row r="1341" spans="1:25" s="1177" customFormat="1" ht="70.900000000000006" customHeight="1">
      <c r="A1341" s="1280">
        <v>312</v>
      </c>
      <c r="B1341" s="1135" t="s">
        <v>943</v>
      </c>
      <c r="C1341" s="1129">
        <v>3518714</v>
      </c>
      <c r="D1341" s="1129">
        <v>0</v>
      </c>
      <c r="E1341" s="1129">
        <v>0</v>
      </c>
      <c r="F1341" s="1129">
        <v>0</v>
      </c>
      <c r="G1341" s="1129">
        <v>0</v>
      </c>
      <c r="H1341" s="1129">
        <v>0</v>
      </c>
      <c r="I1341" s="1129">
        <v>0</v>
      </c>
      <c r="J1341" s="1129">
        <v>0</v>
      </c>
      <c r="K1341" s="1136">
        <v>0</v>
      </c>
      <c r="L1341" s="1129">
        <v>0</v>
      </c>
      <c r="M1341" s="1136">
        <v>0</v>
      </c>
      <c r="N1341" s="1129">
        <v>0</v>
      </c>
      <c r="O1341" s="1129">
        <v>1295</v>
      </c>
      <c r="P1341" s="1129">
        <v>3263133</v>
      </c>
      <c r="Q1341" s="1149">
        <v>0</v>
      </c>
      <c r="R1341" s="1129">
        <v>0</v>
      </c>
      <c r="S1341" s="1129">
        <v>0</v>
      </c>
      <c r="T1341" s="1129">
        <v>0</v>
      </c>
      <c r="U1341" s="1149">
        <v>0</v>
      </c>
      <c r="V1341" s="1129">
        <v>0</v>
      </c>
      <c r="W1341" s="1129">
        <v>0</v>
      </c>
      <c r="X1341" s="1129">
        <v>255581</v>
      </c>
      <c r="Y1341" s="1129">
        <v>0</v>
      </c>
    </row>
    <row r="1342" spans="1:25" s="1177" customFormat="1" ht="70.900000000000006" customHeight="1">
      <c r="A1342" s="1280">
        <v>313</v>
      </c>
      <c r="B1342" s="1135" t="s">
        <v>741</v>
      </c>
      <c r="C1342" s="1129">
        <v>3337208</v>
      </c>
      <c r="D1342" s="1129">
        <v>0</v>
      </c>
      <c r="E1342" s="1129">
        <v>0</v>
      </c>
      <c r="F1342" s="1129">
        <v>0</v>
      </c>
      <c r="G1342" s="1129">
        <v>0</v>
      </c>
      <c r="H1342" s="1129">
        <v>0</v>
      </c>
      <c r="I1342" s="1129">
        <v>0</v>
      </c>
      <c r="J1342" s="1129">
        <v>0</v>
      </c>
      <c r="K1342" s="1136">
        <v>0</v>
      </c>
      <c r="L1342" s="1129">
        <v>0</v>
      </c>
      <c r="M1342" s="1136">
        <v>0</v>
      </c>
      <c r="N1342" s="1129">
        <v>0</v>
      </c>
      <c r="O1342" s="1129">
        <v>1228.2</v>
      </c>
      <c r="P1342" s="1129">
        <v>3094810</v>
      </c>
      <c r="Q1342" s="1149">
        <v>0</v>
      </c>
      <c r="R1342" s="1129">
        <v>0</v>
      </c>
      <c r="S1342" s="1129">
        <v>0</v>
      </c>
      <c r="T1342" s="1129">
        <v>0</v>
      </c>
      <c r="U1342" s="1149">
        <v>0</v>
      </c>
      <c r="V1342" s="1129">
        <v>0</v>
      </c>
      <c r="W1342" s="1129">
        <v>0</v>
      </c>
      <c r="X1342" s="1129">
        <v>242398</v>
      </c>
      <c r="Y1342" s="1129">
        <v>0</v>
      </c>
    </row>
    <row r="1343" spans="1:25" s="1177" customFormat="1" ht="77.45" customHeight="1">
      <c r="A1343" s="1280">
        <v>314</v>
      </c>
      <c r="B1343" s="1135" t="s">
        <v>742</v>
      </c>
      <c r="C1343" s="1129">
        <v>3902279</v>
      </c>
      <c r="D1343" s="1129">
        <v>3618838</v>
      </c>
      <c r="E1343" s="1129">
        <v>0</v>
      </c>
      <c r="F1343" s="1129">
        <v>0</v>
      </c>
      <c r="G1343" s="1129">
        <v>0</v>
      </c>
      <c r="H1343" s="1129">
        <v>0</v>
      </c>
      <c r="I1343" s="1129">
        <v>3618838</v>
      </c>
      <c r="J1343" s="1129">
        <v>0</v>
      </c>
      <c r="K1343" s="1136">
        <v>0</v>
      </c>
      <c r="L1343" s="1129">
        <v>0</v>
      </c>
      <c r="M1343" s="1136">
        <v>0</v>
      </c>
      <c r="N1343" s="1129">
        <v>0</v>
      </c>
      <c r="O1343" s="1129">
        <v>0</v>
      </c>
      <c r="P1343" s="1129">
        <v>0</v>
      </c>
      <c r="Q1343" s="1149">
        <v>0</v>
      </c>
      <c r="R1343" s="1129">
        <v>0</v>
      </c>
      <c r="S1343" s="1129">
        <v>0</v>
      </c>
      <c r="T1343" s="1129">
        <v>0</v>
      </c>
      <c r="U1343" s="1149">
        <v>0</v>
      </c>
      <c r="V1343" s="1129">
        <v>0</v>
      </c>
      <c r="W1343" s="1129">
        <v>0</v>
      </c>
      <c r="X1343" s="1129">
        <v>283441</v>
      </c>
      <c r="Y1343" s="1129">
        <v>0</v>
      </c>
    </row>
    <row r="1344" spans="1:25" s="1177" customFormat="1" ht="94.9" customHeight="1">
      <c r="A1344" s="1280"/>
      <c r="B1344" s="1128" t="s">
        <v>2639</v>
      </c>
      <c r="C1344" s="1129">
        <f>C1345+C1346</f>
        <v>14594826.83</v>
      </c>
      <c r="D1344" s="1129">
        <f t="shared" ref="D1344:Y1344" si="555">D1345+D1346</f>
        <v>991979</v>
      </c>
      <c r="E1344" s="1129">
        <f t="shared" si="555"/>
        <v>991979</v>
      </c>
      <c r="F1344" s="1129">
        <f t="shared" si="555"/>
        <v>0</v>
      </c>
      <c r="G1344" s="1129">
        <f t="shared" si="555"/>
        <v>0</v>
      </c>
      <c r="H1344" s="1129">
        <f t="shared" si="555"/>
        <v>0</v>
      </c>
      <c r="I1344" s="1129">
        <f t="shared" si="555"/>
        <v>0</v>
      </c>
      <c r="J1344" s="1129">
        <f t="shared" si="555"/>
        <v>0</v>
      </c>
      <c r="K1344" s="1136">
        <f t="shared" si="555"/>
        <v>0</v>
      </c>
      <c r="L1344" s="1129">
        <f t="shared" si="555"/>
        <v>0</v>
      </c>
      <c r="M1344" s="1136">
        <f t="shared" si="555"/>
        <v>0</v>
      </c>
      <c r="N1344" s="1129">
        <f t="shared" si="555"/>
        <v>0</v>
      </c>
      <c r="O1344" s="1129">
        <f t="shared" si="555"/>
        <v>0</v>
      </c>
      <c r="P1344" s="1129">
        <f t="shared" si="555"/>
        <v>0</v>
      </c>
      <c r="Q1344" s="1129">
        <f t="shared" si="555"/>
        <v>0</v>
      </c>
      <c r="R1344" s="1129">
        <f t="shared" si="555"/>
        <v>0</v>
      </c>
      <c r="S1344" s="1129">
        <f t="shared" si="555"/>
        <v>2723.6000000000004</v>
      </c>
      <c r="T1344" s="1129">
        <f t="shared" si="555"/>
        <v>12502603.140000001</v>
      </c>
      <c r="U1344" s="1129">
        <f t="shared" si="555"/>
        <v>0</v>
      </c>
      <c r="V1344" s="1129">
        <f t="shared" si="555"/>
        <v>0</v>
      </c>
      <c r="W1344" s="1129">
        <v>0</v>
      </c>
      <c r="X1344" s="1129">
        <f t="shared" si="555"/>
        <v>1100244.69</v>
      </c>
      <c r="Y1344" s="1129">
        <f t="shared" si="555"/>
        <v>0</v>
      </c>
    </row>
    <row r="1345" spans="1:25" s="1177" customFormat="1" ht="78.599999999999994" customHeight="1">
      <c r="A1345" s="1280">
        <v>315</v>
      </c>
      <c r="B1345" s="1135" t="s">
        <v>865</v>
      </c>
      <c r="C1345" s="1129">
        <f t="shared" ref="C1345:C1346" si="556">D1345+N1345+P1345+R1345+T1345+V1345+X1345</f>
        <v>7887040.2599999998</v>
      </c>
      <c r="D1345" s="1129">
        <f t="shared" ref="D1345:D1346" si="557">SUM(E1345:J1345)</f>
        <v>991979</v>
      </c>
      <c r="E1345" s="1129">
        <v>991979</v>
      </c>
      <c r="F1345" s="1129">
        <v>0</v>
      </c>
      <c r="G1345" s="1129">
        <v>0</v>
      </c>
      <c r="H1345" s="1129">
        <v>0</v>
      </c>
      <c r="I1345" s="1129">
        <v>0</v>
      </c>
      <c r="J1345" s="1129">
        <v>0</v>
      </c>
      <c r="K1345" s="1136">
        <v>0</v>
      </c>
      <c r="L1345" s="1129">
        <v>0</v>
      </c>
      <c r="M1345" s="1136">
        <v>0</v>
      </c>
      <c r="N1345" s="1129">
        <v>0</v>
      </c>
      <c r="O1345" s="1129">
        <v>0</v>
      </c>
      <c r="P1345" s="1129">
        <v>0</v>
      </c>
      <c r="Q1345" s="1129">
        <v>0</v>
      </c>
      <c r="R1345" s="1129">
        <v>0</v>
      </c>
      <c r="S1345" s="1129">
        <v>1372.4</v>
      </c>
      <c r="T1345" s="1129">
        <v>6302111.5700000003</v>
      </c>
      <c r="U1345" s="1129">
        <v>0</v>
      </c>
      <c r="V1345" s="1129">
        <v>0</v>
      </c>
      <c r="W1345" s="1129">
        <v>0</v>
      </c>
      <c r="X1345" s="1129">
        <v>592949.68999999994</v>
      </c>
      <c r="Y1345" s="1129">
        <v>0</v>
      </c>
    </row>
    <row r="1346" spans="1:25" s="1177" customFormat="1" ht="81" customHeight="1">
      <c r="A1346" s="1280">
        <v>316</v>
      </c>
      <c r="B1346" s="1135" t="s">
        <v>866</v>
      </c>
      <c r="C1346" s="1129">
        <f t="shared" si="556"/>
        <v>6707786.5700000003</v>
      </c>
      <c r="D1346" s="1129">
        <f t="shared" si="557"/>
        <v>0</v>
      </c>
      <c r="E1346" s="1129">
        <v>0</v>
      </c>
      <c r="F1346" s="1129">
        <v>0</v>
      </c>
      <c r="G1346" s="1129">
        <v>0</v>
      </c>
      <c r="H1346" s="1129">
        <v>0</v>
      </c>
      <c r="I1346" s="1129">
        <v>0</v>
      </c>
      <c r="J1346" s="1129">
        <v>0</v>
      </c>
      <c r="K1346" s="1136">
        <v>0</v>
      </c>
      <c r="L1346" s="1129">
        <v>0</v>
      </c>
      <c r="M1346" s="1136">
        <v>0</v>
      </c>
      <c r="N1346" s="1129">
        <v>0</v>
      </c>
      <c r="O1346" s="1129">
        <v>0</v>
      </c>
      <c r="P1346" s="1129">
        <v>0</v>
      </c>
      <c r="Q1346" s="1129">
        <v>0</v>
      </c>
      <c r="R1346" s="1129">
        <v>0</v>
      </c>
      <c r="S1346" s="1129">
        <v>1351.2</v>
      </c>
      <c r="T1346" s="1129">
        <v>6200491.5700000003</v>
      </c>
      <c r="U1346" s="1129">
        <v>0</v>
      </c>
      <c r="V1346" s="1129">
        <v>0</v>
      </c>
      <c r="W1346" s="1129">
        <v>0</v>
      </c>
      <c r="X1346" s="1129">
        <v>507295</v>
      </c>
      <c r="Y1346" s="1129">
        <v>0</v>
      </c>
    </row>
    <row r="1347" spans="1:25" s="1177" customFormat="1" ht="109.15" customHeight="1">
      <c r="A1347" s="1280"/>
      <c r="B1347" s="1135" t="s">
        <v>1435</v>
      </c>
      <c r="C1347" s="1129">
        <f t="shared" ref="C1347:V1347" si="558">SUM(C1348:C1356)</f>
        <v>16441564.260000002</v>
      </c>
      <c r="D1347" s="1129">
        <f t="shared" si="558"/>
        <v>0</v>
      </c>
      <c r="E1347" s="1129">
        <f t="shared" si="558"/>
        <v>0</v>
      </c>
      <c r="F1347" s="1129">
        <f t="shared" si="558"/>
        <v>0</v>
      </c>
      <c r="G1347" s="1129">
        <f t="shared" si="558"/>
        <v>0</v>
      </c>
      <c r="H1347" s="1129">
        <f t="shared" si="558"/>
        <v>0</v>
      </c>
      <c r="I1347" s="1129">
        <f t="shared" si="558"/>
        <v>0</v>
      </c>
      <c r="J1347" s="1129">
        <f t="shared" si="558"/>
        <v>0</v>
      </c>
      <c r="K1347" s="1136">
        <f t="shared" si="558"/>
        <v>0</v>
      </c>
      <c r="L1347" s="1129">
        <f t="shared" si="558"/>
        <v>0</v>
      </c>
      <c r="M1347" s="1136">
        <f t="shared" si="558"/>
        <v>0</v>
      </c>
      <c r="N1347" s="1129">
        <f t="shared" si="558"/>
        <v>0</v>
      </c>
      <c r="O1347" s="1129">
        <f t="shared" si="558"/>
        <v>3572</v>
      </c>
      <c r="P1347" s="1129">
        <f t="shared" si="558"/>
        <v>12059781.99</v>
      </c>
      <c r="Q1347" s="1129">
        <f t="shared" si="558"/>
        <v>0</v>
      </c>
      <c r="R1347" s="1129">
        <f t="shared" si="558"/>
        <v>0</v>
      </c>
      <c r="S1347" s="1129">
        <f t="shared" si="558"/>
        <v>1469.2</v>
      </c>
      <c r="T1347" s="1129">
        <f t="shared" si="558"/>
        <v>3507099.06</v>
      </c>
      <c r="U1347" s="1129">
        <f t="shared" si="558"/>
        <v>0</v>
      </c>
      <c r="V1347" s="1129">
        <f t="shared" si="558"/>
        <v>0</v>
      </c>
      <c r="W1347" s="1129">
        <v>0</v>
      </c>
      <c r="X1347" s="1129">
        <f>SUM(X1348:X1356)</f>
        <v>874683.21</v>
      </c>
      <c r="Y1347" s="1129">
        <f>SUM(Y1348:Y1356)</f>
        <v>0</v>
      </c>
    </row>
    <row r="1348" spans="1:25" s="1177" customFormat="1" ht="109.15" customHeight="1">
      <c r="A1348" s="1280">
        <v>317</v>
      </c>
      <c r="B1348" s="1135" t="s">
        <v>2588</v>
      </c>
      <c r="C1348" s="1129">
        <f t="shared" ref="C1348" si="559">D1348+N1348+P1348+R1348+T1348+V1348+X1348</f>
        <v>2620866</v>
      </c>
      <c r="D1348" s="1129">
        <f t="shared" ref="D1348" si="560">SUM(E1348:J1348)</f>
        <v>0</v>
      </c>
      <c r="E1348" s="1129">
        <v>0</v>
      </c>
      <c r="F1348" s="1129">
        <v>0</v>
      </c>
      <c r="G1348" s="1129">
        <v>0</v>
      </c>
      <c r="H1348" s="1129">
        <v>0</v>
      </c>
      <c r="I1348" s="1129">
        <v>0</v>
      </c>
      <c r="J1348" s="1129">
        <v>0</v>
      </c>
      <c r="K1348" s="1136">
        <v>0</v>
      </c>
      <c r="L1348" s="1129">
        <v>0</v>
      </c>
      <c r="M1348" s="1136">
        <v>0</v>
      </c>
      <c r="N1348" s="1129">
        <v>0</v>
      </c>
      <c r="O1348" s="1129">
        <v>835</v>
      </c>
      <c r="P1348" s="1129">
        <v>2496189.7999999998</v>
      </c>
      <c r="Q1348" s="1129">
        <v>0</v>
      </c>
      <c r="R1348" s="1129">
        <v>0</v>
      </c>
      <c r="S1348" s="1129">
        <v>0</v>
      </c>
      <c r="T1348" s="1129">
        <v>0</v>
      </c>
      <c r="U1348" s="1129">
        <v>0</v>
      </c>
      <c r="V1348" s="1129">
        <v>0</v>
      </c>
      <c r="W1348" s="1129">
        <v>0</v>
      </c>
      <c r="X1348" s="1129">
        <v>124676.2</v>
      </c>
      <c r="Y1348" s="1129">
        <v>0</v>
      </c>
    </row>
    <row r="1349" spans="1:25" s="1177" customFormat="1" ht="111.6" customHeight="1">
      <c r="A1349" s="1280">
        <v>318</v>
      </c>
      <c r="B1349" s="1135" t="s">
        <v>2589</v>
      </c>
      <c r="C1349" s="1129">
        <f t="shared" ref="C1349:C1356" si="561">D1349+N1349+P1349+R1349+T1349+V1349+X1349</f>
        <v>1255505</v>
      </c>
      <c r="D1349" s="1129">
        <f t="shared" ref="D1349:D1356" si="562">SUM(E1349:J1349)</f>
        <v>0</v>
      </c>
      <c r="E1349" s="1129">
        <v>0</v>
      </c>
      <c r="F1349" s="1129">
        <v>0</v>
      </c>
      <c r="G1349" s="1129">
        <v>0</v>
      </c>
      <c r="H1349" s="1129">
        <v>0</v>
      </c>
      <c r="I1349" s="1129">
        <v>0</v>
      </c>
      <c r="J1349" s="1129">
        <v>0</v>
      </c>
      <c r="K1349" s="1136">
        <v>0</v>
      </c>
      <c r="L1349" s="1129">
        <v>0</v>
      </c>
      <c r="M1349" s="1136">
        <v>0</v>
      </c>
      <c r="N1349" s="1129">
        <v>0</v>
      </c>
      <c r="O1349" s="1129">
        <v>400</v>
      </c>
      <c r="P1349" s="1129">
        <v>1197709.5</v>
      </c>
      <c r="Q1349" s="1129">
        <v>0</v>
      </c>
      <c r="R1349" s="1129">
        <v>0</v>
      </c>
      <c r="S1349" s="1129">
        <v>0</v>
      </c>
      <c r="T1349" s="1129">
        <v>0</v>
      </c>
      <c r="U1349" s="1129">
        <v>0</v>
      </c>
      <c r="V1349" s="1129">
        <v>0</v>
      </c>
      <c r="W1349" s="1129">
        <v>0</v>
      </c>
      <c r="X1349" s="1129">
        <v>57795.5</v>
      </c>
      <c r="Y1349" s="1129">
        <v>0</v>
      </c>
    </row>
    <row r="1350" spans="1:25" s="1177" customFormat="1" ht="87.6" customHeight="1">
      <c r="A1350" s="1280">
        <v>319</v>
      </c>
      <c r="B1350" s="1135" t="s">
        <v>2590</v>
      </c>
      <c r="C1350" s="1129">
        <f t="shared" si="561"/>
        <v>1473794.61</v>
      </c>
      <c r="D1350" s="1129">
        <f t="shared" si="562"/>
        <v>0</v>
      </c>
      <c r="E1350" s="1129">
        <v>0</v>
      </c>
      <c r="F1350" s="1129">
        <v>0</v>
      </c>
      <c r="G1350" s="1129">
        <v>0</v>
      </c>
      <c r="H1350" s="1129">
        <v>0</v>
      </c>
      <c r="I1350" s="1129">
        <v>0</v>
      </c>
      <c r="J1350" s="1129">
        <v>0</v>
      </c>
      <c r="K1350" s="1136">
        <v>0</v>
      </c>
      <c r="L1350" s="1129">
        <v>0</v>
      </c>
      <c r="M1350" s="1136">
        <v>0</v>
      </c>
      <c r="N1350" s="1129">
        <v>0</v>
      </c>
      <c r="O1350" s="1129">
        <v>400</v>
      </c>
      <c r="P1350" s="1129">
        <v>1383843.79</v>
      </c>
      <c r="Q1350" s="1129">
        <v>0</v>
      </c>
      <c r="R1350" s="1129">
        <v>0</v>
      </c>
      <c r="S1350" s="1129">
        <v>0</v>
      </c>
      <c r="T1350" s="1129">
        <v>0</v>
      </c>
      <c r="U1350" s="1129">
        <v>0</v>
      </c>
      <c r="V1350" s="1129">
        <v>0</v>
      </c>
      <c r="W1350" s="1129">
        <v>0</v>
      </c>
      <c r="X1350" s="1129">
        <v>89950.82</v>
      </c>
      <c r="Y1350" s="1129">
        <v>0</v>
      </c>
    </row>
    <row r="1351" spans="1:25" s="1177" customFormat="1" ht="87.6" customHeight="1">
      <c r="A1351" s="1280">
        <v>320</v>
      </c>
      <c r="B1351" s="1135" t="s">
        <v>2591</v>
      </c>
      <c r="C1351" s="1129">
        <f t="shared" si="561"/>
        <v>1726319</v>
      </c>
      <c r="D1351" s="1129">
        <f t="shared" si="562"/>
        <v>0</v>
      </c>
      <c r="E1351" s="1129">
        <v>0</v>
      </c>
      <c r="F1351" s="1129">
        <v>0</v>
      </c>
      <c r="G1351" s="1129">
        <v>0</v>
      </c>
      <c r="H1351" s="1129">
        <v>0</v>
      </c>
      <c r="I1351" s="1129">
        <v>0</v>
      </c>
      <c r="J1351" s="1129">
        <v>0</v>
      </c>
      <c r="K1351" s="1136">
        <v>0</v>
      </c>
      <c r="L1351" s="1129">
        <v>0</v>
      </c>
      <c r="M1351" s="1136">
        <v>0</v>
      </c>
      <c r="N1351" s="1129">
        <v>0</v>
      </c>
      <c r="O1351" s="1129">
        <v>550</v>
      </c>
      <c r="P1351" s="1129">
        <v>1698667.7</v>
      </c>
      <c r="Q1351" s="1129">
        <v>0</v>
      </c>
      <c r="R1351" s="1129">
        <v>0</v>
      </c>
      <c r="S1351" s="1129">
        <v>0</v>
      </c>
      <c r="T1351" s="1129">
        <v>0</v>
      </c>
      <c r="U1351" s="1129">
        <v>0</v>
      </c>
      <c r="V1351" s="1129">
        <v>0</v>
      </c>
      <c r="W1351" s="1129">
        <v>0</v>
      </c>
      <c r="X1351" s="1129">
        <v>27651.3</v>
      </c>
      <c r="Y1351" s="1129">
        <v>0</v>
      </c>
    </row>
    <row r="1352" spans="1:25" s="1177" customFormat="1" ht="87.6" customHeight="1">
      <c r="A1352" s="1280">
        <v>321</v>
      </c>
      <c r="B1352" s="1135" t="s">
        <v>2592</v>
      </c>
      <c r="C1352" s="1129">
        <f t="shared" si="561"/>
        <v>2121307.2200000002</v>
      </c>
      <c r="D1352" s="1129">
        <f t="shared" si="562"/>
        <v>0</v>
      </c>
      <c r="E1352" s="1129">
        <v>0</v>
      </c>
      <c r="F1352" s="1129">
        <v>0</v>
      </c>
      <c r="G1352" s="1129">
        <v>0</v>
      </c>
      <c r="H1352" s="1129">
        <v>0</v>
      </c>
      <c r="I1352" s="1129">
        <v>0</v>
      </c>
      <c r="J1352" s="1129">
        <v>0</v>
      </c>
      <c r="K1352" s="1136">
        <v>0</v>
      </c>
      <c r="L1352" s="1129">
        <v>0</v>
      </c>
      <c r="M1352" s="1136">
        <v>0</v>
      </c>
      <c r="N1352" s="1129">
        <v>0</v>
      </c>
      <c r="O1352" s="1129">
        <v>507</v>
      </c>
      <c r="P1352" s="1129">
        <v>2004596.58</v>
      </c>
      <c r="Q1352" s="1129">
        <v>0</v>
      </c>
      <c r="R1352" s="1129">
        <v>0</v>
      </c>
      <c r="S1352" s="1129">
        <v>0</v>
      </c>
      <c r="T1352" s="1129">
        <v>0</v>
      </c>
      <c r="U1352" s="1129">
        <v>0</v>
      </c>
      <c r="V1352" s="1129">
        <v>0</v>
      </c>
      <c r="W1352" s="1129">
        <v>0</v>
      </c>
      <c r="X1352" s="1129">
        <v>116710.64</v>
      </c>
      <c r="Y1352" s="1129">
        <v>0</v>
      </c>
    </row>
    <row r="1353" spans="1:25" s="1177" customFormat="1" ht="94.9" customHeight="1">
      <c r="A1353" s="1280">
        <v>322</v>
      </c>
      <c r="B1353" s="1135" t="s">
        <v>2593</v>
      </c>
      <c r="C1353" s="1129">
        <f t="shared" si="561"/>
        <v>3276804.41</v>
      </c>
      <c r="D1353" s="1129">
        <f t="shared" si="562"/>
        <v>0</v>
      </c>
      <c r="E1353" s="1129">
        <v>0</v>
      </c>
      <c r="F1353" s="1129">
        <v>0</v>
      </c>
      <c r="G1353" s="1129">
        <v>0</v>
      </c>
      <c r="H1353" s="1129">
        <v>0</v>
      </c>
      <c r="I1353" s="1129">
        <v>0</v>
      </c>
      <c r="J1353" s="1129">
        <v>0</v>
      </c>
      <c r="K1353" s="1136">
        <v>0</v>
      </c>
      <c r="L1353" s="1129">
        <v>0</v>
      </c>
      <c r="M1353" s="1136">
        <v>0</v>
      </c>
      <c r="N1353" s="1129">
        <v>0</v>
      </c>
      <c r="O1353" s="1129">
        <v>480</v>
      </c>
      <c r="P1353" s="1129">
        <v>1697238.86</v>
      </c>
      <c r="Q1353" s="1129">
        <v>0</v>
      </c>
      <c r="R1353" s="1129">
        <v>0</v>
      </c>
      <c r="S1353" s="1129">
        <v>552.20000000000005</v>
      </c>
      <c r="T1353" s="1129">
        <v>1362665.06</v>
      </c>
      <c r="U1353" s="1129">
        <v>0</v>
      </c>
      <c r="V1353" s="1129">
        <v>0</v>
      </c>
      <c r="W1353" s="1129">
        <v>0</v>
      </c>
      <c r="X1353" s="1129">
        <v>216900.49</v>
      </c>
      <c r="Y1353" s="1129">
        <v>0</v>
      </c>
    </row>
    <row r="1354" spans="1:25" s="1177" customFormat="1" ht="109.15" customHeight="1">
      <c r="A1354" s="1280">
        <v>323</v>
      </c>
      <c r="B1354" s="1135" t="s">
        <v>2590</v>
      </c>
      <c r="C1354" s="1129">
        <f t="shared" si="561"/>
        <v>943734.47</v>
      </c>
      <c r="D1354" s="1129">
        <f t="shared" si="562"/>
        <v>0</v>
      </c>
      <c r="E1354" s="1129">
        <v>0</v>
      </c>
      <c r="F1354" s="1129">
        <v>0</v>
      </c>
      <c r="G1354" s="1129">
        <v>0</v>
      </c>
      <c r="H1354" s="1129">
        <v>0</v>
      </c>
      <c r="I1354" s="1129">
        <v>0</v>
      </c>
      <c r="J1354" s="1129">
        <v>0</v>
      </c>
      <c r="K1354" s="1136">
        <v>0</v>
      </c>
      <c r="L1354" s="1129">
        <v>0</v>
      </c>
      <c r="M1354" s="1136">
        <v>0</v>
      </c>
      <c r="N1354" s="1129">
        <v>0</v>
      </c>
      <c r="O1354" s="1129">
        <v>0</v>
      </c>
      <c r="P1354" s="1129">
        <v>0</v>
      </c>
      <c r="Q1354" s="1129">
        <v>0</v>
      </c>
      <c r="R1354" s="1129">
        <v>0</v>
      </c>
      <c r="S1354" s="1129">
        <v>412</v>
      </c>
      <c r="T1354" s="1129">
        <v>898244</v>
      </c>
      <c r="U1354" s="1129">
        <v>0</v>
      </c>
      <c r="V1354" s="1129">
        <v>0</v>
      </c>
      <c r="W1354" s="1129">
        <v>0</v>
      </c>
      <c r="X1354" s="1129">
        <v>45490.47</v>
      </c>
      <c r="Y1354" s="1129">
        <v>0</v>
      </c>
    </row>
    <row r="1355" spans="1:25" s="1177" customFormat="1" ht="85.15" customHeight="1">
      <c r="A1355" s="1280">
        <v>324</v>
      </c>
      <c r="B1355" s="1135" t="s">
        <v>2589</v>
      </c>
      <c r="C1355" s="1129">
        <f t="shared" si="561"/>
        <v>1343796</v>
      </c>
      <c r="D1355" s="1129">
        <f t="shared" si="562"/>
        <v>0</v>
      </c>
      <c r="E1355" s="1129">
        <v>0</v>
      </c>
      <c r="F1355" s="1129">
        <v>0</v>
      </c>
      <c r="G1355" s="1129">
        <v>0</v>
      </c>
      <c r="H1355" s="1129">
        <v>0</v>
      </c>
      <c r="I1355" s="1129">
        <v>0</v>
      </c>
      <c r="J1355" s="1129">
        <v>0</v>
      </c>
      <c r="K1355" s="1136">
        <v>0</v>
      </c>
      <c r="L1355" s="1129">
        <v>0</v>
      </c>
      <c r="M1355" s="1136">
        <v>0</v>
      </c>
      <c r="N1355" s="1129">
        <v>0</v>
      </c>
      <c r="O1355" s="1129">
        <v>0</v>
      </c>
      <c r="P1355" s="1129">
        <v>0</v>
      </c>
      <c r="Q1355" s="1129">
        <v>0</v>
      </c>
      <c r="R1355" s="1129">
        <v>0</v>
      </c>
      <c r="S1355" s="1129">
        <v>505</v>
      </c>
      <c r="T1355" s="1129">
        <v>1246190</v>
      </c>
      <c r="U1355" s="1129">
        <v>0</v>
      </c>
      <c r="V1355" s="1129">
        <v>0</v>
      </c>
      <c r="W1355" s="1129">
        <v>0</v>
      </c>
      <c r="X1355" s="1129">
        <v>97606</v>
      </c>
      <c r="Y1355" s="1129">
        <v>0</v>
      </c>
    </row>
    <row r="1356" spans="1:25" s="1177" customFormat="1" ht="82.9" customHeight="1">
      <c r="A1356" s="1280">
        <v>325</v>
      </c>
      <c r="B1356" s="1135" t="s">
        <v>2594</v>
      </c>
      <c r="C1356" s="1129">
        <f t="shared" si="561"/>
        <v>1679437.55</v>
      </c>
      <c r="D1356" s="1129">
        <f t="shared" si="562"/>
        <v>0</v>
      </c>
      <c r="E1356" s="1129">
        <v>0</v>
      </c>
      <c r="F1356" s="1129">
        <v>0</v>
      </c>
      <c r="G1356" s="1129">
        <v>0</v>
      </c>
      <c r="H1356" s="1129">
        <v>0</v>
      </c>
      <c r="I1356" s="1129">
        <v>0</v>
      </c>
      <c r="J1356" s="1129">
        <v>0</v>
      </c>
      <c r="K1356" s="1136">
        <v>0</v>
      </c>
      <c r="L1356" s="1129">
        <v>0</v>
      </c>
      <c r="M1356" s="1136">
        <v>0</v>
      </c>
      <c r="N1356" s="1149">
        <v>0</v>
      </c>
      <c r="O1356" s="1129">
        <v>400</v>
      </c>
      <c r="P1356" s="1129">
        <v>1581535.76</v>
      </c>
      <c r="Q1356" s="1129">
        <v>0</v>
      </c>
      <c r="R1356" s="1129">
        <v>0</v>
      </c>
      <c r="S1356" s="1129">
        <v>0</v>
      </c>
      <c r="T1356" s="1129">
        <v>0</v>
      </c>
      <c r="U1356" s="1129">
        <v>0</v>
      </c>
      <c r="V1356" s="1129">
        <v>0</v>
      </c>
      <c r="W1356" s="1129">
        <v>0</v>
      </c>
      <c r="X1356" s="1129">
        <v>97901.79</v>
      </c>
      <c r="Y1356" s="1129">
        <v>0</v>
      </c>
    </row>
    <row r="1357" spans="1:25" s="1177" customFormat="1" ht="81" customHeight="1">
      <c r="A1357" s="1280"/>
      <c r="B1357" s="1128" t="s">
        <v>41</v>
      </c>
      <c r="C1357" s="1129">
        <f>C1358</f>
        <v>13043909.720000001</v>
      </c>
      <c r="D1357" s="1129">
        <f t="shared" ref="D1357:Y1357" si="563">D1358</f>
        <v>5176555.4800000004</v>
      </c>
      <c r="E1357" s="1129">
        <f t="shared" si="563"/>
        <v>872286.98</v>
      </c>
      <c r="F1357" s="1129">
        <f t="shared" si="563"/>
        <v>1422915</v>
      </c>
      <c r="G1357" s="1129">
        <f t="shared" si="563"/>
        <v>0</v>
      </c>
      <c r="H1357" s="1129">
        <f t="shared" si="563"/>
        <v>1317088</v>
      </c>
      <c r="I1357" s="1129">
        <f t="shared" si="563"/>
        <v>0</v>
      </c>
      <c r="J1357" s="1129">
        <f t="shared" si="563"/>
        <v>1564265.5</v>
      </c>
      <c r="K1357" s="1136">
        <v>0</v>
      </c>
      <c r="L1357" s="1129">
        <v>0</v>
      </c>
      <c r="M1357" s="1136">
        <f t="shared" si="563"/>
        <v>0</v>
      </c>
      <c r="N1357" s="1129">
        <f t="shared" si="563"/>
        <v>0</v>
      </c>
      <c r="O1357" s="1129">
        <f t="shared" si="563"/>
        <v>0</v>
      </c>
      <c r="P1357" s="1129">
        <f t="shared" si="563"/>
        <v>0</v>
      </c>
      <c r="Q1357" s="1129">
        <f t="shared" si="563"/>
        <v>0</v>
      </c>
      <c r="R1357" s="1129">
        <f t="shared" si="563"/>
        <v>0</v>
      </c>
      <c r="S1357" s="1129">
        <f t="shared" si="563"/>
        <v>3015.81</v>
      </c>
      <c r="T1357" s="1129">
        <f t="shared" si="563"/>
        <v>7031548.8300000001</v>
      </c>
      <c r="U1357" s="1129">
        <f t="shared" si="563"/>
        <v>0</v>
      </c>
      <c r="V1357" s="1129">
        <f t="shared" si="563"/>
        <v>0</v>
      </c>
      <c r="W1357" s="1129">
        <v>0</v>
      </c>
      <c r="X1357" s="1129">
        <f t="shared" si="563"/>
        <v>835805.41</v>
      </c>
      <c r="Y1357" s="1129">
        <f t="shared" si="563"/>
        <v>0</v>
      </c>
    </row>
    <row r="1358" spans="1:25" s="1177" customFormat="1" ht="102" customHeight="1">
      <c r="A1358" s="1280"/>
      <c r="B1358" s="1128" t="s">
        <v>1063</v>
      </c>
      <c r="C1358" s="1145">
        <f>SUM(C1359:C1366)</f>
        <v>13043909.720000001</v>
      </c>
      <c r="D1358" s="1145">
        <f t="shared" ref="D1358:Y1358" si="564">SUM(D1359:D1366)</f>
        <v>5176555.4800000004</v>
      </c>
      <c r="E1358" s="1145">
        <f t="shared" si="564"/>
        <v>872286.98</v>
      </c>
      <c r="F1358" s="1145">
        <f t="shared" si="564"/>
        <v>1422915</v>
      </c>
      <c r="G1358" s="1145">
        <f t="shared" si="564"/>
        <v>0</v>
      </c>
      <c r="H1358" s="1145">
        <f t="shared" si="564"/>
        <v>1317088</v>
      </c>
      <c r="I1358" s="1145">
        <f t="shared" si="564"/>
        <v>0</v>
      </c>
      <c r="J1358" s="1145">
        <f t="shared" si="564"/>
        <v>1564265.5</v>
      </c>
      <c r="K1358" s="1163">
        <f t="shared" si="564"/>
        <v>0</v>
      </c>
      <c r="L1358" s="1145">
        <f t="shared" si="564"/>
        <v>0</v>
      </c>
      <c r="M1358" s="1163">
        <f t="shared" si="564"/>
        <v>0</v>
      </c>
      <c r="N1358" s="1145">
        <f t="shared" si="564"/>
        <v>0</v>
      </c>
      <c r="O1358" s="1145">
        <f t="shared" si="564"/>
        <v>0</v>
      </c>
      <c r="P1358" s="1145">
        <f t="shared" si="564"/>
        <v>0</v>
      </c>
      <c r="Q1358" s="1145">
        <f t="shared" si="564"/>
        <v>0</v>
      </c>
      <c r="R1358" s="1145">
        <f t="shared" si="564"/>
        <v>0</v>
      </c>
      <c r="S1358" s="1145">
        <f t="shared" si="564"/>
        <v>3015.81</v>
      </c>
      <c r="T1358" s="1145">
        <f t="shared" si="564"/>
        <v>7031548.8300000001</v>
      </c>
      <c r="U1358" s="1145">
        <f t="shared" si="564"/>
        <v>0</v>
      </c>
      <c r="V1358" s="1145">
        <f t="shared" si="564"/>
        <v>0</v>
      </c>
      <c r="W1358" s="1145">
        <f t="shared" si="564"/>
        <v>0</v>
      </c>
      <c r="X1358" s="1145">
        <f t="shared" si="564"/>
        <v>835805.41</v>
      </c>
      <c r="Y1358" s="1145">
        <f t="shared" si="564"/>
        <v>0</v>
      </c>
    </row>
    <row r="1359" spans="1:25" s="1177" customFormat="1" ht="97.15" customHeight="1">
      <c r="A1359" s="1280">
        <v>326</v>
      </c>
      <c r="B1359" s="1128" t="s">
        <v>3050</v>
      </c>
      <c r="C1359" s="1129">
        <f>D1359+N1359+P1359+R1359+T1359+V1359+X1359</f>
        <v>2342562</v>
      </c>
      <c r="D1359" s="1129">
        <f>SUM(E1359:J1359)</f>
        <v>2172411</v>
      </c>
      <c r="E1359" s="1129">
        <v>0</v>
      </c>
      <c r="F1359" s="1129">
        <v>0</v>
      </c>
      <c r="G1359" s="1129">
        <v>0</v>
      </c>
      <c r="H1359" s="1129">
        <v>1317088</v>
      </c>
      <c r="I1359" s="1129">
        <v>0</v>
      </c>
      <c r="J1359" s="1129">
        <v>855323</v>
      </c>
      <c r="K1359" s="1136">
        <v>0</v>
      </c>
      <c r="L1359" s="1129">
        <v>0</v>
      </c>
      <c r="M1359" s="1136">
        <v>0</v>
      </c>
      <c r="N1359" s="1129">
        <v>0</v>
      </c>
      <c r="O1359" s="1129">
        <v>0</v>
      </c>
      <c r="P1359" s="1129">
        <v>0</v>
      </c>
      <c r="Q1359" s="1129">
        <v>0</v>
      </c>
      <c r="R1359" s="1129">
        <v>0</v>
      </c>
      <c r="S1359" s="1129">
        <v>0</v>
      </c>
      <c r="T1359" s="1129">
        <v>0</v>
      </c>
      <c r="U1359" s="1129">
        <v>0</v>
      </c>
      <c r="V1359" s="1129">
        <v>0</v>
      </c>
      <c r="W1359" s="1129">
        <v>0</v>
      </c>
      <c r="X1359" s="1129">
        <v>170151</v>
      </c>
      <c r="Y1359" s="1129">
        <v>0</v>
      </c>
    </row>
    <row r="1360" spans="1:25" s="1177" customFormat="1" ht="68.45" customHeight="1">
      <c r="A1360" s="1280">
        <v>327</v>
      </c>
      <c r="B1360" s="1128" t="s">
        <v>1042</v>
      </c>
      <c r="C1360" s="1129">
        <f t="shared" ref="C1360:C1366" si="565">D1360+N1360+P1360+R1360+T1360+V1360+X1360</f>
        <v>2575541</v>
      </c>
      <c r="D1360" s="1129">
        <f t="shared" ref="D1360:D1366" si="566">SUM(E1360:J1360)</f>
        <v>0</v>
      </c>
      <c r="E1360" s="1129">
        <v>0</v>
      </c>
      <c r="F1360" s="1129">
        <v>0</v>
      </c>
      <c r="G1360" s="1129">
        <v>0</v>
      </c>
      <c r="H1360" s="1129">
        <v>0</v>
      </c>
      <c r="I1360" s="1129">
        <v>0</v>
      </c>
      <c r="J1360" s="1129">
        <v>0</v>
      </c>
      <c r="K1360" s="1136">
        <v>0</v>
      </c>
      <c r="L1360" s="1129">
        <v>0</v>
      </c>
      <c r="M1360" s="1136">
        <v>0</v>
      </c>
      <c r="N1360" s="1129">
        <v>0</v>
      </c>
      <c r="O1360" s="1129">
        <v>0</v>
      </c>
      <c r="P1360" s="1129">
        <v>0</v>
      </c>
      <c r="Q1360" s="1129">
        <v>0</v>
      </c>
      <c r="R1360" s="1129">
        <v>0</v>
      </c>
      <c r="S1360" s="1129">
        <v>1043.7</v>
      </c>
      <c r="T1360" s="1129">
        <v>2443296.21</v>
      </c>
      <c r="U1360" s="1129">
        <v>0</v>
      </c>
      <c r="V1360" s="1129">
        <v>0</v>
      </c>
      <c r="W1360" s="1129">
        <v>0</v>
      </c>
      <c r="X1360" s="1129">
        <v>132244.79</v>
      </c>
      <c r="Y1360" s="1129">
        <v>0</v>
      </c>
    </row>
    <row r="1361" spans="1:25" s="1177" customFormat="1" ht="78.599999999999994" customHeight="1">
      <c r="A1361" s="1280">
        <v>328</v>
      </c>
      <c r="B1361" s="1128" t="s">
        <v>1044</v>
      </c>
      <c r="C1361" s="1129">
        <f t="shared" si="565"/>
        <v>2064903.9</v>
      </c>
      <c r="D1361" s="1129">
        <f t="shared" si="566"/>
        <v>373842.45</v>
      </c>
      <c r="E1361" s="1129">
        <v>373842.45</v>
      </c>
      <c r="F1361" s="1129">
        <v>0</v>
      </c>
      <c r="G1361" s="1129">
        <v>0</v>
      </c>
      <c r="H1361" s="1129">
        <v>0</v>
      </c>
      <c r="I1361" s="1129">
        <v>0</v>
      </c>
      <c r="J1361" s="1129">
        <v>0</v>
      </c>
      <c r="K1361" s="1136">
        <v>0</v>
      </c>
      <c r="L1361" s="1129">
        <v>0</v>
      </c>
      <c r="M1361" s="1136">
        <v>0</v>
      </c>
      <c r="N1361" s="1129">
        <v>0</v>
      </c>
      <c r="O1361" s="1129">
        <v>0</v>
      </c>
      <c r="P1361" s="1129">
        <v>0</v>
      </c>
      <c r="Q1361" s="1129">
        <v>0</v>
      </c>
      <c r="R1361" s="1129">
        <v>0</v>
      </c>
      <c r="S1361" s="1129">
        <v>677.16</v>
      </c>
      <c r="T1361" s="1129">
        <v>1586045.58</v>
      </c>
      <c r="U1361" s="1129">
        <v>0</v>
      </c>
      <c r="V1361" s="1129">
        <v>0</v>
      </c>
      <c r="W1361" s="1129">
        <v>0</v>
      </c>
      <c r="X1361" s="1129">
        <v>105015.87</v>
      </c>
      <c r="Y1361" s="1129">
        <v>0</v>
      </c>
    </row>
    <row r="1362" spans="1:25" s="1177" customFormat="1" ht="73.900000000000006" customHeight="1">
      <c r="A1362" s="1280">
        <v>329</v>
      </c>
      <c r="B1362" s="1128" t="s">
        <v>1043</v>
      </c>
      <c r="C1362" s="1129">
        <f t="shared" si="565"/>
        <v>2133082</v>
      </c>
      <c r="D1362" s="1129">
        <f t="shared" si="566"/>
        <v>0</v>
      </c>
      <c r="E1362" s="1129">
        <v>0</v>
      </c>
      <c r="F1362" s="1129">
        <v>0</v>
      </c>
      <c r="G1362" s="1129">
        <v>0</v>
      </c>
      <c r="H1362" s="1129">
        <v>0</v>
      </c>
      <c r="I1362" s="1129">
        <v>0</v>
      </c>
      <c r="J1362" s="1129">
        <v>0</v>
      </c>
      <c r="K1362" s="1136">
        <v>0</v>
      </c>
      <c r="L1362" s="1129">
        <v>0</v>
      </c>
      <c r="M1362" s="1136">
        <v>0</v>
      </c>
      <c r="N1362" s="1129">
        <v>0</v>
      </c>
      <c r="O1362" s="1129">
        <v>0</v>
      </c>
      <c r="P1362" s="1129">
        <v>0</v>
      </c>
      <c r="Q1362" s="1129">
        <v>0</v>
      </c>
      <c r="R1362" s="1129">
        <v>0</v>
      </c>
      <c r="S1362" s="1129">
        <v>864</v>
      </c>
      <c r="T1362" s="1129">
        <v>2022045.04</v>
      </c>
      <c r="U1362" s="1129">
        <v>0</v>
      </c>
      <c r="V1362" s="1129">
        <v>0</v>
      </c>
      <c r="W1362" s="1129">
        <v>0</v>
      </c>
      <c r="X1362" s="1129">
        <v>111036.96</v>
      </c>
      <c r="Y1362" s="1129">
        <v>0</v>
      </c>
    </row>
    <row r="1363" spans="1:25" s="1177" customFormat="1" ht="104.45" customHeight="1">
      <c r="A1363" s="1280">
        <v>330</v>
      </c>
      <c r="B1363" s="1128" t="s">
        <v>1931</v>
      </c>
      <c r="C1363" s="1129">
        <f t="shared" si="565"/>
        <v>875463.20000000007</v>
      </c>
      <c r="D1363" s="1129">
        <f t="shared" si="566"/>
        <v>784473.03</v>
      </c>
      <c r="E1363" s="1215">
        <v>0</v>
      </c>
      <c r="F1363" s="1129">
        <v>531508</v>
      </c>
      <c r="G1363" s="1129">
        <v>0</v>
      </c>
      <c r="H1363" s="1215">
        <v>0</v>
      </c>
      <c r="I1363" s="1129">
        <v>0</v>
      </c>
      <c r="J1363" s="1129">
        <v>252965.03</v>
      </c>
      <c r="K1363" s="1136">
        <v>0</v>
      </c>
      <c r="L1363" s="1129">
        <v>0</v>
      </c>
      <c r="M1363" s="1136">
        <v>0</v>
      </c>
      <c r="N1363" s="1129">
        <v>0</v>
      </c>
      <c r="O1363" s="1129">
        <v>0</v>
      </c>
      <c r="P1363" s="1129">
        <v>0</v>
      </c>
      <c r="Q1363" s="1129">
        <v>0</v>
      </c>
      <c r="R1363" s="1129">
        <v>0</v>
      </c>
      <c r="S1363" s="1129">
        <v>0</v>
      </c>
      <c r="T1363" s="1129">
        <v>0</v>
      </c>
      <c r="U1363" s="1129">
        <v>0</v>
      </c>
      <c r="V1363" s="1129">
        <v>0</v>
      </c>
      <c r="W1363" s="1129">
        <v>0</v>
      </c>
      <c r="X1363" s="1129">
        <v>90990.17</v>
      </c>
      <c r="Y1363" s="1129">
        <v>0</v>
      </c>
    </row>
    <row r="1364" spans="1:25" s="1177" customFormat="1" ht="73.900000000000006" customHeight="1">
      <c r="A1364" s="1280">
        <v>331</v>
      </c>
      <c r="B1364" s="1128" t="s">
        <v>1046</v>
      </c>
      <c r="C1364" s="1129">
        <f t="shared" si="565"/>
        <v>537484.63</v>
      </c>
      <c r="D1364" s="1129">
        <f t="shared" si="566"/>
        <v>498444.53</v>
      </c>
      <c r="E1364" s="1129">
        <v>498444.53</v>
      </c>
      <c r="F1364" s="1129">
        <v>0</v>
      </c>
      <c r="G1364" s="1129">
        <v>0</v>
      </c>
      <c r="H1364" s="1129">
        <v>0</v>
      </c>
      <c r="I1364" s="1129">
        <v>0</v>
      </c>
      <c r="J1364" s="1129">
        <v>0</v>
      </c>
      <c r="K1364" s="1136">
        <v>0</v>
      </c>
      <c r="L1364" s="1129">
        <v>0</v>
      </c>
      <c r="M1364" s="1136">
        <v>0</v>
      </c>
      <c r="N1364" s="1129">
        <v>0</v>
      </c>
      <c r="O1364" s="1129">
        <v>0</v>
      </c>
      <c r="P1364" s="1129">
        <v>0</v>
      </c>
      <c r="Q1364" s="1129">
        <v>0</v>
      </c>
      <c r="R1364" s="1129">
        <v>0</v>
      </c>
      <c r="S1364" s="1129">
        <v>0</v>
      </c>
      <c r="T1364" s="1129">
        <v>0</v>
      </c>
      <c r="U1364" s="1129">
        <v>0</v>
      </c>
      <c r="V1364" s="1129">
        <v>0</v>
      </c>
      <c r="W1364" s="1129">
        <v>0</v>
      </c>
      <c r="X1364" s="1129">
        <v>39040.1</v>
      </c>
      <c r="Y1364" s="1129">
        <v>0</v>
      </c>
    </row>
    <row r="1365" spans="1:25" s="1177" customFormat="1" ht="71.45" customHeight="1">
      <c r="A1365" s="1280">
        <v>332</v>
      </c>
      <c r="B1365" s="1128" t="s">
        <v>1047</v>
      </c>
      <c r="C1365" s="1129">
        <f t="shared" si="565"/>
        <v>1451416.99</v>
      </c>
      <c r="D1365" s="1129">
        <f t="shared" si="566"/>
        <v>1347384.47</v>
      </c>
      <c r="E1365" s="1215">
        <v>0</v>
      </c>
      <c r="F1365" s="1129">
        <v>891407</v>
      </c>
      <c r="G1365" s="1129">
        <v>0</v>
      </c>
      <c r="H1365" s="1215">
        <v>0</v>
      </c>
      <c r="I1365" s="1129">
        <v>0</v>
      </c>
      <c r="J1365" s="1129">
        <v>455977.47</v>
      </c>
      <c r="K1365" s="1136">
        <v>0</v>
      </c>
      <c r="L1365" s="1129">
        <v>0</v>
      </c>
      <c r="M1365" s="1136">
        <v>0</v>
      </c>
      <c r="N1365" s="1129">
        <v>0</v>
      </c>
      <c r="O1365" s="1129">
        <v>0</v>
      </c>
      <c r="P1365" s="1129">
        <v>0</v>
      </c>
      <c r="Q1365" s="1129">
        <v>0</v>
      </c>
      <c r="R1365" s="1129">
        <v>0</v>
      </c>
      <c r="S1365" s="1129">
        <v>0</v>
      </c>
      <c r="T1365" s="1129">
        <v>0</v>
      </c>
      <c r="U1365" s="1129">
        <v>0</v>
      </c>
      <c r="V1365" s="1129">
        <v>0</v>
      </c>
      <c r="W1365" s="1129">
        <v>0</v>
      </c>
      <c r="X1365" s="1129">
        <v>104032.52</v>
      </c>
      <c r="Y1365" s="1129">
        <v>0</v>
      </c>
    </row>
    <row r="1366" spans="1:25" s="1177" customFormat="1" ht="78.599999999999994" customHeight="1">
      <c r="A1366" s="1280">
        <v>333</v>
      </c>
      <c r="B1366" s="1128" t="s">
        <v>1260</v>
      </c>
      <c r="C1366" s="1129">
        <f t="shared" si="565"/>
        <v>1063456</v>
      </c>
      <c r="D1366" s="1129">
        <f t="shared" si="566"/>
        <v>0</v>
      </c>
      <c r="E1366" s="1129">
        <v>0</v>
      </c>
      <c r="F1366" s="1129">
        <v>0</v>
      </c>
      <c r="G1366" s="1129">
        <v>0</v>
      </c>
      <c r="H1366" s="1129">
        <v>0</v>
      </c>
      <c r="I1366" s="1129">
        <v>0</v>
      </c>
      <c r="J1366" s="1129">
        <v>0</v>
      </c>
      <c r="K1366" s="1136">
        <v>0</v>
      </c>
      <c r="L1366" s="1129">
        <v>0</v>
      </c>
      <c r="M1366" s="1136">
        <v>0</v>
      </c>
      <c r="N1366" s="1129">
        <v>0</v>
      </c>
      <c r="O1366" s="1129">
        <v>0</v>
      </c>
      <c r="P1366" s="1129">
        <v>0</v>
      </c>
      <c r="Q1366" s="1129">
        <v>0</v>
      </c>
      <c r="R1366" s="1129">
        <v>0</v>
      </c>
      <c r="S1366" s="1129">
        <v>430.95</v>
      </c>
      <c r="T1366" s="1129">
        <v>980162</v>
      </c>
      <c r="U1366" s="1129">
        <v>0</v>
      </c>
      <c r="V1366" s="1129">
        <v>0</v>
      </c>
      <c r="W1366" s="1129">
        <v>0</v>
      </c>
      <c r="X1366" s="1129">
        <v>83294</v>
      </c>
      <c r="Y1366" s="1129">
        <v>0</v>
      </c>
    </row>
    <row r="1367" spans="1:25" s="1177" customFormat="1" ht="123" customHeight="1">
      <c r="A1367" s="1280"/>
      <c r="B1367" s="1128" t="s">
        <v>2673</v>
      </c>
      <c r="C1367" s="1129">
        <f>C1368+C1369+C1370</f>
        <v>1811818.7400000002</v>
      </c>
      <c r="D1367" s="1129">
        <f t="shared" ref="D1367:Y1367" si="567">D1368+D1369+D1370</f>
        <v>846510.58000000007</v>
      </c>
      <c r="E1367" s="1129">
        <f t="shared" si="567"/>
        <v>846510.58000000007</v>
      </c>
      <c r="F1367" s="1129">
        <f t="shared" si="567"/>
        <v>0</v>
      </c>
      <c r="G1367" s="1129">
        <f t="shared" si="567"/>
        <v>0</v>
      </c>
      <c r="H1367" s="1129">
        <f t="shared" si="567"/>
        <v>0</v>
      </c>
      <c r="I1367" s="1129">
        <f t="shared" si="567"/>
        <v>0</v>
      </c>
      <c r="J1367" s="1129">
        <f t="shared" si="567"/>
        <v>0</v>
      </c>
      <c r="K1367" s="1129">
        <f t="shared" si="567"/>
        <v>0</v>
      </c>
      <c r="L1367" s="1129">
        <f t="shared" si="567"/>
        <v>0</v>
      </c>
      <c r="M1367" s="1129">
        <f t="shared" si="567"/>
        <v>0</v>
      </c>
      <c r="N1367" s="1129">
        <f t="shared" si="567"/>
        <v>0</v>
      </c>
      <c r="O1367" s="1129">
        <f t="shared" si="567"/>
        <v>0</v>
      </c>
      <c r="P1367" s="1129">
        <f t="shared" si="567"/>
        <v>0</v>
      </c>
      <c r="Q1367" s="1129">
        <f t="shared" si="567"/>
        <v>0</v>
      </c>
      <c r="R1367" s="1129">
        <f t="shared" si="567"/>
        <v>0</v>
      </c>
      <c r="S1367" s="1129">
        <f t="shared" si="567"/>
        <v>266.8</v>
      </c>
      <c r="T1367" s="1129">
        <f t="shared" si="567"/>
        <v>836331.71</v>
      </c>
      <c r="U1367" s="1129">
        <f t="shared" si="567"/>
        <v>0</v>
      </c>
      <c r="V1367" s="1129">
        <f t="shared" si="567"/>
        <v>0</v>
      </c>
      <c r="W1367" s="1129">
        <f t="shared" si="567"/>
        <v>0</v>
      </c>
      <c r="X1367" s="1129">
        <f t="shared" si="567"/>
        <v>128976.45</v>
      </c>
      <c r="Y1367" s="1129">
        <f t="shared" si="567"/>
        <v>0</v>
      </c>
    </row>
    <row r="1368" spans="1:25" s="1177" customFormat="1" ht="96.75" customHeight="1">
      <c r="A1368" s="1280">
        <v>334</v>
      </c>
      <c r="B1368" s="1135" t="s">
        <v>2848</v>
      </c>
      <c r="C1368" s="1129">
        <f t="shared" ref="C1368" si="568">D1368+N1368+P1368+R1368+T1368+V1368+X1368</f>
        <v>229600.59</v>
      </c>
      <c r="D1368" s="1129">
        <f t="shared" ref="D1368" si="569">SUM(E1368:J1368)</f>
        <v>215548.29</v>
      </c>
      <c r="E1368" s="1129">
        <v>215548.29</v>
      </c>
      <c r="F1368" s="1129">
        <v>0</v>
      </c>
      <c r="G1368" s="1129">
        <v>0</v>
      </c>
      <c r="H1368" s="1129">
        <v>0</v>
      </c>
      <c r="I1368" s="1129">
        <v>0</v>
      </c>
      <c r="J1368" s="1129">
        <v>0</v>
      </c>
      <c r="K1368" s="1136">
        <v>0</v>
      </c>
      <c r="L1368" s="1129">
        <v>0</v>
      </c>
      <c r="M1368" s="1136">
        <v>0</v>
      </c>
      <c r="N1368" s="1129">
        <v>0</v>
      </c>
      <c r="O1368" s="1129">
        <v>0</v>
      </c>
      <c r="P1368" s="1129">
        <v>0</v>
      </c>
      <c r="Q1368" s="1129">
        <v>0</v>
      </c>
      <c r="R1368" s="1129">
        <v>0</v>
      </c>
      <c r="S1368" s="1129">
        <v>0</v>
      </c>
      <c r="T1368" s="1129">
        <v>0</v>
      </c>
      <c r="U1368" s="1129">
        <v>0</v>
      </c>
      <c r="V1368" s="1129">
        <v>0</v>
      </c>
      <c r="W1368" s="1129">
        <v>0</v>
      </c>
      <c r="X1368" s="1129">
        <v>14052.3</v>
      </c>
      <c r="Y1368" s="1129">
        <v>0</v>
      </c>
    </row>
    <row r="1369" spans="1:25" s="1177" customFormat="1" ht="104.25" customHeight="1">
      <c r="A1369" s="1280">
        <v>335</v>
      </c>
      <c r="B1369" s="1135" t="s">
        <v>2849</v>
      </c>
      <c r="C1369" s="1129">
        <f t="shared" ref="C1369:C1370" si="570">D1369+N1369+P1369+R1369+T1369+V1369+X1369</f>
        <v>901836.45</v>
      </c>
      <c r="D1369" s="1129">
        <f t="shared" ref="D1369:D1370" si="571">SUM(E1369:J1369)</f>
        <v>0</v>
      </c>
      <c r="E1369" s="1129">
        <v>0</v>
      </c>
      <c r="F1369" s="1129">
        <v>0</v>
      </c>
      <c r="G1369" s="1129">
        <v>0</v>
      </c>
      <c r="H1369" s="1129">
        <v>0</v>
      </c>
      <c r="I1369" s="1129">
        <v>0</v>
      </c>
      <c r="J1369" s="1129">
        <v>0</v>
      </c>
      <c r="K1369" s="1136">
        <v>0</v>
      </c>
      <c r="L1369" s="1129">
        <v>0</v>
      </c>
      <c r="M1369" s="1136">
        <v>0</v>
      </c>
      <c r="N1369" s="1129">
        <v>0</v>
      </c>
      <c r="O1369" s="1129">
        <v>0</v>
      </c>
      <c r="P1369" s="1129">
        <v>0</v>
      </c>
      <c r="Q1369" s="1129">
        <v>0</v>
      </c>
      <c r="R1369" s="1129">
        <v>0</v>
      </c>
      <c r="S1369" s="1129">
        <v>266.8</v>
      </c>
      <c r="T1369" s="1129">
        <v>836331.71</v>
      </c>
      <c r="U1369" s="1129">
        <v>0</v>
      </c>
      <c r="V1369" s="1129">
        <v>0</v>
      </c>
      <c r="W1369" s="1129">
        <v>0</v>
      </c>
      <c r="X1369" s="1129">
        <v>65504.74</v>
      </c>
      <c r="Y1369" s="1129">
        <v>0</v>
      </c>
    </row>
    <row r="1370" spans="1:25" s="1177" customFormat="1" ht="104.25" customHeight="1">
      <c r="A1370" s="1280">
        <v>336</v>
      </c>
      <c r="B1370" s="1135" t="s">
        <v>2700</v>
      </c>
      <c r="C1370" s="1129">
        <f t="shared" si="570"/>
        <v>680381.70000000007</v>
      </c>
      <c r="D1370" s="1129">
        <f t="shared" si="571"/>
        <v>630962.29</v>
      </c>
      <c r="E1370" s="1129">
        <v>630962.29</v>
      </c>
      <c r="F1370" s="1129">
        <v>0</v>
      </c>
      <c r="G1370" s="1129">
        <v>0</v>
      </c>
      <c r="H1370" s="1129">
        <v>0</v>
      </c>
      <c r="I1370" s="1129">
        <v>0</v>
      </c>
      <c r="J1370" s="1129">
        <v>0</v>
      </c>
      <c r="K1370" s="1136">
        <v>0</v>
      </c>
      <c r="L1370" s="1129">
        <v>0</v>
      </c>
      <c r="M1370" s="1136">
        <v>0</v>
      </c>
      <c r="N1370" s="1129">
        <v>0</v>
      </c>
      <c r="O1370" s="1129">
        <v>0</v>
      </c>
      <c r="P1370" s="1129">
        <v>0</v>
      </c>
      <c r="Q1370" s="1129">
        <v>0</v>
      </c>
      <c r="R1370" s="1129">
        <v>0</v>
      </c>
      <c r="S1370" s="1129">
        <v>0</v>
      </c>
      <c r="T1370" s="1129">
        <v>0</v>
      </c>
      <c r="U1370" s="1129">
        <v>0</v>
      </c>
      <c r="V1370" s="1129">
        <v>0</v>
      </c>
      <c r="W1370" s="1129">
        <v>0</v>
      </c>
      <c r="X1370" s="1129">
        <v>49419.41</v>
      </c>
      <c r="Y1370" s="1129">
        <v>0</v>
      </c>
    </row>
    <row r="1371" spans="1:25" s="1177" customFormat="1" ht="93" customHeight="1">
      <c r="A1371" s="1280"/>
      <c r="B1371" s="1135" t="s">
        <v>43</v>
      </c>
      <c r="C1371" s="1129">
        <f t="shared" ref="C1371:V1371" si="572">C1372+C1390</f>
        <v>46526178.43</v>
      </c>
      <c r="D1371" s="1129">
        <f t="shared" si="572"/>
        <v>10993349.15</v>
      </c>
      <c r="E1371" s="1129">
        <f t="shared" si="572"/>
        <v>404141</v>
      </c>
      <c r="F1371" s="1129">
        <f t="shared" si="572"/>
        <v>8339897.6900000004</v>
      </c>
      <c r="G1371" s="1129">
        <f t="shared" si="572"/>
        <v>0</v>
      </c>
      <c r="H1371" s="1129">
        <f t="shared" si="572"/>
        <v>1552468.46</v>
      </c>
      <c r="I1371" s="1129">
        <f t="shared" si="572"/>
        <v>0</v>
      </c>
      <c r="J1371" s="1129">
        <f t="shared" si="572"/>
        <v>696842</v>
      </c>
      <c r="K1371" s="1136">
        <f t="shared" si="572"/>
        <v>0</v>
      </c>
      <c r="L1371" s="1129">
        <f t="shared" si="572"/>
        <v>0</v>
      </c>
      <c r="M1371" s="1136">
        <f t="shared" si="572"/>
        <v>0</v>
      </c>
      <c r="N1371" s="1129">
        <f t="shared" si="572"/>
        <v>0</v>
      </c>
      <c r="O1371" s="1129">
        <f t="shared" si="572"/>
        <v>7543.2199999999993</v>
      </c>
      <c r="P1371" s="1129">
        <f t="shared" si="572"/>
        <v>20907423.469999999</v>
      </c>
      <c r="Q1371" s="1129">
        <f t="shared" si="572"/>
        <v>625.5</v>
      </c>
      <c r="R1371" s="1129">
        <f t="shared" si="572"/>
        <v>1004328.32</v>
      </c>
      <c r="S1371" s="1129">
        <f t="shared" si="572"/>
        <v>4125</v>
      </c>
      <c r="T1371" s="1129">
        <f t="shared" si="572"/>
        <v>10179693</v>
      </c>
      <c r="U1371" s="1129">
        <f t="shared" si="572"/>
        <v>0</v>
      </c>
      <c r="V1371" s="1129">
        <f t="shared" si="572"/>
        <v>0</v>
      </c>
      <c r="W1371" s="1129">
        <v>0</v>
      </c>
      <c r="X1371" s="1129">
        <f>X1372+X1390</f>
        <v>3441384.4899999998</v>
      </c>
      <c r="Y1371" s="1129">
        <f>Y1372+Y1390</f>
        <v>0</v>
      </c>
    </row>
    <row r="1372" spans="1:25" s="1177" customFormat="1" ht="88.15" customHeight="1">
      <c r="A1372" s="1280"/>
      <c r="B1372" s="1135" t="s">
        <v>1090</v>
      </c>
      <c r="C1372" s="1129">
        <f>SUM(C1373:C1389)</f>
        <v>46342844.43</v>
      </c>
      <c r="D1372" s="1129">
        <f t="shared" ref="D1372:Y1372" si="573">SUM(D1373:D1389)</f>
        <v>10993349.15</v>
      </c>
      <c r="E1372" s="1129">
        <f t="shared" si="573"/>
        <v>404141</v>
      </c>
      <c r="F1372" s="1129">
        <f t="shared" si="573"/>
        <v>8339897.6900000004</v>
      </c>
      <c r="G1372" s="1129">
        <f t="shared" si="573"/>
        <v>0</v>
      </c>
      <c r="H1372" s="1129">
        <f t="shared" si="573"/>
        <v>1552468.46</v>
      </c>
      <c r="I1372" s="1129">
        <f t="shared" si="573"/>
        <v>0</v>
      </c>
      <c r="J1372" s="1129">
        <f t="shared" si="573"/>
        <v>696842</v>
      </c>
      <c r="K1372" s="1136">
        <f t="shared" si="573"/>
        <v>0</v>
      </c>
      <c r="L1372" s="1129">
        <f t="shared" si="573"/>
        <v>0</v>
      </c>
      <c r="M1372" s="1136">
        <f t="shared" si="573"/>
        <v>0</v>
      </c>
      <c r="N1372" s="1129">
        <f t="shared" si="573"/>
        <v>0</v>
      </c>
      <c r="O1372" s="1129">
        <f t="shared" si="573"/>
        <v>7543.2199999999993</v>
      </c>
      <c r="P1372" s="1129">
        <f t="shared" si="573"/>
        <v>20907423.469999999</v>
      </c>
      <c r="Q1372" s="1129">
        <f t="shared" si="573"/>
        <v>625.5</v>
      </c>
      <c r="R1372" s="1129">
        <f t="shared" si="573"/>
        <v>1004328.32</v>
      </c>
      <c r="S1372" s="1129">
        <f t="shared" si="573"/>
        <v>4125</v>
      </c>
      <c r="T1372" s="1129">
        <f t="shared" si="573"/>
        <v>10179693</v>
      </c>
      <c r="U1372" s="1129">
        <f t="shared" si="573"/>
        <v>0</v>
      </c>
      <c r="V1372" s="1129">
        <f t="shared" si="573"/>
        <v>0</v>
      </c>
      <c r="W1372" s="1129">
        <v>0</v>
      </c>
      <c r="X1372" s="1129">
        <f t="shared" si="573"/>
        <v>3258050.4899999998</v>
      </c>
      <c r="Y1372" s="1129">
        <f t="shared" si="573"/>
        <v>0</v>
      </c>
    </row>
    <row r="1373" spans="1:25" s="1177" customFormat="1" ht="84.6" customHeight="1">
      <c r="A1373" s="1280">
        <v>337</v>
      </c>
      <c r="B1373" s="1135" t="s">
        <v>397</v>
      </c>
      <c r="C1373" s="1129">
        <f t="shared" ref="C1373" si="574">D1373+N1373+P1373+R1373+T1373+V1373+X1373</f>
        <v>1405964</v>
      </c>
      <c r="D1373" s="1129">
        <f t="shared" ref="D1373" si="575">SUM(E1373:J1373)</f>
        <v>0</v>
      </c>
      <c r="E1373" s="1129">
        <v>0</v>
      </c>
      <c r="F1373" s="1129">
        <v>0</v>
      </c>
      <c r="G1373" s="1129">
        <v>0</v>
      </c>
      <c r="H1373" s="1129">
        <v>0</v>
      </c>
      <c r="I1373" s="1129">
        <v>0</v>
      </c>
      <c r="J1373" s="1129">
        <v>0</v>
      </c>
      <c r="K1373" s="1136">
        <v>0</v>
      </c>
      <c r="L1373" s="1129">
        <v>0</v>
      </c>
      <c r="M1373" s="1136">
        <v>0</v>
      </c>
      <c r="N1373" s="1129">
        <v>0</v>
      </c>
      <c r="O1373" s="1129">
        <v>415.4</v>
      </c>
      <c r="P1373" s="1129">
        <v>1303842</v>
      </c>
      <c r="Q1373" s="1129">
        <v>0</v>
      </c>
      <c r="R1373" s="1129">
        <v>0</v>
      </c>
      <c r="S1373" s="1129">
        <v>0</v>
      </c>
      <c r="T1373" s="1129">
        <v>0</v>
      </c>
      <c r="U1373" s="1129">
        <v>0</v>
      </c>
      <c r="V1373" s="1129">
        <v>0</v>
      </c>
      <c r="W1373" s="1129">
        <v>0</v>
      </c>
      <c r="X1373" s="1129">
        <v>102122</v>
      </c>
      <c r="Y1373" s="1129">
        <v>0</v>
      </c>
    </row>
    <row r="1374" spans="1:25" s="1177" customFormat="1" ht="81" customHeight="1">
      <c r="A1374" s="1280">
        <v>338</v>
      </c>
      <c r="B1374" s="1135" t="s">
        <v>403</v>
      </c>
      <c r="C1374" s="1129">
        <f t="shared" ref="C1374:C1388" si="576">D1374+N1374+P1374+R1374+T1374+V1374+X1374</f>
        <v>1799806.88</v>
      </c>
      <c r="D1374" s="1129">
        <f t="shared" ref="D1374:D1388" si="577">SUM(E1374:J1374)</f>
        <v>0</v>
      </c>
      <c r="E1374" s="1129">
        <v>0</v>
      </c>
      <c r="F1374" s="1129">
        <v>0</v>
      </c>
      <c r="G1374" s="1129">
        <v>0</v>
      </c>
      <c r="H1374" s="1129">
        <v>0</v>
      </c>
      <c r="I1374" s="1129">
        <v>0</v>
      </c>
      <c r="J1374" s="1129">
        <v>0</v>
      </c>
      <c r="K1374" s="1136">
        <v>0</v>
      </c>
      <c r="L1374" s="1129">
        <v>0</v>
      </c>
      <c r="M1374" s="1136">
        <v>0</v>
      </c>
      <c r="N1374" s="1129">
        <v>0</v>
      </c>
      <c r="O1374" s="1129">
        <v>548</v>
      </c>
      <c r="P1374" s="1129">
        <v>1720042</v>
      </c>
      <c r="Q1374" s="1129">
        <v>0</v>
      </c>
      <c r="R1374" s="1129">
        <v>0</v>
      </c>
      <c r="S1374" s="1129">
        <v>0</v>
      </c>
      <c r="T1374" s="1129">
        <v>0</v>
      </c>
      <c r="U1374" s="1129">
        <v>0</v>
      </c>
      <c r="V1374" s="1129">
        <v>0</v>
      </c>
      <c r="W1374" s="1129">
        <v>0</v>
      </c>
      <c r="X1374" s="1129">
        <v>79764.88</v>
      </c>
      <c r="Y1374" s="1129">
        <v>0</v>
      </c>
    </row>
    <row r="1375" spans="1:25" s="1177" customFormat="1" ht="71.45" customHeight="1">
      <c r="A1375" s="1280">
        <v>339</v>
      </c>
      <c r="B1375" s="1135" t="s">
        <v>1021</v>
      </c>
      <c r="C1375" s="1129">
        <f t="shared" si="576"/>
        <v>3638269</v>
      </c>
      <c r="D1375" s="1129">
        <f t="shared" si="577"/>
        <v>0</v>
      </c>
      <c r="E1375" s="1129">
        <v>0</v>
      </c>
      <c r="F1375" s="1129">
        <v>0</v>
      </c>
      <c r="G1375" s="1129">
        <v>0</v>
      </c>
      <c r="H1375" s="1129">
        <v>0</v>
      </c>
      <c r="I1375" s="1129">
        <v>0</v>
      </c>
      <c r="J1375" s="1129">
        <v>0</v>
      </c>
      <c r="K1375" s="1136">
        <v>0</v>
      </c>
      <c r="L1375" s="1129">
        <v>0</v>
      </c>
      <c r="M1375" s="1136">
        <v>0</v>
      </c>
      <c r="N1375" s="1129">
        <v>0</v>
      </c>
      <c r="O1375" s="1129">
        <v>1339</v>
      </c>
      <c r="P1375" s="1129">
        <v>3374004</v>
      </c>
      <c r="Q1375" s="1129">
        <v>0</v>
      </c>
      <c r="R1375" s="1129">
        <v>0</v>
      </c>
      <c r="S1375" s="1129">
        <v>0</v>
      </c>
      <c r="T1375" s="1129">
        <v>0</v>
      </c>
      <c r="U1375" s="1129">
        <v>0</v>
      </c>
      <c r="V1375" s="1129">
        <v>0</v>
      </c>
      <c r="W1375" s="1129">
        <v>0</v>
      </c>
      <c r="X1375" s="1129">
        <v>264265</v>
      </c>
      <c r="Y1375" s="1129">
        <v>0</v>
      </c>
    </row>
    <row r="1376" spans="1:25" s="1177" customFormat="1" ht="85.9" customHeight="1">
      <c r="A1376" s="1280">
        <v>340</v>
      </c>
      <c r="B1376" s="1135" t="s">
        <v>1932</v>
      </c>
      <c r="C1376" s="1129">
        <f t="shared" si="576"/>
        <v>7570644.7200000007</v>
      </c>
      <c r="D1376" s="1129">
        <f t="shared" si="577"/>
        <v>7020752.2400000002</v>
      </c>
      <c r="E1376" s="1129">
        <v>0</v>
      </c>
      <c r="F1376" s="1129">
        <v>7020752.2400000002</v>
      </c>
      <c r="G1376" s="1129">
        <v>0</v>
      </c>
      <c r="H1376" s="1129">
        <v>0</v>
      </c>
      <c r="I1376" s="1129">
        <v>0</v>
      </c>
      <c r="J1376" s="1129">
        <v>0</v>
      </c>
      <c r="K1376" s="1136">
        <v>0</v>
      </c>
      <c r="L1376" s="1129">
        <v>0</v>
      </c>
      <c r="M1376" s="1136">
        <v>0</v>
      </c>
      <c r="N1376" s="1129">
        <v>0</v>
      </c>
      <c r="O1376" s="1129">
        <v>0</v>
      </c>
      <c r="P1376" s="1129">
        <v>0</v>
      </c>
      <c r="Q1376" s="1129">
        <v>0</v>
      </c>
      <c r="R1376" s="1129">
        <v>0</v>
      </c>
      <c r="S1376" s="1129">
        <v>0</v>
      </c>
      <c r="T1376" s="1129">
        <v>0</v>
      </c>
      <c r="U1376" s="1129">
        <v>0</v>
      </c>
      <c r="V1376" s="1129">
        <v>0</v>
      </c>
      <c r="W1376" s="1129">
        <v>0</v>
      </c>
      <c r="X1376" s="1129">
        <v>549892.48</v>
      </c>
      <c r="Y1376" s="1129">
        <v>0</v>
      </c>
    </row>
    <row r="1377" spans="1:25" s="1177" customFormat="1" ht="73.150000000000006" customHeight="1">
      <c r="A1377" s="1280">
        <v>341</v>
      </c>
      <c r="B1377" s="1135" t="s">
        <v>1023</v>
      </c>
      <c r="C1377" s="1129">
        <f t="shared" si="576"/>
        <v>1082991.2</v>
      </c>
      <c r="D1377" s="1129">
        <f t="shared" si="577"/>
        <v>0</v>
      </c>
      <c r="E1377" s="1129">
        <v>0</v>
      </c>
      <c r="F1377" s="1129">
        <v>0</v>
      </c>
      <c r="G1377" s="1129">
        <v>0</v>
      </c>
      <c r="H1377" s="1129">
        <v>0</v>
      </c>
      <c r="I1377" s="1129">
        <v>0</v>
      </c>
      <c r="J1377" s="1129">
        <v>0</v>
      </c>
      <c r="K1377" s="1136">
        <v>0</v>
      </c>
      <c r="L1377" s="1129">
        <v>0</v>
      </c>
      <c r="M1377" s="1136">
        <v>0</v>
      </c>
      <c r="N1377" s="1129">
        <v>0</v>
      </c>
      <c r="O1377" s="1129">
        <v>0</v>
      </c>
      <c r="P1377" s="1129">
        <v>0</v>
      </c>
      <c r="Q1377" s="1129">
        <v>625.5</v>
      </c>
      <c r="R1377" s="1129">
        <v>1004328.32</v>
      </c>
      <c r="S1377" s="1129">
        <v>0</v>
      </c>
      <c r="T1377" s="1129">
        <v>0</v>
      </c>
      <c r="U1377" s="1129">
        <v>0</v>
      </c>
      <c r="V1377" s="1129">
        <v>0</v>
      </c>
      <c r="W1377" s="1129">
        <v>0</v>
      </c>
      <c r="X1377" s="1129">
        <v>78662.880000000005</v>
      </c>
      <c r="Y1377" s="1129">
        <v>0</v>
      </c>
    </row>
    <row r="1378" spans="1:25" s="1177" customFormat="1" ht="69" customHeight="1">
      <c r="A1378" s="1280">
        <v>342</v>
      </c>
      <c r="B1378" s="1135" t="s">
        <v>1022</v>
      </c>
      <c r="C1378" s="1129">
        <f t="shared" si="576"/>
        <v>1100148.81</v>
      </c>
      <c r="D1378" s="1129">
        <f t="shared" si="577"/>
        <v>1020239.6900000001</v>
      </c>
      <c r="E1378" s="1129">
        <v>0</v>
      </c>
      <c r="F1378" s="1129">
        <v>632173.06000000006</v>
      </c>
      <c r="G1378" s="1129">
        <v>0</v>
      </c>
      <c r="H1378" s="1129">
        <v>388066.63</v>
      </c>
      <c r="I1378" s="1129">
        <v>0</v>
      </c>
      <c r="J1378" s="1129">
        <v>0</v>
      </c>
      <c r="K1378" s="1136">
        <v>0</v>
      </c>
      <c r="L1378" s="1129">
        <v>0</v>
      </c>
      <c r="M1378" s="1136">
        <v>0</v>
      </c>
      <c r="N1378" s="1129">
        <v>0</v>
      </c>
      <c r="O1378" s="1129">
        <v>0</v>
      </c>
      <c r="P1378" s="1129">
        <v>0</v>
      </c>
      <c r="Q1378" s="1129">
        <v>0</v>
      </c>
      <c r="R1378" s="1129">
        <v>0</v>
      </c>
      <c r="S1378" s="1129">
        <v>0</v>
      </c>
      <c r="T1378" s="1129">
        <v>0</v>
      </c>
      <c r="U1378" s="1129">
        <v>0</v>
      </c>
      <c r="V1378" s="1129">
        <v>0</v>
      </c>
      <c r="W1378" s="1129">
        <v>0</v>
      </c>
      <c r="X1378" s="1129">
        <v>79909.119999999995</v>
      </c>
      <c r="Y1378" s="1129">
        <v>0</v>
      </c>
    </row>
    <row r="1379" spans="1:25" s="1177" customFormat="1" ht="73.900000000000006" customHeight="1">
      <c r="A1379" s="1280">
        <v>343</v>
      </c>
      <c r="B1379" s="1135" t="s">
        <v>1024</v>
      </c>
      <c r="C1379" s="1129">
        <f t="shared" si="576"/>
        <v>2603033</v>
      </c>
      <c r="D1379" s="1129">
        <f t="shared" si="577"/>
        <v>0</v>
      </c>
      <c r="E1379" s="1129">
        <v>0</v>
      </c>
      <c r="F1379" s="1129">
        <v>0</v>
      </c>
      <c r="G1379" s="1129">
        <v>0</v>
      </c>
      <c r="H1379" s="1129">
        <v>0</v>
      </c>
      <c r="I1379" s="1129">
        <v>0</v>
      </c>
      <c r="J1379" s="1129">
        <v>0</v>
      </c>
      <c r="K1379" s="1136">
        <v>0</v>
      </c>
      <c r="L1379" s="1129">
        <v>0</v>
      </c>
      <c r="M1379" s="1136">
        <v>0</v>
      </c>
      <c r="N1379" s="1129">
        <v>0</v>
      </c>
      <c r="O1379" s="1129">
        <v>958</v>
      </c>
      <c r="P1379" s="1129">
        <v>2413962</v>
      </c>
      <c r="Q1379" s="1129">
        <v>0</v>
      </c>
      <c r="R1379" s="1129">
        <v>0</v>
      </c>
      <c r="S1379" s="1129">
        <v>0</v>
      </c>
      <c r="T1379" s="1129">
        <v>0</v>
      </c>
      <c r="U1379" s="1129">
        <v>0</v>
      </c>
      <c r="V1379" s="1129">
        <v>0</v>
      </c>
      <c r="W1379" s="1129">
        <v>0</v>
      </c>
      <c r="X1379" s="1129">
        <v>189071</v>
      </c>
      <c r="Y1379" s="1129">
        <v>0</v>
      </c>
    </row>
    <row r="1380" spans="1:25" s="1177" customFormat="1" ht="71.45" customHeight="1">
      <c r="A1380" s="1280">
        <v>344</v>
      </c>
      <c r="B1380" s="1135" t="s">
        <v>1020</v>
      </c>
      <c r="C1380" s="1129">
        <f t="shared" si="576"/>
        <v>3757824</v>
      </c>
      <c r="D1380" s="1129">
        <f t="shared" si="577"/>
        <v>0</v>
      </c>
      <c r="E1380" s="1129">
        <v>0</v>
      </c>
      <c r="F1380" s="1129">
        <v>0</v>
      </c>
      <c r="G1380" s="1129">
        <v>0</v>
      </c>
      <c r="H1380" s="1129">
        <v>0</v>
      </c>
      <c r="I1380" s="1129">
        <v>0</v>
      </c>
      <c r="J1380" s="1129">
        <v>0</v>
      </c>
      <c r="K1380" s="1136">
        <v>0</v>
      </c>
      <c r="L1380" s="1129">
        <v>0</v>
      </c>
      <c r="M1380" s="1136">
        <v>0</v>
      </c>
      <c r="N1380" s="1129">
        <v>0</v>
      </c>
      <c r="O1380" s="1129">
        <v>1383</v>
      </c>
      <c r="P1380" s="1129">
        <v>3484875</v>
      </c>
      <c r="Q1380" s="1129">
        <v>0</v>
      </c>
      <c r="R1380" s="1129">
        <v>0</v>
      </c>
      <c r="S1380" s="1129">
        <v>0</v>
      </c>
      <c r="T1380" s="1129">
        <v>0</v>
      </c>
      <c r="U1380" s="1129">
        <v>0</v>
      </c>
      <c r="V1380" s="1129">
        <v>0</v>
      </c>
      <c r="W1380" s="1129">
        <v>0</v>
      </c>
      <c r="X1380" s="1129">
        <v>272949</v>
      </c>
      <c r="Y1380" s="1129">
        <v>0</v>
      </c>
    </row>
    <row r="1381" spans="1:25" s="1177" customFormat="1" ht="73.900000000000006" customHeight="1">
      <c r="A1381" s="1280">
        <v>345</v>
      </c>
      <c r="B1381" s="1135" t="s">
        <v>1028</v>
      </c>
      <c r="C1381" s="1129">
        <f t="shared" si="576"/>
        <v>4188076.4200000004</v>
      </c>
      <c r="D1381" s="1129">
        <f t="shared" si="577"/>
        <v>0</v>
      </c>
      <c r="E1381" s="1129">
        <v>0</v>
      </c>
      <c r="F1381" s="1129">
        <v>0</v>
      </c>
      <c r="G1381" s="1129">
        <v>0</v>
      </c>
      <c r="H1381" s="1129">
        <v>0</v>
      </c>
      <c r="I1381" s="1129">
        <v>0</v>
      </c>
      <c r="J1381" s="1129">
        <v>0</v>
      </c>
      <c r="K1381" s="1136">
        <v>0</v>
      </c>
      <c r="L1381" s="1129">
        <v>0</v>
      </c>
      <c r="M1381" s="1136">
        <v>0</v>
      </c>
      <c r="N1381" s="1129">
        <v>0</v>
      </c>
      <c r="O1381" s="1129">
        <v>1049.7</v>
      </c>
      <c r="P1381" s="1129">
        <v>3948778.47</v>
      </c>
      <c r="Q1381" s="1129">
        <v>0</v>
      </c>
      <c r="R1381" s="1129">
        <v>0</v>
      </c>
      <c r="S1381" s="1129">
        <v>0</v>
      </c>
      <c r="T1381" s="1129">
        <v>0</v>
      </c>
      <c r="U1381" s="1129">
        <v>0</v>
      </c>
      <c r="V1381" s="1129">
        <v>0</v>
      </c>
      <c r="W1381" s="1129">
        <v>0</v>
      </c>
      <c r="X1381" s="1129">
        <v>239297.95</v>
      </c>
      <c r="Y1381" s="1129">
        <v>0</v>
      </c>
    </row>
    <row r="1382" spans="1:25" s="1177" customFormat="1" ht="71.45" customHeight="1">
      <c r="A1382" s="1280">
        <v>346</v>
      </c>
      <c r="B1382" s="1135" t="s">
        <v>1029</v>
      </c>
      <c r="C1382" s="1129">
        <f t="shared" si="576"/>
        <v>1203937.3999999999</v>
      </c>
      <c r="D1382" s="1129">
        <f t="shared" si="577"/>
        <v>1108678.22</v>
      </c>
      <c r="E1382" s="1129">
        <v>0</v>
      </c>
      <c r="F1382" s="1129">
        <v>686972.39</v>
      </c>
      <c r="G1382" s="1129">
        <v>0</v>
      </c>
      <c r="H1382" s="1129">
        <v>421705.83</v>
      </c>
      <c r="I1382" s="1129">
        <v>0</v>
      </c>
      <c r="J1382" s="1129">
        <v>0</v>
      </c>
      <c r="K1382" s="1136">
        <v>0</v>
      </c>
      <c r="L1382" s="1129">
        <v>0</v>
      </c>
      <c r="M1382" s="1136">
        <v>0</v>
      </c>
      <c r="N1382" s="1129">
        <v>0</v>
      </c>
      <c r="O1382" s="1129">
        <v>0</v>
      </c>
      <c r="P1382" s="1129">
        <v>0</v>
      </c>
      <c r="Q1382" s="1129">
        <v>0</v>
      </c>
      <c r="R1382" s="1129">
        <v>0</v>
      </c>
      <c r="S1382" s="1129">
        <v>0</v>
      </c>
      <c r="T1382" s="1129">
        <v>0</v>
      </c>
      <c r="U1382" s="1129">
        <v>0</v>
      </c>
      <c r="V1382" s="1129">
        <v>0</v>
      </c>
      <c r="W1382" s="1129">
        <v>0</v>
      </c>
      <c r="X1382" s="1129">
        <v>95259.18</v>
      </c>
      <c r="Y1382" s="1129">
        <v>0</v>
      </c>
    </row>
    <row r="1383" spans="1:25" s="1177" customFormat="1" ht="71.45" customHeight="1">
      <c r="A1383" s="1280">
        <v>347</v>
      </c>
      <c r="B1383" s="1135" t="s">
        <v>1030</v>
      </c>
      <c r="C1383" s="1129">
        <f t="shared" si="576"/>
        <v>3170918</v>
      </c>
      <c r="D1383" s="1129">
        <f t="shared" si="577"/>
        <v>0</v>
      </c>
      <c r="E1383" s="1129">
        <v>0</v>
      </c>
      <c r="F1383" s="1129">
        <v>0</v>
      </c>
      <c r="G1383" s="1129">
        <v>0</v>
      </c>
      <c r="H1383" s="1129">
        <v>0</v>
      </c>
      <c r="I1383" s="1129">
        <v>0</v>
      </c>
      <c r="J1383" s="1129">
        <v>0</v>
      </c>
      <c r="K1383" s="1136">
        <v>0</v>
      </c>
      <c r="L1383" s="1129">
        <v>0</v>
      </c>
      <c r="M1383" s="1136">
        <v>0</v>
      </c>
      <c r="N1383" s="1129">
        <v>0</v>
      </c>
      <c r="O1383" s="1129">
        <v>1167</v>
      </c>
      <c r="P1383" s="1129">
        <v>2940599</v>
      </c>
      <c r="Q1383" s="1129">
        <v>0</v>
      </c>
      <c r="R1383" s="1129">
        <v>0</v>
      </c>
      <c r="S1383" s="1129">
        <v>0</v>
      </c>
      <c r="T1383" s="1129">
        <v>0</v>
      </c>
      <c r="U1383" s="1129">
        <v>0</v>
      </c>
      <c r="V1383" s="1129">
        <v>0</v>
      </c>
      <c r="W1383" s="1129">
        <v>0</v>
      </c>
      <c r="X1383" s="1129">
        <v>230319</v>
      </c>
      <c r="Y1383" s="1129">
        <v>0</v>
      </c>
    </row>
    <row r="1384" spans="1:25" s="1177" customFormat="1" ht="76.150000000000006" customHeight="1">
      <c r="A1384" s="1280">
        <v>348</v>
      </c>
      <c r="B1384" s="1135" t="s">
        <v>1023</v>
      </c>
      <c r="C1384" s="1129">
        <f t="shared" si="576"/>
        <v>751421</v>
      </c>
      <c r="D1384" s="1129">
        <f t="shared" si="577"/>
        <v>696842</v>
      </c>
      <c r="E1384" s="1129">
        <v>0</v>
      </c>
      <c r="F1384" s="1129">
        <v>0</v>
      </c>
      <c r="G1384" s="1129">
        <v>0</v>
      </c>
      <c r="H1384" s="1129">
        <v>0</v>
      </c>
      <c r="I1384" s="1129">
        <v>0</v>
      </c>
      <c r="J1384" s="1129">
        <v>696842</v>
      </c>
      <c r="K1384" s="1136">
        <v>0</v>
      </c>
      <c r="L1384" s="1129">
        <v>0</v>
      </c>
      <c r="M1384" s="1136">
        <v>0</v>
      </c>
      <c r="N1384" s="1129">
        <v>0</v>
      </c>
      <c r="O1384" s="1129">
        <v>0</v>
      </c>
      <c r="P1384" s="1129">
        <v>0</v>
      </c>
      <c r="Q1384" s="1129">
        <v>0</v>
      </c>
      <c r="R1384" s="1129">
        <v>0</v>
      </c>
      <c r="S1384" s="1129">
        <v>0</v>
      </c>
      <c r="T1384" s="1129">
        <v>0</v>
      </c>
      <c r="U1384" s="1129">
        <v>0</v>
      </c>
      <c r="V1384" s="1129">
        <v>0</v>
      </c>
      <c r="W1384" s="1129">
        <v>0</v>
      </c>
      <c r="X1384" s="1129">
        <v>54579</v>
      </c>
      <c r="Y1384" s="1129">
        <v>0</v>
      </c>
    </row>
    <row r="1385" spans="1:25" s="1177" customFormat="1" ht="75.599999999999994" customHeight="1">
      <c r="A1385" s="1280">
        <v>349</v>
      </c>
      <c r="B1385" s="1135" t="s">
        <v>1025</v>
      </c>
      <c r="C1385" s="1129">
        <f t="shared" si="576"/>
        <v>2032991</v>
      </c>
      <c r="D1385" s="1129">
        <f t="shared" si="577"/>
        <v>0</v>
      </c>
      <c r="E1385" s="1129">
        <v>0</v>
      </c>
      <c r="F1385" s="1129">
        <v>0</v>
      </c>
      <c r="G1385" s="1129">
        <v>0</v>
      </c>
      <c r="H1385" s="1129">
        <v>0</v>
      </c>
      <c r="I1385" s="1129">
        <v>0</v>
      </c>
      <c r="J1385" s="1129">
        <v>0</v>
      </c>
      <c r="K1385" s="1136">
        <v>0</v>
      </c>
      <c r="L1385" s="1129">
        <v>0</v>
      </c>
      <c r="M1385" s="1136">
        <v>0</v>
      </c>
      <c r="N1385" s="1129">
        <v>0</v>
      </c>
      <c r="O1385" s="1129">
        <v>0</v>
      </c>
      <c r="P1385" s="1129">
        <v>0</v>
      </c>
      <c r="Q1385" s="1129">
        <v>0</v>
      </c>
      <c r="R1385" s="1129">
        <v>0</v>
      </c>
      <c r="S1385" s="1129">
        <v>764</v>
      </c>
      <c r="T1385" s="1129">
        <v>1885325</v>
      </c>
      <c r="U1385" s="1129">
        <v>0</v>
      </c>
      <c r="V1385" s="1129">
        <v>0</v>
      </c>
      <c r="W1385" s="1129">
        <v>0</v>
      </c>
      <c r="X1385" s="1129">
        <v>147666</v>
      </c>
      <c r="Y1385" s="1129">
        <v>0</v>
      </c>
    </row>
    <row r="1386" spans="1:25" s="1177" customFormat="1" ht="78.599999999999994" customHeight="1">
      <c r="A1386" s="1280">
        <v>350</v>
      </c>
      <c r="B1386" s="1135" t="s">
        <v>1643</v>
      </c>
      <c r="C1386" s="1129">
        <f t="shared" si="576"/>
        <v>435795</v>
      </c>
      <c r="D1386" s="1129">
        <f t="shared" si="577"/>
        <v>404141</v>
      </c>
      <c r="E1386" s="1129">
        <v>404141</v>
      </c>
      <c r="F1386" s="1129">
        <v>0</v>
      </c>
      <c r="G1386" s="1129">
        <v>0</v>
      </c>
      <c r="H1386" s="1129">
        <v>0</v>
      </c>
      <c r="I1386" s="1129">
        <v>0</v>
      </c>
      <c r="J1386" s="1129">
        <v>0</v>
      </c>
      <c r="K1386" s="1136">
        <v>0</v>
      </c>
      <c r="L1386" s="1129">
        <v>0</v>
      </c>
      <c r="M1386" s="1136">
        <v>0</v>
      </c>
      <c r="N1386" s="1129">
        <v>0</v>
      </c>
      <c r="O1386" s="1129">
        <v>0</v>
      </c>
      <c r="P1386" s="1129">
        <v>0</v>
      </c>
      <c r="Q1386" s="1129">
        <v>0</v>
      </c>
      <c r="R1386" s="1129">
        <v>0</v>
      </c>
      <c r="S1386" s="1129">
        <v>0</v>
      </c>
      <c r="T1386" s="1129">
        <v>0</v>
      </c>
      <c r="U1386" s="1129">
        <v>0</v>
      </c>
      <c r="V1386" s="1129">
        <v>0</v>
      </c>
      <c r="W1386" s="1129">
        <v>0</v>
      </c>
      <c r="X1386" s="1129">
        <v>31654</v>
      </c>
      <c r="Y1386" s="1129">
        <v>0</v>
      </c>
    </row>
    <row r="1387" spans="1:25" s="1177" customFormat="1" ht="71.45" customHeight="1">
      <c r="A1387" s="1280">
        <v>351</v>
      </c>
      <c r="B1387" s="1135" t="s">
        <v>1032</v>
      </c>
      <c r="C1387" s="1129">
        <f t="shared" si="576"/>
        <v>3552669</v>
      </c>
      <c r="D1387" s="1129">
        <f t="shared" si="577"/>
        <v>742696</v>
      </c>
      <c r="E1387" s="1129">
        <v>0</v>
      </c>
      <c r="F1387" s="1129">
        <v>0</v>
      </c>
      <c r="G1387" s="1129">
        <v>0</v>
      </c>
      <c r="H1387" s="1129">
        <v>742696</v>
      </c>
      <c r="I1387" s="1129">
        <v>0</v>
      </c>
      <c r="J1387" s="1129">
        <v>0</v>
      </c>
      <c r="K1387" s="1136">
        <v>0</v>
      </c>
      <c r="L1387" s="1129">
        <v>0</v>
      </c>
      <c r="M1387" s="1136">
        <v>0</v>
      </c>
      <c r="N1387" s="1129">
        <v>0</v>
      </c>
      <c r="O1387" s="1129">
        <v>0</v>
      </c>
      <c r="P1387" s="1129">
        <v>0</v>
      </c>
      <c r="Q1387" s="1129">
        <v>0</v>
      </c>
      <c r="R1387" s="1129">
        <v>0</v>
      </c>
      <c r="S1387" s="1129">
        <v>1034</v>
      </c>
      <c r="T1387" s="1129">
        <v>2551925</v>
      </c>
      <c r="U1387" s="1129">
        <v>0</v>
      </c>
      <c r="V1387" s="1129">
        <v>0</v>
      </c>
      <c r="W1387" s="1129">
        <v>0</v>
      </c>
      <c r="X1387" s="1129">
        <v>258048</v>
      </c>
      <c r="Y1387" s="1129">
        <v>0</v>
      </c>
    </row>
    <row r="1388" spans="1:25" s="1177" customFormat="1" ht="71.45" customHeight="1">
      <c r="A1388" s="1280">
        <v>352</v>
      </c>
      <c r="B1388" s="1135" t="s">
        <v>1033</v>
      </c>
      <c r="C1388" s="1129">
        <f t="shared" si="576"/>
        <v>1856142</v>
      </c>
      <c r="D1388" s="1129">
        <f t="shared" si="577"/>
        <v>0</v>
      </c>
      <c r="E1388" s="1129">
        <v>0</v>
      </c>
      <c r="F1388" s="1129">
        <v>0</v>
      </c>
      <c r="G1388" s="1129">
        <v>0</v>
      </c>
      <c r="H1388" s="1129">
        <v>0</v>
      </c>
      <c r="I1388" s="1129">
        <v>0</v>
      </c>
      <c r="J1388" s="1129">
        <v>0</v>
      </c>
      <c r="K1388" s="1136">
        <v>0</v>
      </c>
      <c r="L1388" s="1129">
        <v>0</v>
      </c>
      <c r="M1388" s="1136">
        <v>0</v>
      </c>
      <c r="N1388" s="1129">
        <v>0</v>
      </c>
      <c r="O1388" s="1129">
        <v>683.12</v>
      </c>
      <c r="P1388" s="1129">
        <v>1721321</v>
      </c>
      <c r="Q1388" s="1129">
        <v>0</v>
      </c>
      <c r="R1388" s="1129">
        <v>0</v>
      </c>
      <c r="S1388" s="1129">
        <v>0</v>
      </c>
      <c r="T1388" s="1129">
        <v>0</v>
      </c>
      <c r="U1388" s="1129">
        <v>0</v>
      </c>
      <c r="V1388" s="1129">
        <v>0</v>
      </c>
      <c r="W1388" s="1129">
        <v>0</v>
      </c>
      <c r="X1388" s="1129">
        <v>134821</v>
      </c>
      <c r="Y1388" s="1129">
        <v>0</v>
      </c>
    </row>
    <row r="1389" spans="1:25" s="1177" customFormat="1" ht="78.599999999999994" customHeight="1">
      <c r="A1389" s="1280">
        <v>353</v>
      </c>
      <c r="B1389" s="1135" t="s">
        <v>1027</v>
      </c>
      <c r="C1389" s="1129">
        <f t="shared" ref="C1389" si="578">D1389+N1389+P1389+R1389+T1389+V1389+X1389</f>
        <v>6192213</v>
      </c>
      <c r="D1389" s="1129">
        <f t="shared" ref="D1389" si="579">SUM(E1389:J1389)</f>
        <v>0</v>
      </c>
      <c r="E1389" s="1129">
        <v>0</v>
      </c>
      <c r="F1389" s="1129">
        <v>0</v>
      </c>
      <c r="G1389" s="1129">
        <v>0</v>
      </c>
      <c r="H1389" s="1129">
        <v>0</v>
      </c>
      <c r="I1389" s="1129">
        <v>0</v>
      </c>
      <c r="J1389" s="1129">
        <v>0</v>
      </c>
      <c r="K1389" s="1136">
        <v>0</v>
      </c>
      <c r="L1389" s="1129">
        <v>0</v>
      </c>
      <c r="M1389" s="1136">
        <v>0</v>
      </c>
      <c r="N1389" s="1129">
        <v>0</v>
      </c>
      <c r="O1389" s="1129">
        <v>0</v>
      </c>
      <c r="P1389" s="1129">
        <v>0</v>
      </c>
      <c r="Q1389" s="1129">
        <v>0</v>
      </c>
      <c r="R1389" s="1129">
        <v>0</v>
      </c>
      <c r="S1389" s="1129">
        <v>2327</v>
      </c>
      <c r="T1389" s="1129">
        <v>5742443</v>
      </c>
      <c r="U1389" s="1129">
        <v>0</v>
      </c>
      <c r="V1389" s="1129">
        <v>0</v>
      </c>
      <c r="W1389" s="1129">
        <v>0</v>
      </c>
      <c r="X1389" s="1129">
        <v>449770</v>
      </c>
      <c r="Y1389" s="1129">
        <v>0</v>
      </c>
    </row>
    <row r="1390" spans="1:25" s="1177" customFormat="1" ht="135" customHeight="1">
      <c r="A1390" s="1280"/>
      <c r="B1390" s="1135" t="s">
        <v>1139</v>
      </c>
      <c r="C1390" s="1129">
        <f>C1391</f>
        <v>183334</v>
      </c>
      <c r="D1390" s="1129">
        <f t="shared" ref="D1390:Y1390" si="580">D1391</f>
        <v>0</v>
      </c>
      <c r="E1390" s="1129">
        <f t="shared" si="580"/>
        <v>0</v>
      </c>
      <c r="F1390" s="1129">
        <f t="shared" si="580"/>
        <v>0</v>
      </c>
      <c r="G1390" s="1129">
        <f t="shared" si="580"/>
        <v>0</v>
      </c>
      <c r="H1390" s="1129">
        <f t="shared" si="580"/>
        <v>0</v>
      </c>
      <c r="I1390" s="1129">
        <f t="shared" si="580"/>
        <v>0</v>
      </c>
      <c r="J1390" s="1129">
        <f t="shared" si="580"/>
        <v>0</v>
      </c>
      <c r="K1390" s="1136">
        <f t="shared" si="580"/>
        <v>0</v>
      </c>
      <c r="L1390" s="1129">
        <f t="shared" si="580"/>
        <v>0</v>
      </c>
      <c r="M1390" s="1136">
        <f t="shared" si="580"/>
        <v>0</v>
      </c>
      <c r="N1390" s="1129">
        <f t="shared" si="580"/>
        <v>0</v>
      </c>
      <c r="O1390" s="1129">
        <f t="shared" si="580"/>
        <v>0</v>
      </c>
      <c r="P1390" s="1129">
        <f t="shared" si="580"/>
        <v>0</v>
      </c>
      <c r="Q1390" s="1129">
        <f t="shared" si="580"/>
        <v>0</v>
      </c>
      <c r="R1390" s="1129">
        <f t="shared" si="580"/>
        <v>0</v>
      </c>
      <c r="S1390" s="1129">
        <f t="shared" si="580"/>
        <v>0</v>
      </c>
      <c r="T1390" s="1129">
        <f t="shared" si="580"/>
        <v>0</v>
      </c>
      <c r="U1390" s="1129">
        <f t="shared" si="580"/>
        <v>0</v>
      </c>
      <c r="V1390" s="1129">
        <f t="shared" si="580"/>
        <v>0</v>
      </c>
      <c r="W1390" s="1129">
        <v>0</v>
      </c>
      <c r="X1390" s="1129">
        <f t="shared" si="580"/>
        <v>183334</v>
      </c>
      <c r="Y1390" s="1129">
        <f t="shared" si="580"/>
        <v>0</v>
      </c>
    </row>
    <row r="1391" spans="1:25" s="1177" customFormat="1" ht="104.45" customHeight="1">
      <c r="A1391" s="1280">
        <v>354</v>
      </c>
      <c r="B1391" s="1135" t="s">
        <v>2595</v>
      </c>
      <c r="C1391" s="1129">
        <v>183334</v>
      </c>
      <c r="D1391" s="1129">
        <v>0</v>
      </c>
      <c r="E1391" s="1129">
        <v>0</v>
      </c>
      <c r="F1391" s="1129">
        <v>0</v>
      </c>
      <c r="G1391" s="1129">
        <v>0</v>
      </c>
      <c r="H1391" s="1129">
        <v>0</v>
      </c>
      <c r="I1391" s="1129">
        <v>0</v>
      </c>
      <c r="J1391" s="1129">
        <v>0</v>
      </c>
      <c r="K1391" s="1136">
        <v>0</v>
      </c>
      <c r="L1391" s="1129">
        <v>0</v>
      </c>
      <c r="M1391" s="1136">
        <v>0</v>
      </c>
      <c r="N1391" s="1129">
        <v>0</v>
      </c>
      <c r="O1391" s="1129">
        <v>0</v>
      </c>
      <c r="P1391" s="1129">
        <v>0</v>
      </c>
      <c r="Q1391" s="1129">
        <v>0</v>
      </c>
      <c r="R1391" s="1129">
        <v>0</v>
      </c>
      <c r="S1391" s="1129">
        <v>0</v>
      </c>
      <c r="T1391" s="1129">
        <v>0</v>
      </c>
      <c r="U1391" s="1129">
        <v>0</v>
      </c>
      <c r="V1391" s="1129">
        <v>0</v>
      </c>
      <c r="W1391" s="1129">
        <v>0</v>
      </c>
      <c r="X1391" s="1129">
        <v>183334</v>
      </c>
      <c r="Y1391" s="1129">
        <v>0</v>
      </c>
    </row>
    <row r="1392" spans="1:25" s="1177" customFormat="1" ht="102" customHeight="1">
      <c r="A1392" s="1280"/>
      <c r="B1392" s="1135" t="s">
        <v>1370</v>
      </c>
      <c r="C1392" s="1129">
        <f>SUM(C1393:C1398)</f>
        <v>14971020.529999999</v>
      </c>
      <c r="D1392" s="1129">
        <f t="shared" ref="D1392:Y1392" si="581">SUM(D1393:D1398)</f>
        <v>0</v>
      </c>
      <c r="E1392" s="1129">
        <f t="shared" si="581"/>
        <v>0</v>
      </c>
      <c r="F1392" s="1129">
        <f t="shared" si="581"/>
        <v>0</v>
      </c>
      <c r="G1392" s="1129">
        <f t="shared" si="581"/>
        <v>0</v>
      </c>
      <c r="H1392" s="1129">
        <f t="shared" si="581"/>
        <v>0</v>
      </c>
      <c r="I1392" s="1129">
        <f t="shared" si="581"/>
        <v>0</v>
      </c>
      <c r="J1392" s="1129">
        <f t="shared" si="581"/>
        <v>0</v>
      </c>
      <c r="K1392" s="1136">
        <f t="shared" si="581"/>
        <v>0</v>
      </c>
      <c r="L1392" s="1129">
        <f t="shared" si="581"/>
        <v>0</v>
      </c>
      <c r="M1392" s="1136">
        <f t="shared" si="581"/>
        <v>0</v>
      </c>
      <c r="N1392" s="1129">
        <f t="shared" si="581"/>
        <v>0</v>
      </c>
      <c r="O1392" s="1129">
        <f t="shared" si="581"/>
        <v>3764.4700000000003</v>
      </c>
      <c r="P1392" s="1129">
        <f t="shared" si="581"/>
        <v>13025262.039999999</v>
      </c>
      <c r="Q1392" s="1129">
        <f t="shared" si="581"/>
        <v>0</v>
      </c>
      <c r="R1392" s="1129">
        <f t="shared" si="581"/>
        <v>0</v>
      </c>
      <c r="S1392" s="1129">
        <f t="shared" si="581"/>
        <v>448.59</v>
      </c>
      <c r="T1392" s="1129">
        <f t="shared" si="581"/>
        <v>1106986.6200000001</v>
      </c>
      <c r="U1392" s="1129">
        <f t="shared" si="581"/>
        <v>0</v>
      </c>
      <c r="V1392" s="1129">
        <f t="shared" si="581"/>
        <v>0</v>
      </c>
      <c r="W1392" s="1129">
        <v>0</v>
      </c>
      <c r="X1392" s="1129">
        <f t="shared" si="581"/>
        <v>838771.87</v>
      </c>
      <c r="Y1392" s="1129">
        <f t="shared" si="581"/>
        <v>0</v>
      </c>
    </row>
    <row r="1393" spans="1:25" s="1177" customFormat="1" ht="97.15" customHeight="1">
      <c r="A1393" s="1280">
        <v>355</v>
      </c>
      <c r="B1393" s="1135" t="s">
        <v>2596</v>
      </c>
      <c r="C1393" s="1129">
        <f t="shared" ref="C1393" si="582">D1393+N1393+P1393+R1393+T1393+V1393+X1393</f>
        <v>1591980</v>
      </c>
      <c r="D1393" s="1129">
        <f t="shared" ref="D1393" si="583">SUM(E1393:J1393)</f>
        <v>0</v>
      </c>
      <c r="E1393" s="1129">
        <v>0</v>
      </c>
      <c r="F1393" s="1129">
        <v>0</v>
      </c>
      <c r="G1393" s="1129">
        <v>0</v>
      </c>
      <c r="H1393" s="1129">
        <v>0</v>
      </c>
      <c r="I1393" s="1129">
        <v>0</v>
      </c>
      <c r="J1393" s="1129">
        <v>0</v>
      </c>
      <c r="K1393" s="1136">
        <v>0</v>
      </c>
      <c r="L1393" s="1129">
        <v>0</v>
      </c>
      <c r="M1393" s="1136">
        <v>0</v>
      </c>
      <c r="N1393" s="1129">
        <v>0</v>
      </c>
      <c r="O1393" s="1280">
        <v>585.9</v>
      </c>
      <c r="P1393" s="1179">
        <v>1476347</v>
      </c>
      <c r="Q1393" s="1129">
        <v>0</v>
      </c>
      <c r="R1393" s="1129">
        <v>0</v>
      </c>
      <c r="S1393" s="1129">
        <v>0</v>
      </c>
      <c r="T1393" s="1129">
        <v>0</v>
      </c>
      <c r="U1393" s="1129">
        <v>0</v>
      </c>
      <c r="V1393" s="1129">
        <v>0</v>
      </c>
      <c r="W1393" s="1129">
        <v>0</v>
      </c>
      <c r="X1393" s="1179">
        <v>115633</v>
      </c>
      <c r="Y1393" s="1129">
        <v>0</v>
      </c>
    </row>
    <row r="1394" spans="1:25" s="1177" customFormat="1" ht="92.45" customHeight="1">
      <c r="A1394" s="1280">
        <v>356</v>
      </c>
      <c r="B1394" s="1135" t="s">
        <v>2597</v>
      </c>
      <c r="C1394" s="1129">
        <f t="shared" ref="C1394:C1395" si="584">D1394+N1394+P1394+R1394+T1394+V1394+X1394</f>
        <v>4221937</v>
      </c>
      <c r="D1394" s="1129">
        <f t="shared" ref="D1394:D1395" si="585">SUM(E1394:J1394)</f>
        <v>0</v>
      </c>
      <c r="E1394" s="1129">
        <v>0</v>
      </c>
      <c r="F1394" s="1129">
        <v>0</v>
      </c>
      <c r="G1394" s="1129">
        <v>0</v>
      </c>
      <c r="H1394" s="1129">
        <v>0</v>
      </c>
      <c r="I1394" s="1129">
        <v>0</v>
      </c>
      <c r="J1394" s="1129">
        <v>0</v>
      </c>
      <c r="K1394" s="1136">
        <v>0</v>
      </c>
      <c r="L1394" s="1129">
        <v>0</v>
      </c>
      <c r="M1394" s="1136">
        <v>0</v>
      </c>
      <c r="N1394" s="1129">
        <v>0</v>
      </c>
      <c r="O1394" s="1280">
        <v>864.32</v>
      </c>
      <c r="P1394" s="1179">
        <v>3915277</v>
      </c>
      <c r="Q1394" s="1129">
        <v>0</v>
      </c>
      <c r="R1394" s="1129">
        <v>0</v>
      </c>
      <c r="S1394" s="1129">
        <v>0</v>
      </c>
      <c r="T1394" s="1129">
        <v>0</v>
      </c>
      <c r="U1394" s="1129">
        <v>0</v>
      </c>
      <c r="V1394" s="1129">
        <v>0</v>
      </c>
      <c r="W1394" s="1129">
        <v>0</v>
      </c>
      <c r="X1394" s="1179">
        <v>306660</v>
      </c>
      <c r="Y1394" s="1129">
        <v>0</v>
      </c>
    </row>
    <row r="1395" spans="1:25" s="1177" customFormat="1" ht="126" customHeight="1">
      <c r="A1395" s="1280">
        <v>357</v>
      </c>
      <c r="B1395" s="1135" t="s">
        <v>2598</v>
      </c>
      <c r="C1395" s="1129">
        <f t="shared" si="584"/>
        <v>1648301.27</v>
      </c>
      <c r="D1395" s="1129">
        <f t="shared" si="585"/>
        <v>0</v>
      </c>
      <c r="E1395" s="1129">
        <v>0</v>
      </c>
      <c r="F1395" s="1129">
        <v>0</v>
      </c>
      <c r="G1395" s="1129">
        <v>0</v>
      </c>
      <c r="H1395" s="1129">
        <v>0</v>
      </c>
      <c r="I1395" s="1129">
        <v>0</v>
      </c>
      <c r="J1395" s="1129">
        <v>0</v>
      </c>
      <c r="K1395" s="1136">
        <v>0</v>
      </c>
      <c r="L1395" s="1129">
        <v>0</v>
      </c>
      <c r="M1395" s="1136">
        <v>0</v>
      </c>
      <c r="N1395" s="1129">
        <v>0</v>
      </c>
      <c r="O1395" s="1280">
        <v>487</v>
      </c>
      <c r="P1395" s="1179">
        <v>1528577.19</v>
      </c>
      <c r="Q1395" s="1129">
        <v>0</v>
      </c>
      <c r="R1395" s="1129">
        <v>0</v>
      </c>
      <c r="S1395" s="1129">
        <v>0</v>
      </c>
      <c r="T1395" s="1129">
        <v>0</v>
      </c>
      <c r="U1395" s="1129">
        <v>0</v>
      </c>
      <c r="V1395" s="1129">
        <v>0</v>
      </c>
      <c r="W1395" s="1129">
        <v>0</v>
      </c>
      <c r="X1395" s="1179">
        <v>119724.08</v>
      </c>
      <c r="Y1395" s="1129">
        <v>0</v>
      </c>
    </row>
    <row r="1396" spans="1:25" s="1177" customFormat="1" ht="116.45" customHeight="1">
      <c r="A1396" s="1280">
        <v>358</v>
      </c>
      <c r="B1396" s="1135" t="s">
        <v>2599</v>
      </c>
      <c r="C1396" s="1129">
        <f>D1396+N1396+P1396+R1396+T1396+V1396+X1396</f>
        <v>2445729.9300000002</v>
      </c>
      <c r="D1396" s="1129">
        <f>SUM(E1396:J1396)</f>
        <v>0</v>
      </c>
      <c r="E1396" s="1129">
        <v>0</v>
      </c>
      <c r="F1396" s="1129">
        <v>0</v>
      </c>
      <c r="G1396" s="1129">
        <v>0</v>
      </c>
      <c r="H1396" s="1129">
        <v>0</v>
      </c>
      <c r="I1396" s="1129">
        <v>0</v>
      </c>
      <c r="J1396" s="1129">
        <v>0</v>
      </c>
      <c r="K1396" s="1136">
        <v>0</v>
      </c>
      <c r="L1396" s="1129">
        <v>0</v>
      </c>
      <c r="M1396" s="1136">
        <v>0</v>
      </c>
      <c r="N1396" s="1129">
        <v>0</v>
      </c>
      <c r="O1396" s="1129">
        <v>757.85</v>
      </c>
      <c r="P1396" s="1129">
        <v>2378710.9300000002</v>
      </c>
      <c r="Q1396" s="1129">
        <v>0</v>
      </c>
      <c r="R1396" s="1129">
        <v>0</v>
      </c>
      <c r="S1396" s="1129">
        <v>0</v>
      </c>
      <c r="T1396" s="1129">
        <v>0</v>
      </c>
      <c r="U1396" s="1129">
        <v>0</v>
      </c>
      <c r="V1396" s="1129">
        <v>0</v>
      </c>
      <c r="W1396" s="1129">
        <v>0</v>
      </c>
      <c r="X1396" s="1129">
        <v>67019</v>
      </c>
      <c r="Y1396" s="1129">
        <v>0</v>
      </c>
    </row>
    <row r="1397" spans="1:25" s="1177" customFormat="1" ht="104.45" customHeight="1">
      <c r="A1397" s="1280">
        <v>359</v>
      </c>
      <c r="B1397" s="1135" t="s">
        <v>2600</v>
      </c>
      <c r="C1397" s="1129">
        <f t="shared" ref="C1397:C1398" si="586">D1397+N1397+P1397+R1397+T1397+V1397+X1397</f>
        <v>2552584.11</v>
      </c>
      <c r="D1397" s="1129">
        <f t="shared" ref="D1397:D1398" si="587">SUM(E1397:J1397)</f>
        <v>0</v>
      </c>
      <c r="E1397" s="1129">
        <v>0</v>
      </c>
      <c r="F1397" s="1129">
        <v>0</v>
      </c>
      <c r="G1397" s="1129">
        <v>0</v>
      </c>
      <c r="H1397" s="1129">
        <v>0</v>
      </c>
      <c r="I1397" s="1129">
        <v>0</v>
      </c>
      <c r="J1397" s="1129">
        <v>0</v>
      </c>
      <c r="K1397" s="1136">
        <v>0</v>
      </c>
      <c r="L1397" s="1129">
        <v>0</v>
      </c>
      <c r="M1397" s="1136">
        <v>0</v>
      </c>
      <c r="N1397" s="1129">
        <v>0</v>
      </c>
      <c r="O1397" s="1129">
        <v>659.4</v>
      </c>
      <c r="P1397" s="1129">
        <v>2439457.42</v>
      </c>
      <c r="Q1397" s="1129">
        <v>0</v>
      </c>
      <c r="R1397" s="1129">
        <v>0</v>
      </c>
      <c r="S1397" s="1129">
        <v>0</v>
      </c>
      <c r="T1397" s="1129">
        <v>0</v>
      </c>
      <c r="U1397" s="1129">
        <v>0</v>
      </c>
      <c r="V1397" s="1129">
        <v>0</v>
      </c>
      <c r="W1397" s="1129">
        <v>0</v>
      </c>
      <c r="X1397" s="1129">
        <v>113126.69</v>
      </c>
      <c r="Y1397" s="1129">
        <v>0</v>
      </c>
    </row>
    <row r="1398" spans="1:25" s="1177" customFormat="1" ht="102" customHeight="1">
      <c r="A1398" s="1280">
        <v>360</v>
      </c>
      <c r="B1398" s="1135" t="s">
        <v>2601</v>
      </c>
      <c r="C1398" s="1129">
        <f t="shared" si="586"/>
        <v>2510488.2200000002</v>
      </c>
      <c r="D1398" s="1129">
        <f t="shared" si="587"/>
        <v>0</v>
      </c>
      <c r="E1398" s="1129">
        <v>0</v>
      </c>
      <c r="F1398" s="1129">
        <v>0</v>
      </c>
      <c r="G1398" s="1129">
        <v>0</v>
      </c>
      <c r="H1398" s="1129">
        <v>0</v>
      </c>
      <c r="I1398" s="1129">
        <v>0</v>
      </c>
      <c r="J1398" s="1129">
        <v>0</v>
      </c>
      <c r="K1398" s="1136">
        <v>0</v>
      </c>
      <c r="L1398" s="1129">
        <v>0</v>
      </c>
      <c r="M1398" s="1136">
        <v>0</v>
      </c>
      <c r="N1398" s="1129">
        <v>0</v>
      </c>
      <c r="O1398" s="1129">
        <v>410</v>
      </c>
      <c r="P1398" s="1129">
        <v>1286892.5</v>
      </c>
      <c r="Q1398" s="1129">
        <v>0</v>
      </c>
      <c r="R1398" s="1129">
        <v>0</v>
      </c>
      <c r="S1398" s="1129">
        <v>448.59</v>
      </c>
      <c r="T1398" s="1129">
        <v>1106986.6200000001</v>
      </c>
      <c r="U1398" s="1129">
        <v>0</v>
      </c>
      <c r="V1398" s="1129">
        <v>0</v>
      </c>
      <c r="W1398" s="1129">
        <v>0</v>
      </c>
      <c r="X1398" s="1129">
        <v>116609.1</v>
      </c>
      <c r="Y1398" s="1129">
        <v>0</v>
      </c>
    </row>
    <row r="1399" spans="1:25" s="1177" customFormat="1" ht="76.150000000000006" customHeight="1">
      <c r="A1399" s="1280"/>
      <c r="B1399" s="1135" t="s">
        <v>46</v>
      </c>
      <c r="C1399" s="1129">
        <f>C1400</f>
        <v>6313286.6600000001</v>
      </c>
      <c r="D1399" s="1129">
        <f t="shared" ref="D1399:Y1399" si="588">D1400</f>
        <v>0</v>
      </c>
      <c r="E1399" s="1129">
        <f t="shared" si="588"/>
        <v>0</v>
      </c>
      <c r="F1399" s="1129">
        <f t="shared" si="588"/>
        <v>0</v>
      </c>
      <c r="G1399" s="1129">
        <f t="shared" si="588"/>
        <v>0</v>
      </c>
      <c r="H1399" s="1129">
        <f t="shared" si="588"/>
        <v>0</v>
      </c>
      <c r="I1399" s="1129">
        <f t="shared" si="588"/>
        <v>0</v>
      </c>
      <c r="J1399" s="1129">
        <f t="shared" si="588"/>
        <v>0</v>
      </c>
      <c r="K1399" s="1136">
        <f t="shared" si="588"/>
        <v>0</v>
      </c>
      <c r="L1399" s="1129">
        <f t="shared" si="588"/>
        <v>0</v>
      </c>
      <c r="M1399" s="1136">
        <f t="shared" si="588"/>
        <v>0</v>
      </c>
      <c r="N1399" s="1129">
        <f t="shared" si="588"/>
        <v>0</v>
      </c>
      <c r="O1399" s="1129">
        <f t="shared" si="588"/>
        <v>457</v>
      </c>
      <c r="P1399" s="1129">
        <f t="shared" si="588"/>
        <v>1387537</v>
      </c>
      <c r="Q1399" s="1129">
        <f t="shared" si="588"/>
        <v>0</v>
      </c>
      <c r="R1399" s="1129">
        <f t="shared" si="588"/>
        <v>0</v>
      </c>
      <c r="S1399" s="1129">
        <f t="shared" si="588"/>
        <v>947.6</v>
      </c>
      <c r="T1399" s="1129">
        <f t="shared" si="588"/>
        <v>4542254.66</v>
      </c>
      <c r="U1399" s="1129">
        <f t="shared" si="588"/>
        <v>0</v>
      </c>
      <c r="V1399" s="1129">
        <f t="shared" si="588"/>
        <v>0</v>
      </c>
      <c r="W1399" s="1129">
        <v>0</v>
      </c>
      <c r="X1399" s="1129">
        <f t="shared" si="588"/>
        <v>383495</v>
      </c>
      <c r="Y1399" s="1129">
        <f t="shared" si="588"/>
        <v>0</v>
      </c>
    </row>
    <row r="1400" spans="1:25" s="1177" customFormat="1" ht="151.9" customHeight="1">
      <c r="A1400" s="1280"/>
      <c r="B1400" s="1135" t="s">
        <v>1085</v>
      </c>
      <c r="C1400" s="1129">
        <f>C1401+C1402+C1403</f>
        <v>6313286.6600000001</v>
      </c>
      <c r="D1400" s="1129">
        <f t="shared" ref="D1400:Y1400" si="589">D1401+D1402+D1403</f>
        <v>0</v>
      </c>
      <c r="E1400" s="1129">
        <f t="shared" si="589"/>
        <v>0</v>
      </c>
      <c r="F1400" s="1129">
        <f t="shared" si="589"/>
        <v>0</v>
      </c>
      <c r="G1400" s="1129">
        <f t="shared" si="589"/>
        <v>0</v>
      </c>
      <c r="H1400" s="1129">
        <f t="shared" si="589"/>
        <v>0</v>
      </c>
      <c r="I1400" s="1129">
        <f t="shared" si="589"/>
        <v>0</v>
      </c>
      <c r="J1400" s="1129">
        <f t="shared" si="589"/>
        <v>0</v>
      </c>
      <c r="K1400" s="1136">
        <f t="shared" si="589"/>
        <v>0</v>
      </c>
      <c r="L1400" s="1129">
        <f t="shared" si="589"/>
        <v>0</v>
      </c>
      <c r="M1400" s="1136">
        <f t="shared" si="589"/>
        <v>0</v>
      </c>
      <c r="N1400" s="1129">
        <f t="shared" si="589"/>
        <v>0</v>
      </c>
      <c r="O1400" s="1129">
        <f t="shared" si="589"/>
        <v>457</v>
      </c>
      <c r="P1400" s="1129">
        <f t="shared" si="589"/>
        <v>1387537</v>
      </c>
      <c r="Q1400" s="1129">
        <f t="shared" si="589"/>
        <v>0</v>
      </c>
      <c r="R1400" s="1129">
        <f t="shared" si="589"/>
        <v>0</v>
      </c>
      <c r="S1400" s="1129">
        <f t="shared" si="589"/>
        <v>947.6</v>
      </c>
      <c r="T1400" s="1129">
        <f t="shared" si="589"/>
        <v>4542254.66</v>
      </c>
      <c r="U1400" s="1129">
        <f t="shared" si="589"/>
        <v>0</v>
      </c>
      <c r="V1400" s="1129">
        <f t="shared" si="589"/>
        <v>0</v>
      </c>
      <c r="W1400" s="1129">
        <v>0</v>
      </c>
      <c r="X1400" s="1129">
        <f t="shared" si="589"/>
        <v>383495</v>
      </c>
      <c r="Y1400" s="1129">
        <f t="shared" si="589"/>
        <v>0</v>
      </c>
    </row>
    <row r="1401" spans="1:25" s="1177" customFormat="1" ht="100.15" customHeight="1">
      <c r="A1401" s="1280">
        <v>361</v>
      </c>
      <c r="B1401" s="1135" t="s">
        <v>1381</v>
      </c>
      <c r="C1401" s="1129">
        <f t="shared" ref="C1401" si="590">D1401+N1401+P1401+R1401+T1401+V1401+X1401</f>
        <v>1415265</v>
      </c>
      <c r="D1401" s="1129">
        <f t="shared" ref="D1401" si="591">SUM(E1401:J1401)</f>
        <v>0</v>
      </c>
      <c r="E1401" s="1129">
        <v>0</v>
      </c>
      <c r="F1401" s="1129">
        <v>0</v>
      </c>
      <c r="G1401" s="1129">
        <v>0</v>
      </c>
      <c r="H1401" s="1129">
        <v>0</v>
      </c>
      <c r="I1401" s="1129">
        <v>0</v>
      </c>
      <c r="J1401" s="1129">
        <v>0</v>
      </c>
      <c r="K1401" s="1136">
        <v>0</v>
      </c>
      <c r="L1401" s="1129">
        <v>0</v>
      </c>
      <c r="M1401" s="1136">
        <v>0</v>
      </c>
      <c r="N1401" s="1129">
        <v>0</v>
      </c>
      <c r="O1401" s="1129">
        <v>457</v>
      </c>
      <c r="P1401" s="1129">
        <v>1387537</v>
      </c>
      <c r="Q1401" s="1129">
        <v>0</v>
      </c>
      <c r="R1401" s="1129">
        <v>0</v>
      </c>
      <c r="S1401" s="1129">
        <v>0</v>
      </c>
      <c r="T1401" s="1129">
        <v>0</v>
      </c>
      <c r="U1401" s="1129">
        <v>0</v>
      </c>
      <c r="V1401" s="1129">
        <v>0</v>
      </c>
      <c r="W1401" s="1129">
        <v>0</v>
      </c>
      <c r="X1401" s="1129">
        <v>27728</v>
      </c>
      <c r="Y1401" s="1129">
        <v>0</v>
      </c>
    </row>
    <row r="1402" spans="1:25" s="1177" customFormat="1" ht="93" customHeight="1">
      <c r="A1402" s="1280">
        <v>362</v>
      </c>
      <c r="B1402" s="1135" t="s">
        <v>1382</v>
      </c>
      <c r="C1402" s="1129">
        <f t="shared" ref="C1402:C1403" si="592">D1402+N1402+P1402+R1402+T1402+V1402+X1402</f>
        <v>2435054.66</v>
      </c>
      <c r="D1402" s="1129">
        <f t="shared" ref="D1402:D1403" si="593">SUM(E1402:J1402)</f>
        <v>0</v>
      </c>
      <c r="E1402" s="1129">
        <v>0</v>
      </c>
      <c r="F1402" s="1129">
        <v>0</v>
      </c>
      <c r="G1402" s="1129">
        <v>0</v>
      </c>
      <c r="H1402" s="1129">
        <v>0</v>
      </c>
      <c r="I1402" s="1129">
        <v>0</v>
      </c>
      <c r="J1402" s="1129">
        <v>0</v>
      </c>
      <c r="K1402" s="1136">
        <v>0</v>
      </c>
      <c r="L1402" s="1129">
        <v>0</v>
      </c>
      <c r="M1402" s="1136">
        <v>0</v>
      </c>
      <c r="N1402" s="1129">
        <v>0</v>
      </c>
      <c r="O1402" s="1129">
        <v>0</v>
      </c>
      <c r="P1402" s="1129">
        <v>0</v>
      </c>
      <c r="Q1402" s="1129">
        <v>0</v>
      </c>
      <c r="R1402" s="1129">
        <v>0</v>
      </c>
      <c r="S1402" s="1129">
        <v>471.1</v>
      </c>
      <c r="T1402" s="1129">
        <v>2258184.66</v>
      </c>
      <c r="U1402" s="1129">
        <v>0</v>
      </c>
      <c r="V1402" s="1129">
        <v>0</v>
      </c>
      <c r="W1402" s="1129">
        <v>0</v>
      </c>
      <c r="X1402" s="1129">
        <v>176870</v>
      </c>
      <c r="Y1402" s="1129">
        <v>0</v>
      </c>
    </row>
    <row r="1403" spans="1:25" s="1177" customFormat="1" ht="95.45" customHeight="1">
      <c r="A1403" s="1280">
        <v>363</v>
      </c>
      <c r="B1403" s="1135" t="s">
        <v>592</v>
      </c>
      <c r="C1403" s="1129">
        <f t="shared" si="592"/>
        <v>2462967</v>
      </c>
      <c r="D1403" s="1129">
        <f t="shared" si="593"/>
        <v>0</v>
      </c>
      <c r="E1403" s="1129">
        <v>0</v>
      </c>
      <c r="F1403" s="1129">
        <v>0</v>
      </c>
      <c r="G1403" s="1129">
        <v>0</v>
      </c>
      <c r="H1403" s="1129">
        <v>0</v>
      </c>
      <c r="I1403" s="1129">
        <v>0</v>
      </c>
      <c r="J1403" s="1129">
        <v>0</v>
      </c>
      <c r="K1403" s="1136">
        <v>0</v>
      </c>
      <c r="L1403" s="1129">
        <v>0</v>
      </c>
      <c r="M1403" s="1136">
        <v>0</v>
      </c>
      <c r="N1403" s="1129">
        <v>0</v>
      </c>
      <c r="O1403" s="1129">
        <v>0</v>
      </c>
      <c r="P1403" s="1129">
        <v>0</v>
      </c>
      <c r="Q1403" s="1129">
        <v>0</v>
      </c>
      <c r="R1403" s="1129">
        <v>0</v>
      </c>
      <c r="S1403" s="1129">
        <v>476.5</v>
      </c>
      <c r="T1403" s="1129">
        <v>2284070</v>
      </c>
      <c r="U1403" s="1129">
        <v>0</v>
      </c>
      <c r="V1403" s="1129">
        <v>0</v>
      </c>
      <c r="W1403" s="1129">
        <v>0</v>
      </c>
      <c r="X1403" s="1129">
        <v>178897</v>
      </c>
      <c r="Y1403" s="1129">
        <v>0</v>
      </c>
    </row>
    <row r="1404" spans="1:25" s="1177" customFormat="1" ht="130.9" customHeight="1">
      <c r="A1404" s="1280"/>
      <c r="B1404" s="1135" t="s">
        <v>1649</v>
      </c>
      <c r="C1404" s="1129">
        <f>SUM(C1405:C1413)</f>
        <v>15338279.420000002</v>
      </c>
      <c r="D1404" s="1129">
        <f t="shared" ref="D1404:Y1404" si="594">SUM(D1405:D1413)</f>
        <v>0</v>
      </c>
      <c r="E1404" s="1129">
        <f t="shared" si="594"/>
        <v>0</v>
      </c>
      <c r="F1404" s="1129">
        <f t="shared" si="594"/>
        <v>0</v>
      </c>
      <c r="G1404" s="1129">
        <f t="shared" si="594"/>
        <v>0</v>
      </c>
      <c r="H1404" s="1129">
        <f t="shared" si="594"/>
        <v>0</v>
      </c>
      <c r="I1404" s="1129">
        <f t="shared" si="594"/>
        <v>0</v>
      </c>
      <c r="J1404" s="1129">
        <f t="shared" si="594"/>
        <v>0</v>
      </c>
      <c r="K1404" s="1136">
        <f t="shared" si="594"/>
        <v>0</v>
      </c>
      <c r="L1404" s="1129">
        <f t="shared" si="594"/>
        <v>0</v>
      </c>
      <c r="M1404" s="1136">
        <f t="shared" si="594"/>
        <v>0</v>
      </c>
      <c r="N1404" s="1129">
        <f t="shared" si="594"/>
        <v>0</v>
      </c>
      <c r="O1404" s="1129">
        <f t="shared" si="594"/>
        <v>4627.6500000000005</v>
      </c>
      <c r="P1404" s="1129">
        <f t="shared" si="594"/>
        <v>14297623.25</v>
      </c>
      <c r="Q1404" s="1129">
        <f t="shared" si="594"/>
        <v>0</v>
      </c>
      <c r="R1404" s="1129">
        <f t="shared" si="594"/>
        <v>0</v>
      </c>
      <c r="S1404" s="1129">
        <f t="shared" si="594"/>
        <v>0</v>
      </c>
      <c r="T1404" s="1129">
        <f t="shared" si="594"/>
        <v>0</v>
      </c>
      <c r="U1404" s="1129">
        <f t="shared" si="594"/>
        <v>0</v>
      </c>
      <c r="V1404" s="1129">
        <f t="shared" si="594"/>
        <v>0</v>
      </c>
      <c r="W1404" s="1129">
        <v>0</v>
      </c>
      <c r="X1404" s="1129">
        <f t="shared" si="594"/>
        <v>1040656.1699999999</v>
      </c>
      <c r="Y1404" s="1129">
        <f t="shared" si="594"/>
        <v>0</v>
      </c>
    </row>
    <row r="1405" spans="1:25" s="1177" customFormat="1" ht="92.45" customHeight="1">
      <c r="A1405" s="1280">
        <v>364</v>
      </c>
      <c r="B1405" s="1128" t="s">
        <v>2602</v>
      </c>
      <c r="C1405" s="1129">
        <f t="shared" ref="C1405" si="595">D1405+N1405+P1405+R1405+T1405+V1405+X1405</f>
        <v>1194765</v>
      </c>
      <c r="D1405" s="1129">
        <f t="shared" ref="D1405" si="596">SUM(E1405:J1405)</f>
        <v>0</v>
      </c>
      <c r="E1405" s="1129">
        <v>0</v>
      </c>
      <c r="F1405" s="1129">
        <v>0</v>
      </c>
      <c r="G1405" s="1129">
        <v>0</v>
      </c>
      <c r="H1405" s="1129">
        <v>0</v>
      </c>
      <c r="I1405" s="1129">
        <v>0</v>
      </c>
      <c r="J1405" s="1129">
        <v>0</v>
      </c>
      <c r="K1405" s="1136">
        <v>0</v>
      </c>
      <c r="L1405" s="1129">
        <v>0</v>
      </c>
      <c r="M1405" s="1136">
        <v>0</v>
      </c>
      <c r="N1405" s="1129">
        <v>0</v>
      </c>
      <c r="O1405" s="1129">
        <v>353</v>
      </c>
      <c r="P1405" s="1129">
        <v>1107983</v>
      </c>
      <c r="Q1405" s="1129">
        <v>0</v>
      </c>
      <c r="R1405" s="1129">
        <v>0</v>
      </c>
      <c r="S1405" s="1129">
        <v>0</v>
      </c>
      <c r="T1405" s="1129">
        <v>0</v>
      </c>
      <c r="U1405" s="1129">
        <v>0</v>
      </c>
      <c r="V1405" s="1129">
        <v>0</v>
      </c>
      <c r="W1405" s="1129">
        <v>0</v>
      </c>
      <c r="X1405" s="1129">
        <v>86782</v>
      </c>
      <c r="Y1405" s="1129">
        <v>0</v>
      </c>
    </row>
    <row r="1406" spans="1:25" s="1177" customFormat="1" ht="106.9" customHeight="1">
      <c r="A1406" s="1280">
        <v>365</v>
      </c>
      <c r="B1406" s="1128" t="s">
        <v>2603</v>
      </c>
      <c r="C1406" s="1129">
        <f t="shared" ref="C1406:C1413" si="597">D1406+N1406+P1406+R1406+T1406+V1406+X1406</f>
        <v>1627575</v>
      </c>
      <c r="D1406" s="1129">
        <f t="shared" ref="D1406:D1413" si="598">SUM(E1406:J1406)</f>
        <v>0</v>
      </c>
      <c r="E1406" s="1129">
        <v>0</v>
      </c>
      <c r="F1406" s="1129">
        <v>0</v>
      </c>
      <c r="G1406" s="1129">
        <v>0</v>
      </c>
      <c r="H1406" s="1129">
        <v>0</v>
      </c>
      <c r="I1406" s="1129">
        <v>0</v>
      </c>
      <c r="J1406" s="1129">
        <v>0</v>
      </c>
      <c r="K1406" s="1136">
        <v>0</v>
      </c>
      <c r="L1406" s="1129">
        <v>0</v>
      </c>
      <c r="M1406" s="1136">
        <v>0</v>
      </c>
      <c r="N1406" s="1129">
        <v>0</v>
      </c>
      <c r="O1406" s="1129">
        <v>599</v>
      </c>
      <c r="P1406" s="1129">
        <v>1509356</v>
      </c>
      <c r="Q1406" s="1129">
        <v>0</v>
      </c>
      <c r="R1406" s="1129">
        <v>0</v>
      </c>
      <c r="S1406" s="1129">
        <v>0</v>
      </c>
      <c r="T1406" s="1129">
        <v>0</v>
      </c>
      <c r="U1406" s="1129">
        <v>0</v>
      </c>
      <c r="V1406" s="1129">
        <v>0</v>
      </c>
      <c r="W1406" s="1129">
        <v>0</v>
      </c>
      <c r="X1406" s="1129">
        <v>118219</v>
      </c>
      <c r="Y1406" s="1129">
        <v>0</v>
      </c>
    </row>
    <row r="1407" spans="1:25" s="1177" customFormat="1" ht="111.6" customHeight="1">
      <c r="A1407" s="1280">
        <v>366</v>
      </c>
      <c r="B1407" s="1128" t="s">
        <v>2604</v>
      </c>
      <c r="C1407" s="1129">
        <f t="shared" si="597"/>
        <v>1570456</v>
      </c>
      <c r="D1407" s="1129">
        <f t="shared" si="598"/>
        <v>0</v>
      </c>
      <c r="E1407" s="1129">
        <v>0</v>
      </c>
      <c r="F1407" s="1129">
        <v>0</v>
      </c>
      <c r="G1407" s="1129">
        <v>0</v>
      </c>
      <c r="H1407" s="1129">
        <v>0</v>
      </c>
      <c r="I1407" s="1129">
        <v>0</v>
      </c>
      <c r="J1407" s="1129">
        <v>0</v>
      </c>
      <c r="K1407" s="1136">
        <v>0</v>
      </c>
      <c r="L1407" s="1129">
        <v>0</v>
      </c>
      <c r="M1407" s="1136">
        <v>0</v>
      </c>
      <c r="N1407" s="1129">
        <v>0</v>
      </c>
      <c r="O1407" s="1129">
        <v>464</v>
      </c>
      <c r="P1407" s="1129">
        <v>1456386</v>
      </c>
      <c r="Q1407" s="1129">
        <v>0</v>
      </c>
      <c r="R1407" s="1129">
        <v>0</v>
      </c>
      <c r="S1407" s="1129">
        <v>0</v>
      </c>
      <c r="T1407" s="1129">
        <v>0</v>
      </c>
      <c r="U1407" s="1129">
        <v>0</v>
      </c>
      <c r="V1407" s="1129">
        <v>0</v>
      </c>
      <c r="W1407" s="1129">
        <v>0</v>
      </c>
      <c r="X1407" s="1129">
        <v>114070</v>
      </c>
      <c r="Y1407" s="1129">
        <v>0</v>
      </c>
    </row>
    <row r="1408" spans="1:25" s="1177" customFormat="1" ht="121.15" customHeight="1">
      <c r="A1408" s="1280">
        <v>367</v>
      </c>
      <c r="B1408" s="1128" t="s">
        <v>2605</v>
      </c>
      <c r="C1408" s="1129">
        <f t="shared" si="597"/>
        <v>2416059.7000000002</v>
      </c>
      <c r="D1408" s="1129">
        <f t="shared" si="598"/>
        <v>0</v>
      </c>
      <c r="E1408" s="1129">
        <v>0</v>
      </c>
      <c r="F1408" s="1129">
        <v>0</v>
      </c>
      <c r="G1408" s="1129">
        <v>0</v>
      </c>
      <c r="H1408" s="1129">
        <v>0</v>
      </c>
      <c r="I1408" s="1129">
        <v>0</v>
      </c>
      <c r="J1408" s="1129">
        <v>0</v>
      </c>
      <c r="K1408" s="1136">
        <v>0</v>
      </c>
      <c r="L1408" s="1129">
        <v>0</v>
      </c>
      <c r="M1408" s="1136">
        <v>0</v>
      </c>
      <c r="N1408" s="1129">
        <v>0</v>
      </c>
      <c r="O1408" s="1129">
        <v>633.9</v>
      </c>
      <c r="P1408" s="1129">
        <v>2293696.7000000002</v>
      </c>
      <c r="Q1408" s="1129">
        <v>0</v>
      </c>
      <c r="R1408" s="1129">
        <v>0</v>
      </c>
      <c r="S1408" s="1129">
        <v>0</v>
      </c>
      <c r="T1408" s="1129">
        <v>0</v>
      </c>
      <c r="U1408" s="1129">
        <v>0</v>
      </c>
      <c r="V1408" s="1129">
        <v>0</v>
      </c>
      <c r="W1408" s="1129">
        <v>0</v>
      </c>
      <c r="X1408" s="1129">
        <v>122363</v>
      </c>
      <c r="Y1408" s="1129">
        <v>0</v>
      </c>
    </row>
    <row r="1409" spans="1:25" s="1177" customFormat="1" ht="128.44999999999999" customHeight="1">
      <c r="A1409" s="1280">
        <v>368</v>
      </c>
      <c r="B1409" s="1128" t="s">
        <v>2606</v>
      </c>
      <c r="C1409" s="1129">
        <f t="shared" si="597"/>
        <v>1579931.79</v>
      </c>
      <c r="D1409" s="1129">
        <f t="shared" si="598"/>
        <v>0</v>
      </c>
      <c r="E1409" s="1129">
        <v>0</v>
      </c>
      <c r="F1409" s="1129">
        <v>0</v>
      </c>
      <c r="G1409" s="1129">
        <v>0</v>
      </c>
      <c r="H1409" s="1129">
        <v>0</v>
      </c>
      <c r="I1409" s="1129">
        <v>0</v>
      </c>
      <c r="J1409" s="1129">
        <v>0</v>
      </c>
      <c r="K1409" s="1136">
        <v>0</v>
      </c>
      <c r="L1409" s="1129">
        <v>0</v>
      </c>
      <c r="M1409" s="1136">
        <v>0</v>
      </c>
      <c r="N1409" s="1129">
        <v>0</v>
      </c>
      <c r="O1409" s="1129">
        <v>466.8</v>
      </c>
      <c r="P1409" s="1129">
        <v>1465173.79</v>
      </c>
      <c r="Q1409" s="1129">
        <v>0</v>
      </c>
      <c r="R1409" s="1129">
        <v>0</v>
      </c>
      <c r="S1409" s="1129">
        <v>0</v>
      </c>
      <c r="T1409" s="1129">
        <v>0</v>
      </c>
      <c r="U1409" s="1129">
        <v>0</v>
      </c>
      <c r="V1409" s="1129">
        <v>0</v>
      </c>
      <c r="W1409" s="1129">
        <v>0</v>
      </c>
      <c r="X1409" s="1129">
        <v>114758</v>
      </c>
      <c r="Y1409" s="1129">
        <v>0</v>
      </c>
    </row>
    <row r="1410" spans="1:25" s="1177" customFormat="1" ht="109.15" customHeight="1">
      <c r="A1410" s="1280">
        <v>369</v>
      </c>
      <c r="B1410" s="1128" t="s">
        <v>2607</v>
      </c>
      <c r="C1410" s="1129">
        <f t="shared" si="597"/>
        <v>1562951</v>
      </c>
      <c r="D1410" s="1129">
        <f t="shared" si="598"/>
        <v>0</v>
      </c>
      <c r="E1410" s="1129">
        <v>0</v>
      </c>
      <c r="F1410" s="1129">
        <v>0</v>
      </c>
      <c r="G1410" s="1129">
        <v>0</v>
      </c>
      <c r="H1410" s="1129">
        <v>0</v>
      </c>
      <c r="I1410" s="1129">
        <v>0</v>
      </c>
      <c r="J1410" s="1129">
        <v>0</v>
      </c>
      <c r="K1410" s="1136">
        <v>0</v>
      </c>
      <c r="L1410" s="1129">
        <v>0</v>
      </c>
      <c r="M1410" s="1136">
        <v>0</v>
      </c>
      <c r="N1410" s="1129">
        <v>0</v>
      </c>
      <c r="O1410" s="1129">
        <v>495.05</v>
      </c>
      <c r="P1410" s="1129">
        <v>1449426.32</v>
      </c>
      <c r="Q1410" s="1129">
        <v>0</v>
      </c>
      <c r="R1410" s="1129">
        <v>0</v>
      </c>
      <c r="S1410" s="1129">
        <v>0</v>
      </c>
      <c r="T1410" s="1129">
        <v>0</v>
      </c>
      <c r="U1410" s="1129">
        <v>0</v>
      </c>
      <c r="V1410" s="1129">
        <v>0</v>
      </c>
      <c r="W1410" s="1129">
        <v>0</v>
      </c>
      <c r="X1410" s="1129">
        <v>113524.68</v>
      </c>
      <c r="Y1410" s="1129">
        <v>0</v>
      </c>
    </row>
    <row r="1411" spans="1:25" s="1177" customFormat="1" ht="109.15" customHeight="1">
      <c r="A1411" s="1280">
        <v>370</v>
      </c>
      <c r="B1411" s="1128" t="s">
        <v>2314</v>
      </c>
      <c r="C1411" s="1129">
        <f t="shared" si="597"/>
        <v>974952</v>
      </c>
      <c r="D1411" s="1129">
        <f t="shared" si="598"/>
        <v>0</v>
      </c>
      <c r="E1411" s="1129">
        <v>0</v>
      </c>
      <c r="F1411" s="1129">
        <v>0</v>
      </c>
      <c r="G1411" s="1129">
        <v>0</v>
      </c>
      <c r="H1411" s="1129">
        <v>0</v>
      </c>
      <c r="I1411" s="1129">
        <v>0</v>
      </c>
      <c r="J1411" s="1129">
        <v>0</v>
      </c>
      <c r="K1411" s="1136">
        <v>0</v>
      </c>
      <c r="L1411" s="1129">
        <v>0</v>
      </c>
      <c r="M1411" s="1136">
        <v>0</v>
      </c>
      <c r="N1411" s="1129">
        <v>0</v>
      </c>
      <c r="O1411" s="1129">
        <v>306</v>
      </c>
      <c r="P1411" s="1129">
        <v>904136.53</v>
      </c>
      <c r="Q1411" s="1129">
        <v>0</v>
      </c>
      <c r="R1411" s="1129">
        <v>0</v>
      </c>
      <c r="S1411" s="1129">
        <v>0</v>
      </c>
      <c r="T1411" s="1129">
        <v>0</v>
      </c>
      <c r="U1411" s="1129">
        <v>0</v>
      </c>
      <c r="V1411" s="1129">
        <v>0</v>
      </c>
      <c r="W1411" s="1129">
        <v>0</v>
      </c>
      <c r="X1411" s="1129">
        <v>70815.47</v>
      </c>
      <c r="Y1411" s="1129">
        <v>0</v>
      </c>
    </row>
    <row r="1412" spans="1:25" s="1177" customFormat="1" ht="111.6" customHeight="1">
      <c r="A1412" s="1280">
        <v>371</v>
      </c>
      <c r="B1412" s="1128" t="s">
        <v>2608</v>
      </c>
      <c r="C1412" s="1129">
        <f t="shared" si="597"/>
        <v>1423323.48</v>
      </c>
      <c r="D1412" s="1129">
        <f t="shared" si="598"/>
        <v>0</v>
      </c>
      <c r="E1412" s="1129">
        <v>0</v>
      </c>
      <c r="F1412" s="1129">
        <v>0</v>
      </c>
      <c r="G1412" s="1129">
        <v>0</v>
      </c>
      <c r="H1412" s="1129">
        <v>0</v>
      </c>
      <c r="I1412" s="1129">
        <v>0</v>
      </c>
      <c r="J1412" s="1129">
        <v>0</v>
      </c>
      <c r="K1412" s="1136">
        <v>0</v>
      </c>
      <c r="L1412" s="1129">
        <v>0</v>
      </c>
      <c r="M1412" s="1136">
        <v>0</v>
      </c>
      <c r="N1412" s="1129">
        <v>0</v>
      </c>
      <c r="O1412" s="1129">
        <v>427</v>
      </c>
      <c r="P1412" s="1129">
        <v>1340251.46</v>
      </c>
      <c r="Q1412" s="1129">
        <v>0</v>
      </c>
      <c r="R1412" s="1129">
        <v>0</v>
      </c>
      <c r="S1412" s="1129">
        <v>0</v>
      </c>
      <c r="T1412" s="1129">
        <v>0</v>
      </c>
      <c r="U1412" s="1129">
        <v>0</v>
      </c>
      <c r="V1412" s="1129">
        <v>0</v>
      </c>
      <c r="W1412" s="1129">
        <v>0</v>
      </c>
      <c r="X1412" s="1129">
        <v>83072.02</v>
      </c>
      <c r="Y1412" s="1129">
        <v>0</v>
      </c>
    </row>
    <row r="1413" spans="1:25" s="1177" customFormat="1" ht="104.45" customHeight="1">
      <c r="A1413" s="1280">
        <v>372</v>
      </c>
      <c r="B1413" s="1128" t="s">
        <v>2609</v>
      </c>
      <c r="C1413" s="1129">
        <f t="shared" si="597"/>
        <v>2988265.45</v>
      </c>
      <c r="D1413" s="1129">
        <f t="shared" si="598"/>
        <v>0</v>
      </c>
      <c r="E1413" s="1129">
        <v>0</v>
      </c>
      <c r="F1413" s="1129">
        <v>0</v>
      </c>
      <c r="G1413" s="1129">
        <v>0</v>
      </c>
      <c r="H1413" s="1129">
        <v>0</v>
      </c>
      <c r="I1413" s="1129">
        <v>0</v>
      </c>
      <c r="J1413" s="1129">
        <v>0</v>
      </c>
      <c r="K1413" s="1136">
        <v>0</v>
      </c>
      <c r="L1413" s="1129">
        <v>0</v>
      </c>
      <c r="M1413" s="1136">
        <v>0</v>
      </c>
      <c r="N1413" s="1129">
        <v>0</v>
      </c>
      <c r="O1413" s="1129">
        <v>882.9</v>
      </c>
      <c r="P1413" s="1129">
        <v>2771213.45</v>
      </c>
      <c r="Q1413" s="1129">
        <v>0</v>
      </c>
      <c r="R1413" s="1129">
        <v>0</v>
      </c>
      <c r="S1413" s="1129">
        <v>0</v>
      </c>
      <c r="T1413" s="1129">
        <v>0</v>
      </c>
      <c r="U1413" s="1129">
        <v>0</v>
      </c>
      <c r="V1413" s="1129">
        <v>0</v>
      </c>
      <c r="W1413" s="1129">
        <v>0</v>
      </c>
      <c r="X1413" s="1129">
        <v>217052</v>
      </c>
      <c r="Y1413" s="1129">
        <v>0</v>
      </c>
    </row>
    <row r="1414" spans="1:25" s="1177" customFormat="1" ht="90.6" customHeight="1">
      <c r="A1414" s="1280"/>
      <c r="B1414" s="1135" t="s">
        <v>2674</v>
      </c>
      <c r="C1414" s="1129">
        <f>C1415+C1416+C1417+C1418+C1419</f>
        <v>9377092.4900000002</v>
      </c>
      <c r="D1414" s="1129">
        <f t="shared" ref="D1414:Y1414" si="599">D1415+D1416+D1417+D1418+D1419</f>
        <v>1204429.98</v>
      </c>
      <c r="E1414" s="1129">
        <f t="shared" si="599"/>
        <v>0</v>
      </c>
      <c r="F1414" s="1129">
        <f t="shared" si="599"/>
        <v>1204429.98</v>
      </c>
      <c r="G1414" s="1129">
        <f t="shared" si="599"/>
        <v>0</v>
      </c>
      <c r="H1414" s="1129">
        <f t="shared" si="599"/>
        <v>0</v>
      </c>
      <c r="I1414" s="1129">
        <f t="shared" si="599"/>
        <v>0</v>
      </c>
      <c r="J1414" s="1129">
        <f t="shared" si="599"/>
        <v>0</v>
      </c>
      <c r="K1414" s="1129">
        <f t="shared" si="599"/>
        <v>0</v>
      </c>
      <c r="L1414" s="1129">
        <f t="shared" si="599"/>
        <v>0</v>
      </c>
      <c r="M1414" s="1129">
        <f t="shared" si="599"/>
        <v>0</v>
      </c>
      <c r="N1414" s="1129">
        <f t="shared" si="599"/>
        <v>0</v>
      </c>
      <c r="O1414" s="1129">
        <f t="shared" si="599"/>
        <v>897.1</v>
      </c>
      <c r="P1414" s="1129">
        <f t="shared" si="599"/>
        <v>2729361.7195986928</v>
      </c>
      <c r="Q1414" s="1129">
        <f t="shared" si="599"/>
        <v>0</v>
      </c>
      <c r="R1414" s="1129">
        <f t="shared" si="599"/>
        <v>0</v>
      </c>
      <c r="S1414" s="1129">
        <f t="shared" si="599"/>
        <v>1942.27</v>
      </c>
      <c r="T1414" s="1129">
        <f t="shared" si="599"/>
        <v>4762197</v>
      </c>
      <c r="U1414" s="1129">
        <f t="shared" si="599"/>
        <v>0</v>
      </c>
      <c r="V1414" s="1129">
        <f t="shared" si="599"/>
        <v>0</v>
      </c>
      <c r="W1414" s="1129">
        <f t="shared" si="599"/>
        <v>0</v>
      </c>
      <c r="X1414" s="1129">
        <f t="shared" si="599"/>
        <v>681103.7904013074</v>
      </c>
      <c r="Y1414" s="1129">
        <f t="shared" si="599"/>
        <v>0</v>
      </c>
    </row>
    <row r="1415" spans="1:25" s="1177" customFormat="1" ht="97.9" customHeight="1">
      <c r="A1415" s="1280">
        <v>373</v>
      </c>
      <c r="B1415" s="1135" t="s">
        <v>3051</v>
      </c>
      <c r="C1415" s="1129">
        <f t="shared" ref="C1415" si="600">D1415+N1415+P1415+R1415+T1415+V1415+X1415</f>
        <v>3678196</v>
      </c>
      <c r="D1415" s="1129">
        <f t="shared" ref="D1415" si="601">SUM(E1415:J1415)</f>
        <v>0</v>
      </c>
      <c r="E1415" s="1129">
        <v>0</v>
      </c>
      <c r="F1415" s="1129">
        <v>0</v>
      </c>
      <c r="G1415" s="1129">
        <v>0</v>
      </c>
      <c r="H1415" s="1129">
        <v>0</v>
      </c>
      <c r="I1415" s="1129">
        <v>0</v>
      </c>
      <c r="J1415" s="1129">
        <v>0</v>
      </c>
      <c r="K1415" s="1136">
        <v>0</v>
      </c>
      <c r="L1415" s="1129">
        <v>0</v>
      </c>
      <c r="M1415" s="1136">
        <v>0</v>
      </c>
      <c r="N1415" s="1129">
        <v>0</v>
      </c>
      <c r="O1415" s="1129">
        <v>0</v>
      </c>
      <c r="P1415" s="1129">
        <v>0</v>
      </c>
      <c r="Q1415" s="1129">
        <v>0</v>
      </c>
      <c r="R1415" s="1129">
        <v>0</v>
      </c>
      <c r="S1415" s="1129">
        <v>1382.27</v>
      </c>
      <c r="T1415" s="1129">
        <v>3411031</v>
      </c>
      <c r="U1415" s="1129">
        <v>0</v>
      </c>
      <c r="V1415" s="1129">
        <v>0</v>
      </c>
      <c r="W1415" s="1129">
        <v>0</v>
      </c>
      <c r="X1415" s="1129">
        <v>267165</v>
      </c>
      <c r="Y1415" s="1129">
        <v>0</v>
      </c>
    </row>
    <row r="1416" spans="1:25" s="1177" customFormat="1" ht="106.9" customHeight="1">
      <c r="A1416" s="1280">
        <v>374</v>
      </c>
      <c r="B1416" s="1135" t="s">
        <v>2688</v>
      </c>
      <c r="C1416" s="1129">
        <f t="shared" ref="C1416:C1418" si="602">D1416+N1416+P1416+R1416+T1416+V1416+X1416</f>
        <v>1456995</v>
      </c>
      <c r="D1416" s="1129">
        <f t="shared" ref="D1416:D1418" si="603">SUM(E1416:J1416)</f>
        <v>0</v>
      </c>
      <c r="E1416" s="1129">
        <v>0</v>
      </c>
      <c r="F1416" s="1129">
        <v>0</v>
      </c>
      <c r="G1416" s="1129">
        <v>0</v>
      </c>
      <c r="H1416" s="1129">
        <v>0</v>
      </c>
      <c r="I1416" s="1129">
        <v>0</v>
      </c>
      <c r="J1416" s="1129">
        <v>0</v>
      </c>
      <c r="K1416" s="1136">
        <v>0</v>
      </c>
      <c r="L1416" s="1129">
        <v>0</v>
      </c>
      <c r="M1416" s="1136">
        <v>0</v>
      </c>
      <c r="N1416" s="1129">
        <v>0</v>
      </c>
      <c r="O1416" s="1129">
        <v>0</v>
      </c>
      <c r="P1416" s="1129">
        <v>0</v>
      </c>
      <c r="Q1416" s="1129">
        <v>0</v>
      </c>
      <c r="R1416" s="1129">
        <v>0</v>
      </c>
      <c r="S1416" s="1129">
        <v>560</v>
      </c>
      <c r="T1416" s="1129">
        <v>1351166</v>
      </c>
      <c r="U1416" s="1129">
        <v>0</v>
      </c>
      <c r="V1416" s="1129">
        <v>0</v>
      </c>
      <c r="W1416" s="1129">
        <v>0</v>
      </c>
      <c r="X1416" s="1129">
        <v>105829</v>
      </c>
      <c r="Y1416" s="1129">
        <v>0</v>
      </c>
    </row>
    <row r="1417" spans="1:25" s="1177" customFormat="1" ht="103.9" customHeight="1">
      <c r="A1417" s="1280">
        <v>375</v>
      </c>
      <c r="B1417" s="1135" t="s">
        <v>2689</v>
      </c>
      <c r="C1417" s="1129">
        <f t="shared" si="602"/>
        <v>1572372</v>
      </c>
      <c r="D1417" s="1129">
        <f t="shared" si="603"/>
        <v>0</v>
      </c>
      <c r="E1417" s="1129">
        <v>0</v>
      </c>
      <c r="F1417" s="1129">
        <v>0</v>
      </c>
      <c r="G1417" s="1129">
        <v>0</v>
      </c>
      <c r="H1417" s="1129">
        <v>0</v>
      </c>
      <c r="I1417" s="1129">
        <v>0</v>
      </c>
      <c r="J1417" s="1129">
        <v>0</v>
      </c>
      <c r="K1417" s="1136">
        <v>0</v>
      </c>
      <c r="L1417" s="1129">
        <v>0</v>
      </c>
      <c r="M1417" s="1136">
        <v>0</v>
      </c>
      <c r="N1417" s="1129">
        <v>0</v>
      </c>
      <c r="O1417" s="1129">
        <v>492.1</v>
      </c>
      <c r="P1417" s="1129">
        <v>1458163.0295986927</v>
      </c>
      <c r="Q1417" s="1129">
        <v>0</v>
      </c>
      <c r="R1417" s="1129">
        <v>0</v>
      </c>
      <c r="S1417" s="1129">
        <v>0</v>
      </c>
      <c r="T1417" s="1129">
        <v>0</v>
      </c>
      <c r="U1417" s="1129">
        <v>0</v>
      </c>
      <c r="V1417" s="1129">
        <v>0</v>
      </c>
      <c r="W1417" s="1129">
        <v>0</v>
      </c>
      <c r="X1417" s="1129">
        <v>114208.97040130742</v>
      </c>
      <c r="Y1417" s="1129">
        <v>0</v>
      </c>
    </row>
    <row r="1418" spans="1:25" s="1177" customFormat="1" ht="88.15" customHeight="1">
      <c r="A1418" s="1280">
        <v>376</v>
      </c>
      <c r="B1418" s="1135" t="s">
        <v>2690</v>
      </c>
      <c r="C1418" s="1129">
        <f t="shared" si="602"/>
        <v>1298765.6000000001</v>
      </c>
      <c r="D1418" s="1129">
        <f t="shared" si="603"/>
        <v>1204429.98</v>
      </c>
      <c r="E1418" s="1129">
        <v>0</v>
      </c>
      <c r="F1418" s="1129">
        <v>1204429.98</v>
      </c>
      <c r="G1418" s="1129">
        <v>0</v>
      </c>
      <c r="H1418" s="1129">
        <v>0</v>
      </c>
      <c r="I1418" s="1129">
        <v>0</v>
      </c>
      <c r="J1418" s="1129">
        <v>0</v>
      </c>
      <c r="K1418" s="1136">
        <v>0</v>
      </c>
      <c r="L1418" s="1129">
        <v>0</v>
      </c>
      <c r="M1418" s="1136">
        <v>0</v>
      </c>
      <c r="N1418" s="1129">
        <v>0</v>
      </c>
      <c r="O1418" s="1129">
        <v>0</v>
      </c>
      <c r="P1418" s="1129">
        <v>0</v>
      </c>
      <c r="Q1418" s="1129">
        <v>0</v>
      </c>
      <c r="R1418" s="1129">
        <v>0</v>
      </c>
      <c r="S1418" s="1129">
        <v>0</v>
      </c>
      <c r="T1418" s="1129">
        <v>0</v>
      </c>
      <c r="U1418" s="1129">
        <v>0</v>
      </c>
      <c r="V1418" s="1129">
        <v>0</v>
      </c>
      <c r="W1418" s="1129">
        <v>0</v>
      </c>
      <c r="X1418" s="1129">
        <v>94335.62</v>
      </c>
      <c r="Y1418" s="1129">
        <v>0</v>
      </c>
    </row>
    <row r="1419" spans="1:25" s="1177" customFormat="1" ht="109.15" customHeight="1">
      <c r="A1419" s="1280">
        <v>377</v>
      </c>
      <c r="B1419" s="1135" t="s">
        <v>3052</v>
      </c>
      <c r="C1419" s="1129">
        <f t="shared" ref="C1419" si="604">D1419+N1419+P1419+R1419+T1419+V1419+X1419</f>
        <v>1370763.89</v>
      </c>
      <c r="D1419" s="1129">
        <f t="shared" ref="D1419" si="605">SUM(E1419:J1419)</f>
        <v>0</v>
      </c>
      <c r="E1419" s="1129">
        <v>0</v>
      </c>
      <c r="F1419" s="1129">
        <v>0</v>
      </c>
      <c r="G1419" s="1129">
        <v>0</v>
      </c>
      <c r="H1419" s="1129">
        <v>0</v>
      </c>
      <c r="I1419" s="1129">
        <v>0</v>
      </c>
      <c r="J1419" s="1129">
        <v>0</v>
      </c>
      <c r="K1419" s="1136">
        <v>0</v>
      </c>
      <c r="L1419" s="1129">
        <v>0</v>
      </c>
      <c r="M1419" s="1136">
        <v>0</v>
      </c>
      <c r="N1419" s="1129">
        <v>0</v>
      </c>
      <c r="O1419" s="1129">
        <v>405</v>
      </c>
      <c r="P1419" s="1129">
        <v>1271198.69</v>
      </c>
      <c r="Q1419" s="1149">
        <v>0</v>
      </c>
      <c r="R1419" s="1129">
        <v>0</v>
      </c>
      <c r="S1419" s="1129">
        <v>0</v>
      </c>
      <c r="T1419" s="1129">
        <v>0</v>
      </c>
      <c r="U1419" s="1149">
        <v>0</v>
      </c>
      <c r="V1419" s="1129">
        <v>0</v>
      </c>
      <c r="W1419" s="1129">
        <v>0</v>
      </c>
      <c r="X1419" s="1129">
        <v>99565.2</v>
      </c>
      <c r="Y1419" s="1129">
        <v>0</v>
      </c>
    </row>
    <row r="1420" spans="1:25" s="1177" customFormat="1" ht="85.9" customHeight="1">
      <c r="A1420" s="1280"/>
      <c r="B1420" s="1135" t="s">
        <v>49</v>
      </c>
      <c r="C1420" s="1129">
        <f>C1421+C1429+C1425+C1423+C1427</f>
        <v>9832874.6799999997</v>
      </c>
      <c r="D1420" s="1129">
        <f t="shared" ref="D1420:Y1420" si="606">D1421+D1429+D1425+D1423+D1427</f>
        <v>0</v>
      </c>
      <c r="E1420" s="1129">
        <f t="shared" si="606"/>
        <v>0</v>
      </c>
      <c r="F1420" s="1129">
        <f t="shared" si="606"/>
        <v>0</v>
      </c>
      <c r="G1420" s="1129">
        <f t="shared" si="606"/>
        <v>0</v>
      </c>
      <c r="H1420" s="1129">
        <f t="shared" si="606"/>
        <v>0</v>
      </c>
      <c r="I1420" s="1129">
        <f t="shared" si="606"/>
        <v>0</v>
      </c>
      <c r="J1420" s="1129">
        <f t="shared" si="606"/>
        <v>0</v>
      </c>
      <c r="K1420" s="1136">
        <f t="shared" si="606"/>
        <v>0</v>
      </c>
      <c r="L1420" s="1129">
        <f t="shared" si="606"/>
        <v>0</v>
      </c>
      <c r="M1420" s="1136">
        <f t="shared" si="606"/>
        <v>0</v>
      </c>
      <c r="N1420" s="1129">
        <f t="shared" si="606"/>
        <v>0</v>
      </c>
      <c r="O1420" s="1129">
        <f t="shared" si="606"/>
        <v>3113</v>
      </c>
      <c r="P1420" s="1129">
        <f t="shared" si="606"/>
        <v>9213445.2624950074</v>
      </c>
      <c r="Q1420" s="1129">
        <f t="shared" si="606"/>
        <v>0</v>
      </c>
      <c r="R1420" s="1129">
        <f t="shared" si="606"/>
        <v>0</v>
      </c>
      <c r="S1420" s="1129">
        <f t="shared" si="606"/>
        <v>0</v>
      </c>
      <c r="T1420" s="1129">
        <f t="shared" si="606"/>
        <v>0</v>
      </c>
      <c r="U1420" s="1129">
        <f t="shared" si="606"/>
        <v>0</v>
      </c>
      <c r="V1420" s="1129">
        <f t="shared" si="606"/>
        <v>0</v>
      </c>
      <c r="W1420" s="1129">
        <f t="shared" si="606"/>
        <v>0</v>
      </c>
      <c r="X1420" s="1129">
        <f t="shared" si="606"/>
        <v>619429.41750499362</v>
      </c>
      <c r="Y1420" s="1129">
        <f t="shared" si="606"/>
        <v>0</v>
      </c>
    </row>
    <row r="1421" spans="1:25" s="1177" customFormat="1" ht="139.9" customHeight="1">
      <c r="A1421" s="1280"/>
      <c r="B1421" s="1135" t="s">
        <v>1125</v>
      </c>
      <c r="C1421" s="1129">
        <f>SUM(C1422:C1422)</f>
        <v>2567710.3400000003</v>
      </c>
      <c r="D1421" s="1129">
        <f t="shared" ref="D1421:Y1421" si="607">SUM(D1422:D1422)</f>
        <v>0</v>
      </c>
      <c r="E1421" s="1129">
        <f t="shared" si="607"/>
        <v>0</v>
      </c>
      <c r="F1421" s="1129">
        <f t="shared" si="607"/>
        <v>0</v>
      </c>
      <c r="G1421" s="1129">
        <f t="shared" si="607"/>
        <v>0</v>
      </c>
      <c r="H1421" s="1129">
        <f t="shared" si="607"/>
        <v>0</v>
      </c>
      <c r="I1421" s="1129">
        <f t="shared" si="607"/>
        <v>0</v>
      </c>
      <c r="J1421" s="1129">
        <f t="shared" si="607"/>
        <v>0</v>
      </c>
      <c r="K1421" s="1136">
        <v>0</v>
      </c>
      <c r="L1421" s="1129">
        <v>0</v>
      </c>
      <c r="M1421" s="1136">
        <f t="shared" si="607"/>
        <v>0</v>
      </c>
      <c r="N1421" s="1129">
        <f t="shared" si="607"/>
        <v>0</v>
      </c>
      <c r="O1421" s="1129">
        <f t="shared" si="607"/>
        <v>945</v>
      </c>
      <c r="P1421" s="1129">
        <f t="shared" si="607"/>
        <v>2381205.14</v>
      </c>
      <c r="Q1421" s="1129">
        <f t="shared" si="607"/>
        <v>0</v>
      </c>
      <c r="R1421" s="1129">
        <f t="shared" si="607"/>
        <v>0</v>
      </c>
      <c r="S1421" s="1129">
        <f t="shared" si="607"/>
        <v>0</v>
      </c>
      <c r="T1421" s="1129">
        <f t="shared" si="607"/>
        <v>0</v>
      </c>
      <c r="U1421" s="1129">
        <f t="shared" si="607"/>
        <v>0</v>
      </c>
      <c r="V1421" s="1129">
        <f t="shared" si="607"/>
        <v>0</v>
      </c>
      <c r="W1421" s="1129">
        <v>0</v>
      </c>
      <c r="X1421" s="1129">
        <f t="shared" si="607"/>
        <v>186505.2</v>
      </c>
      <c r="Y1421" s="1129">
        <f t="shared" si="607"/>
        <v>0</v>
      </c>
    </row>
    <row r="1422" spans="1:25" s="1177" customFormat="1" ht="90.6" customHeight="1">
      <c r="A1422" s="1280">
        <v>378</v>
      </c>
      <c r="B1422" s="1128" t="s">
        <v>1126</v>
      </c>
      <c r="C1422" s="1129">
        <f t="shared" ref="C1422" si="608">D1422+N1422+P1422+R1422+T1422+V1422+X1422</f>
        <v>2567710.3400000003</v>
      </c>
      <c r="D1422" s="1129">
        <f t="shared" ref="D1422" si="609">SUM(E1422:J1422)</f>
        <v>0</v>
      </c>
      <c r="E1422" s="1129">
        <v>0</v>
      </c>
      <c r="F1422" s="1129">
        <v>0</v>
      </c>
      <c r="G1422" s="1129">
        <v>0</v>
      </c>
      <c r="H1422" s="1129">
        <v>0</v>
      </c>
      <c r="I1422" s="1129">
        <v>0</v>
      </c>
      <c r="J1422" s="1129">
        <v>0</v>
      </c>
      <c r="K1422" s="1136">
        <v>0</v>
      </c>
      <c r="L1422" s="1129">
        <v>0</v>
      </c>
      <c r="M1422" s="1136">
        <v>0</v>
      </c>
      <c r="N1422" s="1129">
        <v>0</v>
      </c>
      <c r="O1422" s="1129">
        <v>945</v>
      </c>
      <c r="P1422" s="1129">
        <v>2381205.14</v>
      </c>
      <c r="Q1422" s="1129">
        <v>0</v>
      </c>
      <c r="R1422" s="1129">
        <v>0</v>
      </c>
      <c r="S1422" s="1129">
        <v>0</v>
      </c>
      <c r="T1422" s="1129">
        <v>0</v>
      </c>
      <c r="U1422" s="1129">
        <v>0</v>
      </c>
      <c r="V1422" s="1129">
        <v>0</v>
      </c>
      <c r="W1422" s="1129">
        <v>0</v>
      </c>
      <c r="X1422" s="1129">
        <v>186505.2</v>
      </c>
      <c r="Y1422" s="1129">
        <v>0</v>
      </c>
    </row>
    <row r="1423" spans="1:25" s="1177" customFormat="1" ht="139.9" customHeight="1">
      <c r="A1423" s="1280"/>
      <c r="B1423" s="1135" t="s">
        <v>1147</v>
      </c>
      <c r="C1423" s="1129">
        <v>1167688</v>
      </c>
      <c r="D1423" s="1129">
        <v>0</v>
      </c>
      <c r="E1423" s="1129">
        <v>0</v>
      </c>
      <c r="F1423" s="1129">
        <v>0</v>
      </c>
      <c r="G1423" s="1129">
        <v>0</v>
      </c>
      <c r="H1423" s="1129">
        <v>0</v>
      </c>
      <c r="I1423" s="1129">
        <v>0</v>
      </c>
      <c r="J1423" s="1129">
        <v>0</v>
      </c>
      <c r="K1423" s="1136">
        <v>0</v>
      </c>
      <c r="L1423" s="1129">
        <v>0</v>
      </c>
      <c r="M1423" s="1136">
        <v>0</v>
      </c>
      <c r="N1423" s="1129">
        <v>0</v>
      </c>
      <c r="O1423" s="1129">
        <v>345</v>
      </c>
      <c r="P1423" s="1129">
        <v>1082873.1824950064</v>
      </c>
      <c r="Q1423" s="1129">
        <v>0</v>
      </c>
      <c r="R1423" s="1129">
        <v>0</v>
      </c>
      <c r="S1423" s="1129">
        <v>0</v>
      </c>
      <c r="T1423" s="1129">
        <v>0</v>
      </c>
      <c r="U1423" s="1129">
        <v>0</v>
      </c>
      <c r="V1423" s="1129">
        <v>0</v>
      </c>
      <c r="W1423" s="1129">
        <v>0</v>
      </c>
      <c r="X1423" s="1129">
        <v>84814.81750499364</v>
      </c>
      <c r="Y1423" s="1129">
        <v>0</v>
      </c>
    </row>
    <row r="1424" spans="1:25" s="1177" customFormat="1" ht="111.6" customHeight="1">
      <c r="A1424" s="1280">
        <v>379</v>
      </c>
      <c r="B1424" s="1135" t="s">
        <v>1386</v>
      </c>
      <c r="C1424" s="1129">
        <v>1167688</v>
      </c>
      <c r="D1424" s="1129">
        <v>0</v>
      </c>
      <c r="E1424" s="1129">
        <v>0</v>
      </c>
      <c r="F1424" s="1129">
        <v>0</v>
      </c>
      <c r="G1424" s="1129">
        <v>0</v>
      </c>
      <c r="H1424" s="1129">
        <v>0</v>
      </c>
      <c r="I1424" s="1129">
        <v>0</v>
      </c>
      <c r="J1424" s="1129">
        <v>0</v>
      </c>
      <c r="K1424" s="1136">
        <v>0</v>
      </c>
      <c r="L1424" s="1129">
        <v>0</v>
      </c>
      <c r="M1424" s="1136">
        <v>0</v>
      </c>
      <c r="N1424" s="1129">
        <v>0</v>
      </c>
      <c r="O1424" s="1129">
        <v>345</v>
      </c>
      <c r="P1424" s="1129">
        <v>1082873.1824950064</v>
      </c>
      <c r="Q1424" s="1129">
        <v>0</v>
      </c>
      <c r="R1424" s="1129">
        <v>0</v>
      </c>
      <c r="S1424" s="1129">
        <v>0</v>
      </c>
      <c r="T1424" s="1129">
        <v>0</v>
      </c>
      <c r="U1424" s="1129">
        <v>0</v>
      </c>
      <c r="V1424" s="1129">
        <v>0</v>
      </c>
      <c r="W1424" s="1129">
        <v>0</v>
      </c>
      <c r="X1424" s="1129">
        <v>84814.81750499364</v>
      </c>
      <c r="Y1424" s="1129">
        <v>0</v>
      </c>
    </row>
    <row r="1425" spans="1:25" s="1177" customFormat="1" ht="135" customHeight="1">
      <c r="A1425" s="1280"/>
      <c r="B1425" s="1135" t="s">
        <v>1356</v>
      </c>
      <c r="C1425" s="1129">
        <f>C1426</f>
        <v>1401226</v>
      </c>
      <c r="D1425" s="1129">
        <f t="shared" ref="D1425:Y1425" si="610">D1426</f>
        <v>0</v>
      </c>
      <c r="E1425" s="1129">
        <f t="shared" si="610"/>
        <v>0</v>
      </c>
      <c r="F1425" s="1129">
        <f t="shared" si="610"/>
        <v>0</v>
      </c>
      <c r="G1425" s="1129">
        <f t="shared" si="610"/>
        <v>0</v>
      </c>
      <c r="H1425" s="1129">
        <f t="shared" si="610"/>
        <v>0</v>
      </c>
      <c r="I1425" s="1129">
        <f t="shared" si="610"/>
        <v>0</v>
      </c>
      <c r="J1425" s="1129">
        <f t="shared" si="610"/>
        <v>0</v>
      </c>
      <c r="K1425" s="1136">
        <f t="shared" si="610"/>
        <v>0</v>
      </c>
      <c r="L1425" s="1129">
        <f t="shared" si="610"/>
        <v>0</v>
      </c>
      <c r="M1425" s="1136">
        <f t="shared" si="610"/>
        <v>0</v>
      </c>
      <c r="N1425" s="1129">
        <f t="shared" si="610"/>
        <v>0</v>
      </c>
      <c r="O1425" s="1129">
        <f t="shared" si="610"/>
        <v>414</v>
      </c>
      <c r="P1425" s="1129">
        <f t="shared" si="610"/>
        <v>1299448</v>
      </c>
      <c r="Q1425" s="1129">
        <f t="shared" si="610"/>
        <v>0</v>
      </c>
      <c r="R1425" s="1129">
        <f t="shared" si="610"/>
        <v>0</v>
      </c>
      <c r="S1425" s="1129">
        <f t="shared" si="610"/>
        <v>0</v>
      </c>
      <c r="T1425" s="1129">
        <f t="shared" si="610"/>
        <v>0</v>
      </c>
      <c r="U1425" s="1129">
        <f t="shared" si="610"/>
        <v>0</v>
      </c>
      <c r="V1425" s="1129">
        <f t="shared" si="610"/>
        <v>0</v>
      </c>
      <c r="W1425" s="1129">
        <v>0</v>
      </c>
      <c r="X1425" s="1129">
        <f t="shared" si="610"/>
        <v>101778</v>
      </c>
      <c r="Y1425" s="1129">
        <f t="shared" si="610"/>
        <v>0</v>
      </c>
    </row>
    <row r="1426" spans="1:25" s="1177" customFormat="1" ht="85.9" customHeight="1">
      <c r="A1426" s="1280">
        <v>380</v>
      </c>
      <c r="B1426" s="1128" t="s">
        <v>1359</v>
      </c>
      <c r="C1426" s="1129">
        <f t="shared" ref="C1426" si="611">D1426+N1426+P1426+R1426+T1426+V1426+X1426</f>
        <v>1401226</v>
      </c>
      <c r="D1426" s="1129">
        <f t="shared" ref="D1426" si="612">SUM(E1426:J1426)</f>
        <v>0</v>
      </c>
      <c r="E1426" s="1129">
        <v>0</v>
      </c>
      <c r="F1426" s="1129">
        <v>0</v>
      </c>
      <c r="G1426" s="1129">
        <v>0</v>
      </c>
      <c r="H1426" s="1129">
        <v>0</v>
      </c>
      <c r="I1426" s="1129">
        <v>0</v>
      </c>
      <c r="J1426" s="1129">
        <v>0</v>
      </c>
      <c r="K1426" s="1136">
        <v>0</v>
      </c>
      <c r="L1426" s="1129">
        <v>0</v>
      </c>
      <c r="M1426" s="1136">
        <v>0</v>
      </c>
      <c r="N1426" s="1129">
        <v>0</v>
      </c>
      <c r="O1426" s="1129">
        <v>414</v>
      </c>
      <c r="P1426" s="1129">
        <v>1299448</v>
      </c>
      <c r="Q1426" s="1129">
        <v>0</v>
      </c>
      <c r="R1426" s="1129">
        <v>0</v>
      </c>
      <c r="S1426" s="1129">
        <v>0</v>
      </c>
      <c r="T1426" s="1129">
        <v>0</v>
      </c>
      <c r="U1426" s="1129">
        <v>0</v>
      </c>
      <c r="V1426" s="1129">
        <v>0</v>
      </c>
      <c r="W1426" s="1129">
        <v>0</v>
      </c>
      <c r="X1426" s="1129">
        <v>101778</v>
      </c>
      <c r="Y1426" s="1129">
        <v>0</v>
      </c>
    </row>
    <row r="1427" spans="1:25" s="1177" customFormat="1" ht="99.6" customHeight="1">
      <c r="A1427" s="1280"/>
      <c r="B1427" s="1128" t="s">
        <v>1065</v>
      </c>
      <c r="C1427" s="1129">
        <f>C1428</f>
        <v>2064607.3399999999</v>
      </c>
      <c r="D1427" s="1129">
        <f t="shared" ref="D1427:Y1427" si="613">D1428</f>
        <v>0</v>
      </c>
      <c r="E1427" s="1129">
        <f t="shared" si="613"/>
        <v>0</v>
      </c>
      <c r="F1427" s="1129">
        <f t="shared" si="613"/>
        <v>0</v>
      </c>
      <c r="G1427" s="1129">
        <f t="shared" si="613"/>
        <v>0</v>
      </c>
      <c r="H1427" s="1129">
        <f t="shared" si="613"/>
        <v>0</v>
      </c>
      <c r="I1427" s="1129">
        <f t="shared" si="613"/>
        <v>0</v>
      </c>
      <c r="J1427" s="1129">
        <f t="shared" si="613"/>
        <v>0</v>
      </c>
      <c r="K1427" s="1136">
        <f t="shared" si="613"/>
        <v>0</v>
      </c>
      <c r="L1427" s="1129">
        <f t="shared" si="613"/>
        <v>0</v>
      </c>
      <c r="M1427" s="1136">
        <f t="shared" si="613"/>
        <v>0</v>
      </c>
      <c r="N1427" s="1129">
        <f t="shared" si="613"/>
        <v>0</v>
      </c>
      <c r="O1427" s="1129">
        <f t="shared" si="613"/>
        <v>610</v>
      </c>
      <c r="P1427" s="1129">
        <f t="shared" si="613"/>
        <v>1914644.94</v>
      </c>
      <c r="Q1427" s="1129">
        <f t="shared" si="613"/>
        <v>0</v>
      </c>
      <c r="R1427" s="1129">
        <f t="shared" si="613"/>
        <v>0</v>
      </c>
      <c r="S1427" s="1129">
        <f t="shared" si="613"/>
        <v>0</v>
      </c>
      <c r="T1427" s="1129">
        <f t="shared" si="613"/>
        <v>0</v>
      </c>
      <c r="U1427" s="1129">
        <f t="shared" si="613"/>
        <v>0</v>
      </c>
      <c r="V1427" s="1129">
        <f t="shared" si="613"/>
        <v>0</v>
      </c>
      <c r="W1427" s="1129">
        <v>0</v>
      </c>
      <c r="X1427" s="1129">
        <f t="shared" si="613"/>
        <v>149962.4</v>
      </c>
      <c r="Y1427" s="1129">
        <f t="shared" si="613"/>
        <v>0</v>
      </c>
    </row>
    <row r="1428" spans="1:25" s="1177" customFormat="1" ht="118.9" customHeight="1">
      <c r="A1428" s="1280">
        <v>381</v>
      </c>
      <c r="B1428" s="1128" t="s">
        <v>2610</v>
      </c>
      <c r="C1428" s="1129">
        <f t="shared" ref="C1428" si="614">D1428+N1428+P1428+R1428+T1428+V1428+X1428</f>
        <v>2064607.3399999999</v>
      </c>
      <c r="D1428" s="1129">
        <f t="shared" ref="D1428" si="615">SUM(E1428:J1428)</f>
        <v>0</v>
      </c>
      <c r="E1428" s="1129">
        <v>0</v>
      </c>
      <c r="F1428" s="1129">
        <v>0</v>
      </c>
      <c r="G1428" s="1129">
        <v>0</v>
      </c>
      <c r="H1428" s="1129">
        <v>0</v>
      </c>
      <c r="I1428" s="1129">
        <v>0</v>
      </c>
      <c r="J1428" s="1129">
        <v>0</v>
      </c>
      <c r="K1428" s="1136">
        <v>0</v>
      </c>
      <c r="L1428" s="1129">
        <v>0</v>
      </c>
      <c r="M1428" s="1136">
        <v>0</v>
      </c>
      <c r="N1428" s="1129">
        <v>0</v>
      </c>
      <c r="O1428" s="1129">
        <v>610</v>
      </c>
      <c r="P1428" s="1129">
        <v>1914644.94</v>
      </c>
      <c r="Q1428" s="1129">
        <v>0</v>
      </c>
      <c r="R1428" s="1129">
        <v>0</v>
      </c>
      <c r="S1428" s="1129">
        <v>0</v>
      </c>
      <c r="T1428" s="1129">
        <v>0</v>
      </c>
      <c r="U1428" s="1129">
        <v>0</v>
      </c>
      <c r="V1428" s="1129">
        <v>0</v>
      </c>
      <c r="W1428" s="1129">
        <v>0</v>
      </c>
      <c r="X1428" s="1129">
        <v>149962.4</v>
      </c>
      <c r="Y1428" s="1129">
        <v>0</v>
      </c>
    </row>
    <row r="1429" spans="1:25" s="1177" customFormat="1" ht="149.44999999999999" customHeight="1">
      <c r="A1429" s="1280"/>
      <c r="B1429" s="1128" t="s">
        <v>1128</v>
      </c>
      <c r="C1429" s="1129">
        <f>SUM(C1430:C1431)</f>
        <v>2631643</v>
      </c>
      <c r="D1429" s="1129">
        <f t="shared" ref="D1429:Y1429" si="616">SUM(D1430:D1431)</f>
        <v>0</v>
      </c>
      <c r="E1429" s="1129">
        <f t="shared" si="616"/>
        <v>0</v>
      </c>
      <c r="F1429" s="1129">
        <f t="shared" si="616"/>
        <v>0</v>
      </c>
      <c r="G1429" s="1129">
        <f t="shared" si="616"/>
        <v>0</v>
      </c>
      <c r="H1429" s="1129">
        <f t="shared" si="616"/>
        <v>0</v>
      </c>
      <c r="I1429" s="1129">
        <f t="shared" si="616"/>
        <v>0</v>
      </c>
      <c r="J1429" s="1129">
        <f t="shared" si="616"/>
        <v>0</v>
      </c>
      <c r="K1429" s="1136">
        <v>0</v>
      </c>
      <c r="L1429" s="1129">
        <v>0</v>
      </c>
      <c r="M1429" s="1136">
        <f t="shared" si="616"/>
        <v>0</v>
      </c>
      <c r="N1429" s="1129">
        <f t="shared" si="616"/>
        <v>0</v>
      </c>
      <c r="O1429" s="1129">
        <f t="shared" si="616"/>
        <v>799</v>
      </c>
      <c r="P1429" s="1129">
        <f t="shared" si="616"/>
        <v>2535274</v>
      </c>
      <c r="Q1429" s="1129">
        <f t="shared" si="616"/>
        <v>0</v>
      </c>
      <c r="R1429" s="1129">
        <f t="shared" si="616"/>
        <v>0</v>
      </c>
      <c r="S1429" s="1129">
        <f t="shared" si="616"/>
        <v>0</v>
      </c>
      <c r="T1429" s="1129">
        <f t="shared" si="616"/>
        <v>0</v>
      </c>
      <c r="U1429" s="1129">
        <f t="shared" si="616"/>
        <v>0</v>
      </c>
      <c r="V1429" s="1129">
        <f t="shared" si="616"/>
        <v>0</v>
      </c>
      <c r="W1429" s="1129">
        <v>0</v>
      </c>
      <c r="X1429" s="1129">
        <f t="shared" si="616"/>
        <v>96369</v>
      </c>
      <c r="Y1429" s="1129">
        <f t="shared" si="616"/>
        <v>0</v>
      </c>
    </row>
    <row r="1430" spans="1:25" s="1177" customFormat="1" ht="99.6" customHeight="1">
      <c r="A1430" s="1280">
        <v>382</v>
      </c>
      <c r="B1430" s="1135" t="s">
        <v>1933</v>
      </c>
      <c r="C1430" s="1129">
        <f t="shared" ref="C1430:C1431" si="617">D1430+N1430+P1430+R1430+T1430+V1430+X1430</f>
        <v>1326764</v>
      </c>
      <c r="D1430" s="1129">
        <f t="shared" ref="D1430:D1431" si="618">SUM(E1430:J1430)</f>
        <v>0</v>
      </c>
      <c r="E1430" s="1129">
        <v>0</v>
      </c>
      <c r="F1430" s="1129">
        <v>0</v>
      </c>
      <c r="G1430" s="1129">
        <v>0</v>
      </c>
      <c r="H1430" s="1129">
        <v>0</v>
      </c>
      <c r="I1430" s="1129">
        <v>0</v>
      </c>
      <c r="J1430" s="1129">
        <v>0</v>
      </c>
      <c r="K1430" s="1136">
        <v>0</v>
      </c>
      <c r="L1430" s="1129">
        <v>0</v>
      </c>
      <c r="M1430" s="1136">
        <v>0</v>
      </c>
      <c r="N1430" s="1129">
        <v>0</v>
      </c>
      <c r="O1430" s="1129">
        <v>392</v>
      </c>
      <c r="P1430" s="1129">
        <v>1230395</v>
      </c>
      <c r="Q1430" s="1129">
        <v>0</v>
      </c>
      <c r="R1430" s="1129">
        <v>0</v>
      </c>
      <c r="S1430" s="1129">
        <v>0</v>
      </c>
      <c r="T1430" s="1129">
        <v>0</v>
      </c>
      <c r="U1430" s="1129">
        <v>0</v>
      </c>
      <c r="V1430" s="1129">
        <v>0</v>
      </c>
      <c r="W1430" s="1129">
        <v>0</v>
      </c>
      <c r="X1430" s="1129">
        <v>96369</v>
      </c>
      <c r="Y1430" s="1129">
        <v>0</v>
      </c>
    </row>
    <row r="1431" spans="1:25" s="1177" customFormat="1" ht="66.599999999999994" customHeight="1">
      <c r="A1431" s="1280">
        <v>383</v>
      </c>
      <c r="B1431" s="1135" t="s">
        <v>1129</v>
      </c>
      <c r="C1431" s="1129">
        <f t="shared" si="617"/>
        <v>1304879</v>
      </c>
      <c r="D1431" s="1129">
        <f t="shared" si="618"/>
        <v>0</v>
      </c>
      <c r="E1431" s="1129">
        <v>0</v>
      </c>
      <c r="F1431" s="1129">
        <v>0</v>
      </c>
      <c r="G1431" s="1129">
        <v>0</v>
      </c>
      <c r="H1431" s="1129">
        <v>0</v>
      </c>
      <c r="I1431" s="1129">
        <v>0</v>
      </c>
      <c r="J1431" s="1129">
        <v>0</v>
      </c>
      <c r="K1431" s="1136">
        <v>0</v>
      </c>
      <c r="L1431" s="1129">
        <v>0</v>
      </c>
      <c r="M1431" s="1136">
        <v>0</v>
      </c>
      <c r="N1431" s="1129">
        <v>0</v>
      </c>
      <c r="O1431" s="1129">
        <v>407</v>
      </c>
      <c r="P1431" s="1129">
        <v>1304879</v>
      </c>
      <c r="Q1431" s="1129">
        <v>0</v>
      </c>
      <c r="R1431" s="1129">
        <v>0</v>
      </c>
      <c r="S1431" s="1129">
        <v>0</v>
      </c>
      <c r="T1431" s="1129">
        <v>0</v>
      </c>
      <c r="U1431" s="1129">
        <v>0</v>
      </c>
      <c r="V1431" s="1129">
        <v>0</v>
      </c>
      <c r="W1431" s="1129">
        <v>0</v>
      </c>
      <c r="X1431" s="1129">
        <v>0</v>
      </c>
      <c r="Y1431" s="1129">
        <v>0</v>
      </c>
    </row>
    <row r="1432" spans="1:25" s="1177" customFormat="1" ht="78.599999999999994" customHeight="1">
      <c r="A1432" s="1280"/>
      <c r="B1432" s="1135" t="s">
        <v>50</v>
      </c>
      <c r="C1432" s="1129">
        <f>C1433</f>
        <v>5358925.92</v>
      </c>
      <c r="D1432" s="1129">
        <f t="shared" ref="D1432:Y1432" si="619">D1433</f>
        <v>0</v>
      </c>
      <c r="E1432" s="1129">
        <f t="shared" si="619"/>
        <v>0</v>
      </c>
      <c r="F1432" s="1129">
        <f t="shared" si="619"/>
        <v>0</v>
      </c>
      <c r="G1432" s="1129">
        <f t="shared" si="619"/>
        <v>0</v>
      </c>
      <c r="H1432" s="1129">
        <f t="shared" si="619"/>
        <v>0</v>
      </c>
      <c r="I1432" s="1129">
        <f t="shared" si="619"/>
        <v>0</v>
      </c>
      <c r="J1432" s="1129">
        <f t="shared" si="619"/>
        <v>0</v>
      </c>
      <c r="K1432" s="1136">
        <f t="shared" si="619"/>
        <v>0</v>
      </c>
      <c r="L1432" s="1129">
        <f t="shared" si="619"/>
        <v>0</v>
      </c>
      <c r="M1432" s="1136">
        <f t="shared" si="619"/>
        <v>0</v>
      </c>
      <c r="N1432" s="1129">
        <f t="shared" si="619"/>
        <v>0</v>
      </c>
      <c r="O1432" s="1129">
        <f t="shared" si="619"/>
        <v>1373.3</v>
      </c>
      <c r="P1432" s="1129">
        <f t="shared" si="619"/>
        <v>5118448</v>
      </c>
      <c r="Q1432" s="1129">
        <f t="shared" si="619"/>
        <v>0</v>
      </c>
      <c r="R1432" s="1129">
        <f t="shared" si="619"/>
        <v>0</v>
      </c>
      <c r="S1432" s="1129">
        <f t="shared" si="619"/>
        <v>0</v>
      </c>
      <c r="T1432" s="1129">
        <f t="shared" si="619"/>
        <v>0</v>
      </c>
      <c r="U1432" s="1129">
        <f t="shared" si="619"/>
        <v>0</v>
      </c>
      <c r="V1432" s="1129">
        <f t="shared" si="619"/>
        <v>0</v>
      </c>
      <c r="W1432" s="1129">
        <v>0</v>
      </c>
      <c r="X1432" s="1129">
        <f t="shared" si="619"/>
        <v>240477.91999999998</v>
      </c>
      <c r="Y1432" s="1129">
        <f t="shared" si="619"/>
        <v>0</v>
      </c>
    </row>
    <row r="1433" spans="1:25" s="1177" customFormat="1" ht="123" customHeight="1">
      <c r="A1433" s="1280"/>
      <c r="B1433" s="1135" t="s">
        <v>1067</v>
      </c>
      <c r="C1433" s="1129">
        <f>SUM(C1434:C1436)</f>
        <v>5358925.92</v>
      </c>
      <c r="D1433" s="1129">
        <f t="shared" ref="D1433:Y1433" si="620">SUM(D1434:D1436)</f>
        <v>0</v>
      </c>
      <c r="E1433" s="1129">
        <f t="shared" si="620"/>
        <v>0</v>
      </c>
      <c r="F1433" s="1129">
        <f t="shared" si="620"/>
        <v>0</v>
      </c>
      <c r="G1433" s="1129">
        <f t="shared" si="620"/>
        <v>0</v>
      </c>
      <c r="H1433" s="1129">
        <f t="shared" si="620"/>
        <v>0</v>
      </c>
      <c r="I1433" s="1129">
        <f t="shared" si="620"/>
        <v>0</v>
      </c>
      <c r="J1433" s="1129">
        <f t="shared" si="620"/>
        <v>0</v>
      </c>
      <c r="K1433" s="1129">
        <f t="shared" si="620"/>
        <v>0</v>
      </c>
      <c r="L1433" s="1129">
        <f t="shared" si="620"/>
        <v>0</v>
      </c>
      <c r="M1433" s="1129">
        <f t="shared" si="620"/>
        <v>0</v>
      </c>
      <c r="N1433" s="1129">
        <f t="shared" si="620"/>
        <v>0</v>
      </c>
      <c r="O1433" s="1129">
        <f t="shared" si="620"/>
        <v>1373.3</v>
      </c>
      <c r="P1433" s="1129">
        <f t="shared" si="620"/>
        <v>5118448</v>
      </c>
      <c r="Q1433" s="1129">
        <f t="shared" si="620"/>
        <v>0</v>
      </c>
      <c r="R1433" s="1129">
        <f t="shared" si="620"/>
        <v>0</v>
      </c>
      <c r="S1433" s="1129">
        <f t="shared" si="620"/>
        <v>0</v>
      </c>
      <c r="T1433" s="1129">
        <f t="shared" si="620"/>
        <v>0</v>
      </c>
      <c r="U1433" s="1129">
        <f t="shared" si="620"/>
        <v>0</v>
      </c>
      <c r="V1433" s="1129">
        <f t="shared" si="620"/>
        <v>0</v>
      </c>
      <c r="W1433" s="1129">
        <f t="shared" si="620"/>
        <v>0</v>
      </c>
      <c r="X1433" s="1129">
        <f t="shared" si="620"/>
        <v>240477.91999999998</v>
      </c>
      <c r="Y1433" s="1129">
        <f t="shared" si="620"/>
        <v>0</v>
      </c>
    </row>
    <row r="1434" spans="1:25" s="1177" customFormat="1" ht="66.599999999999994" customHeight="1">
      <c r="A1434" s="1280">
        <v>384</v>
      </c>
      <c r="B1434" s="1194" t="s">
        <v>413</v>
      </c>
      <c r="C1434" s="1129">
        <f t="shared" ref="C1434:C1435" si="621">D1434+N1434+P1434+R1434+T1434+V1434+X1434</f>
        <v>2223596.0300000003</v>
      </c>
      <c r="D1434" s="1129">
        <f t="shared" ref="D1434:D1435" si="622">SUM(E1434:J1434)</f>
        <v>0</v>
      </c>
      <c r="E1434" s="1129">
        <v>0</v>
      </c>
      <c r="F1434" s="1129">
        <v>0</v>
      </c>
      <c r="G1434" s="1129">
        <v>0</v>
      </c>
      <c r="H1434" s="1129">
        <v>0</v>
      </c>
      <c r="I1434" s="1129">
        <v>0</v>
      </c>
      <c r="J1434" s="1129">
        <v>0</v>
      </c>
      <c r="K1434" s="1136">
        <v>0</v>
      </c>
      <c r="L1434" s="1129">
        <v>0</v>
      </c>
      <c r="M1434" s="1136">
        <v>0</v>
      </c>
      <c r="N1434" s="1129">
        <v>0</v>
      </c>
      <c r="O1434" s="1178">
        <v>543.16</v>
      </c>
      <c r="P1434" s="1129">
        <v>2147567.41</v>
      </c>
      <c r="Q1434" s="1129">
        <v>0</v>
      </c>
      <c r="R1434" s="1129">
        <v>0</v>
      </c>
      <c r="S1434" s="1129">
        <v>0</v>
      </c>
      <c r="T1434" s="1129">
        <v>0</v>
      </c>
      <c r="U1434" s="1129">
        <v>0</v>
      </c>
      <c r="V1434" s="1129">
        <v>0</v>
      </c>
      <c r="W1434" s="1129">
        <v>0</v>
      </c>
      <c r="X1434" s="1129">
        <v>76028.62</v>
      </c>
      <c r="Y1434" s="1129">
        <v>0</v>
      </c>
    </row>
    <row r="1435" spans="1:25" s="1177" customFormat="1" ht="81" customHeight="1">
      <c r="A1435" s="1280">
        <v>385</v>
      </c>
      <c r="B1435" s="1194" t="s">
        <v>1108</v>
      </c>
      <c r="C1435" s="1129">
        <f t="shared" si="621"/>
        <v>1842411.8900000001</v>
      </c>
      <c r="D1435" s="1129">
        <f t="shared" si="622"/>
        <v>0</v>
      </c>
      <c r="E1435" s="1129">
        <v>0</v>
      </c>
      <c r="F1435" s="1129">
        <v>0</v>
      </c>
      <c r="G1435" s="1129">
        <v>0</v>
      </c>
      <c r="H1435" s="1129">
        <v>0</v>
      </c>
      <c r="I1435" s="1129">
        <v>0</v>
      </c>
      <c r="J1435" s="1129">
        <v>0</v>
      </c>
      <c r="K1435" s="1136">
        <v>0</v>
      </c>
      <c r="L1435" s="1129">
        <v>0</v>
      </c>
      <c r="M1435" s="1136">
        <v>0</v>
      </c>
      <c r="N1435" s="1129">
        <v>0</v>
      </c>
      <c r="O1435" s="1178">
        <v>448.14</v>
      </c>
      <c r="P1435" s="1129">
        <v>1771873.59</v>
      </c>
      <c r="Q1435" s="1129">
        <v>0</v>
      </c>
      <c r="R1435" s="1129">
        <v>0</v>
      </c>
      <c r="S1435" s="1129">
        <v>0</v>
      </c>
      <c r="T1435" s="1129">
        <v>0</v>
      </c>
      <c r="U1435" s="1129">
        <v>0</v>
      </c>
      <c r="V1435" s="1129">
        <v>0</v>
      </c>
      <c r="W1435" s="1129">
        <v>0</v>
      </c>
      <c r="X1435" s="1129">
        <v>70538.3</v>
      </c>
      <c r="Y1435" s="1129">
        <v>0</v>
      </c>
    </row>
    <row r="1436" spans="1:25" s="1177" customFormat="1" ht="82.5" customHeight="1">
      <c r="A1436" s="1280">
        <v>386</v>
      </c>
      <c r="B1436" s="1128" t="s">
        <v>2667</v>
      </c>
      <c r="C1436" s="1129">
        <v>1292918</v>
      </c>
      <c r="D1436" s="1129">
        <v>0</v>
      </c>
      <c r="E1436" s="1129">
        <v>0</v>
      </c>
      <c r="F1436" s="1129">
        <v>0</v>
      </c>
      <c r="G1436" s="1129">
        <v>0</v>
      </c>
      <c r="H1436" s="1129">
        <v>0</v>
      </c>
      <c r="I1436" s="1129">
        <v>0</v>
      </c>
      <c r="J1436" s="1129">
        <v>0</v>
      </c>
      <c r="K1436" s="1136">
        <v>0</v>
      </c>
      <c r="L1436" s="1129">
        <v>0</v>
      </c>
      <c r="M1436" s="1136">
        <v>0</v>
      </c>
      <c r="N1436" s="1129">
        <v>0</v>
      </c>
      <c r="O1436" s="1178">
        <v>382</v>
      </c>
      <c r="P1436" s="1129">
        <v>1199007</v>
      </c>
      <c r="Q1436" s="1129">
        <v>0</v>
      </c>
      <c r="R1436" s="1129">
        <v>0</v>
      </c>
      <c r="S1436" s="1129">
        <v>0</v>
      </c>
      <c r="T1436" s="1129">
        <v>0</v>
      </c>
      <c r="U1436" s="1129">
        <v>0</v>
      </c>
      <c r="V1436" s="1129">
        <v>0</v>
      </c>
      <c r="W1436" s="1129">
        <v>0</v>
      </c>
      <c r="X1436" s="1129">
        <v>93911</v>
      </c>
      <c r="Y1436" s="1129">
        <v>0</v>
      </c>
    </row>
    <row r="1437" spans="1:25" s="1177" customFormat="1" ht="111" customHeight="1">
      <c r="A1437" s="1280"/>
      <c r="B1437" s="1135" t="s">
        <v>1169</v>
      </c>
      <c r="C1437" s="1129">
        <f t="shared" ref="C1437:Y1437" si="623">C1438+C1439+C1440+C1441+C1442+C1443+C1444+C1445+C1446+C1447+C1448+C1449</f>
        <v>17539787.02</v>
      </c>
      <c r="D1437" s="1129">
        <f t="shared" si="623"/>
        <v>701893.76816778653</v>
      </c>
      <c r="E1437" s="1129">
        <f t="shared" si="623"/>
        <v>701893.76816778653</v>
      </c>
      <c r="F1437" s="1129">
        <f t="shared" si="623"/>
        <v>0</v>
      </c>
      <c r="G1437" s="1129">
        <f t="shared" si="623"/>
        <v>0</v>
      </c>
      <c r="H1437" s="1129">
        <f t="shared" si="623"/>
        <v>0</v>
      </c>
      <c r="I1437" s="1129">
        <f t="shared" si="623"/>
        <v>0</v>
      </c>
      <c r="J1437" s="1129">
        <f t="shared" si="623"/>
        <v>0</v>
      </c>
      <c r="K1437" s="1136">
        <f t="shared" si="623"/>
        <v>0</v>
      </c>
      <c r="L1437" s="1129">
        <f t="shared" si="623"/>
        <v>0</v>
      </c>
      <c r="M1437" s="1136">
        <f t="shared" si="623"/>
        <v>0</v>
      </c>
      <c r="N1437" s="1129">
        <f t="shared" si="623"/>
        <v>0</v>
      </c>
      <c r="O1437" s="1129">
        <f t="shared" si="623"/>
        <v>2823</v>
      </c>
      <c r="P1437" s="1129">
        <f t="shared" si="623"/>
        <v>11445407.300000001</v>
      </c>
      <c r="Q1437" s="1129">
        <f t="shared" si="623"/>
        <v>0</v>
      </c>
      <c r="R1437" s="1129">
        <f t="shared" si="623"/>
        <v>0</v>
      </c>
      <c r="S1437" s="1129">
        <f t="shared" si="623"/>
        <v>1549.37</v>
      </c>
      <c r="T1437" s="1129">
        <f t="shared" si="623"/>
        <v>4306339.0199999996</v>
      </c>
      <c r="U1437" s="1129">
        <f t="shared" si="623"/>
        <v>0</v>
      </c>
      <c r="V1437" s="1129">
        <f t="shared" si="623"/>
        <v>0</v>
      </c>
      <c r="W1437" s="1129">
        <f t="shared" si="623"/>
        <v>0</v>
      </c>
      <c r="X1437" s="1129">
        <f t="shared" si="623"/>
        <v>1086146.9318322134</v>
      </c>
      <c r="Y1437" s="1129">
        <f t="shared" si="623"/>
        <v>0</v>
      </c>
    </row>
    <row r="1438" spans="1:25" s="1177" customFormat="1" ht="102" customHeight="1">
      <c r="A1438" s="1280">
        <v>387</v>
      </c>
      <c r="B1438" s="1182" t="s">
        <v>2165</v>
      </c>
      <c r="C1438" s="1129">
        <f t="shared" ref="C1438" si="624">D1438+N1438+P1438+R1438+T1438+V1438+X1438</f>
        <v>298782.77</v>
      </c>
      <c r="D1438" s="1129">
        <f t="shared" ref="D1438" si="625">SUM(E1438:J1438)</f>
        <v>286642.63</v>
      </c>
      <c r="E1438" s="1129">
        <v>286642.63</v>
      </c>
      <c r="F1438" s="1129">
        <v>0</v>
      </c>
      <c r="G1438" s="1129">
        <v>0</v>
      </c>
      <c r="H1438" s="1129">
        <v>0</v>
      </c>
      <c r="I1438" s="1129">
        <v>0</v>
      </c>
      <c r="J1438" s="1129">
        <v>0</v>
      </c>
      <c r="K1438" s="1136">
        <v>0</v>
      </c>
      <c r="L1438" s="1129">
        <v>0</v>
      </c>
      <c r="M1438" s="1136">
        <v>0</v>
      </c>
      <c r="N1438" s="1129">
        <v>0</v>
      </c>
      <c r="O1438" s="1129">
        <v>0</v>
      </c>
      <c r="P1438" s="1129">
        <v>0</v>
      </c>
      <c r="Q1438" s="1129">
        <v>0</v>
      </c>
      <c r="R1438" s="1129">
        <v>0</v>
      </c>
      <c r="S1438" s="1129">
        <v>0</v>
      </c>
      <c r="T1438" s="1129">
        <v>0</v>
      </c>
      <c r="U1438" s="1129">
        <v>0</v>
      </c>
      <c r="V1438" s="1129">
        <v>0</v>
      </c>
      <c r="W1438" s="1129">
        <v>0</v>
      </c>
      <c r="X1438" s="1129">
        <v>12140.14</v>
      </c>
      <c r="Y1438" s="1129">
        <v>0</v>
      </c>
    </row>
    <row r="1439" spans="1:25" s="1177" customFormat="1" ht="94.9" customHeight="1">
      <c r="A1439" s="1280">
        <v>388</v>
      </c>
      <c r="B1439" s="1128" t="s">
        <v>3053</v>
      </c>
      <c r="C1439" s="1129">
        <f t="shared" ref="C1439:C1447" si="626">D1439+N1439+P1439+R1439+T1439+V1439+X1439</f>
        <v>1128003.98</v>
      </c>
      <c r="D1439" s="1129">
        <f t="shared" ref="D1439:D1447" si="627">SUM(E1439:J1439)</f>
        <v>185664.27</v>
      </c>
      <c r="E1439" s="1129">
        <v>185664.27</v>
      </c>
      <c r="F1439" s="1129">
        <v>0</v>
      </c>
      <c r="G1439" s="1129">
        <v>0</v>
      </c>
      <c r="H1439" s="1129">
        <v>0</v>
      </c>
      <c r="I1439" s="1129">
        <v>0</v>
      </c>
      <c r="J1439" s="1129">
        <v>0</v>
      </c>
      <c r="K1439" s="1136">
        <v>0</v>
      </c>
      <c r="L1439" s="1129">
        <v>0</v>
      </c>
      <c r="M1439" s="1136">
        <v>0</v>
      </c>
      <c r="N1439" s="1129">
        <v>0</v>
      </c>
      <c r="O1439" s="1129">
        <v>223.5</v>
      </c>
      <c r="P1439" s="1129">
        <v>883683.11</v>
      </c>
      <c r="Q1439" s="1129">
        <v>0</v>
      </c>
      <c r="R1439" s="1129">
        <v>0</v>
      </c>
      <c r="S1439" s="1129">
        <v>0</v>
      </c>
      <c r="T1439" s="1129">
        <v>0</v>
      </c>
      <c r="U1439" s="1129">
        <v>0</v>
      </c>
      <c r="V1439" s="1129">
        <v>0</v>
      </c>
      <c r="W1439" s="1129">
        <v>0</v>
      </c>
      <c r="X1439" s="1129">
        <v>58656.6</v>
      </c>
      <c r="Y1439" s="1129">
        <v>0</v>
      </c>
    </row>
    <row r="1440" spans="1:25" s="1177" customFormat="1" ht="102" customHeight="1">
      <c r="A1440" s="1280">
        <v>389</v>
      </c>
      <c r="B1440" s="1128" t="s">
        <v>3054</v>
      </c>
      <c r="C1440" s="1129">
        <f t="shared" si="626"/>
        <v>1554682.43</v>
      </c>
      <c r="D1440" s="1129">
        <f t="shared" si="627"/>
        <v>0</v>
      </c>
      <c r="E1440" s="1129">
        <v>0</v>
      </c>
      <c r="F1440" s="1129">
        <v>0</v>
      </c>
      <c r="G1440" s="1129">
        <v>0</v>
      </c>
      <c r="H1440" s="1129">
        <v>0</v>
      </c>
      <c r="I1440" s="1129">
        <v>0</v>
      </c>
      <c r="J1440" s="1129">
        <v>0</v>
      </c>
      <c r="K1440" s="1136">
        <v>0</v>
      </c>
      <c r="L1440" s="1129">
        <v>0</v>
      </c>
      <c r="M1440" s="1136">
        <v>0</v>
      </c>
      <c r="N1440" s="1129">
        <v>0</v>
      </c>
      <c r="O1440" s="1129">
        <v>372.1</v>
      </c>
      <c r="P1440" s="1129">
        <v>1471223.64</v>
      </c>
      <c r="Q1440" s="1129">
        <v>0</v>
      </c>
      <c r="R1440" s="1129">
        <v>0</v>
      </c>
      <c r="S1440" s="1129">
        <v>0</v>
      </c>
      <c r="T1440" s="1129">
        <v>0</v>
      </c>
      <c r="U1440" s="1129">
        <v>0</v>
      </c>
      <c r="V1440" s="1129">
        <v>0</v>
      </c>
      <c r="W1440" s="1129">
        <v>0</v>
      </c>
      <c r="X1440" s="1129">
        <v>83458.789999999994</v>
      </c>
      <c r="Y1440" s="1129">
        <v>0</v>
      </c>
    </row>
    <row r="1441" spans="1:25" s="1177" customFormat="1" ht="94.9" customHeight="1">
      <c r="A1441" s="1280">
        <v>390</v>
      </c>
      <c r="B1441" s="1128" t="s">
        <v>3055</v>
      </c>
      <c r="C1441" s="1129">
        <f t="shared" ref="C1441:C1442" si="628">D1441+N1441+P1441+R1441+T1441+V1441+X1441</f>
        <v>2011655.53</v>
      </c>
      <c r="D1441" s="1129">
        <f t="shared" ref="D1441:D1442" si="629">SUM(E1441:J1441)</f>
        <v>0</v>
      </c>
      <c r="E1441" s="1129">
        <v>0</v>
      </c>
      <c r="F1441" s="1129">
        <v>0</v>
      </c>
      <c r="G1441" s="1129">
        <v>0</v>
      </c>
      <c r="H1441" s="1129">
        <v>0</v>
      </c>
      <c r="I1441" s="1129">
        <v>0</v>
      </c>
      <c r="J1441" s="1129">
        <v>0</v>
      </c>
      <c r="K1441" s="1136">
        <v>0</v>
      </c>
      <c r="L1441" s="1129">
        <v>0</v>
      </c>
      <c r="M1441" s="1136">
        <v>0</v>
      </c>
      <c r="N1441" s="1129">
        <v>0</v>
      </c>
      <c r="O1441" s="1129">
        <v>505.3</v>
      </c>
      <c r="P1441" s="1129">
        <v>1900845.73</v>
      </c>
      <c r="Q1441" s="1129">
        <v>0</v>
      </c>
      <c r="R1441" s="1129">
        <v>0</v>
      </c>
      <c r="S1441" s="1129">
        <v>0</v>
      </c>
      <c r="T1441" s="1129">
        <v>0</v>
      </c>
      <c r="U1441" s="1129">
        <v>0</v>
      </c>
      <c r="V1441" s="1129">
        <v>0</v>
      </c>
      <c r="W1441" s="1129">
        <v>0</v>
      </c>
      <c r="X1441" s="1129">
        <v>110809.8</v>
      </c>
      <c r="Y1441" s="1129">
        <v>0</v>
      </c>
    </row>
    <row r="1442" spans="1:25" s="1177" customFormat="1" ht="97.15" customHeight="1">
      <c r="A1442" s="1280">
        <v>391</v>
      </c>
      <c r="B1442" s="1128" t="s">
        <v>3056</v>
      </c>
      <c r="C1442" s="1129">
        <f t="shared" si="628"/>
        <v>1221986.53</v>
      </c>
      <c r="D1442" s="1129">
        <f t="shared" si="629"/>
        <v>0</v>
      </c>
      <c r="E1442" s="1129">
        <v>0</v>
      </c>
      <c r="F1442" s="1129">
        <v>0</v>
      </c>
      <c r="G1442" s="1129">
        <v>0</v>
      </c>
      <c r="H1442" s="1129">
        <v>0</v>
      </c>
      <c r="I1442" s="1129">
        <v>0</v>
      </c>
      <c r="J1442" s="1129">
        <v>0</v>
      </c>
      <c r="K1442" s="1136">
        <v>0</v>
      </c>
      <c r="L1442" s="1129">
        <v>0</v>
      </c>
      <c r="M1442" s="1136">
        <v>0</v>
      </c>
      <c r="N1442" s="1129">
        <v>0</v>
      </c>
      <c r="O1442" s="1129">
        <v>360.1</v>
      </c>
      <c r="P1442" s="1129">
        <v>1147922.96</v>
      </c>
      <c r="Q1442" s="1129">
        <v>0</v>
      </c>
      <c r="R1442" s="1129">
        <v>0</v>
      </c>
      <c r="S1442" s="1129">
        <v>0</v>
      </c>
      <c r="T1442" s="1129">
        <v>0</v>
      </c>
      <c r="U1442" s="1129">
        <v>0</v>
      </c>
      <c r="V1442" s="1129">
        <v>0</v>
      </c>
      <c r="W1442" s="1129">
        <v>0</v>
      </c>
      <c r="X1442" s="1129">
        <v>74063.570000000007</v>
      </c>
      <c r="Y1442" s="1129">
        <v>0</v>
      </c>
    </row>
    <row r="1443" spans="1:25" s="1177" customFormat="1" ht="102" customHeight="1">
      <c r="A1443" s="1280">
        <v>392</v>
      </c>
      <c r="B1443" s="1135" t="s">
        <v>2170</v>
      </c>
      <c r="C1443" s="1129">
        <f t="shared" si="626"/>
        <v>1291846.3800000001</v>
      </c>
      <c r="D1443" s="1129">
        <f t="shared" si="627"/>
        <v>0</v>
      </c>
      <c r="E1443" s="1129">
        <v>0</v>
      </c>
      <c r="F1443" s="1129">
        <v>0</v>
      </c>
      <c r="G1443" s="1129">
        <v>0</v>
      </c>
      <c r="H1443" s="1129">
        <v>0</v>
      </c>
      <c r="I1443" s="1129">
        <v>0</v>
      </c>
      <c r="J1443" s="1129">
        <v>0</v>
      </c>
      <c r="K1443" s="1136">
        <v>0</v>
      </c>
      <c r="L1443" s="1129">
        <v>0</v>
      </c>
      <c r="M1443" s="1136">
        <v>0</v>
      </c>
      <c r="N1443" s="1129">
        <v>0</v>
      </c>
      <c r="O1443" s="1129">
        <v>303</v>
      </c>
      <c r="P1443" s="1129">
        <v>1198013.3400000001</v>
      </c>
      <c r="Q1443" s="1129">
        <v>0</v>
      </c>
      <c r="R1443" s="1129">
        <v>0</v>
      </c>
      <c r="S1443" s="1129">
        <v>0</v>
      </c>
      <c r="T1443" s="1129">
        <v>0</v>
      </c>
      <c r="U1443" s="1129">
        <v>0</v>
      </c>
      <c r="V1443" s="1129">
        <v>0</v>
      </c>
      <c r="W1443" s="1129">
        <v>0</v>
      </c>
      <c r="X1443" s="1129">
        <v>93833.04</v>
      </c>
      <c r="Y1443" s="1129">
        <v>0</v>
      </c>
    </row>
    <row r="1444" spans="1:25" s="1177" customFormat="1" ht="97.15" customHeight="1">
      <c r="A1444" s="1280">
        <v>393</v>
      </c>
      <c r="B1444" s="1135" t="s">
        <v>2171</v>
      </c>
      <c r="C1444" s="1129">
        <f t="shared" si="626"/>
        <v>4091527.11</v>
      </c>
      <c r="D1444" s="1129">
        <f t="shared" si="627"/>
        <v>0</v>
      </c>
      <c r="E1444" s="1129">
        <v>0</v>
      </c>
      <c r="F1444" s="1129">
        <v>0</v>
      </c>
      <c r="G1444" s="1129">
        <v>0</v>
      </c>
      <c r="H1444" s="1129">
        <v>0</v>
      </c>
      <c r="I1444" s="1129">
        <v>0</v>
      </c>
      <c r="J1444" s="1129">
        <v>0</v>
      </c>
      <c r="K1444" s="1136">
        <v>0</v>
      </c>
      <c r="L1444" s="1129">
        <v>0</v>
      </c>
      <c r="M1444" s="1136">
        <v>0</v>
      </c>
      <c r="N1444" s="1129">
        <v>0</v>
      </c>
      <c r="O1444" s="1129">
        <v>812.7</v>
      </c>
      <c r="P1444" s="1129">
        <v>3869887.88</v>
      </c>
      <c r="Q1444" s="1129">
        <v>0</v>
      </c>
      <c r="R1444" s="1129">
        <v>0</v>
      </c>
      <c r="S1444" s="1129">
        <v>0</v>
      </c>
      <c r="T1444" s="1129">
        <v>0</v>
      </c>
      <c r="U1444" s="1129">
        <v>0</v>
      </c>
      <c r="V1444" s="1129">
        <v>0</v>
      </c>
      <c r="W1444" s="1129">
        <v>0</v>
      </c>
      <c r="X1444" s="1129">
        <v>221639.23</v>
      </c>
      <c r="Y1444" s="1129">
        <v>0</v>
      </c>
    </row>
    <row r="1445" spans="1:25" s="1177" customFormat="1" ht="93" customHeight="1">
      <c r="A1445" s="1280">
        <v>394</v>
      </c>
      <c r="B1445" s="1128" t="s">
        <v>3057</v>
      </c>
      <c r="C1445" s="1129">
        <f t="shared" si="626"/>
        <v>1050104.82</v>
      </c>
      <c r="D1445" s="1129">
        <f t="shared" si="627"/>
        <v>0</v>
      </c>
      <c r="E1445" s="1129">
        <v>0</v>
      </c>
      <c r="F1445" s="1129">
        <v>0</v>
      </c>
      <c r="G1445" s="1129">
        <v>0</v>
      </c>
      <c r="H1445" s="1129">
        <v>0</v>
      </c>
      <c r="I1445" s="1129">
        <v>0</v>
      </c>
      <c r="J1445" s="1129">
        <v>0</v>
      </c>
      <c r="K1445" s="1136">
        <v>0</v>
      </c>
      <c r="L1445" s="1129">
        <v>0</v>
      </c>
      <c r="M1445" s="1136">
        <v>0</v>
      </c>
      <c r="N1445" s="1129">
        <v>0</v>
      </c>
      <c r="O1445" s="1129">
        <v>246.3</v>
      </c>
      <c r="P1445" s="1129">
        <v>973830.64</v>
      </c>
      <c r="Q1445" s="1129">
        <v>0</v>
      </c>
      <c r="R1445" s="1129">
        <v>0</v>
      </c>
      <c r="S1445" s="1129">
        <v>0</v>
      </c>
      <c r="T1445" s="1129">
        <v>0</v>
      </c>
      <c r="U1445" s="1129">
        <v>0</v>
      </c>
      <c r="V1445" s="1129">
        <v>0</v>
      </c>
      <c r="W1445" s="1129">
        <v>0</v>
      </c>
      <c r="X1445" s="1129">
        <v>76274.179999999993</v>
      </c>
      <c r="Y1445" s="1129">
        <v>0</v>
      </c>
    </row>
    <row r="1446" spans="1:25" s="1177" customFormat="1" ht="92.45" customHeight="1">
      <c r="A1446" s="1280">
        <v>395</v>
      </c>
      <c r="B1446" s="1183" t="s">
        <v>2173</v>
      </c>
      <c r="C1446" s="1129">
        <f t="shared" si="626"/>
        <v>1646831.78</v>
      </c>
      <c r="D1446" s="1129">
        <f t="shared" si="627"/>
        <v>0</v>
      </c>
      <c r="E1446" s="1129">
        <v>0</v>
      </c>
      <c r="F1446" s="1129">
        <v>0</v>
      </c>
      <c r="G1446" s="1129">
        <v>0</v>
      </c>
      <c r="H1446" s="1129">
        <v>0</v>
      </c>
      <c r="I1446" s="1129">
        <v>0</v>
      </c>
      <c r="J1446" s="1129">
        <v>0</v>
      </c>
      <c r="K1446" s="1136">
        <v>0</v>
      </c>
      <c r="L1446" s="1129">
        <v>0</v>
      </c>
      <c r="M1446" s="1136">
        <v>0</v>
      </c>
      <c r="N1446" s="1129">
        <v>0</v>
      </c>
      <c r="O1446" s="1129">
        <v>0</v>
      </c>
      <c r="P1446" s="1129">
        <v>0</v>
      </c>
      <c r="Q1446" s="1129">
        <v>0</v>
      </c>
      <c r="R1446" s="1129">
        <v>0</v>
      </c>
      <c r="S1446" s="1129">
        <v>520.79999999999995</v>
      </c>
      <c r="T1446" s="1129">
        <v>1527214.44</v>
      </c>
      <c r="U1446" s="1129">
        <v>0</v>
      </c>
      <c r="V1446" s="1129">
        <v>0</v>
      </c>
      <c r="W1446" s="1129">
        <v>0</v>
      </c>
      <c r="X1446" s="1129">
        <v>119617.34</v>
      </c>
      <c r="Y1446" s="1129">
        <v>0</v>
      </c>
    </row>
    <row r="1447" spans="1:25" s="1177" customFormat="1" ht="104.45" customHeight="1">
      <c r="A1447" s="1280">
        <v>396</v>
      </c>
      <c r="B1447" s="1183" t="s">
        <v>2174</v>
      </c>
      <c r="C1447" s="1129">
        <f t="shared" si="626"/>
        <v>1639242.6900000002</v>
      </c>
      <c r="D1447" s="1129">
        <f t="shared" si="627"/>
        <v>0</v>
      </c>
      <c r="E1447" s="1129">
        <v>0</v>
      </c>
      <c r="F1447" s="1129">
        <v>0</v>
      </c>
      <c r="G1447" s="1129">
        <v>0</v>
      </c>
      <c r="H1447" s="1129">
        <v>0</v>
      </c>
      <c r="I1447" s="1129">
        <v>0</v>
      </c>
      <c r="J1447" s="1129">
        <v>0</v>
      </c>
      <c r="K1447" s="1136">
        <v>0</v>
      </c>
      <c r="L1447" s="1129">
        <v>0</v>
      </c>
      <c r="M1447" s="1136">
        <v>0</v>
      </c>
      <c r="N1447" s="1129">
        <v>0</v>
      </c>
      <c r="O1447" s="1129">
        <v>0</v>
      </c>
      <c r="P1447" s="1129">
        <v>0</v>
      </c>
      <c r="Q1447" s="1129">
        <v>0</v>
      </c>
      <c r="R1447" s="1129">
        <v>0</v>
      </c>
      <c r="S1447" s="1129">
        <v>518.4</v>
      </c>
      <c r="T1447" s="1129">
        <v>1520176.58</v>
      </c>
      <c r="U1447" s="1129">
        <v>0</v>
      </c>
      <c r="V1447" s="1129">
        <v>0</v>
      </c>
      <c r="W1447" s="1129">
        <v>0</v>
      </c>
      <c r="X1447" s="1129">
        <v>119066.11</v>
      </c>
      <c r="Y1447" s="1129">
        <v>0</v>
      </c>
    </row>
    <row r="1448" spans="1:25" s="1177" customFormat="1" ht="127.9" customHeight="1">
      <c r="A1448" s="1280">
        <v>397</v>
      </c>
      <c r="B1448" s="1135" t="s">
        <v>885</v>
      </c>
      <c r="C1448" s="1129">
        <f t="shared" ref="C1448" si="630">D1448+N1448+P1448+R1448+T1448+V1448+X1448</f>
        <v>247569</v>
      </c>
      <c r="D1448" s="1129">
        <f t="shared" ref="D1448" si="631">SUM(E1448:J1448)</f>
        <v>229586.86816778645</v>
      </c>
      <c r="E1448" s="1129">
        <v>229586.86816778645</v>
      </c>
      <c r="F1448" s="1129">
        <v>0</v>
      </c>
      <c r="G1448" s="1129">
        <v>0</v>
      </c>
      <c r="H1448" s="1129">
        <v>0</v>
      </c>
      <c r="I1448" s="1129">
        <v>0</v>
      </c>
      <c r="J1448" s="1129">
        <v>0</v>
      </c>
      <c r="K1448" s="1136">
        <v>0</v>
      </c>
      <c r="L1448" s="1129">
        <v>0</v>
      </c>
      <c r="M1448" s="1136">
        <v>0</v>
      </c>
      <c r="N1448" s="1129">
        <v>0</v>
      </c>
      <c r="O1448" s="1129">
        <v>0</v>
      </c>
      <c r="P1448" s="1129">
        <v>0</v>
      </c>
      <c r="Q1448" s="1129">
        <v>0</v>
      </c>
      <c r="R1448" s="1129">
        <v>0</v>
      </c>
      <c r="S1448" s="1129">
        <v>0</v>
      </c>
      <c r="T1448" s="1129">
        <v>0</v>
      </c>
      <c r="U1448" s="1129">
        <v>0</v>
      </c>
      <c r="V1448" s="1129">
        <v>0</v>
      </c>
      <c r="W1448" s="1129">
        <v>0</v>
      </c>
      <c r="X1448" s="1129">
        <v>17982.131832213545</v>
      </c>
      <c r="Y1448" s="1129">
        <v>0</v>
      </c>
    </row>
    <row r="1449" spans="1:25" s="1177" customFormat="1" ht="71.45" customHeight="1">
      <c r="A1449" s="1280">
        <v>398</v>
      </c>
      <c r="B1449" s="1135" t="s">
        <v>884</v>
      </c>
      <c r="C1449" s="1129">
        <f t="shared" ref="C1449" si="632">D1449+N1449+P1449+R1449+T1449+V1449+X1449</f>
        <v>1357554</v>
      </c>
      <c r="D1449" s="1215">
        <v>0</v>
      </c>
      <c r="E1449" s="1215">
        <v>0</v>
      </c>
      <c r="F1449" s="1129">
        <v>0</v>
      </c>
      <c r="G1449" s="1129">
        <v>0</v>
      </c>
      <c r="H1449" s="1129">
        <v>0</v>
      </c>
      <c r="I1449" s="1129">
        <v>0</v>
      </c>
      <c r="J1449" s="1129">
        <v>0</v>
      </c>
      <c r="K1449" s="1136">
        <v>0</v>
      </c>
      <c r="L1449" s="1129">
        <v>0</v>
      </c>
      <c r="M1449" s="1136">
        <v>0</v>
      </c>
      <c r="N1449" s="1129">
        <v>0</v>
      </c>
      <c r="O1449" s="1129">
        <v>0</v>
      </c>
      <c r="P1449" s="1129">
        <v>0</v>
      </c>
      <c r="Q1449" s="1129">
        <v>0</v>
      </c>
      <c r="R1449" s="1129">
        <v>0</v>
      </c>
      <c r="S1449" s="1129">
        <v>510.17</v>
      </c>
      <c r="T1449" s="1129">
        <v>1258948</v>
      </c>
      <c r="U1449" s="1129">
        <v>0</v>
      </c>
      <c r="V1449" s="1129">
        <v>0</v>
      </c>
      <c r="W1449" s="1129">
        <v>0</v>
      </c>
      <c r="X1449" s="1129">
        <v>98606</v>
      </c>
      <c r="Y1449" s="1129">
        <v>0</v>
      </c>
    </row>
    <row r="1450" spans="1:25" s="1177" customFormat="1" ht="112.5" customHeight="1">
      <c r="A1450" s="1280"/>
      <c r="B1450" s="1135" t="s">
        <v>2702</v>
      </c>
      <c r="C1450" s="1129">
        <f>C1451+C1459+C1461+C1463+C1455</f>
        <v>9596345.7109406218</v>
      </c>
      <c r="D1450" s="1129">
        <f t="shared" ref="D1450:Y1450" si="633">D1451+D1459+D1461+D1463+D1455</f>
        <v>1921027.4100000001</v>
      </c>
      <c r="E1450" s="1129">
        <f t="shared" si="633"/>
        <v>0</v>
      </c>
      <c r="F1450" s="1129">
        <f t="shared" si="633"/>
        <v>1016511.23</v>
      </c>
      <c r="G1450" s="1129">
        <f t="shared" si="633"/>
        <v>0</v>
      </c>
      <c r="H1450" s="1129">
        <f t="shared" si="633"/>
        <v>648727.18000000005</v>
      </c>
      <c r="I1450" s="1129">
        <f t="shared" si="633"/>
        <v>0</v>
      </c>
      <c r="J1450" s="1129">
        <f t="shared" si="633"/>
        <v>255789</v>
      </c>
      <c r="K1450" s="1129">
        <f t="shared" si="633"/>
        <v>0</v>
      </c>
      <c r="L1450" s="1129">
        <f t="shared" si="633"/>
        <v>0</v>
      </c>
      <c r="M1450" s="1129">
        <f t="shared" si="633"/>
        <v>0</v>
      </c>
      <c r="N1450" s="1129">
        <f t="shared" si="633"/>
        <v>0</v>
      </c>
      <c r="O1450" s="1129">
        <f t="shared" si="633"/>
        <v>680</v>
      </c>
      <c r="P1450" s="1129">
        <f t="shared" si="633"/>
        <v>2134358.2999999998</v>
      </c>
      <c r="Q1450" s="1129">
        <f t="shared" si="633"/>
        <v>0</v>
      </c>
      <c r="R1450" s="1129">
        <f t="shared" si="633"/>
        <v>0</v>
      </c>
      <c r="S1450" s="1129">
        <f t="shared" si="633"/>
        <v>1979.8</v>
      </c>
      <c r="T1450" s="1129">
        <f t="shared" si="633"/>
        <v>4884323</v>
      </c>
      <c r="U1450" s="1129">
        <f t="shared" si="633"/>
        <v>0</v>
      </c>
      <c r="V1450" s="1129">
        <f t="shared" si="633"/>
        <v>0</v>
      </c>
      <c r="W1450" s="1129">
        <f t="shared" si="633"/>
        <v>0</v>
      </c>
      <c r="X1450" s="1129">
        <f t="shared" si="633"/>
        <v>656637.00094062102</v>
      </c>
      <c r="Y1450" s="1129">
        <f t="shared" si="633"/>
        <v>0</v>
      </c>
    </row>
    <row r="1451" spans="1:25" s="1137" customFormat="1" ht="109.15" customHeight="1">
      <c r="A1451" s="1280"/>
      <c r="B1451" s="1128" t="s">
        <v>2341</v>
      </c>
      <c r="C1451" s="1129">
        <f>C1452+C1453+C1454</f>
        <v>1785657</v>
      </c>
      <c r="D1451" s="1129">
        <f t="shared" ref="D1451:V1451" si="634">D1452+D1453+D1454</f>
        <v>1665238.4100000001</v>
      </c>
      <c r="E1451" s="1129">
        <f t="shared" si="634"/>
        <v>0</v>
      </c>
      <c r="F1451" s="1129">
        <f t="shared" si="634"/>
        <v>1016511.23</v>
      </c>
      <c r="G1451" s="1129">
        <f t="shared" si="634"/>
        <v>0</v>
      </c>
      <c r="H1451" s="1129">
        <f t="shared" si="634"/>
        <v>648727.18000000005</v>
      </c>
      <c r="I1451" s="1129">
        <f t="shared" si="634"/>
        <v>0</v>
      </c>
      <c r="J1451" s="1129">
        <f t="shared" si="634"/>
        <v>0</v>
      </c>
      <c r="K1451" s="1136">
        <f t="shared" si="634"/>
        <v>0</v>
      </c>
      <c r="L1451" s="1129">
        <f t="shared" si="634"/>
        <v>0</v>
      </c>
      <c r="M1451" s="1136">
        <f t="shared" si="634"/>
        <v>0</v>
      </c>
      <c r="N1451" s="1129">
        <f t="shared" si="634"/>
        <v>0</v>
      </c>
      <c r="O1451" s="1129">
        <f t="shared" si="634"/>
        <v>0</v>
      </c>
      <c r="P1451" s="1129">
        <f t="shared" si="634"/>
        <v>0</v>
      </c>
      <c r="Q1451" s="1129">
        <f t="shared" si="634"/>
        <v>0</v>
      </c>
      <c r="R1451" s="1129">
        <f t="shared" si="634"/>
        <v>0</v>
      </c>
      <c r="S1451" s="1129">
        <f t="shared" si="634"/>
        <v>0</v>
      </c>
      <c r="T1451" s="1129">
        <f t="shared" si="634"/>
        <v>0</v>
      </c>
      <c r="U1451" s="1129">
        <f t="shared" si="634"/>
        <v>0</v>
      </c>
      <c r="V1451" s="1129">
        <f t="shared" si="634"/>
        <v>0</v>
      </c>
      <c r="W1451" s="1129">
        <v>0</v>
      </c>
      <c r="X1451" s="1129">
        <f t="shared" ref="X1451:Y1451" si="635">X1452+X1453+X1454</f>
        <v>120418.59</v>
      </c>
      <c r="Y1451" s="1129">
        <f t="shared" si="635"/>
        <v>0</v>
      </c>
    </row>
    <row r="1452" spans="1:25" s="1137" customFormat="1" ht="69" customHeight="1">
      <c r="A1452" s="1280">
        <v>399</v>
      </c>
      <c r="B1452" s="1128" t="s">
        <v>645</v>
      </c>
      <c r="C1452" s="1129">
        <f t="shared" ref="C1452:C1454" si="636">D1452+N1452+P1452+R1452+T1452+V1452+X1452</f>
        <v>494147</v>
      </c>
      <c r="D1452" s="1129">
        <f t="shared" ref="D1452:D1454" si="637">SUM(E1452:J1452)</f>
        <v>467537.23</v>
      </c>
      <c r="E1452" s="1129">
        <v>0</v>
      </c>
      <c r="F1452" s="1129">
        <v>467537.23</v>
      </c>
      <c r="G1452" s="1129">
        <v>0</v>
      </c>
      <c r="H1452" s="1129">
        <v>0</v>
      </c>
      <c r="I1452" s="1129">
        <v>0</v>
      </c>
      <c r="J1452" s="1129">
        <v>0</v>
      </c>
      <c r="K1452" s="1136">
        <v>0</v>
      </c>
      <c r="L1452" s="1129">
        <v>0</v>
      </c>
      <c r="M1452" s="1136">
        <v>0</v>
      </c>
      <c r="N1452" s="1129">
        <v>0</v>
      </c>
      <c r="O1452" s="1129">
        <v>0</v>
      </c>
      <c r="P1452" s="1129">
        <v>0</v>
      </c>
      <c r="Q1452" s="1129">
        <v>0</v>
      </c>
      <c r="R1452" s="1129">
        <v>0</v>
      </c>
      <c r="S1452" s="1129">
        <v>0</v>
      </c>
      <c r="T1452" s="1129">
        <v>0</v>
      </c>
      <c r="U1452" s="1129">
        <v>0</v>
      </c>
      <c r="V1452" s="1129">
        <v>0</v>
      </c>
      <c r="W1452" s="1129">
        <v>0</v>
      </c>
      <c r="X1452" s="1129">
        <v>26609.77</v>
      </c>
      <c r="Y1452" s="1129">
        <v>0</v>
      </c>
    </row>
    <row r="1453" spans="1:25" s="1137" customFormat="1" ht="71.45" customHeight="1">
      <c r="A1453" s="1280">
        <v>400</v>
      </c>
      <c r="B1453" s="1128" t="s">
        <v>647</v>
      </c>
      <c r="C1453" s="1129">
        <f t="shared" si="636"/>
        <v>591972</v>
      </c>
      <c r="D1453" s="1129">
        <f t="shared" si="637"/>
        <v>548974</v>
      </c>
      <c r="E1453" s="1129">
        <v>0</v>
      </c>
      <c r="F1453" s="1129">
        <v>548974</v>
      </c>
      <c r="G1453" s="1129">
        <v>0</v>
      </c>
      <c r="H1453" s="1129">
        <v>0</v>
      </c>
      <c r="I1453" s="1129">
        <v>0</v>
      </c>
      <c r="J1453" s="1129">
        <v>0</v>
      </c>
      <c r="K1453" s="1136">
        <v>0</v>
      </c>
      <c r="L1453" s="1129">
        <v>0</v>
      </c>
      <c r="M1453" s="1136">
        <v>0</v>
      </c>
      <c r="N1453" s="1129">
        <v>0</v>
      </c>
      <c r="O1453" s="1129">
        <v>0</v>
      </c>
      <c r="P1453" s="1129">
        <v>0</v>
      </c>
      <c r="Q1453" s="1129">
        <v>0</v>
      </c>
      <c r="R1453" s="1129">
        <v>0</v>
      </c>
      <c r="S1453" s="1129">
        <v>0</v>
      </c>
      <c r="T1453" s="1129">
        <v>0</v>
      </c>
      <c r="U1453" s="1129">
        <v>0</v>
      </c>
      <c r="V1453" s="1129">
        <v>0</v>
      </c>
      <c r="W1453" s="1129">
        <v>0</v>
      </c>
      <c r="X1453" s="1129">
        <v>42998</v>
      </c>
      <c r="Y1453" s="1129">
        <v>0</v>
      </c>
    </row>
    <row r="1454" spans="1:25" s="1137" customFormat="1" ht="71.45" customHeight="1">
      <c r="A1454" s="1280">
        <v>401</v>
      </c>
      <c r="B1454" s="1128" t="s">
        <v>1635</v>
      </c>
      <c r="C1454" s="1129">
        <f t="shared" si="636"/>
        <v>699538</v>
      </c>
      <c r="D1454" s="1129">
        <f t="shared" si="637"/>
        <v>648727.18000000005</v>
      </c>
      <c r="E1454" s="1129">
        <v>0</v>
      </c>
      <c r="F1454" s="1129">
        <v>0</v>
      </c>
      <c r="G1454" s="1129">
        <v>0</v>
      </c>
      <c r="H1454" s="1129">
        <v>648727.18000000005</v>
      </c>
      <c r="I1454" s="1129">
        <v>0</v>
      </c>
      <c r="J1454" s="1129">
        <v>0</v>
      </c>
      <c r="K1454" s="1136">
        <v>0</v>
      </c>
      <c r="L1454" s="1129">
        <v>0</v>
      </c>
      <c r="M1454" s="1136">
        <v>0</v>
      </c>
      <c r="N1454" s="1129">
        <v>0</v>
      </c>
      <c r="O1454" s="1129">
        <v>0</v>
      </c>
      <c r="P1454" s="1129">
        <v>0</v>
      </c>
      <c r="Q1454" s="1129">
        <v>0</v>
      </c>
      <c r="R1454" s="1129">
        <v>0</v>
      </c>
      <c r="S1454" s="1129">
        <v>0</v>
      </c>
      <c r="T1454" s="1129">
        <v>0</v>
      </c>
      <c r="U1454" s="1129">
        <v>0</v>
      </c>
      <c r="V1454" s="1129">
        <v>0</v>
      </c>
      <c r="W1454" s="1129">
        <v>0</v>
      </c>
      <c r="X1454" s="1129">
        <v>50810.82</v>
      </c>
      <c r="Y1454" s="1129">
        <v>0</v>
      </c>
    </row>
    <row r="1455" spans="1:25" s="1177" customFormat="1" ht="132" customHeight="1">
      <c r="A1455" s="1280"/>
      <c r="B1455" s="1135" t="s">
        <v>1068</v>
      </c>
      <c r="C1455" s="1129">
        <v>5266882.1500000004</v>
      </c>
      <c r="D1455" s="1129">
        <v>0</v>
      </c>
      <c r="E1455" s="1129">
        <v>0</v>
      </c>
      <c r="F1455" s="1129">
        <v>0</v>
      </c>
      <c r="G1455" s="1129">
        <v>0</v>
      </c>
      <c r="H1455" s="1129">
        <v>0</v>
      </c>
      <c r="I1455" s="1129">
        <v>0</v>
      </c>
      <c r="J1455" s="1129">
        <v>0</v>
      </c>
      <c r="K1455" s="1136">
        <v>0</v>
      </c>
      <c r="L1455" s="1129">
        <v>0</v>
      </c>
      <c r="M1455" s="1136">
        <v>0</v>
      </c>
      <c r="N1455" s="1129">
        <v>0</v>
      </c>
      <c r="O1455" s="1129">
        <v>0</v>
      </c>
      <c r="P1455" s="1129">
        <v>0</v>
      </c>
      <c r="Q1455" s="1129">
        <v>0</v>
      </c>
      <c r="R1455" s="1129">
        <v>0</v>
      </c>
      <c r="S1455" s="1129">
        <v>1979.8</v>
      </c>
      <c r="T1455" s="1129">
        <v>4884323</v>
      </c>
      <c r="U1455" s="1129">
        <v>0</v>
      </c>
      <c r="V1455" s="1129">
        <v>0</v>
      </c>
      <c r="W1455" s="1129">
        <v>0</v>
      </c>
      <c r="X1455" s="1129">
        <v>382559.15</v>
      </c>
      <c r="Y1455" s="1129">
        <v>0</v>
      </c>
    </row>
    <row r="1456" spans="1:25" s="1177" customFormat="1" ht="69" customHeight="1">
      <c r="A1456" s="1280">
        <v>402</v>
      </c>
      <c r="B1456" s="1135" t="s">
        <v>2668</v>
      </c>
      <c r="C1456" s="1129">
        <v>1652470</v>
      </c>
      <c r="D1456" s="1129">
        <v>0</v>
      </c>
      <c r="E1456" s="1129">
        <v>0</v>
      </c>
      <c r="F1456" s="1129">
        <v>0</v>
      </c>
      <c r="G1456" s="1129">
        <v>0</v>
      </c>
      <c r="H1456" s="1129">
        <v>0</v>
      </c>
      <c r="I1456" s="1129">
        <v>0</v>
      </c>
      <c r="J1456" s="1129">
        <v>0</v>
      </c>
      <c r="K1456" s="1136">
        <v>0</v>
      </c>
      <c r="L1456" s="1129">
        <v>0</v>
      </c>
      <c r="M1456" s="1136">
        <v>0</v>
      </c>
      <c r="N1456" s="1129">
        <v>0</v>
      </c>
      <c r="O1456" s="1129">
        <v>0</v>
      </c>
      <c r="P1456" s="1129">
        <v>0</v>
      </c>
      <c r="Q1456" s="1129">
        <v>0</v>
      </c>
      <c r="R1456" s="1129">
        <v>0</v>
      </c>
      <c r="S1456" s="1129">
        <v>621.5</v>
      </c>
      <c r="T1456" s="1129">
        <v>1532443</v>
      </c>
      <c r="U1456" s="1129">
        <v>0</v>
      </c>
      <c r="V1456" s="1129">
        <v>0</v>
      </c>
      <c r="W1456" s="1129">
        <v>0</v>
      </c>
      <c r="X1456" s="1129">
        <v>120027</v>
      </c>
      <c r="Y1456" s="1129">
        <v>0</v>
      </c>
    </row>
    <row r="1457" spans="1:25" s="1177" customFormat="1" ht="64.900000000000006" customHeight="1">
      <c r="A1457" s="1280">
        <v>403</v>
      </c>
      <c r="B1457" s="1135" t="s">
        <v>2669</v>
      </c>
      <c r="C1457" s="1129">
        <v>1807605</v>
      </c>
      <c r="D1457" s="1129">
        <v>0</v>
      </c>
      <c r="E1457" s="1129">
        <v>0</v>
      </c>
      <c r="F1457" s="1129">
        <v>0</v>
      </c>
      <c r="G1457" s="1129">
        <v>0</v>
      </c>
      <c r="H1457" s="1129">
        <v>0</v>
      </c>
      <c r="I1457" s="1129">
        <v>0</v>
      </c>
      <c r="J1457" s="1129">
        <v>0</v>
      </c>
      <c r="K1457" s="1136">
        <v>0</v>
      </c>
      <c r="L1457" s="1129">
        <v>0</v>
      </c>
      <c r="M1457" s="1136">
        <v>0</v>
      </c>
      <c r="N1457" s="1129">
        <v>0</v>
      </c>
      <c r="O1457" s="1129">
        <v>0</v>
      </c>
      <c r="P1457" s="1129">
        <v>0</v>
      </c>
      <c r="Q1457" s="1129">
        <v>0</v>
      </c>
      <c r="R1457" s="1129">
        <v>0</v>
      </c>
      <c r="S1457" s="1129">
        <v>679.3</v>
      </c>
      <c r="T1457" s="1129">
        <v>1676310</v>
      </c>
      <c r="U1457" s="1129">
        <v>0</v>
      </c>
      <c r="V1457" s="1129">
        <v>0</v>
      </c>
      <c r="W1457" s="1129">
        <v>0</v>
      </c>
      <c r="X1457" s="1129">
        <v>131295</v>
      </c>
      <c r="Y1457" s="1129">
        <v>0</v>
      </c>
    </row>
    <row r="1458" spans="1:25" s="1177" customFormat="1" ht="73.150000000000006" customHeight="1">
      <c r="A1458" s="1280">
        <v>404</v>
      </c>
      <c r="B1458" s="1135" t="s">
        <v>674</v>
      </c>
      <c r="C1458" s="1129">
        <v>1806807.15</v>
      </c>
      <c r="D1458" s="1129">
        <v>0</v>
      </c>
      <c r="E1458" s="1129">
        <v>0</v>
      </c>
      <c r="F1458" s="1129">
        <v>0</v>
      </c>
      <c r="G1458" s="1129">
        <v>0</v>
      </c>
      <c r="H1458" s="1129">
        <v>0</v>
      </c>
      <c r="I1458" s="1129">
        <v>0</v>
      </c>
      <c r="J1458" s="1129">
        <v>0</v>
      </c>
      <c r="K1458" s="1136">
        <v>0</v>
      </c>
      <c r="L1458" s="1129">
        <v>0</v>
      </c>
      <c r="M1458" s="1136">
        <v>0</v>
      </c>
      <c r="N1458" s="1129">
        <v>0</v>
      </c>
      <c r="O1458" s="1129">
        <v>0</v>
      </c>
      <c r="P1458" s="1129">
        <v>0</v>
      </c>
      <c r="Q1458" s="1129">
        <v>0</v>
      </c>
      <c r="R1458" s="1129">
        <v>0</v>
      </c>
      <c r="S1458" s="1129">
        <v>679</v>
      </c>
      <c r="T1458" s="1129">
        <v>1675570</v>
      </c>
      <c r="U1458" s="1129">
        <v>0</v>
      </c>
      <c r="V1458" s="1129">
        <v>0</v>
      </c>
      <c r="W1458" s="1129">
        <v>0</v>
      </c>
      <c r="X1458" s="1129">
        <v>131237.15</v>
      </c>
      <c r="Y1458" s="1129">
        <v>0</v>
      </c>
    </row>
    <row r="1459" spans="1:25" s="1177" customFormat="1" ht="125.45" customHeight="1">
      <c r="A1459" s="1280"/>
      <c r="B1459" s="1135" t="s">
        <v>1387</v>
      </c>
      <c r="C1459" s="1129">
        <v>275823</v>
      </c>
      <c r="D1459" s="1129">
        <v>255789</v>
      </c>
      <c r="E1459" s="1129">
        <v>0</v>
      </c>
      <c r="F1459" s="1129">
        <v>0</v>
      </c>
      <c r="G1459" s="1129">
        <v>0</v>
      </c>
      <c r="H1459" s="1129">
        <v>0</v>
      </c>
      <c r="I1459" s="1129">
        <v>0</v>
      </c>
      <c r="J1459" s="1129">
        <v>255789</v>
      </c>
      <c r="K1459" s="1136">
        <v>0</v>
      </c>
      <c r="L1459" s="1129">
        <v>0</v>
      </c>
      <c r="M1459" s="1136">
        <v>0</v>
      </c>
      <c r="N1459" s="1129">
        <v>0</v>
      </c>
      <c r="O1459" s="1129">
        <v>0</v>
      </c>
      <c r="P1459" s="1129">
        <v>0</v>
      </c>
      <c r="Q1459" s="1129">
        <v>0</v>
      </c>
      <c r="R1459" s="1129">
        <v>0</v>
      </c>
      <c r="S1459" s="1129">
        <v>0</v>
      </c>
      <c r="T1459" s="1129">
        <v>0</v>
      </c>
      <c r="U1459" s="1129">
        <v>0</v>
      </c>
      <c r="V1459" s="1129">
        <v>0</v>
      </c>
      <c r="W1459" s="1129">
        <v>0</v>
      </c>
      <c r="X1459" s="1129">
        <v>20034</v>
      </c>
      <c r="Y1459" s="1129">
        <v>0</v>
      </c>
    </row>
    <row r="1460" spans="1:25" s="1177" customFormat="1" ht="111.6" customHeight="1">
      <c r="A1460" s="1280">
        <v>405</v>
      </c>
      <c r="B1460" s="1135" t="s">
        <v>1945</v>
      </c>
      <c r="C1460" s="1129">
        <v>275823</v>
      </c>
      <c r="D1460" s="1129">
        <v>255789</v>
      </c>
      <c r="E1460" s="1129">
        <v>0</v>
      </c>
      <c r="F1460" s="1129">
        <v>0</v>
      </c>
      <c r="G1460" s="1129">
        <v>0</v>
      </c>
      <c r="H1460" s="1129">
        <v>0</v>
      </c>
      <c r="I1460" s="1129">
        <v>0</v>
      </c>
      <c r="J1460" s="1129">
        <v>255789</v>
      </c>
      <c r="K1460" s="1136">
        <v>0</v>
      </c>
      <c r="L1460" s="1129">
        <v>0</v>
      </c>
      <c r="M1460" s="1136">
        <v>0</v>
      </c>
      <c r="N1460" s="1129">
        <v>0</v>
      </c>
      <c r="O1460" s="1129">
        <v>0</v>
      </c>
      <c r="P1460" s="1129">
        <v>0</v>
      </c>
      <c r="Q1460" s="1129">
        <v>0</v>
      </c>
      <c r="R1460" s="1129">
        <v>0</v>
      </c>
      <c r="S1460" s="1129">
        <v>0</v>
      </c>
      <c r="T1460" s="1129">
        <v>0</v>
      </c>
      <c r="U1460" s="1129">
        <v>0</v>
      </c>
      <c r="V1460" s="1129">
        <v>0</v>
      </c>
      <c r="W1460" s="1129">
        <v>0</v>
      </c>
      <c r="X1460" s="1129">
        <v>20034</v>
      </c>
      <c r="Y1460" s="1129">
        <v>0</v>
      </c>
    </row>
    <row r="1461" spans="1:25" s="1177" customFormat="1" ht="127.9" customHeight="1">
      <c r="A1461" s="1280"/>
      <c r="B1461" s="1135" t="s">
        <v>1387</v>
      </c>
      <c r="C1461" s="1129">
        <v>20216</v>
      </c>
      <c r="D1461" s="1129">
        <v>0</v>
      </c>
      <c r="E1461" s="1129">
        <v>0</v>
      </c>
      <c r="F1461" s="1129">
        <v>0</v>
      </c>
      <c r="G1461" s="1129">
        <v>0</v>
      </c>
      <c r="H1461" s="1129">
        <v>0</v>
      </c>
      <c r="I1461" s="1129">
        <v>0</v>
      </c>
      <c r="J1461" s="1129">
        <v>0</v>
      </c>
      <c r="K1461" s="1136">
        <v>0</v>
      </c>
      <c r="L1461" s="1129">
        <v>0</v>
      </c>
      <c r="M1461" s="1136">
        <v>0</v>
      </c>
      <c r="N1461" s="1129">
        <v>0</v>
      </c>
      <c r="O1461" s="1129">
        <v>0</v>
      </c>
      <c r="P1461" s="1129">
        <v>0</v>
      </c>
      <c r="Q1461" s="1129">
        <v>0</v>
      </c>
      <c r="R1461" s="1129">
        <v>0</v>
      </c>
      <c r="S1461" s="1129">
        <v>0</v>
      </c>
      <c r="T1461" s="1129">
        <v>0</v>
      </c>
      <c r="U1461" s="1129">
        <v>0</v>
      </c>
      <c r="V1461" s="1129">
        <v>0</v>
      </c>
      <c r="W1461" s="1129">
        <v>0</v>
      </c>
      <c r="X1461" s="1129">
        <v>20216</v>
      </c>
      <c r="Y1461" s="1129">
        <v>0</v>
      </c>
    </row>
    <row r="1462" spans="1:25" s="1177" customFormat="1" ht="106.9" customHeight="1">
      <c r="A1462" s="1280">
        <v>406</v>
      </c>
      <c r="B1462" s="1135" t="s">
        <v>2854</v>
      </c>
      <c r="C1462" s="1129">
        <v>20216</v>
      </c>
      <c r="D1462" s="1129">
        <v>0</v>
      </c>
      <c r="E1462" s="1129">
        <v>0</v>
      </c>
      <c r="F1462" s="1129">
        <v>0</v>
      </c>
      <c r="G1462" s="1129">
        <v>0</v>
      </c>
      <c r="H1462" s="1129">
        <v>0</v>
      </c>
      <c r="I1462" s="1129">
        <v>0</v>
      </c>
      <c r="J1462" s="1129">
        <v>0</v>
      </c>
      <c r="K1462" s="1136">
        <v>0</v>
      </c>
      <c r="L1462" s="1129">
        <v>0</v>
      </c>
      <c r="M1462" s="1136">
        <v>0</v>
      </c>
      <c r="N1462" s="1129">
        <v>0</v>
      </c>
      <c r="O1462" s="1129">
        <v>0</v>
      </c>
      <c r="P1462" s="1129">
        <v>0</v>
      </c>
      <c r="Q1462" s="1129">
        <v>0</v>
      </c>
      <c r="R1462" s="1129">
        <v>0</v>
      </c>
      <c r="S1462" s="1129">
        <v>0</v>
      </c>
      <c r="T1462" s="1129">
        <v>0</v>
      </c>
      <c r="U1462" s="1129">
        <v>0</v>
      </c>
      <c r="V1462" s="1129">
        <v>0</v>
      </c>
      <c r="W1462" s="1129">
        <v>0</v>
      </c>
      <c r="X1462" s="1129">
        <v>20216</v>
      </c>
      <c r="Y1462" s="1129">
        <v>0</v>
      </c>
    </row>
    <row r="1463" spans="1:25" s="1177" customFormat="1" ht="132.6" customHeight="1">
      <c r="A1463" s="1280"/>
      <c r="B1463" s="1135" t="s">
        <v>1084</v>
      </c>
      <c r="C1463" s="1129">
        <f>C1464</f>
        <v>2247767.560940621</v>
      </c>
      <c r="D1463" s="1129">
        <f t="shared" ref="D1463:Y1463" si="638">D1464</f>
        <v>0</v>
      </c>
      <c r="E1463" s="1129">
        <f t="shared" si="638"/>
        <v>0</v>
      </c>
      <c r="F1463" s="1129">
        <f t="shared" si="638"/>
        <v>0</v>
      </c>
      <c r="G1463" s="1129">
        <f t="shared" si="638"/>
        <v>0</v>
      </c>
      <c r="H1463" s="1129">
        <f t="shared" si="638"/>
        <v>0</v>
      </c>
      <c r="I1463" s="1129">
        <f t="shared" si="638"/>
        <v>0</v>
      </c>
      <c r="J1463" s="1129">
        <f t="shared" si="638"/>
        <v>0</v>
      </c>
      <c r="K1463" s="1136">
        <f t="shared" si="638"/>
        <v>0</v>
      </c>
      <c r="L1463" s="1129">
        <f t="shared" si="638"/>
        <v>0</v>
      </c>
      <c r="M1463" s="1136">
        <f t="shared" si="638"/>
        <v>0</v>
      </c>
      <c r="N1463" s="1129">
        <f t="shared" si="638"/>
        <v>0</v>
      </c>
      <c r="O1463" s="1129">
        <f t="shared" si="638"/>
        <v>680</v>
      </c>
      <c r="P1463" s="1129">
        <f t="shared" si="638"/>
        <v>2134358.2999999998</v>
      </c>
      <c r="Q1463" s="1129">
        <f t="shared" si="638"/>
        <v>0</v>
      </c>
      <c r="R1463" s="1129">
        <f t="shared" si="638"/>
        <v>0</v>
      </c>
      <c r="S1463" s="1129">
        <f t="shared" si="638"/>
        <v>0</v>
      </c>
      <c r="T1463" s="1129">
        <f t="shared" si="638"/>
        <v>0</v>
      </c>
      <c r="U1463" s="1129">
        <f t="shared" si="638"/>
        <v>0</v>
      </c>
      <c r="V1463" s="1129">
        <f t="shared" si="638"/>
        <v>0</v>
      </c>
      <c r="W1463" s="1129">
        <v>0</v>
      </c>
      <c r="X1463" s="1129">
        <f t="shared" si="638"/>
        <v>113409.26094062102</v>
      </c>
      <c r="Y1463" s="1129">
        <f t="shared" si="638"/>
        <v>0</v>
      </c>
    </row>
    <row r="1464" spans="1:25" s="1177" customFormat="1" ht="97.15" customHeight="1">
      <c r="A1464" s="1280">
        <v>407</v>
      </c>
      <c r="B1464" s="1128" t="s">
        <v>1392</v>
      </c>
      <c r="C1464" s="1145">
        <f t="shared" ref="C1464" si="639">D1464+N1464+P1464+R1464+T1464+V1464+X1464</f>
        <v>2247767.560940621</v>
      </c>
      <c r="D1464" s="1145">
        <f t="shared" ref="D1464" si="640">SUM(E1464:J1464)</f>
        <v>0</v>
      </c>
      <c r="E1464" s="1129">
        <v>0</v>
      </c>
      <c r="F1464" s="1129">
        <v>0</v>
      </c>
      <c r="G1464" s="1129">
        <v>0</v>
      </c>
      <c r="H1464" s="1129">
        <v>0</v>
      </c>
      <c r="I1464" s="1129">
        <v>0</v>
      </c>
      <c r="J1464" s="1129">
        <v>0</v>
      </c>
      <c r="K1464" s="1136">
        <v>0</v>
      </c>
      <c r="L1464" s="1129">
        <v>0</v>
      </c>
      <c r="M1464" s="1136">
        <v>0</v>
      </c>
      <c r="N1464" s="1129">
        <v>0</v>
      </c>
      <c r="O1464" s="1129">
        <v>680</v>
      </c>
      <c r="P1464" s="1129">
        <v>2134358.2999999998</v>
      </c>
      <c r="Q1464" s="1129">
        <v>0</v>
      </c>
      <c r="R1464" s="1129">
        <v>0</v>
      </c>
      <c r="S1464" s="1129">
        <v>0</v>
      </c>
      <c r="T1464" s="1129">
        <v>0</v>
      </c>
      <c r="U1464" s="1129">
        <v>0</v>
      </c>
      <c r="V1464" s="1129">
        <v>0</v>
      </c>
      <c r="W1464" s="1129">
        <v>0</v>
      </c>
      <c r="X1464" s="1129">
        <v>113409.26094062102</v>
      </c>
      <c r="Y1464" s="1129">
        <v>0</v>
      </c>
    </row>
    <row r="1465" spans="1:25" s="1177" customFormat="1" ht="85.15" customHeight="1">
      <c r="A1465" s="1280"/>
      <c r="B1465" s="1135" t="s">
        <v>53</v>
      </c>
      <c r="C1465" s="1129">
        <f>C1466+C1483+C1491+C1487+C1505+C1479+C1500</f>
        <v>102292759.47708371</v>
      </c>
      <c r="D1465" s="1129">
        <f t="shared" ref="D1465:Y1465" si="641">D1466+D1483+D1491+D1487+D1505+D1479+D1500</f>
        <v>20699476.07</v>
      </c>
      <c r="E1465" s="1129">
        <f t="shared" si="641"/>
        <v>5871121.0700000003</v>
      </c>
      <c r="F1465" s="1129">
        <f t="shared" si="641"/>
        <v>3548431</v>
      </c>
      <c r="G1465" s="1129">
        <f t="shared" si="641"/>
        <v>0</v>
      </c>
      <c r="H1465" s="1129">
        <f t="shared" si="641"/>
        <v>5144057</v>
      </c>
      <c r="I1465" s="1129">
        <f t="shared" si="641"/>
        <v>4758242</v>
      </c>
      <c r="J1465" s="1129">
        <f t="shared" si="641"/>
        <v>1377625</v>
      </c>
      <c r="K1465" s="1136">
        <f t="shared" si="641"/>
        <v>0</v>
      </c>
      <c r="L1465" s="1129">
        <f t="shared" si="641"/>
        <v>0</v>
      </c>
      <c r="M1465" s="1136">
        <f t="shared" si="641"/>
        <v>0</v>
      </c>
      <c r="N1465" s="1129">
        <f t="shared" si="641"/>
        <v>0</v>
      </c>
      <c r="O1465" s="1129">
        <f t="shared" si="641"/>
        <v>21871.400000000005</v>
      </c>
      <c r="P1465" s="1129">
        <f t="shared" si="641"/>
        <v>65249074.25</v>
      </c>
      <c r="Q1465" s="1129">
        <f t="shared" si="641"/>
        <v>0</v>
      </c>
      <c r="R1465" s="1129">
        <f t="shared" si="641"/>
        <v>0</v>
      </c>
      <c r="S1465" s="1129">
        <f t="shared" si="641"/>
        <v>3574.21</v>
      </c>
      <c r="T1465" s="1129">
        <f t="shared" si="641"/>
        <v>6176337.4128672592</v>
      </c>
      <c r="U1465" s="1129">
        <f t="shared" si="641"/>
        <v>0</v>
      </c>
      <c r="V1465" s="1129">
        <f t="shared" si="641"/>
        <v>0</v>
      </c>
      <c r="W1465" s="1129">
        <v>0</v>
      </c>
      <c r="X1465" s="1129">
        <f t="shared" si="641"/>
        <v>6830464.2842164524</v>
      </c>
      <c r="Y1465" s="1129">
        <f t="shared" si="641"/>
        <v>91820</v>
      </c>
    </row>
    <row r="1466" spans="1:25" s="1177" customFormat="1" ht="139.9" customHeight="1">
      <c r="A1466" s="1280"/>
      <c r="B1466" s="1135" t="s">
        <v>2429</v>
      </c>
      <c r="C1466" s="1129">
        <f>SUM(C1467:C1478)</f>
        <v>59153932.719999999</v>
      </c>
      <c r="D1466" s="1129">
        <f t="shared" ref="D1466:Y1466" si="642">SUM(D1467:D1478)</f>
        <v>19109547.07</v>
      </c>
      <c r="E1466" s="1129">
        <f t="shared" si="642"/>
        <v>5539366.0700000003</v>
      </c>
      <c r="F1466" s="1129">
        <f t="shared" si="642"/>
        <v>2920036</v>
      </c>
      <c r="G1466" s="1129">
        <f t="shared" si="642"/>
        <v>0</v>
      </c>
      <c r="H1466" s="1129">
        <f t="shared" si="642"/>
        <v>4758242</v>
      </c>
      <c r="I1466" s="1129">
        <f t="shared" si="642"/>
        <v>4758242</v>
      </c>
      <c r="J1466" s="1129">
        <f t="shared" si="642"/>
        <v>1133661</v>
      </c>
      <c r="K1466" s="1136">
        <f t="shared" si="642"/>
        <v>0</v>
      </c>
      <c r="L1466" s="1129">
        <f t="shared" si="642"/>
        <v>0</v>
      </c>
      <c r="M1466" s="1136">
        <f t="shared" si="642"/>
        <v>0</v>
      </c>
      <c r="N1466" s="1129">
        <f t="shared" si="642"/>
        <v>0</v>
      </c>
      <c r="O1466" s="1129">
        <f t="shared" si="642"/>
        <v>12192.000000000002</v>
      </c>
      <c r="P1466" s="1129">
        <f t="shared" si="642"/>
        <v>35897757.609999999</v>
      </c>
      <c r="Q1466" s="1129">
        <f t="shared" si="642"/>
        <v>0</v>
      </c>
      <c r="R1466" s="1129">
        <f t="shared" si="642"/>
        <v>0</v>
      </c>
      <c r="S1466" s="1129">
        <f t="shared" si="642"/>
        <v>0</v>
      </c>
      <c r="T1466" s="1129">
        <f t="shared" si="642"/>
        <v>0</v>
      </c>
      <c r="U1466" s="1129">
        <f t="shared" si="642"/>
        <v>0</v>
      </c>
      <c r="V1466" s="1129">
        <f t="shared" si="642"/>
        <v>0</v>
      </c>
      <c r="W1466" s="1129">
        <v>0</v>
      </c>
      <c r="X1466" s="1129">
        <f t="shared" si="642"/>
        <v>4146628.04</v>
      </c>
      <c r="Y1466" s="1129">
        <f t="shared" si="642"/>
        <v>0</v>
      </c>
    </row>
    <row r="1467" spans="1:25" s="1177" customFormat="1" ht="66.599999999999994" customHeight="1">
      <c r="A1467" s="1280">
        <v>408</v>
      </c>
      <c r="B1467" s="1172" t="s">
        <v>1131</v>
      </c>
      <c r="C1467" s="1145">
        <f t="shared" ref="C1467" si="643">D1467+N1467+P1467+R1467+T1467+V1467+X1467</f>
        <v>6341528</v>
      </c>
      <c r="D1467" s="1145">
        <f t="shared" ref="D1467" si="644">SUM(E1467:J1467)</f>
        <v>5930852</v>
      </c>
      <c r="E1467" s="1145">
        <v>0</v>
      </c>
      <c r="F1467" s="1145">
        <v>0</v>
      </c>
      <c r="G1467" s="1145">
        <v>0</v>
      </c>
      <c r="H1467" s="1145">
        <v>2965426</v>
      </c>
      <c r="I1467" s="1145">
        <v>2965426</v>
      </c>
      <c r="J1467" s="1145">
        <v>0</v>
      </c>
      <c r="K1467" s="1136">
        <v>0</v>
      </c>
      <c r="L1467" s="1145">
        <v>0</v>
      </c>
      <c r="M1467" s="1136">
        <v>0</v>
      </c>
      <c r="N1467" s="1145">
        <v>0</v>
      </c>
      <c r="O1467" s="1145">
        <v>0</v>
      </c>
      <c r="P1467" s="1145">
        <v>0</v>
      </c>
      <c r="Q1467" s="1145">
        <v>0</v>
      </c>
      <c r="R1467" s="1145">
        <v>0</v>
      </c>
      <c r="S1467" s="1145">
        <v>0</v>
      </c>
      <c r="T1467" s="1145">
        <v>0</v>
      </c>
      <c r="U1467" s="1145">
        <v>0</v>
      </c>
      <c r="V1467" s="1145">
        <v>0</v>
      </c>
      <c r="W1467" s="1129">
        <v>0</v>
      </c>
      <c r="X1467" s="1145">
        <f>205338*2</f>
        <v>410676</v>
      </c>
      <c r="Y1467" s="1145">
        <v>0</v>
      </c>
    </row>
    <row r="1468" spans="1:25" s="1177" customFormat="1" ht="69" customHeight="1">
      <c r="A1468" s="1280">
        <v>409</v>
      </c>
      <c r="B1468" s="1172" t="s">
        <v>1304</v>
      </c>
      <c r="C1468" s="1145">
        <f t="shared" ref="C1468:C1480" si="645">D1468+N1468+P1468+R1468+T1468+V1468+X1468</f>
        <v>2822982.89</v>
      </c>
      <c r="D1468" s="1145">
        <f t="shared" ref="D1468:D1478" si="646">SUM(E1468:J1468)</f>
        <v>0</v>
      </c>
      <c r="E1468" s="1145">
        <v>0</v>
      </c>
      <c r="F1468" s="1145">
        <v>0</v>
      </c>
      <c r="G1468" s="1145">
        <v>0</v>
      </c>
      <c r="H1468" s="1145">
        <v>0</v>
      </c>
      <c r="I1468" s="1145">
        <v>0</v>
      </c>
      <c r="J1468" s="1145">
        <v>0</v>
      </c>
      <c r="K1468" s="1136">
        <v>0</v>
      </c>
      <c r="L1468" s="1145">
        <v>0</v>
      </c>
      <c r="M1468" s="1136">
        <v>0</v>
      </c>
      <c r="N1468" s="1145">
        <v>0</v>
      </c>
      <c r="O1468" s="1195">
        <v>1060</v>
      </c>
      <c r="P1468" s="1145">
        <v>2670981</v>
      </c>
      <c r="Q1468" s="1145">
        <v>0</v>
      </c>
      <c r="R1468" s="1145">
        <v>0</v>
      </c>
      <c r="S1468" s="1145">
        <v>0</v>
      </c>
      <c r="T1468" s="1145">
        <v>0</v>
      </c>
      <c r="U1468" s="1145">
        <v>0</v>
      </c>
      <c r="V1468" s="1145">
        <v>0</v>
      </c>
      <c r="W1468" s="1129">
        <v>0</v>
      </c>
      <c r="X1468" s="1145">
        <v>152001.89000000001</v>
      </c>
      <c r="Y1468" s="1145">
        <v>0</v>
      </c>
    </row>
    <row r="1469" spans="1:25" s="1177" customFormat="1" ht="73.900000000000006" customHeight="1">
      <c r="A1469" s="1280">
        <v>410</v>
      </c>
      <c r="B1469" s="1185" t="s">
        <v>1305</v>
      </c>
      <c r="C1469" s="1145">
        <f t="shared" si="645"/>
        <v>4386210.95</v>
      </c>
      <c r="D1469" s="1145">
        <f t="shared" si="646"/>
        <v>0</v>
      </c>
      <c r="E1469" s="1145">
        <v>0</v>
      </c>
      <c r="F1469" s="1145">
        <v>0</v>
      </c>
      <c r="G1469" s="1145">
        <v>0</v>
      </c>
      <c r="H1469" s="1145">
        <v>0</v>
      </c>
      <c r="I1469" s="1145">
        <v>0</v>
      </c>
      <c r="J1469" s="1145">
        <v>0</v>
      </c>
      <c r="K1469" s="1136">
        <v>0</v>
      </c>
      <c r="L1469" s="1145">
        <v>0</v>
      </c>
      <c r="M1469" s="1136">
        <v>0</v>
      </c>
      <c r="N1469" s="1145">
        <v>0</v>
      </c>
      <c r="O1469" s="1184">
        <v>1276</v>
      </c>
      <c r="P1469" s="1145">
        <v>4067619.27</v>
      </c>
      <c r="Q1469" s="1145">
        <v>0</v>
      </c>
      <c r="R1469" s="1145">
        <v>0</v>
      </c>
      <c r="S1469" s="1145">
        <v>0</v>
      </c>
      <c r="T1469" s="1145">
        <v>0</v>
      </c>
      <c r="U1469" s="1145">
        <v>0</v>
      </c>
      <c r="V1469" s="1145">
        <v>0</v>
      </c>
      <c r="W1469" s="1129">
        <v>0</v>
      </c>
      <c r="X1469" s="1145">
        <v>318591.68</v>
      </c>
      <c r="Y1469" s="1145">
        <v>0</v>
      </c>
    </row>
    <row r="1470" spans="1:25" s="1177" customFormat="1" ht="73.900000000000006" customHeight="1">
      <c r="A1470" s="1280">
        <v>411</v>
      </c>
      <c r="B1470" s="1185" t="s">
        <v>1306</v>
      </c>
      <c r="C1470" s="1145">
        <f t="shared" si="645"/>
        <v>2062481.64</v>
      </c>
      <c r="D1470" s="1145">
        <f t="shared" si="646"/>
        <v>0</v>
      </c>
      <c r="E1470" s="1145">
        <v>0</v>
      </c>
      <c r="F1470" s="1145">
        <v>0</v>
      </c>
      <c r="G1470" s="1145">
        <v>0</v>
      </c>
      <c r="H1470" s="1145">
        <v>0</v>
      </c>
      <c r="I1470" s="1145">
        <v>0</v>
      </c>
      <c r="J1470" s="1145">
        <v>0</v>
      </c>
      <c r="K1470" s="1136">
        <v>0</v>
      </c>
      <c r="L1470" s="1145">
        <v>0</v>
      </c>
      <c r="M1470" s="1136">
        <v>0</v>
      </c>
      <c r="N1470" s="1145">
        <v>0</v>
      </c>
      <c r="O1470" s="1184">
        <v>600</v>
      </c>
      <c r="P1470" s="1145">
        <v>1912673.64</v>
      </c>
      <c r="Q1470" s="1145">
        <v>0</v>
      </c>
      <c r="R1470" s="1145">
        <v>0</v>
      </c>
      <c r="S1470" s="1145">
        <v>0</v>
      </c>
      <c r="T1470" s="1145">
        <v>0</v>
      </c>
      <c r="U1470" s="1145">
        <v>0</v>
      </c>
      <c r="V1470" s="1145">
        <v>0</v>
      </c>
      <c r="W1470" s="1129">
        <v>0</v>
      </c>
      <c r="X1470" s="1145">
        <v>149808</v>
      </c>
      <c r="Y1470" s="1145">
        <v>0</v>
      </c>
    </row>
    <row r="1471" spans="1:25" s="1177" customFormat="1" ht="66.599999999999994" customHeight="1">
      <c r="A1471" s="1280">
        <v>412</v>
      </c>
      <c r="B1471" s="1185" t="s">
        <v>1307</v>
      </c>
      <c r="C1471" s="1145">
        <f t="shared" si="645"/>
        <v>4252462.49</v>
      </c>
      <c r="D1471" s="1145">
        <f t="shared" si="646"/>
        <v>0</v>
      </c>
      <c r="E1471" s="1145">
        <v>0</v>
      </c>
      <c r="F1471" s="1145">
        <v>0</v>
      </c>
      <c r="G1471" s="1145">
        <v>0</v>
      </c>
      <c r="H1471" s="1145">
        <v>0</v>
      </c>
      <c r="I1471" s="1145">
        <v>0</v>
      </c>
      <c r="J1471" s="1145">
        <v>0</v>
      </c>
      <c r="K1471" s="1136">
        <v>0</v>
      </c>
      <c r="L1471" s="1145">
        <v>0</v>
      </c>
      <c r="M1471" s="1136">
        <v>0</v>
      </c>
      <c r="N1471" s="1145">
        <v>0</v>
      </c>
      <c r="O1471" s="1184">
        <v>1244</v>
      </c>
      <c r="P1471" s="1145">
        <v>3965610.01</v>
      </c>
      <c r="Q1471" s="1145">
        <v>0</v>
      </c>
      <c r="R1471" s="1145">
        <v>0</v>
      </c>
      <c r="S1471" s="1145">
        <v>0</v>
      </c>
      <c r="T1471" s="1145">
        <v>0</v>
      </c>
      <c r="U1471" s="1145">
        <v>0</v>
      </c>
      <c r="V1471" s="1145">
        <v>0</v>
      </c>
      <c r="W1471" s="1129">
        <v>0</v>
      </c>
      <c r="X1471" s="1145">
        <v>286852.47999999998</v>
      </c>
      <c r="Y1471" s="1145">
        <v>0</v>
      </c>
    </row>
    <row r="1472" spans="1:25" s="1177" customFormat="1" ht="73.900000000000006" customHeight="1">
      <c r="A1472" s="1280">
        <v>413</v>
      </c>
      <c r="B1472" s="1185" t="s">
        <v>1309</v>
      </c>
      <c r="C1472" s="1145">
        <f t="shared" si="645"/>
        <v>4199159.0599999996</v>
      </c>
      <c r="D1472" s="1145">
        <f t="shared" si="646"/>
        <v>0</v>
      </c>
      <c r="E1472" s="1145">
        <v>0</v>
      </c>
      <c r="F1472" s="1145">
        <v>0</v>
      </c>
      <c r="G1472" s="1145">
        <v>0</v>
      </c>
      <c r="H1472" s="1145">
        <v>0</v>
      </c>
      <c r="I1472" s="1145">
        <v>0</v>
      </c>
      <c r="J1472" s="1145">
        <v>0</v>
      </c>
      <c r="K1472" s="1136">
        <v>0</v>
      </c>
      <c r="L1472" s="1145">
        <v>0</v>
      </c>
      <c r="M1472" s="1136">
        <v>0</v>
      </c>
      <c r="N1472" s="1145">
        <v>0</v>
      </c>
      <c r="O1472" s="1184">
        <v>1227.5999999999999</v>
      </c>
      <c r="P1472" s="1145">
        <v>3913330.27</v>
      </c>
      <c r="Q1472" s="1145">
        <v>0</v>
      </c>
      <c r="R1472" s="1145">
        <v>0</v>
      </c>
      <c r="S1472" s="1145">
        <v>0</v>
      </c>
      <c r="T1472" s="1145">
        <v>0</v>
      </c>
      <c r="U1472" s="1145">
        <v>0</v>
      </c>
      <c r="V1472" s="1145">
        <v>0</v>
      </c>
      <c r="W1472" s="1129">
        <v>0</v>
      </c>
      <c r="X1472" s="1145">
        <v>285828.78999999998</v>
      </c>
      <c r="Y1472" s="1145">
        <v>0</v>
      </c>
    </row>
    <row r="1473" spans="1:25" s="1177" customFormat="1" ht="73.900000000000006" customHeight="1">
      <c r="A1473" s="1280">
        <v>414</v>
      </c>
      <c r="B1473" s="1185" t="s">
        <v>2800</v>
      </c>
      <c r="C1473" s="1145">
        <f t="shared" si="645"/>
        <v>3208416</v>
      </c>
      <c r="D1473" s="1145">
        <f t="shared" si="646"/>
        <v>0</v>
      </c>
      <c r="E1473" s="1145">
        <v>0</v>
      </c>
      <c r="F1473" s="1145">
        <v>0</v>
      </c>
      <c r="G1473" s="1145">
        <v>0</v>
      </c>
      <c r="H1473" s="1145">
        <v>0</v>
      </c>
      <c r="I1473" s="1145">
        <v>0</v>
      </c>
      <c r="J1473" s="1145">
        <v>0</v>
      </c>
      <c r="K1473" s="1136">
        <v>0</v>
      </c>
      <c r="L1473" s="1145">
        <v>0</v>
      </c>
      <c r="M1473" s="1136">
        <v>0</v>
      </c>
      <c r="N1473" s="1145">
        <v>0</v>
      </c>
      <c r="O1473" s="1184">
        <v>1180.8</v>
      </c>
      <c r="P1473" s="1145">
        <v>2975373</v>
      </c>
      <c r="Q1473" s="1145">
        <v>0</v>
      </c>
      <c r="R1473" s="1145">
        <v>0</v>
      </c>
      <c r="S1473" s="1145">
        <v>0</v>
      </c>
      <c r="T1473" s="1145">
        <v>0</v>
      </c>
      <c r="U1473" s="1145">
        <v>0</v>
      </c>
      <c r="V1473" s="1145">
        <v>0</v>
      </c>
      <c r="W1473" s="1129">
        <v>0</v>
      </c>
      <c r="X1473" s="1145">
        <v>233043</v>
      </c>
      <c r="Y1473" s="1145">
        <v>0</v>
      </c>
    </row>
    <row r="1474" spans="1:25" s="1177" customFormat="1" ht="76.150000000000006" customHeight="1">
      <c r="A1474" s="1280">
        <v>415</v>
      </c>
      <c r="B1474" s="1185" t="s">
        <v>2801</v>
      </c>
      <c r="C1474" s="1145">
        <f t="shared" si="645"/>
        <v>3102990</v>
      </c>
      <c r="D1474" s="1145">
        <f t="shared" si="646"/>
        <v>0</v>
      </c>
      <c r="E1474" s="1145">
        <v>0</v>
      </c>
      <c r="F1474" s="1145">
        <v>0</v>
      </c>
      <c r="G1474" s="1145">
        <v>0</v>
      </c>
      <c r="H1474" s="1145">
        <v>0</v>
      </c>
      <c r="I1474" s="1145">
        <v>0</v>
      </c>
      <c r="J1474" s="1145">
        <v>0</v>
      </c>
      <c r="K1474" s="1136">
        <v>0</v>
      </c>
      <c r="L1474" s="1145">
        <v>0</v>
      </c>
      <c r="M1474" s="1136">
        <v>0</v>
      </c>
      <c r="N1474" s="1145">
        <v>0</v>
      </c>
      <c r="O1474" s="1184">
        <v>1142</v>
      </c>
      <c r="P1474" s="1145">
        <v>2877605</v>
      </c>
      <c r="Q1474" s="1145">
        <v>0</v>
      </c>
      <c r="R1474" s="1145">
        <v>0</v>
      </c>
      <c r="S1474" s="1145">
        <v>0</v>
      </c>
      <c r="T1474" s="1145">
        <v>0</v>
      </c>
      <c r="U1474" s="1145">
        <v>0</v>
      </c>
      <c r="V1474" s="1145">
        <v>0</v>
      </c>
      <c r="W1474" s="1129">
        <v>0</v>
      </c>
      <c r="X1474" s="1145">
        <v>225385</v>
      </c>
      <c r="Y1474" s="1145">
        <v>0</v>
      </c>
    </row>
    <row r="1475" spans="1:25" s="1177" customFormat="1" ht="78.599999999999994" customHeight="1">
      <c r="A1475" s="1280">
        <v>416</v>
      </c>
      <c r="B1475" s="1185" t="s">
        <v>763</v>
      </c>
      <c r="C1475" s="1145">
        <f t="shared" si="645"/>
        <v>2880183</v>
      </c>
      <c r="D1475" s="1145">
        <f t="shared" si="646"/>
        <v>0</v>
      </c>
      <c r="E1475" s="1145">
        <v>0</v>
      </c>
      <c r="F1475" s="1145">
        <v>0</v>
      </c>
      <c r="G1475" s="1145">
        <v>0</v>
      </c>
      <c r="H1475" s="1145">
        <v>0</v>
      </c>
      <c r="I1475" s="1145">
        <v>0</v>
      </c>
      <c r="J1475" s="1145">
        <v>0</v>
      </c>
      <c r="K1475" s="1136">
        <v>0</v>
      </c>
      <c r="L1475" s="1145">
        <v>0</v>
      </c>
      <c r="M1475" s="1136">
        <v>0</v>
      </c>
      <c r="N1475" s="1145">
        <v>0</v>
      </c>
      <c r="O1475" s="1184">
        <v>1060</v>
      </c>
      <c r="P1475" s="1145">
        <v>2670981</v>
      </c>
      <c r="Q1475" s="1145">
        <v>0</v>
      </c>
      <c r="R1475" s="1145">
        <v>0</v>
      </c>
      <c r="S1475" s="1145">
        <v>0</v>
      </c>
      <c r="T1475" s="1145">
        <v>0</v>
      </c>
      <c r="U1475" s="1145">
        <v>0</v>
      </c>
      <c r="V1475" s="1145">
        <v>0</v>
      </c>
      <c r="W1475" s="1129">
        <v>0</v>
      </c>
      <c r="X1475" s="1145">
        <v>209202</v>
      </c>
      <c r="Y1475" s="1145">
        <v>0</v>
      </c>
    </row>
    <row r="1476" spans="1:25" s="1177" customFormat="1" ht="69" customHeight="1">
      <c r="A1476" s="1280">
        <v>417</v>
      </c>
      <c r="B1476" s="1185" t="s">
        <v>1310</v>
      </c>
      <c r="C1476" s="1145">
        <f t="shared" si="645"/>
        <v>4271963.75</v>
      </c>
      <c r="D1476" s="1145">
        <f t="shared" si="646"/>
        <v>0</v>
      </c>
      <c r="E1476" s="1145">
        <v>0</v>
      </c>
      <c r="F1476" s="1145">
        <v>0</v>
      </c>
      <c r="G1476" s="1145">
        <v>0</v>
      </c>
      <c r="H1476" s="1145">
        <v>0</v>
      </c>
      <c r="I1476" s="1145">
        <v>0</v>
      </c>
      <c r="J1476" s="1145">
        <v>0</v>
      </c>
      <c r="K1476" s="1136">
        <v>0</v>
      </c>
      <c r="L1476" s="1145">
        <v>0</v>
      </c>
      <c r="M1476" s="1136">
        <v>0</v>
      </c>
      <c r="N1476" s="1145">
        <v>0</v>
      </c>
      <c r="O1476" s="1184">
        <v>1250</v>
      </c>
      <c r="P1476" s="1145">
        <v>3984736.75</v>
      </c>
      <c r="Q1476" s="1145">
        <v>0</v>
      </c>
      <c r="R1476" s="1145">
        <v>0</v>
      </c>
      <c r="S1476" s="1145">
        <v>0</v>
      </c>
      <c r="T1476" s="1145">
        <v>0</v>
      </c>
      <c r="U1476" s="1145">
        <v>0</v>
      </c>
      <c r="V1476" s="1145">
        <v>0</v>
      </c>
      <c r="W1476" s="1129">
        <v>0</v>
      </c>
      <c r="X1476" s="1145">
        <v>287227</v>
      </c>
      <c r="Y1476" s="1145">
        <v>0</v>
      </c>
    </row>
    <row r="1477" spans="1:25" s="1177" customFormat="1" ht="73.900000000000006" customHeight="1">
      <c r="A1477" s="1280">
        <v>418</v>
      </c>
      <c r="B1477" s="1185" t="s">
        <v>1311</v>
      </c>
      <c r="C1477" s="1145">
        <f t="shared" si="645"/>
        <v>5657911.2200000007</v>
      </c>
      <c r="D1477" s="1145">
        <f t="shared" si="646"/>
        <v>1641530.03</v>
      </c>
      <c r="E1477" s="1145">
        <v>1641530.03</v>
      </c>
      <c r="F1477" s="1145">
        <v>0</v>
      </c>
      <c r="G1477" s="1145">
        <v>0</v>
      </c>
      <c r="H1477" s="1145">
        <v>0</v>
      </c>
      <c r="I1477" s="1145">
        <v>0</v>
      </c>
      <c r="J1477" s="1145">
        <v>0</v>
      </c>
      <c r="K1477" s="1136">
        <v>0</v>
      </c>
      <c r="L1477" s="1145">
        <v>0</v>
      </c>
      <c r="M1477" s="1136">
        <v>0</v>
      </c>
      <c r="N1477" s="1145">
        <v>0</v>
      </c>
      <c r="O1477" s="1184">
        <v>1125.5999999999999</v>
      </c>
      <c r="P1477" s="1145">
        <v>3588175.75</v>
      </c>
      <c r="Q1477" s="1145">
        <v>0</v>
      </c>
      <c r="R1477" s="1145">
        <v>0</v>
      </c>
      <c r="S1477" s="1145">
        <v>0</v>
      </c>
      <c r="T1477" s="1145">
        <v>0</v>
      </c>
      <c r="U1477" s="1145">
        <v>0</v>
      </c>
      <c r="V1477" s="1145">
        <v>0</v>
      </c>
      <c r="W1477" s="1129">
        <v>0</v>
      </c>
      <c r="X1477" s="1145">
        <v>428205.44</v>
      </c>
      <c r="Y1477" s="1145">
        <v>0</v>
      </c>
    </row>
    <row r="1478" spans="1:25" s="1177" customFormat="1" ht="81" customHeight="1">
      <c r="A1478" s="1280">
        <v>419</v>
      </c>
      <c r="B1478" s="1185" t="s">
        <v>1312</v>
      </c>
      <c r="C1478" s="1145">
        <f t="shared" si="645"/>
        <v>15967643.719999999</v>
      </c>
      <c r="D1478" s="1145">
        <f t="shared" si="646"/>
        <v>11537165.039999999</v>
      </c>
      <c r="E1478" s="1145">
        <v>3897836.04</v>
      </c>
      <c r="F1478" s="1145">
        <v>2920036</v>
      </c>
      <c r="G1478" s="1145">
        <v>0</v>
      </c>
      <c r="H1478" s="1145">
        <v>1792816</v>
      </c>
      <c r="I1478" s="1145">
        <v>1792816</v>
      </c>
      <c r="J1478" s="1145">
        <v>1133661</v>
      </c>
      <c r="K1478" s="1136">
        <v>0</v>
      </c>
      <c r="L1478" s="1145">
        <v>0</v>
      </c>
      <c r="M1478" s="1136">
        <v>0</v>
      </c>
      <c r="N1478" s="1145">
        <v>0</v>
      </c>
      <c r="O1478" s="1184">
        <v>1026</v>
      </c>
      <c r="P1478" s="1145">
        <v>3270671.92</v>
      </c>
      <c r="Q1478" s="1145">
        <v>0</v>
      </c>
      <c r="R1478" s="1145">
        <v>0</v>
      </c>
      <c r="S1478" s="1145">
        <v>0</v>
      </c>
      <c r="T1478" s="1145">
        <v>0</v>
      </c>
      <c r="U1478" s="1145">
        <v>0</v>
      </c>
      <c r="V1478" s="1145">
        <v>0</v>
      </c>
      <c r="W1478" s="1129">
        <v>0</v>
      </c>
      <c r="X1478" s="1145">
        <v>1159806.76</v>
      </c>
      <c r="Y1478" s="1145">
        <v>0</v>
      </c>
    </row>
    <row r="1479" spans="1:25" s="1177" customFormat="1" ht="138" customHeight="1">
      <c r="A1479" s="1280"/>
      <c r="B1479" s="1135" t="s">
        <v>1075</v>
      </c>
      <c r="C1479" s="1129">
        <f>C1480+C1481+C1482</f>
        <v>2880188.6399999997</v>
      </c>
      <c r="D1479" s="1129">
        <f t="shared" ref="D1479:Y1479" si="647">D1480+D1481+D1482</f>
        <v>0</v>
      </c>
      <c r="E1479" s="1129">
        <f t="shared" si="647"/>
        <v>0</v>
      </c>
      <c r="F1479" s="1129">
        <f t="shared" si="647"/>
        <v>0</v>
      </c>
      <c r="G1479" s="1129">
        <f t="shared" si="647"/>
        <v>0</v>
      </c>
      <c r="H1479" s="1129">
        <f t="shared" si="647"/>
        <v>0</v>
      </c>
      <c r="I1479" s="1129">
        <f t="shared" si="647"/>
        <v>0</v>
      </c>
      <c r="J1479" s="1129">
        <f t="shared" si="647"/>
        <v>0</v>
      </c>
      <c r="K1479" s="1136">
        <f t="shared" si="647"/>
        <v>0</v>
      </c>
      <c r="L1479" s="1129">
        <f t="shared" si="647"/>
        <v>0</v>
      </c>
      <c r="M1479" s="1136">
        <f t="shared" si="647"/>
        <v>0</v>
      </c>
      <c r="N1479" s="1129">
        <f t="shared" si="647"/>
        <v>0</v>
      </c>
      <c r="O1479" s="1129">
        <f t="shared" si="647"/>
        <v>625.9</v>
      </c>
      <c r="P1479" s="1129">
        <f t="shared" si="647"/>
        <v>1781062.64</v>
      </c>
      <c r="Q1479" s="1129">
        <f t="shared" si="647"/>
        <v>0</v>
      </c>
      <c r="R1479" s="1129">
        <f t="shared" si="647"/>
        <v>0</v>
      </c>
      <c r="S1479" s="1129">
        <f t="shared" si="647"/>
        <v>371</v>
      </c>
      <c r="T1479" s="1129">
        <f t="shared" si="647"/>
        <v>915518</v>
      </c>
      <c r="U1479" s="1129">
        <f t="shared" si="647"/>
        <v>0</v>
      </c>
      <c r="V1479" s="1129">
        <f t="shared" si="647"/>
        <v>0</v>
      </c>
      <c r="W1479" s="1129">
        <f t="shared" si="647"/>
        <v>0</v>
      </c>
      <c r="X1479" s="1129">
        <f t="shared" si="647"/>
        <v>183608</v>
      </c>
      <c r="Y1479" s="1129">
        <f t="shared" si="647"/>
        <v>0</v>
      </c>
    </row>
    <row r="1480" spans="1:25" s="1177" customFormat="1" ht="95.25" customHeight="1">
      <c r="A1480" s="1280">
        <v>420</v>
      </c>
      <c r="B1480" s="1135" t="s">
        <v>1058</v>
      </c>
      <c r="C1480" s="1145">
        <f t="shared" si="645"/>
        <v>1892964.64</v>
      </c>
      <c r="D1480" s="1129">
        <v>0</v>
      </c>
      <c r="E1480" s="1129">
        <v>0</v>
      </c>
      <c r="F1480" s="1129">
        <v>0</v>
      </c>
      <c r="G1480" s="1129">
        <v>0</v>
      </c>
      <c r="H1480" s="1129">
        <v>0</v>
      </c>
      <c r="I1480" s="1129">
        <v>0</v>
      </c>
      <c r="J1480" s="1129">
        <v>0</v>
      </c>
      <c r="K1480" s="1136">
        <v>0</v>
      </c>
      <c r="L1480" s="1129">
        <v>0</v>
      </c>
      <c r="M1480" s="1136">
        <v>0</v>
      </c>
      <c r="N1480" s="1129">
        <v>0</v>
      </c>
      <c r="O1480" s="1129">
        <v>625.9</v>
      </c>
      <c r="P1480" s="1129">
        <v>1781062.64</v>
      </c>
      <c r="Q1480" s="1129">
        <v>0</v>
      </c>
      <c r="R1480" s="1129">
        <v>0</v>
      </c>
      <c r="S1480" s="1129">
        <v>0</v>
      </c>
      <c r="T1480" s="1129">
        <v>0</v>
      </c>
      <c r="U1480" s="1129">
        <v>0</v>
      </c>
      <c r="V1480" s="1129">
        <v>0</v>
      </c>
      <c r="W1480" s="1129">
        <v>0</v>
      </c>
      <c r="X1480" s="1129">
        <v>111902</v>
      </c>
      <c r="Y1480" s="1129">
        <v>0</v>
      </c>
    </row>
    <row r="1481" spans="1:25" s="1177" customFormat="1" ht="76.150000000000006" customHeight="1">
      <c r="A1481" s="1280">
        <v>421</v>
      </c>
      <c r="B1481" s="1135" t="s">
        <v>996</v>
      </c>
      <c r="C1481" s="1129">
        <v>493612</v>
      </c>
      <c r="D1481" s="1129">
        <v>0</v>
      </c>
      <c r="E1481" s="1129">
        <v>0</v>
      </c>
      <c r="F1481" s="1129">
        <v>0</v>
      </c>
      <c r="G1481" s="1129">
        <v>0</v>
      </c>
      <c r="H1481" s="1129">
        <v>0</v>
      </c>
      <c r="I1481" s="1129">
        <v>0</v>
      </c>
      <c r="J1481" s="1129">
        <v>0</v>
      </c>
      <c r="K1481" s="1136">
        <v>0</v>
      </c>
      <c r="L1481" s="1129">
        <v>0</v>
      </c>
      <c r="M1481" s="1136">
        <v>0</v>
      </c>
      <c r="N1481" s="1129">
        <v>0</v>
      </c>
      <c r="O1481" s="1129">
        <v>0</v>
      </c>
      <c r="P1481" s="1129">
        <v>0</v>
      </c>
      <c r="Q1481" s="1129">
        <v>0</v>
      </c>
      <c r="R1481" s="1129">
        <v>0</v>
      </c>
      <c r="S1481" s="1129">
        <v>185.5</v>
      </c>
      <c r="T1481" s="1129">
        <v>457759</v>
      </c>
      <c r="U1481" s="1129">
        <v>0</v>
      </c>
      <c r="V1481" s="1129">
        <v>0</v>
      </c>
      <c r="W1481" s="1129">
        <v>0</v>
      </c>
      <c r="X1481" s="1129">
        <v>35853</v>
      </c>
      <c r="Y1481" s="1129">
        <v>0</v>
      </c>
    </row>
    <row r="1482" spans="1:25" s="1177" customFormat="1" ht="73.900000000000006" customHeight="1">
      <c r="A1482" s="1280">
        <v>422</v>
      </c>
      <c r="B1482" s="1135" t="s">
        <v>997</v>
      </c>
      <c r="C1482" s="1129">
        <v>493612</v>
      </c>
      <c r="D1482" s="1129">
        <v>0</v>
      </c>
      <c r="E1482" s="1129">
        <v>0</v>
      </c>
      <c r="F1482" s="1129">
        <v>0</v>
      </c>
      <c r="G1482" s="1129">
        <v>0</v>
      </c>
      <c r="H1482" s="1129">
        <v>0</v>
      </c>
      <c r="I1482" s="1129">
        <v>0</v>
      </c>
      <c r="J1482" s="1129">
        <v>0</v>
      </c>
      <c r="K1482" s="1136">
        <v>0</v>
      </c>
      <c r="L1482" s="1129">
        <v>0</v>
      </c>
      <c r="M1482" s="1136">
        <v>0</v>
      </c>
      <c r="N1482" s="1129">
        <v>0</v>
      </c>
      <c r="O1482" s="1129">
        <v>0</v>
      </c>
      <c r="P1482" s="1129">
        <v>0</v>
      </c>
      <c r="Q1482" s="1129">
        <v>0</v>
      </c>
      <c r="R1482" s="1129">
        <v>0</v>
      </c>
      <c r="S1482" s="1129">
        <v>185.5</v>
      </c>
      <c r="T1482" s="1129">
        <v>457759</v>
      </c>
      <c r="U1482" s="1129">
        <v>0</v>
      </c>
      <c r="V1482" s="1129">
        <v>0</v>
      </c>
      <c r="W1482" s="1129">
        <v>0</v>
      </c>
      <c r="X1482" s="1129">
        <v>35853</v>
      </c>
      <c r="Y1482" s="1129">
        <v>0</v>
      </c>
    </row>
    <row r="1483" spans="1:25" s="1177" customFormat="1" ht="92.45" customHeight="1">
      <c r="A1483" s="1280"/>
      <c r="B1483" s="1185" t="s">
        <v>1070</v>
      </c>
      <c r="C1483" s="1129">
        <f>SUM(C1484:C1486)</f>
        <v>4176411</v>
      </c>
      <c r="D1483" s="1129">
        <f t="shared" ref="D1483:Y1483" si="648">SUM(D1484:D1486)</f>
        <v>0</v>
      </c>
      <c r="E1483" s="1129">
        <f t="shared" si="648"/>
        <v>0</v>
      </c>
      <c r="F1483" s="1129">
        <f t="shared" si="648"/>
        <v>0</v>
      </c>
      <c r="G1483" s="1129">
        <f t="shared" si="648"/>
        <v>0</v>
      </c>
      <c r="H1483" s="1129">
        <f t="shared" si="648"/>
        <v>0</v>
      </c>
      <c r="I1483" s="1129">
        <f t="shared" si="648"/>
        <v>0</v>
      </c>
      <c r="J1483" s="1129">
        <f t="shared" si="648"/>
        <v>0</v>
      </c>
      <c r="K1483" s="1136">
        <f t="shared" si="648"/>
        <v>0</v>
      </c>
      <c r="L1483" s="1129">
        <f t="shared" si="648"/>
        <v>0</v>
      </c>
      <c r="M1483" s="1136">
        <f t="shared" si="648"/>
        <v>0</v>
      </c>
      <c r="N1483" s="1129">
        <f t="shared" si="648"/>
        <v>0</v>
      </c>
      <c r="O1483" s="1129">
        <f t="shared" si="648"/>
        <v>522.70000000000005</v>
      </c>
      <c r="P1483" s="1129">
        <f t="shared" si="648"/>
        <v>1640631</v>
      </c>
      <c r="Q1483" s="1129">
        <f t="shared" si="648"/>
        <v>0</v>
      </c>
      <c r="R1483" s="1129">
        <f t="shared" si="648"/>
        <v>0</v>
      </c>
      <c r="S1483" s="1129">
        <f t="shared" si="648"/>
        <v>1523.5</v>
      </c>
      <c r="T1483" s="1129">
        <f t="shared" si="648"/>
        <v>2147276.0328672598</v>
      </c>
      <c r="U1483" s="1129">
        <f t="shared" si="648"/>
        <v>0</v>
      </c>
      <c r="V1483" s="1129">
        <f t="shared" si="648"/>
        <v>0</v>
      </c>
      <c r="W1483" s="1129">
        <v>0</v>
      </c>
      <c r="X1483" s="1129">
        <f t="shared" si="648"/>
        <v>296683.96713274019</v>
      </c>
      <c r="Y1483" s="1129">
        <f t="shared" si="648"/>
        <v>91820</v>
      </c>
    </row>
    <row r="1484" spans="1:25" s="1177" customFormat="1" ht="111.6" customHeight="1">
      <c r="A1484" s="1280">
        <v>423</v>
      </c>
      <c r="B1484" s="1128" t="s">
        <v>1934</v>
      </c>
      <c r="C1484" s="1129">
        <f>T1484+Y1484+X1484</f>
        <v>1256949</v>
      </c>
      <c r="D1484" s="1129">
        <v>0</v>
      </c>
      <c r="E1484" s="1129">
        <v>0</v>
      </c>
      <c r="F1484" s="1129">
        <v>0</v>
      </c>
      <c r="G1484" s="1129">
        <v>0</v>
      </c>
      <c r="H1484" s="1129">
        <v>0</v>
      </c>
      <c r="I1484" s="1129">
        <v>0</v>
      </c>
      <c r="J1484" s="1129">
        <v>0</v>
      </c>
      <c r="K1484" s="1136">
        <v>0</v>
      </c>
      <c r="L1484" s="1129">
        <v>0</v>
      </c>
      <c r="M1484" s="1136">
        <v>0</v>
      </c>
      <c r="N1484" s="1129">
        <v>0</v>
      </c>
      <c r="O1484" s="1129">
        <v>0</v>
      </c>
      <c r="P1484" s="1129">
        <v>0</v>
      </c>
      <c r="Q1484" s="1129">
        <v>0</v>
      </c>
      <c r="R1484" s="1129">
        <v>0</v>
      </c>
      <c r="S1484" s="1129">
        <v>797.3</v>
      </c>
      <c r="T1484" s="1129">
        <v>1120105.9667695661</v>
      </c>
      <c r="U1484" s="1129">
        <v>0</v>
      </c>
      <c r="V1484" s="1129">
        <v>0</v>
      </c>
      <c r="W1484" s="1129">
        <v>0</v>
      </c>
      <c r="X1484" s="1129">
        <v>87731.033230433997</v>
      </c>
      <c r="Y1484" s="1129">
        <v>49112</v>
      </c>
    </row>
    <row r="1485" spans="1:25" s="1177" customFormat="1" ht="135" customHeight="1">
      <c r="A1485" s="1280">
        <v>424</v>
      </c>
      <c r="B1485" s="1135" t="s">
        <v>3058</v>
      </c>
      <c r="C1485" s="1129">
        <f>T1485+Y1485+X1485</f>
        <v>1150330.0000000002</v>
      </c>
      <c r="D1485" s="1129">
        <v>0</v>
      </c>
      <c r="E1485" s="1129">
        <v>0</v>
      </c>
      <c r="F1485" s="1129">
        <v>0</v>
      </c>
      <c r="G1485" s="1129">
        <v>0</v>
      </c>
      <c r="H1485" s="1129">
        <v>0</v>
      </c>
      <c r="I1485" s="1129">
        <v>0</v>
      </c>
      <c r="J1485" s="1129">
        <v>0</v>
      </c>
      <c r="K1485" s="1136">
        <v>0</v>
      </c>
      <c r="L1485" s="1129">
        <v>0</v>
      </c>
      <c r="M1485" s="1136">
        <v>0</v>
      </c>
      <c r="N1485" s="1129">
        <v>0</v>
      </c>
      <c r="O1485" s="1129">
        <v>0</v>
      </c>
      <c r="P1485" s="1129">
        <v>0</v>
      </c>
      <c r="Q1485" s="1129">
        <v>0</v>
      </c>
      <c r="R1485" s="1129">
        <v>0</v>
      </c>
      <c r="S1485" s="1129">
        <v>726.2</v>
      </c>
      <c r="T1485" s="1129">
        <v>1027170.0660976939</v>
      </c>
      <c r="U1485" s="1129">
        <v>0</v>
      </c>
      <c r="V1485" s="1129">
        <v>0</v>
      </c>
      <c r="W1485" s="1129">
        <v>0</v>
      </c>
      <c r="X1485" s="1129">
        <v>80451.933902306162</v>
      </c>
      <c r="Y1485" s="1129">
        <v>42708</v>
      </c>
    </row>
    <row r="1486" spans="1:25" s="1177" customFormat="1" ht="99.6" customHeight="1">
      <c r="A1486" s="1280">
        <v>425</v>
      </c>
      <c r="B1486" s="1135" t="s">
        <v>1935</v>
      </c>
      <c r="C1486" s="1129">
        <f>P1486+X1486</f>
        <v>1769132</v>
      </c>
      <c r="D1486" s="1129">
        <v>0</v>
      </c>
      <c r="E1486" s="1129">
        <v>0</v>
      </c>
      <c r="F1486" s="1129">
        <v>0</v>
      </c>
      <c r="G1486" s="1129">
        <v>0</v>
      </c>
      <c r="H1486" s="1129">
        <v>0</v>
      </c>
      <c r="I1486" s="1129">
        <v>0</v>
      </c>
      <c r="J1486" s="1129">
        <v>0</v>
      </c>
      <c r="K1486" s="1136">
        <v>0</v>
      </c>
      <c r="L1486" s="1129">
        <v>0</v>
      </c>
      <c r="M1486" s="1136">
        <v>0</v>
      </c>
      <c r="N1486" s="1129">
        <v>0</v>
      </c>
      <c r="O1486" s="1129">
        <v>522.70000000000005</v>
      </c>
      <c r="P1486" s="1129">
        <v>1640631</v>
      </c>
      <c r="Q1486" s="1129">
        <v>0</v>
      </c>
      <c r="R1486" s="1129">
        <v>0</v>
      </c>
      <c r="S1486" s="1129">
        <v>0</v>
      </c>
      <c r="T1486" s="1129">
        <v>0</v>
      </c>
      <c r="U1486" s="1129">
        <v>0</v>
      </c>
      <c r="V1486" s="1129">
        <v>0</v>
      </c>
      <c r="W1486" s="1129">
        <v>0</v>
      </c>
      <c r="X1486" s="1129">
        <v>128501</v>
      </c>
      <c r="Y1486" s="1129">
        <v>0</v>
      </c>
    </row>
    <row r="1487" spans="1:25" s="1177" customFormat="1" ht="102" customHeight="1">
      <c r="A1487" s="1280"/>
      <c r="B1487" s="1135" t="s">
        <v>1072</v>
      </c>
      <c r="C1487" s="1129">
        <f>SUM(C1488:C1490)</f>
        <v>7085490.0770837115</v>
      </c>
      <c r="D1487" s="1129">
        <f t="shared" ref="D1487:Y1487" si="649">SUM(D1488:D1490)</f>
        <v>0</v>
      </c>
      <c r="E1487" s="1129">
        <f t="shared" si="649"/>
        <v>0</v>
      </c>
      <c r="F1487" s="1129">
        <f t="shared" si="649"/>
        <v>0</v>
      </c>
      <c r="G1487" s="1129">
        <f t="shared" si="649"/>
        <v>0</v>
      </c>
      <c r="H1487" s="1129">
        <f t="shared" si="649"/>
        <v>0</v>
      </c>
      <c r="I1487" s="1129">
        <f t="shared" si="649"/>
        <v>0</v>
      </c>
      <c r="J1487" s="1129">
        <f t="shared" si="649"/>
        <v>0</v>
      </c>
      <c r="K1487" s="1136">
        <f t="shared" si="649"/>
        <v>0</v>
      </c>
      <c r="L1487" s="1129">
        <f t="shared" si="649"/>
        <v>0</v>
      </c>
      <c r="M1487" s="1136">
        <f t="shared" si="649"/>
        <v>0</v>
      </c>
      <c r="N1487" s="1129">
        <f t="shared" si="649"/>
        <v>0</v>
      </c>
      <c r="O1487" s="1129">
        <f t="shared" si="649"/>
        <v>2057.9</v>
      </c>
      <c r="P1487" s="1129">
        <f t="shared" si="649"/>
        <v>6740491.8200000003</v>
      </c>
      <c r="Q1487" s="1129">
        <f t="shared" si="649"/>
        <v>0</v>
      </c>
      <c r="R1487" s="1129">
        <f t="shared" si="649"/>
        <v>0</v>
      </c>
      <c r="S1487" s="1129">
        <f t="shared" si="649"/>
        <v>0</v>
      </c>
      <c r="T1487" s="1129">
        <f t="shared" si="649"/>
        <v>0</v>
      </c>
      <c r="U1487" s="1129">
        <f t="shared" si="649"/>
        <v>0</v>
      </c>
      <c r="V1487" s="1129">
        <f t="shared" si="649"/>
        <v>0</v>
      </c>
      <c r="W1487" s="1129">
        <v>0</v>
      </c>
      <c r="X1487" s="1129">
        <f t="shared" si="649"/>
        <v>344998.25708371162</v>
      </c>
      <c r="Y1487" s="1129">
        <f t="shared" si="649"/>
        <v>0</v>
      </c>
    </row>
    <row r="1488" spans="1:25" s="1177" customFormat="1" ht="71.45" customHeight="1">
      <c r="A1488" s="1280">
        <v>426</v>
      </c>
      <c r="B1488" s="1128" t="s">
        <v>1171</v>
      </c>
      <c r="C1488" s="1145">
        <f t="shared" ref="C1488:C1490" si="650">D1488+N1488+P1488+R1488+T1488+V1488+X1488</f>
        <v>1984061.2875049936</v>
      </c>
      <c r="D1488" s="1129">
        <v>0</v>
      </c>
      <c r="E1488" s="1129">
        <v>0</v>
      </c>
      <c r="F1488" s="1129">
        <v>0</v>
      </c>
      <c r="G1488" s="1129">
        <v>0</v>
      </c>
      <c r="H1488" s="1129">
        <v>0</v>
      </c>
      <c r="I1488" s="1129">
        <v>0</v>
      </c>
      <c r="J1488" s="1129">
        <v>0</v>
      </c>
      <c r="K1488" s="1136">
        <v>0</v>
      </c>
      <c r="L1488" s="1129">
        <v>0</v>
      </c>
      <c r="M1488" s="1136">
        <v>0</v>
      </c>
      <c r="N1488" s="1129">
        <v>0</v>
      </c>
      <c r="O1488" s="1129">
        <v>602</v>
      </c>
      <c r="P1488" s="1129">
        <v>1920922.47</v>
      </c>
      <c r="Q1488" s="1129">
        <v>0</v>
      </c>
      <c r="R1488" s="1129">
        <v>0</v>
      </c>
      <c r="S1488" s="1129">
        <v>0</v>
      </c>
      <c r="T1488" s="1129">
        <v>0</v>
      </c>
      <c r="U1488" s="1129">
        <v>0</v>
      </c>
      <c r="V1488" s="1129">
        <v>0</v>
      </c>
      <c r="W1488" s="1129">
        <v>0</v>
      </c>
      <c r="X1488" s="1129">
        <v>63138.817504993647</v>
      </c>
      <c r="Y1488" s="1129">
        <v>0</v>
      </c>
    </row>
    <row r="1489" spans="1:25" s="1177" customFormat="1" ht="73.900000000000006" customHeight="1">
      <c r="A1489" s="1280">
        <v>427</v>
      </c>
      <c r="B1489" s="1128" t="s">
        <v>1172</v>
      </c>
      <c r="C1489" s="1145">
        <f t="shared" si="650"/>
        <v>2217747.7195787178</v>
      </c>
      <c r="D1489" s="1129">
        <v>0</v>
      </c>
      <c r="E1489" s="1129">
        <v>0</v>
      </c>
      <c r="F1489" s="1129">
        <v>0</v>
      </c>
      <c r="G1489" s="1129">
        <v>0</v>
      </c>
      <c r="H1489" s="1129">
        <v>0</v>
      </c>
      <c r="I1489" s="1129">
        <v>0</v>
      </c>
      <c r="J1489" s="1129">
        <v>0</v>
      </c>
      <c r="K1489" s="1136">
        <v>0</v>
      </c>
      <c r="L1489" s="1129">
        <v>0</v>
      </c>
      <c r="M1489" s="1136">
        <v>0</v>
      </c>
      <c r="N1489" s="1129">
        <v>0</v>
      </c>
      <c r="O1489" s="1129">
        <v>603.9</v>
      </c>
      <c r="P1489" s="1129">
        <v>2145343.96</v>
      </c>
      <c r="Q1489" s="1129">
        <v>0</v>
      </c>
      <c r="R1489" s="1129">
        <v>0</v>
      </c>
      <c r="S1489" s="1129">
        <v>0</v>
      </c>
      <c r="T1489" s="1129">
        <v>0</v>
      </c>
      <c r="U1489" s="1129">
        <v>0</v>
      </c>
      <c r="V1489" s="1129">
        <v>0</v>
      </c>
      <c r="W1489" s="1129">
        <v>0</v>
      </c>
      <c r="X1489" s="1129">
        <v>72403.759578717989</v>
      </c>
      <c r="Y1489" s="1129">
        <v>0</v>
      </c>
    </row>
    <row r="1490" spans="1:25" s="1177" customFormat="1" ht="71.45" customHeight="1">
      <c r="A1490" s="1280">
        <v>428</v>
      </c>
      <c r="B1490" s="1128" t="s">
        <v>477</v>
      </c>
      <c r="C1490" s="1145">
        <f t="shared" si="650"/>
        <v>2883681.0700000003</v>
      </c>
      <c r="D1490" s="1145">
        <f t="shared" ref="D1490" si="651">SUM(E1490:J1490)</f>
        <v>0</v>
      </c>
      <c r="E1490" s="1129">
        <v>0</v>
      </c>
      <c r="F1490" s="1129">
        <v>0</v>
      </c>
      <c r="G1490" s="1129">
        <v>0</v>
      </c>
      <c r="H1490" s="1129">
        <v>0</v>
      </c>
      <c r="I1490" s="1129">
        <v>0</v>
      </c>
      <c r="J1490" s="1129">
        <v>0</v>
      </c>
      <c r="K1490" s="1136">
        <v>0</v>
      </c>
      <c r="L1490" s="1129">
        <v>0</v>
      </c>
      <c r="M1490" s="1136">
        <v>0</v>
      </c>
      <c r="N1490" s="1129">
        <v>0</v>
      </c>
      <c r="O1490" s="1129">
        <v>852</v>
      </c>
      <c r="P1490" s="1129">
        <v>2674225.39</v>
      </c>
      <c r="Q1490" s="1129">
        <v>0</v>
      </c>
      <c r="R1490" s="1129">
        <v>0</v>
      </c>
      <c r="S1490" s="1129">
        <v>0</v>
      </c>
      <c r="T1490" s="1129">
        <v>0</v>
      </c>
      <c r="U1490" s="1129">
        <v>0</v>
      </c>
      <c r="V1490" s="1129">
        <v>0</v>
      </c>
      <c r="W1490" s="1129">
        <v>0</v>
      </c>
      <c r="X1490" s="1129">
        <v>209455.68</v>
      </c>
      <c r="Y1490" s="1129">
        <v>0</v>
      </c>
    </row>
    <row r="1491" spans="1:25" s="1177" customFormat="1" ht="109.15" customHeight="1">
      <c r="A1491" s="1280"/>
      <c r="B1491" s="1135" t="s">
        <v>1109</v>
      </c>
      <c r="C1491" s="1129">
        <f>SUM(C1492:C1499)</f>
        <v>12123443.59</v>
      </c>
      <c r="D1491" s="1129">
        <f t="shared" ref="D1491:Y1491" si="652">SUM(D1492:D1497)</f>
        <v>0</v>
      </c>
      <c r="E1491" s="1129">
        <f t="shared" si="652"/>
        <v>0</v>
      </c>
      <c r="F1491" s="1129">
        <f t="shared" si="652"/>
        <v>0</v>
      </c>
      <c r="G1491" s="1129">
        <f t="shared" si="652"/>
        <v>0</v>
      </c>
      <c r="H1491" s="1129">
        <f t="shared" si="652"/>
        <v>0</v>
      </c>
      <c r="I1491" s="1129">
        <f t="shared" si="652"/>
        <v>0</v>
      </c>
      <c r="J1491" s="1129">
        <f t="shared" si="652"/>
        <v>0</v>
      </c>
      <c r="K1491" s="1136">
        <v>0</v>
      </c>
      <c r="L1491" s="1129">
        <v>0</v>
      </c>
      <c r="M1491" s="1136">
        <f t="shared" si="652"/>
        <v>0</v>
      </c>
      <c r="N1491" s="1129">
        <f t="shared" si="652"/>
        <v>0</v>
      </c>
      <c r="O1491" s="1129">
        <f t="shared" si="652"/>
        <v>1468.8000000000002</v>
      </c>
      <c r="P1491" s="1129">
        <f t="shared" si="652"/>
        <v>6866604.1799999997</v>
      </c>
      <c r="Q1491" s="1129">
        <f t="shared" si="652"/>
        <v>0</v>
      </c>
      <c r="R1491" s="1129">
        <f t="shared" si="652"/>
        <v>0</v>
      </c>
      <c r="S1491" s="1129">
        <f t="shared" si="652"/>
        <v>971.71</v>
      </c>
      <c r="T1491" s="1129">
        <f t="shared" si="652"/>
        <v>1366410.38</v>
      </c>
      <c r="U1491" s="1129">
        <f t="shared" si="652"/>
        <v>0</v>
      </c>
      <c r="V1491" s="1129">
        <f t="shared" si="652"/>
        <v>0</v>
      </c>
      <c r="W1491" s="1129">
        <v>0</v>
      </c>
      <c r="X1491" s="1129">
        <f t="shared" si="652"/>
        <v>644841.56999999995</v>
      </c>
      <c r="Y1491" s="1129">
        <f t="shared" si="652"/>
        <v>0</v>
      </c>
    </row>
    <row r="1492" spans="1:25" s="1177" customFormat="1" ht="99" customHeight="1">
      <c r="A1492" s="1280">
        <v>429</v>
      </c>
      <c r="B1492" s="1135" t="s">
        <v>2850</v>
      </c>
      <c r="C1492" s="1145">
        <f t="shared" ref="C1492:C1493" si="653">D1492+N1492+P1492+R1492+T1492+V1492+X1492</f>
        <v>1840183.3199999998</v>
      </c>
      <c r="D1492" s="1145">
        <f t="shared" ref="D1492:D1493" si="654">SUM(E1492:J1492)</f>
        <v>0</v>
      </c>
      <c r="E1492" s="1129">
        <v>0</v>
      </c>
      <c r="F1492" s="1129">
        <v>0</v>
      </c>
      <c r="G1492" s="1129">
        <v>0</v>
      </c>
      <c r="H1492" s="1129">
        <v>0</v>
      </c>
      <c r="I1492" s="1129">
        <v>0</v>
      </c>
      <c r="J1492" s="1129">
        <v>0</v>
      </c>
      <c r="K1492" s="1136">
        <v>0</v>
      </c>
      <c r="L1492" s="1129">
        <v>0</v>
      </c>
      <c r="M1492" s="1136">
        <v>0</v>
      </c>
      <c r="N1492" s="1129">
        <v>0</v>
      </c>
      <c r="O1492" s="1129">
        <v>488.6</v>
      </c>
      <c r="P1492" s="1129">
        <v>1706521.92</v>
      </c>
      <c r="Q1492" s="1129">
        <v>0</v>
      </c>
      <c r="R1492" s="1129">
        <v>0</v>
      </c>
      <c r="S1492" s="1129">
        <v>0</v>
      </c>
      <c r="T1492" s="1129">
        <v>0</v>
      </c>
      <c r="U1492" s="1129">
        <v>0</v>
      </c>
      <c r="V1492" s="1129">
        <v>0</v>
      </c>
      <c r="W1492" s="1129">
        <v>0</v>
      </c>
      <c r="X1492" s="1129">
        <v>133661.4</v>
      </c>
      <c r="Y1492" s="1129">
        <v>0</v>
      </c>
    </row>
    <row r="1493" spans="1:25" s="1177" customFormat="1" ht="97.15" customHeight="1">
      <c r="A1493" s="1280">
        <v>430</v>
      </c>
      <c r="B1493" s="1135" t="s">
        <v>2851</v>
      </c>
      <c r="C1493" s="1145">
        <f t="shared" si="653"/>
        <v>1840183.3199999998</v>
      </c>
      <c r="D1493" s="1145">
        <f t="shared" si="654"/>
        <v>0</v>
      </c>
      <c r="E1493" s="1129">
        <v>0</v>
      </c>
      <c r="F1493" s="1129">
        <v>0</v>
      </c>
      <c r="G1493" s="1129">
        <v>0</v>
      </c>
      <c r="H1493" s="1129">
        <v>0</v>
      </c>
      <c r="I1493" s="1129">
        <v>0</v>
      </c>
      <c r="J1493" s="1129">
        <v>0</v>
      </c>
      <c r="K1493" s="1136">
        <v>0</v>
      </c>
      <c r="L1493" s="1129">
        <v>0</v>
      </c>
      <c r="M1493" s="1136">
        <v>0</v>
      </c>
      <c r="N1493" s="1129">
        <v>0</v>
      </c>
      <c r="O1493" s="1129">
        <v>489.8</v>
      </c>
      <c r="P1493" s="1129">
        <v>1706521.92</v>
      </c>
      <c r="Q1493" s="1129">
        <v>0</v>
      </c>
      <c r="R1493" s="1129">
        <v>0</v>
      </c>
      <c r="S1493" s="1129">
        <v>0</v>
      </c>
      <c r="T1493" s="1129">
        <v>0</v>
      </c>
      <c r="U1493" s="1129">
        <v>0</v>
      </c>
      <c r="V1493" s="1129">
        <v>0</v>
      </c>
      <c r="W1493" s="1129">
        <v>0</v>
      </c>
      <c r="X1493" s="1129">
        <v>133661.4</v>
      </c>
      <c r="Y1493" s="1129">
        <v>0</v>
      </c>
    </row>
    <row r="1494" spans="1:25" s="1177" customFormat="1" ht="99.6" customHeight="1">
      <c r="A1494" s="1280">
        <v>431</v>
      </c>
      <c r="B1494" s="1135" t="s">
        <v>2852</v>
      </c>
      <c r="C1494" s="1145">
        <f t="shared" ref="C1494:C1499" si="655">D1494+N1494+P1494+R1494+T1494+V1494+X1494</f>
        <v>1866925.32</v>
      </c>
      <c r="D1494" s="1145">
        <f t="shared" ref="D1494:D1499" si="656">SUM(E1494:J1494)</f>
        <v>0</v>
      </c>
      <c r="E1494" s="1129">
        <v>0</v>
      </c>
      <c r="F1494" s="1129">
        <v>0</v>
      </c>
      <c r="G1494" s="1129">
        <v>0</v>
      </c>
      <c r="H1494" s="1129">
        <v>0</v>
      </c>
      <c r="I1494" s="1129">
        <v>0</v>
      </c>
      <c r="J1494" s="1129">
        <v>0</v>
      </c>
      <c r="K1494" s="1136">
        <v>0</v>
      </c>
      <c r="L1494" s="1129">
        <v>0</v>
      </c>
      <c r="M1494" s="1136">
        <v>0</v>
      </c>
      <c r="N1494" s="1129">
        <v>0</v>
      </c>
      <c r="O1494" s="1129">
        <v>490.4</v>
      </c>
      <c r="P1494" s="1129">
        <v>1731321.52</v>
      </c>
      <c r="Q1494" s="1129">
        <v>0</v>
      </c>
      <c r="R1494" s="1129">
        <v>0</v>
      </c>
      <c r="S1494" s="1129">
        <v>0</v>
      </c>
      <c r="T1494" s="1129">
        <v>0</v>
      </c>
      <c r="U1494" s="1129">
        <v>0</v>
      </c>
      <c r="V1494" s="1129">
        <v>0</v>
      </c>
      <c r="W1494" s="1129">
        <v>0</v>
      </c>
      <c r="X1494" s="1129">
        <v>135603.79999999999</v>
      </c>
      <c r="Y1494" s="1129">
        <v>0</v>
      </c>
    </row>
    <row r="1495" spans="1:25" s="1177" customFormat="1" ht="94.9" customHeight="1">
      <c r="A1495" s="1280">
        <v>432</v>
      </c>
      <c r="B1495" s="1135" t="s">
        <v>1936</v>
      </c>
      <c r="C1495" s="1145">
        <f t="shared" si="655"/>
        <v>734707</v>
      </c>
      <c r="D1495" s="1145">
        <f t="shared" si="656"/>
        <v>0</v>
      </c>
      <c r="E1495" s="1129">
        <v>0</v>
      </c>
      <c r="F1495" s="1129">
        <v>0</v>
      </c>
      <c r="G1495" s="1129">
        <v>0</v>
      </c>
      <c r="H1495" s="1129">
        <v>0</v>
      </c>
      <c r="I1495" s="1129">
        <v>0</v>
      </c>
      <c r="J1495" s="1129">
        <v>0</v>
      </c>
      <c r="K1495" s="1136">
        <v>0</v>
      </c>
      <c r="L1495" s="1129">
        <v>0</v>
      </c>
      <c r="M1495" s="1136">
        <v>0</v>
      </c>
      <c r="N1495" s="1129">
        <v>0</v>
      </c>
      <c r="O1495" s="1129">
        <v>0</v>
      </c>
      <c r="P1495" s="1129">
        <v>0</v>
      </c>
      <c r="Q1495" s="1149">
        <v>0</v>
      </c>
      <c r="R1495" s="1129">
        <v>0</v>
      </c>
      <c r="S1495" s="1129">
        <v>484.51</v>
      </c>
      <c r="T1495" s="1129">
        <v>681341.68</v>
      </c>
      <c r="U1495" s="1149">
        <v>0</v>
      </c>
      <c r="V1495" s="1129">
        <v>0</v>
      </c>
      <c r="W1495" s="1129">
        <v>0</v>
      </c>
      <c r="X1495" s="1129">
        <v>53365.32</v>
      </c>
      <c r="Y1495" s="1129">
        <v>0</v>
      </c>
    </row>
    <row r="1496" spans="1:25" s="1177" customFormat="1" ht="87.6" customHeight="1">
      <c r="A1496" s="1280">
        <v>433</v>
      </c>
      <c r="B1496" s="1135" t="s">
        <v>1937</v>
      </c>
      <c r="C1496" s="1145">
        <f t="shared" si="655"/>
        <v>738725.94</v>
      </c>
      <c r="D1496" s="1145">
        <f t="shared" si="656"/>
        <v>0</v>
      </c>
      <c r="E1496" s="1129">
        <v>0</v>
      </c>
      <c r="F1496" s="1129">
        <v>0</v>
      </c>
      <c r="G1496" s="1129">
        <v>0</v>
      </c>
      <c r="H1496" s="1129">
        <v>0</v>
      </c>
      <c r="I1496" s="1129">
        <v>0</v>
      </c>
      <c r="J1496" s="1129">
        <v>0</v>
      </c>
      <c r="K1496" s="1136">
        <v>0</v>
      </c>
      <c r="L1496" s="1129">
        <v>0</v>
      </c>
      <c r="M1496" s="1136">
        <v>0</v>
      </c>
      <c r="N1496" s="1129">
        <v>0</v>
      </c>
      <c r="O1496" s="1129">
        <v>0</v>
      </c>
      <c r="P1496" s="1129">
        <v>0</v>
      </c>
      <c r="Q1496" s="1149">
        <v>0</v>
      </c>
      <c r="R1496" s="1129">
        <v>0</v>
      </c>
      <c r="S1496" s="1129">
        <v>487.2</v>
      </c>
      <c r="T1496" s="1129">
        <v>685068.7</v>
      </c>
      <c r="U1496" s="1149">
        <v>0</v>
      </c>
      <c r="V1496" s="1129">
        <v>0</v>
      </c>
      <c r="W1496" s="1129">
        <v>0</v>
      </c>
      <c r="X1496" s="1129">
        <v>53657.24</v>
      </c>
      <c r="Y1496" s="1129">
        <v>0</v>
      </c>
    </row>
    <row r="1497" spans="1:25" s="1177" customFormat="1" ht="94.9" customHeight="1">
      <c r="A1497" s="1280">
        <v>434</v>
      </c>
      <c r="B1497" s="1135" t="s">
        <v>1939</v>
      </c>
      <c r="C1497" s="1145">
        <f t="shared" si="655"/>
        <v>1857131.23</v>
      </c>
      <c r="D1497" s="1145">
        <f t="shared" si="656"/>
        <v>0</v>
      </c>
      <c r="E1497" s="1129">
        <v>0</v>
      </c>
      <c r="F1497" s="1129">
        <v>0</v>
      </c>
      <c r="G1497" s="1129">
        <v>0</v>
      </c>
      <c r="H1497" s="1129">
        <v>0</v>
      </c>
      <c r="I1497" s="1129">
        <v>0</v>
      </c>
      <c r="J1497" s="1129">
        <v>0</v>
      </c>
      <c r="K1497" s="1136">
        <v>0</v>
      </c>
      <c r="L1497" s="1129">
        <v>0</v>
      </c>
      <c r="M1497" s="1136">
        <v>0</v>
      </c>
      <c r="N1497" s="1129">
        <v>0</v>
      </c>
      <c r="O1497" s="1129">
        <v>0</v>
      </c>
      <c r="P1497" s="1129">
        <v>1722238.82</v>
      </c>
      <c r="Q1497" s="1149">
        <v>0</v>
      </c>
      <c r="R1497" s="1129">
        <v>0</v>
      </c>
      <c r="S1497" s="1129">
        <v>0</v>
      </c>
      <c r="T1497" s="1129">
        <v>0</v>
      </c>
      <c r="U1497" s="1149">
        <v>0</v>
      </c>
      <c r="V1497" s="1129">
        <v>0</v>
      </c>
      <c r="W1497" s="1129">
        <v>0</v>
      </c>
      <c r="X1497" s="1129">
        <v>134892.41</v>
      </c>
      <c r="Y1497" s="1129">
        <v>0</v>
      </c>
    </row>
    <row r="1498" spans="1:25" s="1177" customFormat="1" ht="92.45" customHeight="1">
      <c r="A1498" s="1280">
        <v>435</v>
      </c>
      <c r="B1498" s="1135" t="s">
        <v>1938</v>
      </c>
      <c r="C1498" s="1145">
        <f t="shared" si="655"/>
        <v>1936330.9100000001</v>
      </c>
      <c r="D1498" s="1145">
        <f t="shared" si="656"/>
        <v>0</v>
      </c>
      <c r="E1498" s="1129">
        <v>0</v>
      </c>
      <c r="F1498" s="1129">
        <v>0</v>
      </c>
      <c r="G1498" s="1129">
        <v>0</v>
      </c>
      <c r="H1498" s="1129">
        <v>0</v>
      </c>
      <c r="I1498" s="1129">
        <v>0</v>
      </c>
      <c r="J1498" s="1129">
        <v>0</v>
      </c>
      <c r="K1498" s="1136">
        <v>0</v>
      </c>
      <c r="L1498" s="1129">
        <v>0</v>
      </c>
      <c r="M1498" s="1136">
        <v>0</v>
      </c>
      <c r="N1498" s="1129">
        <v>0</v>
      </c>
      <c r="O1498" s="1129">
        <v>491.7</v>
      </c>
      <c r="P1498" s="1129">
        <v>1795685.85</v>
      </c>
      <c r="Q1498" s="1149">
        <v>0</v>
      </c>
      <c r="R1498" s="1129">
        <v>0</v>
      </c>
      <c r="S1498" s="1129">
        <v>0</v>
      </c>
      <c r="T1498" s="1129">
        <v>0</v>
      </c>
      <c r="U1498" s="1149">
        <v>0</v>
      </c>
      <c r="V1498" s="1129">
        <v>0</v>
      </c>
      <c r="W1498" s="1129">
        <v>0</v>
      </c>
      <c r="X1498" s="1129">
        <v>140645.06</v>
      </c>
      <c r="Y1498" s="1129">
        <v>0</v>
      </c>
    </row>
    <row r="1499" spans="1:25" s="1177" customFormat="1" ht="85.15" customHeight="1">
      <c r="A1499" s="1280">
        <v>436</v>
      </c>
      <c r="B1499" s="1135" t="s">
        <v>1940</v>
      </c>
      <c r="C1499" s="1145">
        <f t="shared" si="655"/>
        <v>1309256.5499999998</v>
      </c>
      <c r="D1499" s="1145">
        <f t="shared" si="656"/>
        <v>0</v>
      </c>
      <c r="E1499" s="1129">
        <v>0</v>
      </c>
      <c r="F1499" s="1129">
        <v>0</v>
      </c>
      <c r="G1499" s="1129">
        <v>0</v>
      </c>
      <c r="H1499" s="1129">
        <v>0</v>
      </c>
      <c r="I1499" s="1129">
        <v>0</v>
      </c>
      <c r="J1499" s="1129">
        <v>0</v>
      </c>
      <c r="K1499" s="1136">
        <v>0</v>
      </c>
      <c r="L1499" s="1129">
        <v>0</v>
      </c>
      <c r="M1499" s="1136">
        <v>0</v>
      </c>
      <c r="N1499" s="1129">
        <v>0</v>
      </c>
      <c r="O1499" s="1129">
        <v>0</v>
      </c>
      <c r="P1499" s="1129">
        <v>0</v>
      </c>
      <c r="Q1499" s="1149">
        <v>0</v>
      </c>
      <c r="R1499" s="1129">
        <v>0</v>
      </c>
      <c r="S1499" s="1129">
        <v>492.02</v>
      </c>
      <c r="T1499" s="1129">
        <v>1214158.93</v>
      </c>
      <c r="U1499" s="1149">
        <v>0</v>
      </c>
      <c r="V1499" s="1129">
        <v>0</v>
      </c>
      <c r="W1499" s="1129">
        <v>0</v>
      </c>
      <c r="X1499" s="1129">
        <v>95097.62</v>
      </c>
      <c r="Y1499" s="1129">
        <v>0</v>
      </c>
    </row>
    <row r="1500" spans="1:25" s="1177" customFormat="1" ht="135" customHeight="1">
      <c r="A1500" s="1280"/>
      <c r="B1500" s="1135" t="s">
        <v>1071</v>
      </c>
      <c r="C1500" s="1145">
        <f>C1501+C1502+C1503+C1504</f>
        <v>7767294.4500000002</v>
      </c>
      <c r="D1500" s="1145">
        <f t="shared" ref="D1500:Y1500" si="657">D1501+D1502+D1503+D1504</f>
        <v>1589929</v>
      </c>
      <c r="E1500" s="1145">
        <f t="shared" si="657"/>
        <v>331755</v>
      </c>
      <c r="F1500" s="1145">
        <f t="shared" si="657"/>
        <v>628395</v>
      </c>
      <c r="G1500" s="1145">
        <f t="shared" si="657"/>
        <v>0</v>
      </c>
      <c r="H1500" s="1145">
        <f t="shared" si="657"/>
        <v>385815</v>
      </c>
      <c r="I1500" s="1145">
        <f t="shared" si="657"/>
        <v>0</v>
      </c>
      <c r="J1500" s="1145">
        <f t="shared" si="657"/>
        <v>243964</v>
      </c>
      <c r="K1500" s="1163">
        <f t="shared" si="657"/>
        <v>0</v>
      </c>
      <c r="L1500" s="1145">
        <f t="shared" si="657"/>
        <v>0</v>
      </c>
      <c r="M1500" s="1163">
        <f t="shared" si="657"/>
        <v>0</v>
      </c>
      <c r="N1500" s="1145">
        <f t="shared" si="657"/>
        <v>0</v>
      </c>
      <c r="O1500" s="1145">
        <f t="shared" si="657"/>
        <v>1652.8</v>
      </c>
      <c r="P1500" s="1145">
        <f t="shared" si="657"/>
        <v>3877941</v>
      </c>
      <c r="Q1500" s="1145">
        <f t="shared" si="657"/>
        <v>0</v>
      </c>
      <c r="R1500" s="1145">
        <f t="shared" si="657"/>
        <v>0</v>
      </c>
      <c r="S1500" s="1145">
        <f t="shared" si="657"/>
        <v>708</v>
      </c>
      <c r="T1500" s="1145">
        <f t="shared" si="657"/>
        <v>1747133</v>
      </c>
      <c r="U1500" s="1145">
        <f t="shared" si="657"/>
        <v>0</v>
      </c>
      <c r="V1500" s="1145">
        <f t="shared" si="657"/>
        <v>0</v>
      </c>
      <c r="W1500" s="1145">
        <f t="shared" si="657"/>
        <v>0</v>
      </c>
      <c r="X1500" s="1145">
        <f t="shared" si="657"/>
        <v>552291.44999999995</v>
      </c>
      <c r="Y1500" s="1145">
        <f t="shared" si="657"/>
        <v>0</v>
      </c>
    </row>
    <row r="1501" spans="1:25" s="1177" customFormat="1" ht="78.599999999999994" customHeight="1">
      <c r="A1501" s="1280">
        <v>437</v>
      </c>
      <c r="B1501" s="1135" t="s">
        <v>594</v>
      </c>
      <c r="C1501" s="1145">
        <f t="shared" ref="C1501" si="658">D1501+N1501+P1501+R1501+T1501+V1501+X1501</f>
        <v>2641818.4500000002</v>
      </c>
      <c r="D1501" s="1145">
        <f t="shared" ref="D1501" si="659">SUM(E1501:J1501)</f>
        <v>0</v>
      </c>
      <c r="E1501" s="1129">
        <v>0</v>
      </c>
      <c r="F1501" s="1129">
        <v>0</v>
      </c>
      <c r="G1501" s="1129">
        <v>0</v>
      </c>
      <c r="H1501" s="1129">
        <v>0</v>
      </c>
      <c r="I1501" s="1129">
        <v>0</v>
      </c>
      <c r="J1501" s="1129">
        <v>0</v>
      </c>
      <c r="K1501" s="1136">
        <v>0</v>
      </c>
      <c r="L1501" s="1129">
        <v>0</v>
      </c>
      <c r="M1501" s="1136">
        <v>0</v>
      </c>
      <c r="N1501" s="1129">
        <v>0</v>
      </c>
      <c r="O1501" s="1129">
        <v>1201.5999999999999</v>
      </c>
      <c r="P1501" s="1129">
        <v>2461731</v>
      </c>
      <c r="Q1501" s="1149">
        <v>0</v>
      </c>
      <c r="R1501" s="1129">
        <v>0</v>
      </c>
      <c r="S1501" s="1129">
        <v>0</v>
      </c>
      <c r="T1501" s="1129">
        <v>0</v>
      </c>
      <c r="U1501" s="1149">
        <v>0</v>
      </c>
      <c r="V1501" s="1129">
        <v>0</v>
      </c>
      <c r="W1501" s="1129">
        <v>0</v>
      </c>
      <c r="X1501" s="1129">
        <v>180087.45</v>
      </c>
      <c r="Y1501" s="1129">
        <v>0</v>
      </c>
    </row>
    <row r="1502" spans="1:25" s="1177" customFormat="1" ht="71.45" customHeight="1">
      <c r="A1502" s="1280">
        <v>438</v>
      </c>
      <c r="B1502" s="1135" t="s">
        <v>1039</v>
      </c>
      <c r="C1502" s="1145">
        <f t="shared" ref="C1502:C1503" si="660">D1502+N1502+P1502+R1502+T1502+V1502+X1502</f>
        <v>1527133</v>
      </c>
      <c r="D1502" s="1145">
        <f t="shared" ref="D1502:D1503" si="661">SUM(E1502:J1502)</f>
        <v>0</v>
      </c>
      <c r="E1502" s="1129">
        <v>0</v>
      </c>
      <c r="F1502" s="1129">
        <v>0</v>
      </c>
      <c r="G1502" s="1129">
        <v>0</v>
      </c>
      <c r="H1502" s="1129">
        <v>0</v>
      </c>
      <c r="I1502" s="1129">
        <v>0</v>
      </c>
      <c r="J1502" s="1129">
        <v>0</v>
      </c>
      <c r="K1502" s="1136">
        <v>0</v>
      </c>
      <c r="L1502" s="1129">
        <v>0</v>
      </c>
      <c r="M1502" s="1136">
        <v>0</v>
      </c>
      <c r="N1502" s="1129">
        <v>0</v>
      </c>
      <c r="O1502" s="1129">
        <v>451.2</v>
      </c>
      <c r="P1502" s="1129">
        <v>1416210</v>
      </c>
      <c r="Q1502" s="1149">
        <v>0</v>
      </c>
      <c r="R1502" s="1129">
        <v>0</v>
      </c>
      <c r="S1502" s="1129">
        <v>0</v>
      </c>
      <c r="T1502" s="1129">
        <v>0</v>
      </c>
      <c r="U1502" s="1149">
        <v>0</v>
      </c>
      <c r="V1502" s="1129">
        <v>0</v>
      </c>
      <c r="W1502" s="1129">
        <v>0</v>
      </c>
      <c r="X1502" s="1129">
        <v>110923</v>
      </c>
      <c r="Y1502" s="1129">
        <v>0</v>
      </c>
    </row>
    <row r="1503" spans="1:25" s="1177" customFormat="1" ht="81.599999999999994" customHeight="1">
      <c r="A1503" s="1280">
        <v>439</v>
      </c>
      <c r="B1503" s="1135" t="s">
        <v>1040</v>
      </c>
      <c r="C1503" s="1145">
        <f t="shared" si="660"/>
        <v>1714368</v>
      </c>
      <c r="D1503" s="1145">
        <f t="shared" si="661"/>
        <v>1589929</v>
      </c>
      <c r="E1503" s="1129">
        <v>331755</v>
      </c>
      <c r="F1503" s="1129">
        <v>628395</v>
      </c>
      <c r="G1503" s="1129">
        <v>0</v>
      </c>
      <c r="H1503" s="1129">
        <v>385815</v>
      </c>
      <c r="I1503" s="1129">
        <v>0</v>
      </c>
      <c r="J1503" s="1129">
        <v>243964</v>
      </c>
      <c r="K1503" s="1136">
        <v>0</v>
      </c>
      <c r="L1503" s="1129">
        <v>0</v>
      </c>
      <c r="M1503" s="1136">
        <v>0</v>
      </c>
      <c r="N1503" s="1129">
        <v>0</v>
      </c>
      <c r="O1503" s="1129">
        <v>0</v>
      </c>
      <c r="P1503" s="1129">
        <v>0</v>
      </c>
      <c r="Q1503" s="1149">
        <v>0</v>
      </c>
      <c r="R1503" s="1129">
        <v>0</v>
      </c>
      <c r="S1503" s="1129">
        <v>0</v>
      </c>
      <c r="T1503" s="1129">
        <v>0</v>
      </c>
      <c r="U1503" s="1149">
        <v>0</v>
      </c>
      <c r="V1503" s="1129">
        <v>0</v>
      </c>
      <c r="W1503" s="1129">
        <v>0</v>
      </c>
      <c r="X1503" s="1129">
        <v>124439</v>
      </c>
      <c r="Y1503" s="1129">
        <v>0</v>
      </c>
    </row>
    <row r="1504" spans="1:25" s="1177" customFormat="1" ht="72" customHeight="1">
      <c r="A1504" s="1280">
        <v>440</v>
      </c>
      <c r="B1504" s="1135" t="s">
        <v>1995</v>
      </c>
      <c r="C1504" s="1145">
        <f t="shared" ref="C1504" si="662">D1504+N1504+P1504+R1504+T1504+V1504+X1504</f>
        <v>1883975</v>
      </c>
      <c r="D1504" s="1145">
        <f t="shared" ref="D1504" si="663">SUM(E1504:J1504)</f>
        <v>0</v>
      </c>
      <c r="E1504" s="1129">
        <v>0</v>
      </c>
      <c r="F1504" s="1129">
        <v>0</v>
      </c>
      <c r="G1504" s="1129">
        <v>0</v>
      </c>
      <c r="H1504" s="1129">
        <v>0</v>
      </c>
      <c r="I1504" s="1129">
        <v>0</v>
      </c>
      <c r="J1504" s="1129">
        <v>0</v>
      </c>
      <c r="K1504" s="1136">
        <v>0</v>
      </c>
      <c r="L1504" s="1129">
        <v>0</v>
      </c>
      <c r="M1504" s="1136">
        <v>0</v>
      </c>
      <c r="N1504" s="1129">
        <v>0</v>
      </c>
      <c r="O1504" s="1129">
        <v>0</v>
      </c>
      <c r="P1504" s="1129">
        <v>0</v>
      </c>
      <c r="Q1504" s="1149">
        <v>0</v>
      </c>
      <c r="R1504" s="1129">
        <v>0</v>
      </c>
      <c r="S1504" s="1129">
        <v>708</v>
      </c>
      <c r="T1504" s="1129">
        <v>1747133</v>
      </c>
      <c r="U1504" s="1149">
        <v>0</v>
      </c>
      <c r="V1504" s="1129">
        <v>0</v>
      </c>
      <c r="W1504" s="1129">
        <v>0</v>
      </c>
      <c r="X1504" s="1129">
        <v>136842</v>
      </c>
      <c r="Y1504" s="1129">
        <v>0</v>
      </c>
    </row>
    <row r="1505" spans="1:25" s="1177" customFormat="1" ht="96" customHeight="1">
      <c r="A1505" s="1280"/>
      <c r="B1505" s="1135" t="s">
        <v>1073</v>
      </c>
      <c r="C1505" s="1145">
        <f>C1506+C1507+C1508</f>
        <v>9105999</v>
      </c>
      <c r="D1505" s="1145">
        <f t="shared" ref="D1505:Y1505" si="664">D1506+D1507+D1508</f>
        <v>0</v>
      </c>
      <c r="E1505" s="1145">
        <f t="shared" si="664"/>
        <v>0</v>
      </c>
      <c r="F1505" s="1145">
        <f t="shared" si="664"/>
        <v>0</v>
      </c>
      <c r="G1505" s="1145">
        <f t="shared" si="664"/>
        <v>0</v>
      </c>
      <c r="H1505" s="1145">
        <f t="shared" si="664"/>
        <v>0</v>
      </c>
      <c r="I1505" s="1145">
        <f t="shared" si="664"/>
        <v>0</v>
      </c>
      <c r="J1505" s="1145">
        <f t="shared" si="664"/>
        <v>0</v>
      </c>
      <c r="K1505" s="1136">
        <f t="shared" si="664"/>
        <v>0</v>
      </c>
      <c r="L1505" s="1145">
        <f t="shared" si="664"/>
        <v>0</v>
      </c>
      <c r="M1505" s="1136">
        <f t="shared" si="664"/>
        <v>0</v>
      </c>
      <c r="N1505" s="1145">
        <f t="shared" si="664"/>
        <v>0</v>
      </c>
      <c r="O1505" s="1145">
        <f t="shared" si="664"/>
        <v>3351.3</v>
      </c>
      <c r="P1505" s="1145">
        <f t="shared" si="664"/>
        <v>8444586</v>
      </c>
      <c r="Q1505" s="1145">
        <f t="shared" si="664"/>
        <v>0</v>
      </c>
      <c r="R1505" s="1145">
        <f t="shared" si="664"/>
        <v>0</v>
      </c>
      <c r="S1505" s="1145">
        <f t="shared" si="664"/>
        <v>0</v>
      </c>
      <c r="T1505" s="1145">
        <f t="shared" si="664"/>
        <v>0</v>
      </c>
      <c r="U1505" s="1145">
        <f t="shared" si="664"/>
        <v>0</v>
      </c>
      <c r="V1505" s="1145">
        <f t="shared" si="664"/>
        <v>0</v>
      </c>
      <c r="W1505" s="1129">
        <v>0</v>
      </c>
      <c r="X1505" s="1145">
        <f t="shared" si="664"/>
        <v>661413</v>
      </c>
      <c r="Y1505" s="1145">
        <f t="shared" si="664"/>
        <v>0</v>
      </c>
    </row>
    <row r="1506" spans="1:25" s="1177" customFormat="1" ht="71.45" customHeight="1">
      <c r="A1506" s="1280">
        <v>441</v>
      </c>
      <c r="B1506" s="1135" t="s">
        <v>721</v>
      </c>
      <c r="C1506" s="1145">
        <f t="shared" ref="C1506" si="665">D1506+N1506+P1506+R1506+T1506+V1506+X1506</f>
        <v>2203612</v>
      </c>
      <c r="D1506" s="1145">
        <f t="shared" ref="D1506" si="666">SUM(E1506:J1506)</f>
        <v>0</v>
      </c>
      <c r="E1506" s="1129">
        <v>0</v>
      </c>
      <c r="F1506" s="1129">
        <v>0</v>
      </c>
      <c r="G1506" s="1129">
        <v>0</v>
      </c>
      <c r="H1506" s="1129">
        <v>0</v>
      </c>
      <c r="I1506" s="1129">
        <v>0</v>
      </c>
      <c r="J1506" s="1129">
        <v>0</v>
      </c>
      <c r="K1506" s="1136">
        <v>0</v>
      </c>
      <c r="L1506" s="1129">
        <v>0</v>
      </c>
      <c r="M1506" s="1136">
        <v>0</v>
      </c>
      <c r="N1506" s="1129">
        <v>0</v>
      </c>
      <c r="O1506" s="1129">
        <v>811</v>
      </c>
      <c r="P1506" s="1129">
        <v>2043553</v>
      </c>
      <c r="Q1506" s="1149">
        <v>0</v>
      </c>
      <c r="R1506" s="1129">
        <v>0</v>
      </c>
      <c r="S1506" s="1129">
        <v>0</v>
      </c>
      <c r="T1506" s="1129">
        <v>0</v>
      </c>
      <c r="U1506" s="1149">
        <v>0</v>
      </c>
      <c r="V1506" s="1129">
        <v>0</v>
      </c>
      <c r="W1506" s="1129">
        <v>0</v>
      </c>
      <c r="X1506" s="1129">
        <v>160059</v>
      </c>
      <c r="Y1506" s="1129">
        <v>0</v>
      </c>
    </row>
    <row r="1507" spans="1:25" s="1177" customFormat="1" ht="69" customHeight="1">
      <c r="A1507" s="1280">
        <v>442</v>
      </c>
      <c r="B1507" s="1135" t="s">
        <v>723</v>
      </c>
      <c r="C1507" s="1145">
        <f t="shared" ref="C1507:C1508" si="667">D1507+N1507+P1507+R1507+T1507+V1507+X1507</f>
        <v>4707741</v>
      </c>
      <c r="D1507" s="1145">
        <f t="shared" ref="D1507:D1508" si="668">SUM(E1507:J1507)</f>
        <v>0</v>
      </c>
      <c r="E1507" s="1129">
        <v>0</v>
      </c>
      <c r="F1507" s="1129">
        <v>0</v>
      </c>
      <c r="G1507" s="1129">
        <v>0</v>
      </c>
      <c r="H1507" s="1129">
        <v>0</v>
      </c>
      <c r="I1507" s="1129">
        <v>0</v>
      </c>
      <c r="J1507" s="1129">
        <v>0</v>
      </c>
      <c r="K1507" s="1136">
        <v>0</v>
      </c>
      <c r="L1507" s="1129">
        <v>0</v>
      </c>
      <c r="M1507" s="1136">
        <v>0</v>
      </c>
      <c r="N1507" s="1129">
        <v>0</v>
      </c>
      <c r="O1507" s="1129">
        <v>1732.6</v>
      </c>
      <c r="P1507" s="1129">
        <v>4365795</v>
      </c>
      <c r="Q1507" s="1149">
        <v>0</v>
      </c>
      <c r="R1507" s="1129">
        <v>0</v>
      </c>
      <c r="S1507" s="1129">
        <v>0</v>
      </c>
      <c r="T1507" s="1129">
        <v>0</v>
      </c>
      <c r="U1507" s="1149">
        <v>0</v>
      </c>
      <c r="V1507" s="1129">
        <v>0</v>
      </c>
      <c r="W1507" s="1129">
        <v>0</v>
      </c>
      <c r="X1507" s="1129">
        <v>341946</v>
      </c>
      <c r="Y1507" s="1129">
        <v>0</v>
      </c>
    </row>
    <row r="1508" spans="1:25" s="1177" customFormat="1" ht="66.599999999999994" customHeight="1">
      <c r="A1508" s="1280">
        <v>443</v>
      </c>
      <c r="B1508" s="1135" t="s">
        <v>1368</v>
      </c>
      <c r="C1508" s="1145">
        <f t="shared" si="667"/>
        <v>2194646</v>
      </c>
      <c r="D1508" s="1145">
        <f t="shared" si="668"/>
        <v>0</v>
      </c>
      <c r="E1508" s="1129">
        <v>0</v>
      </c>
      <c r="F1508" s="1129">
        <v>0</v>
      </c>
      <c r="G1508" s="1129">
        <v>0</v>
      </c>
      <c r="H1508" s="1129">
        <v>0</v>
      </c>
      <c r="I1508" s="1129">
        <v>0</v>
      </c>
      <c r="J1508" s="1129">
        <v>0</v>
      </c>
      <c r="K1508" s="1136">
        <v>0</v>
      </c>
      <c r="L1508" s="1129">
        <v>0</v>
      </c>
      <c r="M1508" s="1136">
        <v>0</v>
      </c>
      <c r="N1508" s="1129">
        <v>0</v>
      </c>
      <c r="O1508" s="1129">
        <v>807.7</v>
      </c>
      <c r="P1508" s="1129">
        <v>2035238</v>
      </c>
      <c r="Q1508" s="1149">
        <v>0</v>
      </c>
      <c r="R1508" s="1129">
        <v>0</v>
      </c>
      <c r="S1508" s="1129">
        <v>0</v>
      </c>
      <c r="T1508" s="1129">
        <v>0</v>
      </c>
      <c r="U1508" s="1149">
        <v>0</v>
      </c>
      <c r="V1508" s="1129">
        <v>0</v>
      </c>
      <c r="W1508" s="1129">
        <v>0</v>
      </c>
      <c r="X1508" s="1129">
        <v>159408</v>
      </c>
      <c r="Y1508" s="1129">
        <v>0</v>
      </c>
    </row>
    <row r="1509" spans="1:25" s="1177" customFormat="1" ht="97.15" customHeight="1">
      <c r="A1509" s="1280"/>
      <c r="B1509" s="1135" t="s">
        <v>1652</v>
      </c>
      <c r="C1509" s="1129">
        <f>C1510+C1511</f>
        <v>4485601.8057526778</v>
      </c>
      <c r="D1509" s="1129">
        <f t="shared" ref="D1509:Y1509" si="669">D1510+D1511</f>
        <v>0</v>
      </c>
      <c r="E1509" s="1129">
        <f t="shared" si="669"/>
        <v>0</v>
      </c>
      <c r="F1509" s="1129">
        <f t="shared" si="669"/>
        <v>0</v>
      </c>
      <c r="G1509" s="1129">
        <f t="shared" si="669"/>
        <v>0</v>
      </c>
      <c r="H1509" s="1129">
        <f t="shared" si="669"/>
        <v>0</v>
      </c>
      <c r="I1509" s="1129">
        <f t="shared" si="669"/>
        <v>0</v>
      </c>
      <c r="J1509" s="1129">
        <f t="shared" si="669"/>
        <v>0</v>
      </c>
      <c r="K1509" s="1136">
        <f t="shared" si="669"/>
        <v>0</v>
      </c>
      <c r="L1509" s="1129">
        <f t="shared" si="669"/>
        <v>0</v>
      </c>
      <c r="M1509" s="1136">
        <f t="shared" si="669"/>
        <v>0</v>
      </c>
      <c r="N1509" s="1129">
        <f t="shared" si="669"/>
        <v>0</v>
      </c>
      <c r="O1509" s="1129">
        <f t="shared" si="669"/>
        <v>1160.9000000000001</v>
      </c>
      <c r="P1509" s="1129">
        <f t="shared" si="669"/>
        <v>4295132.04</v>
      </c>
      <c r="Q1509" s="1129">
        <f t="shared" si="669"/>
        <v>0</v>
      </c>
      <c r="R1509" s="1129">
        <f t="shared" si="669"/>
        <v>0</v>
      </c>
      <c r="S1509" s="1129">
        <f t="shared" si="669"/>
        <v>0</v>
      </c>
      <c r="T1509" s="1129">
        <f t="shared" si="669"/>
        <v>0</v>
      </c>
      <c r="U1509" s="1129">
        <f t="shared" si="669"/>
        <v>0</v>
      </c>
      <c r="V1509" s="1129">
        <f t="shared" si="669"/>
        <v>0</v>
      </c>
      <c r="W1509" s="1129">
        <v>0</v>
      </c>
      <c r="X1509" s="1129">
        <f t="shared" si="669"/>
        <v>190469.76575267839</v>
      </c>
      <c r="Y1509" s="1129">
        <f t="shared" si="669"/>
        <v>0</v>
      </c>
    </row>
    <row r="1510" spans="1:25" s="1177" customFormat="1" ht="94.9" customHeight="1">
      <c r="A1510" s="1280">
        <v>444</v>
      </c>
      <c r="B1510" s="1128" t="s">
        <v>2611</v>
      </c>
      <c r="C1510" s="1129">
        <f>D1510+P1510+T1510+X1510+Y1510</f>
        <v>1555703.83</v>
      </c>
      <c r="D1510" s="1129">
        <f>E1510+F1510+G1510+H1510+I1510+J1510</f>
        <v>0</v>
      </c>
      <c r="E1510" s="1129">
        <v>0</v>
      </c>
      <c r="F1510" s="1129">
        <v>0</v>
      </c>
      <c r="G1510" s="1129">
        <v>0</v>
      </c>
      <c r="H1510" s="1129">
        <v>0</v>
      </c>
      <c r="I1510" s="1129">
        <v>0</v>
      </c>
      <c r="J1510" s="1129">
        <v>0</v>
      </c>
      <c r="K1510" s="1136">
        <v>0</v>
      </c>
      <c r="L1510" s="1129">
        <v>0</v>
      </c>
      <c r="M1510" s="1136">
        <v>0</v>
      </c>
      <c r="N1510" s="1129">
        <v>0</v>
      </c>
      <c r="O1510" s="1129">
        <v>400.9</v>
      </c>
      <c r="P1510" s="1129">
        <v>1483503.83</v>
      </c>
      <c r="Q1510" s="1129">
        <v>0</v>
      </c>
      <c r="R1510" s="1129">
        <v>0</v>
      </c>
      <c r="S1510" s="1129">
        <v>0</v>
      </c>
      <c r="T1510" s="1129">
        <v>0</v>
      </c>
      <c r="U1510" s="1129">
        <v>0</v>
      </c>
      <c r="V1510" s="1129">
        <v>0</v>
      </c>
      <c r="W1510" s="1129">
        <v>0</v>
      </c>
      <c r="X1510" s="1129">
        <v>72200</v>
      </c>
      <c r="Y1510" s="1129">
        <v>0</v>
      </c>
    </row>
    <row r="1511" spans="1:25" s="1177" customFormat="1" ht="109.15" customHeight="1">
      <c r="A1511" s="1280">
        <v>445</v>
      </c>
      <c r="B1511" s="1128" t="s">
        <v>2612</v>
      </c>
      <c r="C1511" s="1129">
        <f>D1511+P1511+T1511+X1511+Y1511</f>
        <v>2929897.9757526782</v>
      </c>
      <c r="D1511" s="1129">
        <f>E1511+F1511+G1511+H1511+I1511+J1511</f>
        <v>0</v>
      </c>
      <c r="E1511" s="1129">
        <v>0</v>
      </c>
      <c r="F1511" s="1129">
        <v>0</v>
      </c>
      <c r="G1511" s="1129">
        <v>0</v>
      </c>
      <c r="H1511" s="1129">
        <v>0</v>
      </c>
      <c r="I1511" s="1129">
        <v>0</v>
      </c>
      <c r="J1511" s="1129">
        <v>0</v>
      </c>
      <c r="K1511" s="1136">
        <v>0</v>
      </c>
      <c r="L1511" s="1129">
        <v>0</v>
      </c>
      <c r="M1511" s="1136">
        <v>0</v>
      </c>
      <c r="N1511" s="1129">
        <v>0</v>
      </c>
      <c r="O1511" s="1129">
        <v>760</v>
      </c>
      <c r="P1511" s="1129">
        <v>2811628.21</v>
      </c>
      <c r="Q1511" s="1129">
        <v>0</v>
      </c>
      <c r="R1511" s="1129">
        <v>0</v>
      </c>
      <c r="S1511" s="1129">
        <v>0</v>
      </c>
      <c r="T1511" s="1129">
        <v>0</v>
      </c>
      <c r="U1511" s="1129">
        <v>0</v>
      </c>
      <c r="V1511" s="1129">
        <v>0</v>
      </c>
      <c r="W1511" s="1129">
        <v>0</v>
      </c>
      <c r="X1511" s="1129">
        <v>118269.7657526784</v>
      </c>
      <c r="Y1511" s="1129">
        <v>0</v>
      </c>
    </row>
    <row r="1512" spans="1:25" s="1177" customFormat="1" ht="82.9" customHeight="1">
      <c r="A1512" s="1280"/>
      <c r="B1512" s="1135" t="s">
        <v>55</v>
      </c>
      <c r="C1512" s="1129">
        <f>C1513</f>
        <v>6598081.0025712727</v>
      </c>
      <c r="D1512" s="1129">
        <f t="shared" ref="D1512:Y1512" si="670">D1513</f>
        <v>627208.59596876707</v>
      </c>
      <c r="E1512" s="1129">
        <f t="shared" si="670"/>
        <v>0</v>
      </c>
      <c r="F1512" s="1129">
        <f t="shared" si="670"/>
        <v>0</v>
      </c>
      <c r="G1512" s="1129">
        <f t="shared" si="670"/>
        <v>0</v>
      </c>
      <c r="H1512" s="1129">
        <f t="shared" si="670"/>
        <v>0</v>
      </c>
      <c r="I1512" s="1129">
        <f t="shared" si="670"/>
        <v>0</v>
      </c>
      <c r="J1512" s="1129">
        <f t="shared" si="670"/>
        <v>627208.59596876707</v>
      </c>
      <c r="K1512" s="1136">
        <v>0</v>
      </c>
      <c r="L1512" s="1129">
        <v>0</v>
      </c>
      <c r="M1512" s="1136">
        <f t="shared" si="670"/>
        <v>0</v>
      </c>
      <c r="N1512" s="1129">
        <f t="shared" si="670"/>
        <v>0</v>
      </c>
      <c r="O1512" s="1129">
        <f t="shared" si="670"/>
        <v>1059</v>
      </c>
      <c r="P1512" s="1129">
        <f t="shared" si="670"/>
        <v>3174478.2465952421</v>
      </c>
      <c r="Q1512" s="1129">
        <f t="shared" si="670"/>
        <v>0</v>
      </c>
      <c r="R1512" s="1129">
        <f t="shared" si="670"/>
        <v>0</v>
      </c>
      <c r="S1512" s="1129">
        <f t="shared" si="670"/>
        <v>962</v>
      </c>
      <c r="T1512" s="1129">
        <f t="shared" si="670"/>
        <v>2373929</v>
      </c>
      <c r="U1512" s="1129">
        <f t="shared" si="670"/>
        <v>0</v>
      </c>
      <c r="V1512" s="1129">
        <f t="shared" si="670"/>
        <v>0</v>
      </c>
      <c r="W1512" s="1129">
        <v>0</v>
      </c>
      <c r="X1512" s="1129">
        <f t="shared" si="670"/>
        <v>422465.16000726353</v>
      </c>
      <c r="Y1512" s="1129">
        <f t="shared" si="670"/>
        <v>0</v>
      </c>
    </row>
    <row r="1513" spans="1:25" s="1177" customFormat="1" ht="137.44999999999999" customHeight="1">
      <c r="A1513" s="1280"/>
      <c r="B1513" s="1135" t="s">
        <v>1076</v>
      </c>
      <c r="C1513" s="1129">
        <f>SUM(C1514:C1518)</f>
        <v>6598081.0025712727</v>
      </c>
      <c r="D1513" s="1129">
        <f t="shared" ref="D1513:Y1513" si="671">SUM(D1514:D1518)</f>
        <v>627208.59596876707</v>
      </c>
      <c r="E1513" s="1129">
        <f t="shared" si="671"/>
        <v>0</v>
      </c>
      <c r="F1513" s="1129">
        <f t="shared" si="671"/>
        <v>0</v>
      </c>
      <c r="G1513" s="1129">
        <f t="shared" si="671"/>
        <v>0</v>
      </c>
      <c r="H1513" s="1129">
        <f t="shared" si="671"/>
        <v>0</v>
      </c>
      <c r="I1513" s="1129">
        <f t="shared" si="671"/>
        <v>0</v>
      </c>
      <c r="J1513" s="1129">
        <f t="shared" si="671"/>
        <v>627208.59596876707</v>
      </c>
      <c r="K1513" s="1136">
        <f t="shared" si="671"/>
        <v>0</v>
      </c>
      <c r="L1513" s="1129">
        <f t="shared" si="671"/>
        <v>0</v>
      </c>
      <c r="M1513" s="1136">
        <f t="shared" si="671"/>
        <v>0</v>
      </c>
      <c r="N1513" s="1129">
        <f t="shared" si="671"/>
        <v>0</v>
      </c>
      <c r="O1513" s="1129">
        <f t="shared" si="671"/>
        <v>1059</v>
      </c>
      <c r="P1513" s="1129">
        <f t="shared" si="671"/>
        <v>3174478.2465952421</v>
      </c>
      <c r="Q1513" s="1129">
        <f t="shared" si="671"/>
        <v>0</v>
      </c>
      <c r="R1513" s="1129">
        <f t="shared" si="671"/>
        <v>0</v>
      </c>
      <c r="S1513" s="1129">
        <f t="shared" si="671"/>
        <v>962</v>
      </c>
      <c r="T1513" s="1129">
        <f t="shared" si="671"/>
        <v>2373929</v>
      </c>
      <c r="U1513" s="1129">
        <f t="shared" si="671"/>
        <v>0</v>
      </c>
      <c r="V1513" s="1129">
        <f t="shared" si="671"/>
        <v>0</v>
      </c>
      <c r="W1513" s="1129">
        <v>0</v>
      </c>
      <c r="X1513" s="1129">
        <f t="shared" si="671"/>
        <v>422465.16000726353</v>
      </c>
      <c r="Y1513" s="1129">
        <f t="shared" si="671"/>
        <v>0</v>
      </c>
    </row>
    <row r="1514" spans="1:25" s="1177" customFormat="1" ht="69" customHeight="1">
      <c r="A1514" s="1280">
        <v>446</v>
      </c>
      <c r="B1514" s="1135" t="s">
        <v>1111</v>
      </c>
      <c r="C1514" s="1145">
        <f t="shared" ref="C1514" si="672">D1514+N1514+P1514+R1514+T1514+V1514+X1514</f>
        <v>1620385.19</v>
      </c>
      <c r="D1514" s="1145">
        <f t="shared" ref="D1514" si="673">SUM(E1514:J1514)</f>
        <v>0</v>
      </c>
      <c r="E1514" s="1129">
        <v>0</v>
      </c>
      <c r="F1514" s="1129">
        <v>0</v>
      </c>
      <c r="G1514" s="1129">
        <v>0</v>
      </c>
      <c r="H1514" s="1129">
        <v>0</v>
      </c>
      <c r="I1514" s="1129">
        <v>0</v>
      </c>
      <c r="J1514" s="1129">
        <v>0</v>
      </c>
      <c r="K1514" s="1136">
        <v>0</v>
      </c>
      <c r="L1514" s="1129">
        <v>0</v>
      </c>
      <c r="M1514" s="1136">
        <v>0</v>
      </c>
      <c r="N1514" s="1129">
        <v>0</v>
      </c>
      <c r="O1514" s="1129">
        <v>0</v>
      </c>
      <c r="P1514" s="1129">
        <v>0</v>
      </c>
      <c r="Q1514" s="1149">
        <v>0</v>
      </c>
      <c r="R1514" s="1129">
        <v>0</v>
      </c>
      <c r="S1514" s="1129">
        <v>617</v>
      </c>
      <c r="T1514" s="1129">
        <v>1522572</v>
      </c>
      <c r="U1514" s="1149">
        <v>0</v>
      </c>
      <c r="V1514" s="1129">
        <v>0</v>
      </c>
      <c r="W1514" s="1129">
        <v>0</v>
      </c>
      <c r="X1514" s="1129">
        <v>97813.19</v>
      </c>
      <c r="Y1514" s="1129">
        <v>0</v>
      </c>
    </row>
    <row r="1515" spans="1:25" s="1177" customFormat="1" ht="85.9" customHeight="1">
      <c r="A1515" s="1280">
        <v>447</v>
      </c>
      <c r="B1515" s="1135" t="s">
        <v>1113</v>
      </c>
      <c r="C1515" s="1145">
        <f t="shared" ref="C1515:C1518" si="674">D1515+N1515+P1515+R1515+T1515+V1515+X1515</f>
        <v>1892894.8140548393</v>
      </c>
      <c r="D1515" s="1145">
        <f t="shared" ref="D1515:D1518" si="675">SUM(E1515:J1515)</f>
        <v>0</v>
      </c>
      <c r="E1515" s="1129">
        <v>0</v>
      </c>
      <c r="F1515" s="1129">
        <v>0</v>
      </c>
      <c r="G1515" s="1129">
        <v>0</v>
      </c>
      <c r="H1515" s="1129">
        <v>0</v>
      </c>
      <c r="I1515" s="1129">
        <v>0</v>
      </c>
      <c r="J1515" s="1129">
        <v>0</v>
      </c>
      <c r="K1515" s="1136">
        <v>0</v>
      </c>
      <c r="L1515" s="1129">
        <v>0</v>
      </c>
      <c r="M1515" s="1136">
        <v>0</v>
      </c>
      <c r="N1515" s="1129">
        <v>0</v>
      </c>
      <c r="O1515" s="1129">
        <v>302</v>
      </c>
      <c r="P1515" s="1129">
        <v>947906</v>
      </c>
      <c r="Q1515" s="1149">
        <v>0</v>
      </c>
      <c r="R1515" s="1129">
        <v>0</v>
      </c>
      <c r="S1515" s="1129">
        <v>345</v>
      </c>
      <c r="T1515" s="1129">
        <v>851357</v>
      </c>
      <c r="U1515" s="1149">
        <v>0</v>
      </c>
      <c r="V1515" s="1129">
        <v>0</v>
      </c>
      <c r="W1515" s="1129">
        <v>0</v>
      </c>
      <c r="X1515" s="1129">
        <v>93631.814054839298</v>
      </c>
      <c r="Y1515" s="1129">
        <v>0</v>
      </c>
    </row>
    <row r="1516" spans="1:25" s="1177" customFormat="1" ht="81" customHeight="1">
      <c r="A1516" s="1280">
        <v>448</v>
      </c>
      <c r="B1516" s="1135" t="s">
        <v>598</v>
      </c>
      <c r="C1516" s="1145">
        <f t="shared" si="674"/>
        <v>1550741</v>
      </c>
      <c r="D1516" s="1145">
        <f t="shared" si="675"/>
        <v>233574.53840566552</v>
      </c>
      <c r="E1516" s="1129">
        <v>0</v>
      </c>
      <c r="F1516" s="1129">
        <v>0</v>
      </c>
      <c r="G1516" s="1129">
        <v>0</v>
      </c>
      <c r="H1516" s="1129">
        <v>0</v>
      </c>
      <c r="I1516" s="1129">
        <v>0</v>
      </c>
      <c r="J1516" s="1129">
        <v>233574.53840566552</v>
      </c>
      <c r="K1516" s="1136">
        <v>0</v>
      </c>
      <c r="L1516" s="1129">
        <v>0</v>
      </c>
      <c r="M1516" s="1136">
        <v>0</v>
      </c>
      <c r="N1516" s="1129">
        <v>0</v>
      </c>
      <c r="O1516" s="1129">
        <v>410</v>
      </c>
      <c r="P1516" s="1129">
        <v>1204528.6551661522</v>
      </c>
      <c r="Q1516" s="1129">
        <v>0</v>
      </c>
      <c r="R1516" s="1129">
        <v>0</v>
      </c>
      <c r="S1516" s="1129">
        <v>0</v>
      </c>
      <c r="T1516" s="1129">
        <v>0</v>
      </c>
      <c r="U1516" s="1129">
        <v>0</v>
      </c>
      <c r="V1516" s="1129">
        <v>0</v>
      </c>
      <c r="W1516" s="1129">
        <v>0</v>
      </c>
      <c r="X1516" s="1129">
        <v>112637.80642818232</v>
      </c>
      <c r="Y1516" s="1129">
        <v>0</v>
      </c>
    </row>
    <row r="1517" spans="1:25" s="1177" customFormat="1" ht="76.150000000000006" customHeight="1">
      <c r="A1517" s="1280">
        <v>449</v>
      </c>
      <c r="B1517" s="1135" t="s">
        <v>599</v>
      </c>
      <c r="C1517" s="1145">
        <f t="shared" si="674"/>
        <v>1258689</v>
      </c>
      <c r="D1517" s="1145">
        <f t="shared" si="675"/>
        <v>145220.74904666789</v>
      </c>
      <c r="E1517" s="1129">
        <v>0</v>
      </c>
      <c r="F1517" s="1129">
        <v>0</v>
      </c>
      <c r="G1517" s="1129">
        <v>0</v>
      </c>
      <c r="H1517" s="1129">
        <v>0</v>
      </c>
      <c r="I1517" s="1129">
        <v>0</v>
      </c>
      <c r="J1517" s="1129">
        <v>145220.74904666789</v>
      </c>
      <c r="K1517" s="1136">
        <v>0</v>
      </c>
      <c r="L1517" s="1129">
        <v>0</v>
      </c>
      <c r="M1517" s="1136">
        <v>0</v>
      </c>
      <c r="N1517" s="1129">
        <v>0</v>
      </c>
      <c r="O1517" s="1129">
        <v>347</v>
      </c>
      <c r="P1517" s="1129">
        <v>1022043.5914290902</v>
      </c>
      <c r="Q1517" s="1129">
        <v>0</v>
      </c>
      <c r="R1517" s="1129">
        <v>0</v>
      </c>
      <c r="S1517" s="1129">
        <v>0</v>
      </c>
      <c r="T1517" s="1129">
        <v>0</v>
      </c>
      <c r="U1517" s="1129">
        <v>0</v>
      </c>
      <c r="V1517" s="1129">
        <v>0</v>
      </c>
      <c r="W1517" s="1129">
        <v>0</v>
      </c>
      <c r="X1517" s="1129">
        <v>91424.65952424187</v>
      </c>
      <c r="Y1517" s="1129">
        <v>0</v>
      </c>
    </row>
    <row r="1518" spans="1:25" s="1177" customFormat="1" ht="83.45" customHeight="1">
      <c r="A1518" s="1280">
        <v>450</v>
      </c>
      <c r="B1518" s="1135" t="s">
        <v>602</v>
      </c>
      <c r="C1518" s="1145">
        <f t="shared" si="674"/>
        <v>275370.99851643364</v>
      </c>
      <c r="D1518" s="1145">
        <f t="shared" si="675"/>
        <v>248413.30851643364</v>
      </c>
      <c r="E1518" s="1129">
        <v>0</v>
      </c>
      <c r="F1518" s="1129">
        <v>0</v>
      </c>
      <c r="G1518" s="1129">
        <v>0</v>
      </c>
      <c r="H1518" s="1129">
        <v>0</v>
      </c>
      <c r="I1518" s="1129">
        <v>0</v>
      </c>
      <c r="J1518" s="1129">
        <v>248413.30851643364</v>
      </c>
      <c r="K1518" s="1136">
        <v>0</v>
      </c>
      <c r="L1518" s="1129">
        <v>0</v>
      </c>
      <c r="M1518" s="1136">
        <v>0</v>
      </c>
      <c r="N1518" s="1129">
        <v>0</v>
      </c>
      <c r="O1518" s="1129">
        <v>0</v>
      </c>
      <c r="P1518" s="1129">
        <v>0</v>
      </c>
      <c r="Q1518" s="1129">
        <v>0</v>
      </c>
      <c r="R1518" s="1129">
        <v>0</v>
      </c>
      <c r="S1518" s="1129">
        <v>0</v>
      </c>
      <c r="T1518" s="1129">
        <v>0</v>
      </c>
      <c r="U1518" s="1129">
        <v>0</v>
      </c>
      <c r="V1518" s="1129">
        <v>0</v>
      </c>
      <c r="W1518" s="1129">
        <v>0</v>
      </c>
      <c r="X1518" s="1129">
        <v>26957.69</v>
      </c>
      <c r="Y1518" s="1129">
        <v>0</v>
      </c>
    </row>
    <row r="1519" spans="1:25" s="1177" customFormat="1" ht="99.6" customHeight="1">
      <c r="A1519" s="1280"/>
      <c r="B1519" s="1135" t="s">
        <v>1991</v>
      </c>
      <c r="C1519" s="1129">
        <f>C1520+C1532+C1538</f>
        <v>24172875.729999997</v>
      </c>
      <c r="D1519" s="1129">
        <f t="shared" ref="D1519:Y1519" si="676">D1520+D1532+D1538</f>
        <v>10831028.129999999</v>
      </c>
      <c r="E1519" s="1129">
        <f t="shared" si="676"/>
        <v>847299.9</v>
      </c>
      <c r="F1519" s="1129">
        <f t="shared" si="676"/>
        <v>0</v>
      </c>
      <c r="G1519" s="1129">
        <f t="shared" si="676"/>
        <v>662220.29</v>
      </c>
      <c r="H1519" s="1129">
        <f t="shared" si="676"/>
        <v>1550683.82</v>
      </c>
      <c r="I1519" s="1129">
        <f t="shared" si="676"/>
        <v>4114125.54</v>
      </c>
      <c r="J1519" s="1129">
        <f t="shared" si="676"/>
        <v>3656698.58</v>
      </c>
      <c r="K1519" s="1136">
        <f t="shared" si="676"/>
        <v>0</v>
      </c>
      <c r="L1519" s="1129">
        <f t="shared" si="676"/>
        <v>0</v>
      </c>
      <c r="M1519" s="1136">
        <f t="shared" si="676"/>
        <v>0</v>
      </c>
      <c r="N1519" s="1129">
        <f t="shared" si="676"/>
        <v>0</v>
      </c>
      <c r="O1519" s="1129">
        <f t="shared" si="676"/>
        <v>2774.8</v>
      </c>
      <c r="P1519" s="1129">
        <f t="shared" si="676"/>
        <v>7974012.1200000001</v>
      </c>
      <c r="Q1519" s="1129">
        <f t="shared" si="676"/>
        <v>0</v>
      </c>
      <c r="R1519" s="1129">
        <f t="shared" si="676"/>
        <v>0</v>
      </c>
      <c r="S1519" s="1129">
        <f t="shared" si="676"/>
        <v>1416.92</v>
      </c>
      <c r="T1519" s="1129">
        <f t="shared" si="676"/>
        <v>3652273.3600000003</v>
      </c>
      <c r="U1519" s="1129">
        <f t="shared" si="676"/>
        <v>0</v>
      </c>
      <c r="V1519" s="1129">
        <f t="shared" si="676"/>
        <v>0</v>
      </c>
      <c r="W1519" s="1129">
        <v>0</v>
      </c>
      <c r="X1519" s="1129">
        <f t="shared" si="676"/>
        <v>1621034.12</v>
      </c>
      <c r="Y1519" s="1129">
        <f t="shared" si="676"/>
        <v>94528</v>
      </c>
    </row>
    <row r="1520" spans="1:25" s="1177" customFormat="1" ht="92.45" customHeight="1">
      <c r="A1520" s="1280"/>
      <c r="B1520" s="1135" t="s">
        <v>2435</v>
      </c>
      <c r="C1520" s="1129">
        <f>SUM(C1521:C1531)</f>
        <v>15996782.669999998</v>
      </c>
      <c r="D1520" s="1129">
        <f t="shared" ref="D1520:Y1520" si="677">SUM(D1521:D1531)</f>
        <v>8977891.8099999987</v>
      </c>
      <c r="E1520" s="1129">
        <f t="shared" si="677"/>
        <v>847299.9</v>
      </c>
      <c r="F1520" s="1129">
        <f t="shared" si="677"/>
        <v>0</v>
      </c>
      <c r="G1520" s="1129">
        <f t="shared" si="677"/>
        <v>662220.29</v>
      </c>
      <c r="H1520" s="1129">
        <f t="shared" si="677"/>
        <v>1147129.82</v>
      </c>
      <c r="I1520" s="1129">
        <f t="shared" si="677"/>
        <v>4114125.54</v>
      </c>
      <c r="J1520" s="1129">
        <f t="shared" si="677"/>
        <v>2207116.2599999998</v>
      </c>
      <c r="K1520" s="1136">
        <f t="shared" si="677"/>
        <v>0</v>
      </c>
      <c r="L1520" s="1129">
        <f t="shared" si="677"/>
        <v>0</v>
      </c>
      <c r="M1520" s="1136">
        <f t="shared" si="677"/>
        <v>0</v>
      </c>
      <c r="N1520" s="1129">
        <f t="shared" si="677"/>
        <v>0</v>
      </c>
      <c r="O1520" s="1129">
        <f t="shared" si="677"/>
        <v>1950.6</v>
      </c>
      <c r="P1520" s="1129">
        <f t="shared" si="677"/>
        <v>5897198.1200000001</v>
      </c>
      <c r="Q1520" s="1129">
        <f t="shared" si="677"/>
        <v>0</v>
      </c>
      <c r="R1520" s="1129">
        <f t="shared" si="677"/>
        <v>0</v>
      </c>
      <c r="S1520" s="1129">
        <f t="shared" si="677"/>
        <v>0</v>
      </c>
      <c r="T1520" s="1129">
        <f t="shared" si="677"/>
        <v>0</v>
      </c>
      <c r="U1520" s="1129">
        <f t="shared" si="677"/>
        <v>0</v>
      </c>
      <c r="V1520" s="1129">
        <f t="shared" si="677"/>
        <v>0</v>
      </c>
      <c r="W1520" s="1129">
        <v>0</v>
      </c>
      <c r="X1520" s="1129">
        <f t="shared" si="677"/>
        <v>1027164.74</v>
      </c>
      <c r="Y1520" s="1129">
        <f t="shared" si="677"/>
        <v>94528</v>
      </c>
    </row>
    <row r="1521" spans="1:25" s="1177" customFormat="1" ht="105.6" customHeight="1">
      <c r="A1521" s="1280">
        <v>451</v>
      </c>
      <c r="B1521" s="1135" t="s">
        <v>2560</v>
      </c>
      <c r="C1521" s="1129">
        <f>D1521+P1521+T1521+X1521+Y1521</f>
        <v>1345298.9</v>
      </c>
      <c r="D1521" s="1129">
        <f>E1521+F1521+G1521+H1521+I1521+J1521</f>
        <v>0</v>
      </c>
      <c r="E1521" s="1129">
        <v>0</v>
      </c>
      <c r="F1521" s="1129">
        <v>0</v>
      </c>
      <c r="G1521" s="1129">
        <v>0</v>
      </c>
      <c r="H1521" s="1129">
        <v>0</v>
      </c>
      <c r="I1521" s="1129">
        <v>0</v>
      </c>
      <c r="J1521" s="1129">
        <v>0</v>
      </c>
      <c r="K1521" s="1136">
        <v>0</v>
      </c>
      <c r="L1521" s="1129">
        <v>0</v>
      </c>
      <c r="M1521" s="1136">
        <v>0</v>
      </c>
      <c r="N1521" s="1129">
        <v>0</v>
      </c>
      <c r="O1521" s="1280">
        <v>408.2</v>
      </c>
      <c r="P1521" s="1179">
        <v>1281243</v>
      </c>
      <c r="Q1521" s="1129">
        <v>0</v>
      </c>
      <c r="R1521" s="1129">
        <v>0</v>
      </c>
      <c r="S1521" s="1129">
        <v>0</v>
      </c>
      <c r="T1521" s="1129">
        <v>0</v>
      </c>
      <c r="U1521" s="1129">
        <v>0</v>
      </c>
      <c r="V1521" s="1129">
        <v>0</v>
      </c>
      <c r="W1521" s="1129">
        <v>0</v>
      </c>
      <c r="X1521" s="1179">
        <v>64055.9</v>
      </c>
      <c r="Y1521" s="1129">
        <v>0</v>
      </c>
    </row>
    <row r="1522" spans="1:25" s="1177" customFormat="1" ht="111.6" customHeight="1">
      <c r="A1522" s="1280">
        <v>452</v>
      </c>
      <c r="B1522" s="1135" t="s">
        <v>2175</v>
      </c>
      <c r="C1522" s="1129">
        <f>D1522+P1522+T1522+X1522+Y1522</f>
        <v>2742740.33</v>
      </c>
      <c r="D1522" s="1129">
        <f>E1522+F1522+G1522+H1522+I1522+J1522</f>
        <v>2573074.11</v>
      </c>
      <c r="E1522" s="1129">
        <v>0</v>
      </c>
      <c r="F1522" s="1129">
        <v>0</v>
      </c>
      <c r="G1522" s="1129">
        <v>0</v>
      </c>
      <c r="H1522" s="1129">
        <v>0</v>
      </c>
      <c r="I1522" s="1129">
        <v>1576584.01</v>
      </c>
      <c r="J1522" s="1129">
        <v>996490.1</v>
      </c>
      <c r="K1522" s="1136">
        <v>0</v>
      </c>
      <c r="L1522" s="1129">
        <v>0</v>
      </c>
      <c r="M1522" s="1136">
        <v>0</v>
      </c>
      <c r="N1522" s="1129">
        <v>0</v>
      </c>
      <c r="O1522" s="1129">
        <v>0</v>
      </c>
      <c r="P1522" s="1129">
        <v>0</v>
      </c>
      <c r="Q1522" s="1129">
        <v>0</v>
      </c>
      <c r="R1522" s="1129">
        <v>0</v>
      </c>
      <c r="S1522" s="1129">
        <v>0</v>
      </c>
      <c r="T1522" s="1129">
        <v>0</v>
      </c>
      <c r="U1522" s="1129">
        <v>0</v>
      </c>
      <c r="V1522" s="1129">
        <v>0</v>
      </c>
      <c r="W1522" s="1129">
        <v>0</v>
      </c>
      <c r="X1522" s="1129">
        <v>169666.22</v>
      </c>
      <c r="Y1522" s="1129">
        <v>0</v>
      </c>
    </row>
    <row r="1523" spans="1:25" s="1177" customFormat="1" ht="135" customHeight="1">
      <c r="A1523" s="1280">
        <v>453</v>
      </c>
      <c r="B1523" s="1135" t="s">
        <v>2559</v>
      </c>
      <c r="C1523" s="1129">
        <f>D1523+P1523+T1523+X1523+Y1523</f>
        <v>313233.64999999997</v>
      </c>
      <c r="D1523" s="1129">
        <f t="shared" ref="D1523:D1524" si="678">E1523+F1523+G1523+H1523+I1523+J1523</f>
        <v>293887.73</v>
      </c>
      <c r="E1523" s="1129">
        <v>0</v>
      </c>
      <c r="F1523" s="1129">
        <v>0</v>
      </c>
      <c r="G1523" s="1129">
        <v>0</v>
      </c>
      <c r="H1523" s="1129">
        <v>0</v>
      </c>
      <c r="I1523" s="1129">
        <v>0</v>
      </c>
      <c r="J1523" s="1129">
        <v>293887.73</v>
      </c>
      <c r="K1523" s="1136">
        <v>0</v>
      </c>
      <c r="L1523" s="1129">
        <v>0</v>
      </c>
      <c r="M1523" s="1136">
        <v>0</v>
      </c>
      <c r="N1523" s="1129">
        <v>0</v>
      </c>
      <c r="O1523" s="1129">
        <v>0</v>
      </c>
      <c r="P1523" s="1129">
        <v>0</v>
      </c>
      <c r="Q1523" s="1129">
        <v>0</v>
      </c>
      <c r="R1523" s="1129">
        <v>0</v>
      </c>
      <c r="S1523" s="1129">
        <v>0</v>
      </c>
      <c r="T1523" s="1129">
        <v>0</v>
      </c>
      <c r="U1523" s="1129">
        <v>0</v>
      </c>
      <c r="V1523" s="1129">
        <v>0</v>
      </c>
      <c r="W1523" s="1129">
        <v>0</v>
      </c>
      <c r="X1523" s="1129">
        <v>19345.919999999998</v>
      </c>
      <c r="Y1523" s="1129">
        <v>0</v>
      </c>
    </row>
    <row r="1524" spans="1:25" s="1177" customFormat="1" ht="105.6" customHeight="1">
      <c r="A1524" s="1280">
        <v>454</v>
      </c>
      <c r="B1524" s="1135" t="s">
        <v>2558</v>
      </c>
      <c r="C1524" s="1129">
        <f t="shared" ref="C1524" si="679">D1524+P1524+T1524+X1524+Y1524</f>
        <v>1887048</v>
      </c>
      <c r="D1524" s="1129">
        <f t="shared" si="678"/>
        <v>455152.67</v>
      </c>
      <c r="E1524" s="1129">
        <v>249096.77</v>
      </c>
      <c r="F1524" s="1129">
        <v>0</v>
      </c>
      <c r="G1524" s="1129">
        <v>206055.9</v>
      </c>
      <c r="H1524" s="1129">
        <v>0</v>
      </c>
      <c r="I1524" s="1129">
        <v>0</v>
      </c>
      <c r="J1524" s="1129">
        <v>0</v>
      </c>
      <c r="K1524" s="1136">
        <v>0</v>
      </c>
      <c r="L1524" s="1129">
        <v>0</v>
      </c>
      <c r="M1524" s="1136">
        <v>0</v>
      </c>
      <c r="N1524" s="1129">
        <v>0</v>
      </c>
      <c r="O1524" s="1129">
        <v>384.6</v>
      </c>
      <c r="P1524" s="1129">
        <v>1207168</v>
      </c>
      <c r="Q1524" s="1129">
        <v>0</v>
      </c>
      <c r="R1524" s="1129">
        <v>0</v>
      </c>
      <c r="S1524" s="1129">
        <v>0</v>
      </c>
      <c r="T1524" s="1129">
        <v>0</v>
      </c>
      <c r="U1524" s="1129">
        <v>0</v>
      </c>
      <c r="V1524" s="1129">
        <v>0</v>
      </c>
      <c r="W1524" s="1129">
        <v>0</v>
      </c>
      <c r="X1524" s="1129">
        <v>130199.33</v>
      </c>
      <c r="Y1524" s="1129">
        <v>94528</v>
      </c>
    </row>
    <row r="1525" spans="1:25" s="1177" customFormat="1" ht="120" customHeight="1">
      <c r="A1525" s="1280">
        <v>455</v>
      </c>
      <c r="B1525" s="1135" t="s">
        <v>2557</v>
      </c>
      <c r="C1525" s="1129">
        <f>D1525+P1525+T1525+X1525</f>
        <v>712812.07000000007</v>
      </c>
      <c r="D1525" s="1129">
        <f>E1525+F1525+G1525+H1525+I1525+J1525</f>
        <v>676439.3</v>
      </c>
      <c r="E1525" s="1129">
        <v>0</v>
      </c>
      <c r="F1525" s="1129">
        <v>0</v>
      </c>
      <c r="G1525" s="1129">
        <v>203165.65</v>
      </c>
      <c r="H1525" s="1129">
        <v>289986.08</v>
      </c>
      <c r="I1525" s="1129">
        <v>0</v>
      </c>
      <c r="J1525" s="1129">
        <v>183287.57</v>
      </c>
      <c r="K1525" s="1136">
        <v>0</v>
      </c>
      <c r="L1525" s="1129">
        <v>0</v>
      </c>
      <c r="M1525" s="1136">
        <v>0</v>
      </c>
      <c r="N1525" s="1129">
        <v>0</v>
      </c>
      <c r="O1525" s="1129">
        <v>0</v>
      </c>
      <c r="P1525" s="1129">
        <v>0</v>
      </c>
      <c r="Q1525" s="1129">
        <v>0</v>
      </c>
      <c r="R1525" s="1129">
        <v>0</v>
      </c>
      <c r="S1525" s="1129">
        <v>0</v>
      </c>
      <c r="T1525" s="1129">
        <v>0</v>
      </c>
      <c r="U1525" s="1129">
        <v>0</v>
      </c>
      <c r="V1525" s="1129">
        <v>0</v>
      </c>
      <c r="W1525" s="1129">
        <v>0</v>
      </c>
      <c r="X1525" s="1129">
        <v>36372.769999999997</v>
      </c>
      <c r="Y1525" s="1129">
        <v>0</v>
      </c>
    </row>
    <row r="1526" spans="1:25" s="1177" customFormat="1" ht="141" customHeight="1">
      <c r="A1526" s="1280">
        <v>456</v>
      </c>
      <c r="B1526" s="1135" t="s">
        <v>2556</v>
      </c>
      <c r="C1526" s="1129">
        <f t="shared" ref="C1526:C1531" si="680">D1526+P1526+T1526+X1526</f>
        <v>898439.81</v>
      </c>
      <c r="D1526" s="1129">
        <f t="shared" ref="D1526:D1531" si="681">E1526+F1526+G1526+H1526+I1526+J1526</f>
        <v>842358.38</v>
      </c>
      <c r="E1526" s="1129">
        <v>0</v>
      </c>
      <c r="F1526" s="1129">
        <v>0</v>
      </c>
      <c r="G1526" s="1129">
        <v>252998.74</v>
      </c>
      <c r="H1526" s="1129">
        <v>361114.74</v>
      </c>
      <c r="I1526" s="1129">
        <v>0</v>
      </c>
      <c r="J1526" s="1129">
        <v>228244.9</v>
      </c>
      <c r="K1526" s="1136">
        <v>0</v>
      </c>
      <c r="L1526" s="1129">
        <v>0</v>
      </c>
      <c r="M1526" s="1136">
        <v>0</v>
      </c>
      <c r="N1526" s="1129">
        <v>0</v>
      </c>
      <c r="O1526" s="1129">
        <v>0</v>
      </c>
      <c r="P1526" s="1129">
        <v>0</v>
      </c>
      <c r="Q1526" s="1129">
        <v>0</v>
      </c>
      <c r="R1526" s="1129">
        <v>0</v>
      </c>
      <c r="S1526" s="1129">
        <v>0</v>
      </c>
      <c r="T1526" s="1129">
        <v>0</v>
      </c>
      <c r="U1526" s="1129">
        <v>0</v>
      </c>
      <c r="V1526" s="1129">
        <v>0</v>
      </c>
      <c r="W1526" s="1129">
        <v>0</v>
      </c>
      <c r="X1526" s="1129">
        <v>56081.43</v>
      </c>
      <c r="Y1526" s="1129">
        <v>0</v>
      </c>
    </row>
    <row r="1527" spans="1:25" s="1177" customFormat="1" ht="90" customHeight="1">
      <c r="A1527" s="1280">
        <v>457</v>
      </c>
      <c r="B1527" s="1135" t="s">
        <v>2555</v>
      </c>
      <c r="C1527" s="1129">
        <f t="shared" si="680"/>
        <v>2201411.69</v>
      </c>
      <c r="D1527" s="1129">
        <f t="shared" si="681"/>
        <v>2041512.53</v>
      </c>
      <c r="E1527" s="1129">
        <v>0</v>
      </c>
      <c r="F1527" s="1129">
        <v>0</v>
      </c>
      <c r="G1527" s="1129">
        <v>0</v>
      </c>
      <c r="H1527" s="1129">
        <v>0</v>
      </c>
      <c r="I1527" s="1129">
        <v>2041512.53</v>
      </c>
      <c r="J1527" s="1129">
        <v>0</v>
      </c>
      <c r="K1527" s="1136">
        <v>0</v>
      </c>
      <c r="L1527" s="1129">
        <v>0</v>
      </c>
      <c r="M1527" s="1136">
        <v>0</v>
      </c>
      <c r="N1527" s="1129">
        <v>0</v>
      </c>
      <c r="O1527" s="1129">
        <v>0</v>
      </c>
      <c r="P1527" s="1129">
        <v>0</v>
      </c>
      <c r="Q1527" s="1129">
        <v>0</v>
      </c>
      <c r="R1527" s="1129">
        <v>0</v>
      </c>
      <c r="S1527" s="1129">
        <v>0</v>
      </c>
      <c r="T1527" s="1129">
        <v>0</v>
      </c>
      <c r="U1527" s="1129">
        <v>0</v>
      </c>
      <c r="V1527" s="1129">
        <v>0</v>
      </c>
      <c r="W1527" s="1129">
        <v>0</v>
      </c>
      <c r="X1527" s="1129">
        <v>159899.16</v>
      </c>
      <c r="Y1527" s="1129">
        <v>0</v>
      </c>
    </row>
    <row r="1528" spans="1:25" s="1177" customFormat="1" ht="61.9" customHeight="1">
      <c r="A1528" s="1280">
        <v>458</v>
      </c>
      <c r="B1528" s="1135" t="s">
        <v>1647</v>
      </c>
      <c r="C1528" s="1129">
        <f t="shared" si="680"/>
        <v>205467.03999999998</v>
      </c>
      <c r="D1528" s="1129">
        <f t="shared" si="681"/>
        <v>191548.96</v>
      </c>
      <c r="E1528" s="1129">
        <v>0</v>
      </c>
      <c r="F1528" s="1129">
        <v>0</v>
      </c>
      <c r="G1528" s="1129">
        <v>0</v>
      </c>
      <c r="H1528" s="1129">
        <v>0</v>
      </c>
      <c r="I1528" s="1129">
        <v>0</v>
      </c>
      <c r="J1528" s="1129">
        <v>191548.96</v>
      </c>
      <c r="K1528" s="1136">
        <v>0</v>
      </c>
      <c r="L1528" s="1129">
        <v>0</v>
      </c>
      <c r="M1528" s="1136">
        <v>0</v>
      </c>
      <c r="N1528" s="1129">
        <v>0</v>
      </c>
      <c r="O1528" s="1129">
        <v>0</v>
      </c>
      <c r="P1528" s="1129">
        <v>0</v>
      </c>
      <c r="Q1528" s="1129">
        <v>0</v>
      </c>
      <c r="R1528" s="1129">
        <v>0</v>
      </c>
      <c r="S1528" s="1129">
        <v>0</v>
      </c>
      <c r="T1528" s="1129">
        <v>0</v>
      </c>
      <c r="U1528" s="1129">
        <v>0</v>
      </c>
      <c r="V1528" s="1129">
        <v>0</v>
      </c>
      <c r="W1528" s="1129">
        <v>0</v>
      </c>
      <c r="X1528" s="1129">
        <v>13918.08</v>
      </c>
      <c r="Y1528" s="1129">
        <v>0</v>
      </c>
    </row>
    <row r="1529" spans="1:25" s="1177" customFormat="1" ht="66.599999999999994" customHeight="1">
      <c r="A1529" s="1280">
        <v>459</v>
      </c>
      <c r="B1529" s="1135" t="s">
        <v>1648</v>
      </c>
      <c r="C1529" s="1129">
        <f t="shared" si="680"/>
        <v>2742263.53</v>
      </c>
      <c r="D1529" s="1129">
        <f t="shared" si="681"/>
        <v>598203.13</v>
      </c>
      <c r="E1529" s="1129">
        <v>598203.13</v>
      </c>
      <c r="F1529" s="1129">
        <v>0</v>
      </c>
      <c r="G1529" s="1129">
        <v>0</v>
      </c>
      <c r="H1529" s="1129">
        <v>0</v>
      </c>
      <c r="I1529" s="1129">
        <v>0</v>
      </c>
      <c r="J1529" s="1129">
        <v>0</v>
      </c>
      <c r="K1529" s="1136">
        <v>0</v>
      </c>
      <c r="L1529" s="1129">
        <v>0</v>
      </c>
      <c r="M1529" s="1136">
        <v>0</v>
      </c>
      <c r="N1529" s="1129">
        <v>0</v>
      </c>
      <c r="O1529" s="1129">
        <v>591</v>
      </c>
      <c r="P1529" s="1129">
        <v>1980567.12</v>
      </c>
      <c r="Q1529" s="1129">
        <v>0</v>
      </c>
      <c r="R1529" s="1129">
        <v>0</v>
      </c>
      <c r="S1529" s="1129">
        <v>0</v>
      </c>
      <c r="T1529" s="1129">
        <v>0</v>
      </c>
      <c r="U1529" s="1129">
        <v>0</v>
      </c>
      <c r="V1529" s="1129">
        <v>0</v>
      </c>
      <c r="W1529" s="1129">
        <v>0</v>
      </c>
      <c r="X1529" s="1129">
        <v>163493.28</v>
      </c>
      <c r="Y1529" s="1129">
        <v>0</v>
      </c>
    </row>
    <row r="1530" spans="1:25" s="1177" customFormat="1" ht="98.45" customHeight="1">
      <c r="A1530" s="1280">
        <v>460</v>
      </c>
      <c r="B1530" s="1135" t="s">
        <v>2554</v>
      </c>
      <c r="C1530" s="1129">
        <f t="shared" si="680"/>
        <v>1540084</v>
      </c>
      <c r="D1530" s="1129">
        <f t="shared" si="681"/>
        <v>0</v>
      </c>
      <c r="E1530" s="1129">
        <v>0</v>
      </c>
      <c r="F1530" s="1129">
        <v>0</v>
      </c>
      <c r="G1530" s="1129">
        <v>0</v>
      </c>
      <c r="H1530" s="1129">
        <v>0</v>
      </c>
      <c r="I1530" s="1129">
        <v>0</v>
      </c>
      <c r="J1530" s="1129">
        <v>0</v>
      </c>
      <c r="K1530" s="1136">
        <v>0</v>
      </c>
      <c r="L1530" s="1129">
        <v>0</v>
      </c>
      <c r="M1530" s="1136">
        <v>0</v>
      </c>
      <c r="N1530" s="1129">
        <v>0</v>
      </c>
      <c r="O1530" s="1129">
        <v>566.79999999999995</v>
      </c>
      <c r="P1530" s="1129">
        <v>1428220</v>
      </c>
      <c r="Q1530" s="1129">
        <v>0</v>
      </c>
      <c r="R1530" s="1129">
        <v>0</v>
      </c>
      <c r="S1530" s="1129">
        <v>0</v>
      </c>
      <c r="T1530" s="1129">
        <v>0</v>
      </c>
      <c r="U1530" s="1129">
        <v>0</v>
      </c>
      <c r="V1530" s="1129">
        <v>0</v>
      </c>
      <c r="W1530" s="1129">
        <v>0</v>
      </c>
      <c r="X1530" s="1129">
        <v>111864</v>
      </c>
      <c r="Y1530" s="1129">
        <v>0</v>
      </c>
    </row>
    <row r="1531" spans="1:25" s="1177" customFormat="1" ht="99.6" customHeight="1">
      <c r="A1531" s="1280">
        <v>461</v>
      </c>
      <c r="B1531" s="1135" t="s">
        <v>2356</v>
      </c>
      <c r="C1531" s="1129">
        <f t="shared" si="680"/>
        <v>1407983.65</v>
      </c>
      <c r="D1531" s="1129">
        <f t="shared" si="681"/>
        <v>1305715</v>
      </c>
      <c r="E1531" s="1129">
        <v>0</v>
      </c>
      <c r="F1531" s="1129">
        <v>0</v>
      </c>
      <c r="G1531" s="1129">
        <v>0</v>
      </c>
      <c r="H1531" s="1129">
        <v>496029</v>
      </c>
      <c r="I1531" s="1129">
        <v>496029</v>
      </c>
      <c r="J1531" s="1129">
        <v>313657</v>
      </c>
      <c r="K1531" s="1136">
        <v>0</v>
      </c>
      <c r="L1531" s="1129">
        <v>0</v>
      </c>
      <c r="M1531" s="1136">
        <v>0</v>
      </c>
      <c r="N1531" s="1129">
        <v>0</v>
      </c>
      <c r="O1531" s="1129">
        <v>0</v>
      </c>
      <c r="P1531" s="1129">
        <v>0</v>
      </c>
      <c r="Q1531" s="1129">
        <v>0</v>
      </c>
      <c r="R1531" s="1129">
        <v>0</v>
      </c>
      <c r="S1531" s="1129">
        <v>0</v>
      </c>
      <c r="T1531" s="1129">
        <v>0</v>
      </c>
      <c r="U1531" s="1129">
        <v>0</v>
      </c>
      <c r="V1531" s="1129">
        <v>0</v>
      </c>
      <c r="W1531" s="1129">
        <v>0</v>
      </c>
      <c r="X1531" s="1129">
        <v>102268.65</v>
      </c>
      <c r="Y1531" s="1129">
        <v>0</v>
      </c>
    </row>
    <row r="1532" spans="1:25" s="1177" customFormat="1" ht="91.15" customHeight="1">
      <c r="A1532" s="1280"/>
      <c r="B1532" s="1135" t="s">
        <v>2438</v>
      </c>
      <c r="C1532" s="1129">
        <f>SUM(C1533:C1537)</f>
        <v>7740931.0599999996</v>
      </c>
      <c r="D1532" s="1129">
        <f t="shared" ref="D1532:Y1532" si="682">SUM(D1533:D1537)</f>
        <v>1449582.32</v>
      </c>
      <c r="E1532" s="1129">
        <f t="shared" si="682"/>
        <v>0</v>
      </c>
      <c r="F1532" s="1129">
        <f t="shared" si="682"/>
        <v>0</v>
      </c>
      <c r="G1532" s="1129">
        <f t="shared" si="682"/>
        <v>0</v>
      </c>
      <c r="H1532" s="1129">
        <f t="shared" si="682"/>
        <v>0</v>
      </c>
      <c r="I1532" s="1129">
        <f t="shared" si="682"/>
        <v>0</v>
      </c>
      <c r="J1532" s="1129">
        <f t="shared" si="682"/>
        <v>1449582.32</v>
      </c>
      <c r="K1532" s="1136">
        <f t="shared" si="682"/>
        <v>0</v>
      </c>
      <c r="L1532" s="1129">
        <f t="shared" si="682"/>
        <v>0</v>
      </c>
      <c r="M1532" s="1136">
        <f t="shared" si="682"/>
        <v>0</v>
      </c>
      <c r="N1532" s="1129">
        <f t="shared" si="682"/>
        <v>0</v>
      </c>
      <c r="O1532" s="1129">
        <f t="shared" si="682"/>
        <v>824.2</v>
      </c>
      <c r="P1532" s="1129">
        <f t="shared" si="682"/>
        <v>2076814</v>
      </c>
      <c r="Q1532" s="1129">
        <f t="shared" si="682"/>
        <v>0</v>
      </c>
      <c r="R1532" s="1129">
        <f t="shared" si="682"/>
        <v>0</v>
      </c>
      <c r="S1532" s="1129">
        <f t="shared" si="682"/>
        <v>1416.92</v>
      </c>
      <c r="T1532" s="1129">
        <f t="shared" si="682"/>
        <v>3652273.3600000003</v>
      </c>
      <c r="U1532" s="1129">
        <f t="shared" si="682"/>
        <v>0</v>
      </c>
      <c r="V1532" s="1129">
        <f t="shared" si="682"/>
        <v>0</v>
      </c>
      <c r="W1532" s="1129">
        <v>0</v>
      </c>
      <c r="X1532" s="1129">
        <f t="shared" si="682"/>
        <v>562261.38</v>
      </c>
      <c r="Y1532" s="1129">
        <f t="shared" si="682"/>
        <v>0</v>
      </c>
    </row>
    <row r="1533" spans="1:25" s="1177" customFormat="1" ht="96" customHeight="1">
      <c r="A1533" s="1280">
        <v>462</v>
      </c>
      <c r="B1533" s="1135" t="s">
        <v>2552</v>
      </c>
      <c r="C1533" s="1129">
        <f>D1533+P1533+T1533+X1533+Y1533</f>
        <v>1268038</v>
      </c>
      <c r="D1533" s="1129">
        <f>E1533+F1533+G1533+H1533+I1533+J1533</f>
        <v>0</v>
      </c>
      <c r="E1533" s="1129">
        <v>0</v>
      </c>
      <c r="F1533" s="1129">
        <v>0</v>
      </c>
      <c r="G1533" s="1129">
        <v>0</v>
      </c>
      <c r="H1533" s="1129">
        <v>0</v>
      </c>
      <c r="I1533" s="1129">
        <v>0</v>
      </c>
      <c r="J1533" s="1129">
        <v>0</v>
      </c>
      <c r="K1533" s="1136">
        <v>0</v>
      </c>
      <c r="L1533" s="1129">
        <v>0</v>
      </c>
      <c r="M1533" s="1136">
        <v>0</v>
      </c>
      <c r="N1533" s="1129">
        <v>0</v>
      </c>
      <c r="O1533" s="1129">
        <v>0</v>
      </c>
      <c r="P1533" s="1129">
        <v>0</v>
      </c>
      <c r="Q1533" s="1129">
        <v>0</v>
      </c>
      <c r="R1533" s="1129">
        <v>0</v>
      </c>
      <c r="S1533" s="1129">
        <v>413.42</v>
      </c>
      <c r="T1533" s="1129">
        <v>1175934</v>
      </c>
      <c r="U1533" s="1129">
        <v>0</v>
      </c>
      <c r="V1533" s="1129">
        <v>0</v>
      </c>
      <c r="W1533" s="1129">
        <v>0</v>
      </c>
      <c r="X1533" s="1129">
        <v>92104</v>
      </c>
      <c r="Y1533" s="1129">
        <v>0</v>
      </c>
    </row>
    <row r="1534" spans="1:25" s="1177" customFormat="1" ht="93.6" customHeight="1">
      <c r="A1534" s="1280">
        <v>463</v>
      </c>
      <c r="B1534" s="1135" t="s">
        <v>2551</v>
      </c>
      <c r="C1534" s="1129">
        <f t="shared" ref="C1534:C1536" si="683">D1534+P1534+T1534+X1534+Y1534</f>
        <v>1318782.8800000001</v>
      </c>
      <c r="D1534" s="1129">
        <f t="shared" ref="D1534:D1536" si="684">E1534+F1534+G1534+H1534+I1534+J1534</f>
        <v>0</v>
      </c>
      <c r="E1534" s="1129">
        <v>0</v>
      </c>
      <c r="F1534" s="1129">
        <v>0</v>
      </c>
      <c r="G1534" s="1129">
        <v>0</v>
      </c>
      <c r="H1534" s="1129">
        <v>0</v>
      </c>
      <c r="I1534" s="1129">
        <v>0</v>
      </c>
      <c r="J1534" s="1129">
        <v>0</v>
      </c>
      <c r="K1534" s="1136">
        <v>0</v>
      </c>
      <c r="L1534" s="1129">
        <v>0</v>
      </c>
      <c r="M1534" s="1136">
        <v>0</v>
      </c>
      <c r="N1534" s="1129">
        <v>0</v>
      </c>
      <c r="O1534" s="1129">
        <v>0</v>
      </c>
      <c r="P1534" s="1129">
        <v>0</v>
      </c>
      <c r="Q1534" s="1129">
        <v>0</v>
      </c>
      <c r="R1534" s="1129">
        <v>0</v>
      </c>
      <c r="S1534" s="1129">
        <v>495.6</v>
      </c>
      <c r="T1534" s="1129">
        <v>1222993.31</v>
      </c>
      <c r="U1534" s="1129">
        <v>0</v>
      </c>
      <c r="V1534" s="1129">
        <v>0</v>
      </c>
      <c r="W1534" s="1129">
        <v>0</v>
      </c>
      <c r="X1534" s="1129">
        <v>95789.57</v>
      </c>
      <c r="Y1534" s="1129">
        <v>0</v>
      </c>
    </row>
    <row r="1535" spans="1:25" s="1177" customFormat="1" ht="105" customHeight="1">
      <c r="A1535" s="1280">
        <v>464</v>
      </c>
      <c r="B1535" s="1135" t="s">
        <v>2550</v>
      </c>
      <c r="C1535" s="1129">
        <f t="shared" si="683"/>
        <v>1351512.96</v>
      </c>
      <c r="D1535" s="1129">
        <f t="shared" si="684"/>
        <v>0</v>
      </c>
      <c r="E1535" s="1129">
        <v>0</v>
      </c>
      <c r="F1535" s="1129">
        <v>0</v>
      </c>
      <c r="G1535" s="1129">
        <v>0</v>
      </c>
      <c r="H1535" s="1129">
        <v>0</v>
      </c>
      <c r="I1535" s="1129">
        <v>0</v>
      </c>
      <c r="J1535" s="1129">
        <v>0</v>
      </c>
      <c r="K1535" s="1136">
        <v>0</v>
      </c>
      <c r="L1535" s="1129">
        <v>0</v>
      </c>
      <c r="M1535" s="1136">
        <v>0</v>
      </c>
      <c r="N1535" s="1129">
        <v>0</v>
      </c>
      <c r="O1535" s="1129">
        <v>0</v>
      </c>
      <c r="P1535" s="1129">
        <v>0</v>
      </c>
      <c r="Q1535" s="1129">
        <v>0</v>
      </c>
      <c r="R1535" s="1129">
        <v>0</v>
      </c>
      <c r="S1535" s="1129">
        <v>507.9</v>
      </c>
      <c r="T1535" s="1129">
        <v>1253346.05</v>
      </c>
      <c r="U1535" s="1129">
        <v>0</v>
      </c>
      <c r="V1535" s="1129">
        <v>0</v>
      </c>
      <c r="W1535" s="1129">
        <v>0</v>
      </c>
      <c r="X1535" s="1129">
        <v>98166.91</v>
      </c>
      <c r="Y1535" s="1129">
        <v>0</v>
      </c>
    </row>
    <row r="1536" spans="1:25" s="1177" customFormat="1" ht="88.9" customHeight="1">
      <c r="A1536" s="1280">
        <v>465</v>
      </c>
      <c r="B1536" s="1135" t="s">
        <v>2369</v>
      </c>
      <c r="C1536" s="1129">
        <f t="shared" si="683"/>
        <v>1563119.22</v>
      </c>
      <c r="D1536" s="1129">
        <f t="shared" si="684"/>
        <v>1449582.32</v>
      </c>
      <c r="E1536" s="1129">
        <v>0</v>
      </c>
      <c r="F1536" s="1129">
        <v>0</v>
      </c>
      <c r="G1536" s="1129">
        <v>0</v>
      </c>
      <c r="H1536" s="1129">
        <v>0</v>
      </c>
      <c r="I1536" s="1129">
        <v>0</v>
      </c>
      <c r="J1536" s="1129">
        <v>1449582.32</v>
      </c>
      <c r="K1536" s="1136">
        <v>0</v>
      </c>
      <c r="L1536" s="1129">
        <v>0</v>
      </c>
      <c r="M1536" s="1136">
        <v>0</v>
      </c>
      <c r="N1536" s="1129">
        <v>0</v>
      </c>
      <c r="O1536" s="1129">
        <v>0</v>
      </c>
      <c r="P1536" s="1129">
        <v>0</v>
      </c>
      <c r="Q1536" s="1129">
        <v>0</v>
      </c>
      <c r="R1536" s="1129">
        <v>0</v>
      </c>
      <c r="S1536" s="1129">
        <v>0</v>
      </c>
      <c r="T1536" s="1129">
        <v>0</v>
      </c>
      <c r="U1536" s="1129">
        <v>0</v>
      </c>
      <c r="V1536" s="1129">
        <v>0</v>
      </c>
      <c r="W1536" s="1129">
        <v>0</v>
      </c>
      <c r="X1536" s="1129">
        <v>113536.9</v>
      </c>
      <c r="Y1536" s="1129">
        <v>0</v>
      </c>
    </row>
    <row r="1537" spans="1:25" s="1177" customFormat="1" ht="97.15" customHeight="1">
      <c r="A1537" s="1280">
        <v>466</v>
      </c>
      <c r="B1537" s="1135" t="s">
        <v>2549</v>
      </c>
      <c r="C1537" s="1129">
        <f t="shared" ref="C1537" si="685">D1537+P1537+T1537+X1537+Y1537</f>
        <v>2239478</v>
      </c>
      <c r="D1537" s="1129">
        <f t="shared" ref="D1537" si="686">E1537+F1537+G1537+H1537+I1537+J1537</f>
        <v>0</v>
      </c>
      <c r="E1537" s="1129">
        <v>0</v>
      </c>
      <c r="F1537" s="1129">
        <v>0</v>
      </c>
      <c r="G1537" s="1129">
        <v>0</v>
      </c>
      <c r="H1537" s="1129">
        <v>0</v>
      </c>
      <c r="I1537" s="1129">
        <v>0</v>
      </c>
      <c r="J1537" s="1129">
        <v>0</v>
      </c>
      <c r="K1537" s="1136">
        <v>0</v>
      </c>
      <c r="L1537" s="1129">
        <v>0</v>
      </c>
      <c r="M1537" s="1136">
        <v>0</v>
      </c>
      <c r="N1537" s="1129">
        <v>0</v>
      </c>
      <c r="O1537" s="1129">
        <v>824.2</v>
      </c>
      <c r="P1537" s="1129">
        <v>2076814</v>
      </c>
      <c r="Q1537" s="1129">
        <v>0</v>
      </c>
      <c r="R1537" s="1129">
        <v>0</v>
      </c>
      <c r="S1537" s="1129">
        <v>0</v>
      </c>
      <c r="T1537" s="1129">
        <v>0</v>
      </c>
      <c r="U1537" s="1129">
        <v>0</v>
      </c>
      <c r="V1537" s="1129">
        <v>0</v>
      </c>
      <c r="W1537" s="1129">
        <v>0</v>
      </c>
      <c r="X1537" s="1129">
        <v>162664</v>
      </c>
      <c r="Y1537" s="1129">
        <v>0</v>
      </c>
    </row>
    <row r="1538" spans="1:25" s="1177" customFormat="1" ht="102" customHeight="1">
      <c r="A1538" s="1280"/>
      <c r="B1538" s="1135" t="s">
        <v>807</v>
      </c>
      <c r="C1538" s="1129">
        <f>C1539</f>
        <v>435162</v>
      </c>
      <c r="D1538" s="1129">
        <f t="shared" ref="D1538:Y1538" si="687">D1539</f>
        <v>403554</v>
      </c>
      <c r="E1538" s="1129">
        <f t="shared" si="687"/>
        <v>0</v>
      </c>
      <c r="F1538" s="1129">
        <f t="shared" si="687"/>
        <v>0</v>
      </c>
      <c r="G1538" s="1129">
        <f t="shared" si="687"/>
        <v>0</v>
      </c>
      <c r="H1538" s="1129">
        <f t="shared" si="687"/>
        <v>403554</v>
      </c>
      <c r="I1538" s="1129">
        <f t="shared" si="687"/>
        <v>0</v>
      </c>
      <c r="J1538" s="1129">
        <f t="shared" si="687"/>
        <v>0</v>
      </c>
      <c r="K1538" s="1136">
        <f t="shared" si="687"/>
        <v>0</v>
      </c>
      <c r="L1538" s="1129">
        <f t="shared" si="687"/>
        <v>0</v>
      </c>
      <c r="M1538" s="1136">
        <f t="shared" si="687"/>
        <v>0</v>
      </c>
      <c r="N1538" s="1129">
        <f t="shared" si="687"/>
        <v>0</v>
      </c>
      <c r="O1538" s="1129">
        <f t="shared" si="687"/>
        <v>0</v>
      </c>
      <c r="P1538" s="1129">
        <f t="shared" si="687"/>
        <v>0</v>
      </c>
      <c r="Q1538" s="1129">
        <f t="shared" si="687"/>
        <v>0</v>
      </c>
      <c r="R1538" s="1129">
        <f t="shared" si="687"/>
        <v>0</v>
      </c>
      <c r="S1538" s="1129">
        <f t="shared" si="687"/>
        <v>0</v>
      </c>
      <c r="T1538" s="1129">
        <f t="shared" si="687"/>
        <v>0</v>
      </c>
      <c r="U1538" s="1129">
        <f t="shared" si="687"/>
        <v>0</v>
      </c>
      <c r="V1538" s="1129">
        <f t="shared" si="687"/>
        <v>0</v>
      </c>
      <c r="W1538" s="1129">
        <v>0</v>
      </c>
      <c r="X1538" s="1129">
        <f t="shared" si="687"/>
        <v>31608</v>
      </c>
      <c r="Y1538" s="1129">
        <f t="shared" si="687"/>
        <v>0</v>
      </c>
    </row>
    <row r="1539" spans="1:25" s="1177" customFormat="1" ht="98.45" customHeight="1">
      <c r="A1539" s="1280">
        <v>467</v>
      </c>
      <c r="B1539" s="1135" t="s">
        <v>2548</v>
      </c>
      <c r="C1539" s="1129">
        <v>435162</v>
      </c>
      <c r="D1539" s="1129">
        <v>403554</v>
      </c>
      <c r="E1539" s="1129">
        <v>0</v>
      </c>
      <c r="F1539" s="1129">
        <v>0</v>
      </c>
      <c r="G1539" s="1129">
        <v>0</v>
      </c>
      <c r="H1539" s="1129">
        <v>403554</v>
      </c>
      <c r="I1539" s="1129">
        <v>0</v>
      </c>
      <c r="J1539" s="1129">
        <v>0</v>
      </c>
      <c r="K1539" s="1136">
        <v>0</v>
      </c>
      <c r="L1539" s="1129">
        <v>0</v>
      </c>
      <c r="M1539" s="1136">
        <v>0</v>
      </c>
      <c r="N1539" s="1129">
        <v>0</v>
      </c>
      <c r="O1539" s="1129">
        <v>0</v>
      </c>
      <c r="P1539" s="1129">
        <v>0</v>
      </c>
      <c r="Q1539" s="1129">
        <v>0</v>
      </c>
      <c r="R1539" s="1129">
        <v>0</v>
      </c>
      <c r="S1539" s="1129">
        <v>0</v>
      </c>
      <c r="T1539" s="1129">
        <v>0</v>
      </c>
      <c r="U1539" s="1129">
        <v>0</v>
      </c>
      <c r="V1539" s="1129">
        <v>0</v>
      </c>
      <c r="W1539" s="1129">
        <v>0</v>
      </c>
      <c r="X1539" s="1129">
        <v>31608</v>
      </c>
      <c r="Y1539" s="1129">
        <v>0</v>
      </c>
    </row>
    <row r="1540" spans="1:25" s="1177" customFormat="1" ht="99" customHeight="1">
      <c r="A1540" s="1280"/>
      <c r="B1540" s="1135" t="s">
        <v>2676</v>
      </c>
      <c r="C1540" s="1129">
        <f>C1541+C1542</f>
        <v>6963299</v>
      </c>
      <c r="D1540" s="1129">
        <f t="shared" ref="D1540:Y1540" si="688">D1541+D1542</f>
        <v>6457521</v>
      </c>
      <c r="E1540" s="1129">
        <f t="shared" si="688"/>
        <v>1107985</v>
      </c>
      <c r="F1540" s="1129">
        <f t="shared" si="688"/>
        <v>0</v>
      </c>
      <c r="G1540" s="1129">
        <f t="shared" si="688"/>
        <v>0</v>
      </c>
      <c r="H1540" s="1129">
        <f t="shared" si="688"/>
        <v>5349536</v>
      </c>
      <c r="I1540" s="1129">
        <f t="shared" si="688"/>
        <v>0</v>
      </c>
      <c r="J1540" s="1129">
        <f t="shared" si="688"/>
        <v>0</v>
      </c>
      <c r="K1540" s="1129">
        <f t="shared" si="688"/>
        <v>0</v>
      </c>
      <c r="L1540" s="1129">
        <f t="shared" si="688"/>
        <v>0</v>
      </c>
      <c r="M1540" s="1129">
        <f t="shared" si="688"/>
        <v>0</v>
      </c>
      <c r="N1540" s="1129">
        <f t="shared" si="688"/>
        <v>0</v>
      </c>
      <c r="O1540" s="1129">
        <f t="shared" si="688"/>
        <v>0</v>
      </c>
      <c r="P1540" s="1129">
        <f t="shared" si="688"/>
        <v>0</v>
      </c>
      <c r="Q1540" s="1129">
        <f t="shared" si="688"/>
        <v>0</v>
      </c>
      <c r="R1540" s="1129">
        <f t="shared" si="688"/>
        <v>0</v>
      </c>
      <c r="S1540" s="1129">
        <f t="shared" si="688"/>
        <v>0</v>
      </c>
      <c r="T1540" s="1129">
        <f t="shared" si="688"/>
        <v>0</v>
      </c>
      <c r="U1540" s="1129">
        <f t="shared" si="688"/>
        <v>0</v>
      </c>
      <c r="V1540" s="1129">
        <f t="shared" si="688"/>
        <v>0</v>
      </c>
      <c r="W1540" s="1129">
        <f t="shared" si="688"/>
        <v>0</v>
      </c>
      <c r="X1540" s="1129">
        <f t="shared" si="688"/>
        <v>505778</v>
      </c>
      <c r="Y1540" s="1129">
        <f t="shared" si="688"/>
        <v>0</v>
      </c>
    </row>
    <row r="1541" spans="1:25" s="1177" customFormat="1" ht="95.25" customHeight="1">
      <c r="A1541" s="1280">
        <v>468</v>
      </c>
      <c r="B1541" s="1135" t="s">
        <v>2853</v>
      </c>
      <c r="C1541" s="1129">
        <f t="shared" ref="C1541" si="689">D1541+N1541+P1541+R1541+T1541+V1541+X1541</f>
        <v>1194767</v>
      </c>
      <c r="D1541" s="1129">
        <f t="shared" ref="D1541" si="690">SUM(E1541:J1541)</f>
        <v>1107985</v>
      </c>
      <c r="E1541" s="1129">
        <v>1107985</v>
      </c>
      <c r="F1541" s="1129">
        <v>0</v>
      </c>
      <c r="G1541" s="1129">
        <v>0</v>
      </c>
      <c r="H1541" s="1129">
        <v>0</v>
      </c>
      <c r="I1541" s="1129">
        <v>0</v>
      </c>
      <c r="J1541" s="1129">
        <v>0</v>
      </c>
      <c r="K1541" s="1136">
        <v>0</v>
      </c>
      <c r="L1541" s="1129">
        <v>0</v>
      </c>
      <c r="M1541" s="1136">
        <v>0</v>
      </c>
      <c r="N1541" s="1129">
        <v>0</v>
      </c>
      <c r="O1541" s="1129">
        <v>0</v>
      </c>
      <c r="P1541" s="1129">
        <v>0</v>
      </c>
      <c r="Q1541" s="1129">
        <v>0</v>
      </c>
      <c r="R1541" s="1129">
        <v>0</v>
      </c>
      <c r="S1541" s="1129">
        <v>0</v>
      </c>
      <c r="T1541" s="1129">
        <v>0</v>
      </c>
      <c r="U1541" s="1129">
        <v>0</v>
      </c>
      <c r="V1541" s="1129">
        <v>0</v>
      </c>
      <c r="W1541" s="1129">
        <v>0</v>
      </c>
      <c r="X1541" s="1129">
        <v>86782</v>
      </c>
      <c r="Y1541" s="1129">
        <v>0</v>
      </c>
    </row>
    <row r="1542" spans="1:25" s="1177" customFormat="1" ht="89.25" customHeight="1">
      <c r="A1542" s="1280">
        <v>469</v>
      </c>
      <c r="B1542" s="1135" t="s">
        <v>2820</v>
      </c>
      <c r="C1542" s="1129">
        <f t="shared" ref="C1542" si="691">D1542+N1542+P1542+R1542+T1542+V1542+X1542</f>
        <v>5768532</v>
      </c>
      <c r="D1542" s="1129">
        <f t="shared" ref="D1542" si="692">SUM(E1542:J1542)</f>
        <v>5349536</v>
      </c>
      <c r="E1542" s="1129">
        <v>0</v>
      </c>
      <c r="F1542" s="1129">
        <v>0</v>
      </c>
      <c r="G1542" s="1129">
        <v>0</v>
      </c>
      <c r="H1542" s="1129">
        <v>5349536</v>
      </c>
      <c r="I1542" s="1129">
        <v>0</v>
      </c>
      <c r="J1542" s="1129">
        <v>0</v>
      </c>
      <c r="K1542" s="1136">
        <v>0</v>
      </c>
      <c r="L1542" s="1129">
        <v>0</v>
      </c>
      <c r="M1542" s="1136">
        <v>0</v>
      </c>
      <c r="N1542" s="1129">
        <v>0</v>
      </c>
      <c r="O1542" s="1129">
        <v>0</v>
      </c>
      <c r="P1542" s="1129">
        <v>0</v>
      </c>
      <c r="Q1542" s="1129">
        <v>0</v>
      </c>
      <c r="R1542" s="1129">
        <v>0</v>
      </c>
      <c r="S1542" s="1129">
        <v>0</v>
      </c>
      <c r="T1542" s="1129">
        <v>0</v>
      </c>
      <c r="U1542" s="1129">
        <v>0</v>
      </c>
      <c r="V1542" s="1129">
        <v>0</v>
      </c>
      <c r="W1542" s="1129">
        <v>0</v>
      </c>
      <c r="X1542" s="1129">
        <v>418996</v>
      </c>
      <c r="Y1542" s="1129">
        <v>0</v>
      </c>
    </row>
    <row r="1543" spans="1:25" s="1177" customFormat="1" ht="136.15" customHeight="1">
      <c r="A1543" s="1280"/>
      <c r="B1543" s="1135" t="s">
        <v>1168</v>
      </c>
      <c r="C1543" s="1129">
        <f>SUM(C1544:C1549)</f>
        <v>13201803.246291991</v>
      </c>
      <c r="D1543" s="1129">
        <f t="shared" ref="D1543:Y1543" si="693">SUM(D1544:D1549)</f>
        <v>778593</v>
      </c>
      <c r="E1543" s="1129">
        <f t="shared" si="693"/>
        <v>0</v>
      </c>
      <c r="F1543" s="1129">
        <f t="shared" si="693"/>
        <v>778593</v>
      </c>
      <c r="G1543" s="1129">
        <f t="shared" si="693"/>
        <v>0</v>
      </c>
      <c r="H1543" s="1129">
        <f t="shared" si="693"/>
        <v>0</v>
      </c>
      <c r="I1543" s="1129">
        <f t="shared" si="693"/>
        <v>0</v>
      </c>
      <c r="J1543" s="1129">
        <f t="shared" si="693"/>
        <v>0</v>
      </c>
      <c r="K1543" s="1136">
        <f t="shared" si="693"/>
        <v>0</v>
      </c>
      <c r="L1543" s="1129">
        <f t="shared" si="693"/>
        <v>0</v>
      </c>
      <c r="M1543" s="1136">
        <f t="shared" si="693"/>
        <v>0</v>
      </c>
      <c r="N1543" s="1129">
        <f t="shared" si="693"/>
        <v>0</v>
      </c>
      <c r="O1543" s="1129">
        <f t="shared" si="693"/>
        <v>2473.1</v>
      </c>
      <c r="P1543" s="1129">
        <f t="shared" si="693"/>
        <v>9031395.4140784461</v>
      </c>
      <c r="Q1543" s="1129">
        <f t="shared" si="693"/>
        <v>0</v>
      </c>
      <c r="R1543" s="1129">
        <f t="shared" si="693"/>
        <v>0</v>
      </c>
      <c r="S1543" s="1129">
        <f t="shared" si="693"/>
        <v>1028.4000000000001</v>
      </c>
      <c r="T1543" s="1129">
        <f t="shared" si="693"/>
        <v>2537785</v>
      </c>
      <c r="U1543" s="1129">
        <f t="shared" si="693"/>
        <v>0</v>
      </c>
      <c r="V1543" s="1129">
        <f t="shared" si="693"/>
        <v>0</v>
      </c>
      <c r="W1543" s="1129">
        <v>0</v>
      </c>
      <c r="X1543" s="1129">
        <f t="shared" si="693"/>
        <v>854029.83221354638</v>
      </c>
      <c r="Y1543" s="1129">
        <f t="shared" si="693"/>
        <v>0</v>
      </c>
    </row>
    <row r="1544" spans="1:25" s="1177" customFormat="1" ht="97.15" customHeight="1">
      <c r="A1544" s="1280">
        <v>470</v>
      </c>
      <c r="B1544" s="1135" t="s">
        <v>2547</v>
      </c>
      <c r="C1544" s="1129">
        <f t="shared" ref="C1544" si="694">D1544+N1544+P1544+R1544+T1544+V1544+X1544</f>
        <v>2101771</v>
      </c>
      <c r="D1544" s="1129">
        <f t="shared" ref="D1544" si="695">SUM(E1544:J1544)</f>
        <v>0</v>
      </c>
      <c r="E1544" s="1129">
        <v>0</v>
      </c>
      <c r="F1544" s="1129">
        <v>0</v>
      </c>
      <c r="G1544" s="1129">
        <v>0</v>
      </c>
      <c r="H1544" s="1129">
        <v>0</v>
      </c>
      <c r="I1544" s="1129">
        <v>0</v>
      </c>
      <c r="J1544" s="1129">
        <v>0</v>
      </c>
      <c r="K1544" s="1136">
        <v>0</v>
      </c>
      <c r="L1544" s="1129">
        <v>0</v>
      </c>
      <c r="M1544" s="1136">
        <v>0</v>
      </c>
      <c r="N1544" s="1129">
        <v>0</v>
      </c>
      <c r="O1544" s="1129">
        <v>660</v>
      </c>
      <c r="P1544" s="1129">
        <v>1949109.2240784457</v>
      </c>
      <c r="Q1544" s="1149">
        <v>0</v>
      </c>
      <c r="R1544" s="1129">
        <v>0</v>
      </c>
      <c r="S1544" s="1129">
        <v>0</v>
      </c>
      <c r="T1544" s="1129">
        <v>0</v>
      </c>
      <c r="U1544" s="1149">
        <v>0</v>
      </c>
      <c r="V1544" s="1129">
        <v>0</v>
      </c>
      <c r="W1544" s="1129">
        <v>0</v>
      </c>
      <c r="X1544" s="1129">
        <v>152661.77592155439</v>
      </c>
      <c r="Y1544" s="1129">
        <v>0</v>
      </c>
    </row>
    <row r="1545" spans="1:25" s="1177" customFormat="1" ht="88.9" customHeight="1">
      <c r="A1545" s="1280">
        <v>471</v>
      </c>
      <c r="B1545" s="1135" t="s">
        <v>2545</v>
      </c>
      <c r="C1545" s="1129">
        <f t="shared" ref="C1545:C1549" si="696">D1545+N1545+P1545+R1545+T1545+V1545+X1545</f>
        <v>2538046.2462919918</v>
      </c>
      <c r="D1545" s="1129">
        <f t="shared" ref="D1545:D1549" si="697">SUM(E1545:J1545)</f>
        <v>0</v>
      </c>
      <c r="E1545" s="1129">
        <v>0</v>
      </c>
      <c r="F1545" s="1129">
        <v>0</v>
      </c>
      <c r="G1545" s="1129">
        <v>0</v>
      </c>
      <c r="H1545" s="1129">
        <v>0</v>
      </c>
      <c r="I1545" s="1129">
        <v>0</v>
      </c>
      <c r="J1545" s="1129">
        <v>0</v>
      </c>
      <c r="K1545" s="1136">
        <v>0</v>
      </c>
      <c r="L1545" s="1129">
        <v>0</v>
      </c>
      <c r="M1545" s="1136">
        <v>0</v>
      </c>
      <c r="N1545" s="1129">
        <v>0</v>
      </c>
      <c r="O1545" s="1129">
        <v>340</v>
      </c>
      <c r="P1545" s="1129">
        <v>2458576.19</v>
      </c>
      <c r="Q1545" s="1129">
        <v>0</v>
      </c>
      <c r="R1545" s="1129">
        <v>0</v>
      </c>
      <c r="S1545" s="1129">
        <v>0</v>
      </c>
      <c r="T1545" s="1129">
        <v>0</v>
      </c>
      <c r="U1545" s="1129">
        <v>0</v>
      </c>
      <c r="V1545" s="1129">
        <v>0</v>
      </c>
      <c r="W1545" s="1129">
        <v>0</v>
      </c>
      <c r="X1545" s="1129">
        <v>79470.056291992005</v>
      </c>
      <c r="Y1545" s="1129">
        <v>0</v>
      </c>
    </row>
    <row r="1546" spans="1:25" s="1177" customFormat="1" ht="93.6" customHeight="1">
      <c r="A1546" s="1280">
        <v>472</v>
      </c>
      <c r="B1546" s="1135" t="s">
        <v>2546</v>
      </c>
      <c r="C1546" s="1129">
        <f t="shared" si="696"/>
        <v>2736554</v>
      </c>
      <c r="D1546" s="1129">
        <f t="shared" si="697"/>
        <v>0</v>
      </c>
      <c r="E1546" s="1129">
        <v>0</v>
      </c>
      <c r="F1546" s="1129">
        <v>0</v>
      </c>
      <c r="G1546" s="1129">
        <v>0</v>
      </c>
      <c r="H1546" s="1129">
        <v>0</v>
      </c>
      <c r="I1546" s="1129">
        <v>0</v>
      </c>
      <c r="J1546" s="1129">
        <v>0</v>
      </c>
      <c r="K1546" s="1136">
        <v>0</v>
      </c>
      <c r="L1546" s="1129">
        <v>0</v>
      </c>
      <c r="M1546" s="1136">
        <v>0</v>
      </c>
      <c r="N1546" s="1129">
        <v>0</v>
      </c>
      <c r="O1546" s="1129">
        <v>0</v>
      </c>
      <c r="P1546" s="1129">
        <v>0</v>
      </c>
      <c r="Q1546" s="1129">
        <v>0</v>
      </c>
      <c r="R1546" s="1129">
        <v>0</v>
      </c>
      <c r="S1546" s="1129">
        <v>1028.4000000000001</v>
      </c>
      <c r="T1546" s="1129">
        <v>2537785</v>
      </c>
      <c r="U1546" s="1129">
        <v>0</v>
      </c>
      <c r="V1546" s="1129">
        <v>0</v>
      </c>
      <c r="W1546" s="1129">
        <v>0</v>
      </c>
      <c r="X1546" s="1129">
        <v>198769</v>
      </c>
      <c r="Y1546" s="1129">
        <v>0</v>
      </c>
    </row>
    <row r="1547" spans="1:25" s="1177" customFormat="1" ht="92.45" customHeight="1">
      <c r="A1547" s="1280">
        <v>473</v>
      </c>
      <c r="B1547" s="1135" t="s">
        <v>3059</v>
      </c>
      <c r="C1547" s="1129">
        <f t="shared" si="696"/>
        <v>4102476</v>
      </c>
      <c r="D1547" s="1129">
        <f t="shared" si="697"/>
        <v>0</v>
      </c>
      <c r="E1547" s="1129">
        <v>0</v>
      </c>
      <c r="F1547" s="1129">
        <v>0</v>
      </c>
      <c r="G1547" s="1129">
        <v>0</v>
      </c>
      <c r="H1547" s="1129">
        <v>0</v>
      </c>
      <c r="I1547" s="1129">
        <v>0</v>
      </c>
      <c r="J1547" s="1129">
        <v>0</v>
      </c>
      <c r="K1547" s="1136">
        <v>0</v>
      </c>
      <c r="L1547" s="1129">
        <v>0</v>
      </c>
      <c r="M1547" s="1136">
        <v>0</v>
      </c>
      <c r="N1547" s="1129">
        <v>0</v>
      </c>
      <c r="O1547" s="1129">
        <v>1212.0999999999999</v>
      </c>
      <c r="P1547" s="1129">
        <v>3804493</v>
      </c>
      <c r="Q1547" s="1129">
        <v>0</v>
      </c>
      <c r="R1547" s="1129">
        <v>0</v>
      </c>
      <c r="S1547" s="1129">
        <v>0</v>
      </c>
      <c r="T1547" s="1129">
        <v>0</v>
      </c>
      <c r="U1547" s="1129">
        <v>0</v>
      </c>
      <c r="V1547" s="1129">
        <v>0</v>
      </c>
      <c r="W1547" s="1129">
        <v>0</v>
      </c>
      <c r="X1547" s="1129">
        <v>297983</v>
      </c>
      <c r="Y1547" s="1129">
        <v>0</v>
      </c>
    </row>
    <row r="1548" spans="1:25" s="1177" customFormat="1" ht="97.15" customHeight="1">
      <c r="A1548" s="1280">
        <v>474</v>
      </c>
      <c r="B1548" s="1135" t="s">
        <v>2544</v>
      </c>
      <c r="C1548" s="1129">
        <f t="shared" si="696"/>
        <v>839575</v>
      </c>
      <c r="D1548" s="1129">
        <f t="shared" si="697"/>
        <v>778593</v>
      </c>
      <c r="E1548" s="1129">
        <v>0</v>
      </c>
      <c r="F1548" s="1129">
        <v>778593</v>
      </c>
      <c r="G1548" s="1129">
        <v>0</v>
      </c>
      <c r="H1548" s="1129">
        <v>0</v>
      </c>
      <c r="I1548" s="1129">
        <v>0</v>
      </c>
      <c r="J1548" s="1129">
        <v>0</v>
      </c>
      <c r="K1548" s="1136">
        <v>0</v>
      </c>
      <c r="L1548" s="1129">
        <v>0</v>
      </c>
      <c r="M1548" s="1136">
        <v>0</v>
      </c>
      <c r="N1548" s="1129">
        <v>0</v>
      </c>
      <c r="O1548" s="1129">
        <v>0</v>
      </c>
      <c r="P1548" s="1129">
        <v>0</v>
      </c>
      <c r="Q1548" s="1129">
        <v>0</v>
      </c>
      <c r="R1548" s="1129">
        <v>0</v>
      </c>
      <c r="S1548" s="1129">
        <v>0</v>
      </c>
      <c r="T1548" s="1129">
        <v>0</v>
      </c>
      <c r="U1548" s="1129">
        <v>0</v>
      </c>
      <c r="V1548" s="1129">
        <v>0</v>
      </c>
      <c r="W1548" s="1129">
        <v>0</v>
      </c>
      <c r="X1548" s="1129">
        <v>60982</v>
      </c>
      <c r="Y1548" s="1129">
        <v>0</v>
      </c>
    </row>
    <row r="1549" spans="1:25" s="1177" customFormat="1" ht="94.9" customHeight="1">
      <c r="A1549" s="1280">
        <v>475</v>
      </c>
      <c r="B1549" s="1135" t="s">
        <v>1941</v>
      </c>
      <c r="C1549" s="1129">
        <f t="shared" si="696"/>
        <v>883381</v>
      </c>
      <c r="D1549" s="1129">
        <f t="shared" si="697"/>
        <v>0</v>
      </c>
      <c r="E1549" s="1129">
        <v>0</v>
      </c>
      <c r="F1549" s="1129">
        <v>0</v>
      </c>
      <c r="G1549" s="1129">
        <v>0</v>
      </c>
      <c r="H1549" s="1129">
        <v>0</v>
      </c>
      <c r="I1549" s="1129">
        <v>0</v>
      </c>
      <c r="J1549" s="1129">
        <v>0</v>
      </c>
      <c r="K1549" s="1136">
        <v>0</v>
      </c>
      <c r="L1549" s="1129">
        <v>0</v>
      </c>
      <c r="M1549" s="1136">
        <v>0</v>
      </c>
      <c r="N1549" s="1129">
        <v>0</v>
      </c>
      <c r="O1549" s="1129">
        <v>261</v>
      </c>
      <c r="P1549" s="1129">
        <v>819217</v>
      </c>
      <c r="Q1549" s="1129">
        <v>0</v>
      </c>
      <c r="R1549" s="1129">
        <v>0</v>
      </c>
      <c r="S1549" s="1129">
        <v>0</v>
      </c>
      <c r="T1549" s="1129">
        <v>0</v>
      </c>
      <c r="U1549" s="1129">
        <v>0</v>
      </c>
      <c r="V1549" s="1129">
        <v>0</v>
      </c>
      <c r="W1549" s="1129">
        <v>0</v>
      </c>
      <c r="X1549" s="1129">
        <v>64164</v>
      </c>
      <c r="Y1549" s="1129">
        <v>0</v>
      </c>
    </row>
    <row r="1550" spans="1:25" s="1177" customFormat="1" ht="138.6" customHeight="1">
      <c r="A1550" s="1280"/>
      <c r="B1550" s="1135" t="s">
        <v>1119</v>
      </c>
      <c r="C1550" s="1129">
        <f>SUM(C1551:C1554)</f>
        <v>30625116.929999996</v>
      </c>
      <c r="D1550" s="1129">
        <f t="shared" ref="D1550:Y1550" si="698">SUM(D1551:D1554)</f>
        <v>11775913.16</v>
      </c>
      <c r="E1550" s="1129">
        <f t="shared" si="698"/>
        <v>0</v>
      </c>
      <c r="F1550" s="1129">
        <f t="shared" si="698"/>
        <v>8308619.1600000001</v>
      </c>
      <c r="G1550" s="1129">
        <f t="shared" si="698"/>
        <v>0</v>
      </c>
      <c r="H1550" s="1129">
        <f t="shared" si="698"/>
        <v>0</v>
      </c>
      <c r="I1550" s="1129">
        <f t="shared" si="698"/>
        <v>3467294</v>
      </c>
      <c r="J1550" s="1129">
        <f t="shared" si="698"/>
        <v>0</v>
      </c>
      <c r="K1550" s="1136">
        <f t="shared" si="698"/>
        <v>0</v>
      </c>
      <c r="L1550" s="1129">
        <f t="shared" si="698"/>
        <v>0</v>
      </c>
      <c r="M1550" s="1136">
        <f t="shared" si="698"/>
        <v>0</v>
      </c>
      <c r="N1550" s="1129">
        <f t="shared" si="698"/>
        <v>0</v>
      </c>
      <c r="O1550" s="1129">
        <f t="shared" si="698"/>
        <v>1348.49</v>
      </c>
      <c r="P1550" s="1129">
        <f t="shared" si="698"/>
        <v>6109434.0499999998</v>
      </c>
      <c r="Q1550" s="1129">
        <f t="shared" si="698"/>
        <v>0</v>
      </c>
      <c r="R1550" s="1129">
        <f t="shared" si="698"/>
        <v>0</v>
      </c>
      <c r="S1550" s="1129">
        <f t="shared" si="698"/>
        <v>3787.69</v>
      </c>
      <c r="T1550" s="1129">
        <f t="shared" si="698"/>
        <v>10569415.619999999</v>
      </c>
      <c r="U1550" s="1129">
        <f t="shared" si="698"/>
        <v>0</v>
      </c>
      <c r="V1550" s="1129">
        <f t="shared" si="698"/>
        <v>0</v>
      </c>
      <c r="W1550" s="1129">
        <v>0</v>
      </c>
      <c r="X1550" s="1129">
        <f t="shared" si="698"/>
        <v>2170354.1</v>
      </c>
      <c r="Y1550" s="1129">
        <f t="shared" si="698"/>
        <v>0</v>
      </c>
    </row>
    <row r="1551" spans="1:25" s="1177" customFormat="1" ht="83.45" customHeight="1">
      <c r="A1551" s="1280">
        <v>476</v>
      </c>
      <c r="B1551" s="1128" t="s">
        <v>2543</v>
      </c>
      <c r="C1551" s="1129">
        <f t="shared" ref="C1551" si="699">D1551+N1551+P1551+R1551+T1551+V1551+X1551</f>
        <v>11397253.149999999</v>
      </c>
      <c r="D1551" s="1129">
        <f t="shared" ref="D1551" si="700">SUM(E1551:J1551)</f>
        <v>0</v>
      </c>
      <c r="E1551" s="1129">
        <v>0</v>
      </c>
      <c r="F1551" s="1129">
        <v>0</v>
      </c>
      <c r="G1551" s="1129">
        <v>0</v>
      </c>
      <c r="H1551" s="1129">
        <v>0</v>
      </c>
      <c r="I1551" s="1129">
        <v>0</v>
      </c>
      <c r="J1551" s="1129">
        <v>0</v>
      </c>
      <c r="K1551" s="1136">
        <v>0</v>
      </c>
      <c r="L1551" s="1129">
        <v>0</v>
      </c>
      <c r="M1551" s="1136">
        <v>0</v>
      </c>
      <c r="N1551" s="1129">
        <v>0</v>
      </c>
      <c r="O1551" s="1129">
        <v>0</v>
      </c>
      <c r="P1551" s="1129">
        <v>0</v>
      </c>
      <c r="Q1551" s="1129">
        <v>0</v>
      </c>
      <c r="R1551" s="1129">
        <v>0</v>
      </c>
      <c r="S1551" s="1129">
        <v>3787.69</v>
      </c>
      <c r="T1551" s="1129">
        <v>10569415.619999999</v>
      </c>
      <c r="U1551" s="1129">
        <v>0</v>
      </c>
      <c r="V1551" s="1129">
        <v>0</v>
      </c>
      <c r="W1551" s="1129">
        <v>0</v>
      </c>
      <c r="X1551" s="1129">
        <v>827837.53</v>
      </c>
      <c r="Y1551" s="1129">
        <v>0</v>
      </c>
    </row>
    <row r="1552" spans="1:25" s="1177" customFormat="1" ht="111.6" customHeight="1">
      <c r="A1552" s="1280">
        <v>477</v>
      </c>
      <c r="B1552" s="1128" t="s">
        <v>2541</v>
      </c>
      <c r="C1552" s="1129">
        <f t="shared" ref="C1552:C1554" si="701">D1552+N1552+P1552+R1552+T1552+V1552+X1552</f>
        <v>4292135.58</v>
      </c>
      <c r="D1552" s="1129">
        <f t="shared" ref="D1552:D1554" si="702">SUM(E1552:J1552)</f>
        <v>0</v>
      </c>
      <c r="E1552" s="1129">
        <v>0</v>
      </c>
      <c r="F1552" s="1129">
        <v>0</v>
      </c>
      <c r="G1552" s="1129">
        <v>0</v>
      </c>
      <c r="H1552" s="1129">
        <v>0</v>
      </c>
      <c r="I1552" s="1129">
        <v>0</v>
      </c>
      <c r="J1552" s="1129">
        <v>0</v>
      </c>
      <c r="K1552" s="1136">
        <v>0</v>
      </c>
      <c r="L1552" s="1129">
        <v>0</v>
      </c>
      <c r="M1552" s="1136">
        <v>0</v>
      </c>
      <c r="N1552" s="1129">
        <v>0</v>
      </c>
      <c r="O1552" s="1129">
        <v>878.49</v>
      </c>
      <c r="P1552" s="1129">
        <v>3980377.05</v>
      </c>
      <c r="Q1552" s="1129">
        <v>0</v>
      </c>
      <c r="R1552" s="1129">
        <v>0</v>
      </c>
      <c r="S1552" s="1129">
        <v>0</v>
      </c>
      <c r="T1552" s="1129">
        <v>0</v>
      </c>
      <c r="U1552" s="1129">
        <v>0</v>
      </c>
      <c r="V1552" s="1129">
        <v>0</v>
      </c>
      <c r="W1552" s="1129">
        <v>0</v>
      </c>
      <c r="X1552" s="1129">
        <v>311758.53000000003</v>
      </c>
      <c r="Y1552" s="1129">
        <v>0</v>
      </c>
    </row>
    <row r="1553" spans="1:25" s="1177" customFormat="1" ht="105.6" customHeight="1">
      <c r="A1553" s="1280">
        <v>478</v>
      </c>
      <c r="B1553" s="1135" t="s">
        <v>2542</v>
      </c>
      <c r="C1553" s="1129">
        <f t="shared" si="701"/>
        <v>12697564.32</v>
      </c>
      <c r="D1553" s="1129">
        <f t="shared" si="702"/>
        <v>11775913.16</v>
      </c>
      <c r="E1553" s="1129">
        <v>0</v>
      </c>
      <c r="F1553" s="1129">
        <v>8308619.1600000001</v>
      </c>
      <c r="G1553" s="1129">
        <v>0</v>
      </c>
      <c r="H1553" s="1129">
        <v>0</v>
      </c>
      <c r="I1553" s="1129">
        <v>3467294</v>
      </c>
      <c r="J1553" s="1129">
        <v>0</v>
      </c>
      <c r="K1553" s="1136">
        <v>0</v>
      </c>
      <c r="L1553" s="1129">
        <v>0</v>
      </c>
      <c r="M1553" s="1136">
        <v>0</v>
      </c>
      <c r="N1553" s="1129">
        <v>0</v>
      </c>
      <c r="O1553" s="1129">
        <v>0</v>
      </c>
      <c r="P1553" s="1129">
        <v>0</v>
      </c>
      <c r="Q1553" s="1129">
        <v>0</v>
      </c>
      <c r="R1553" s="1129">
        <v>0</v>
      </c>
      <c r="S1553" s="1129">
        <v>0</v>
      </c>
      <c r="T1553" s="1129">
        <v>0</v>
      </c>
      <c r="U1553" s="1129">
        <v>0</v>
      </c>
      <c r="V1553" s="1129">
        <v>0</v>
      </c>
      <c r="W1553" s="1129">
        <v>0</v>
      </c>
      <c r="X1553" s="1129">
        <v>921651.16</v>
      </c>
      <c r="Y1553" s="1129">
        <v>0</v>
      </c>
    </row>
    <row r="1554" spans="1:25" s="1177" customFormat="1" ht="84.6" customHeight="1">
      <c r="A1554" s="1280">
        <v>479</v>
      </c>
      <c r="B1554" s="1128" t="s">
        <v>1384</v>
      </c>
      <c r="C1554" s="1129">
        <f t="shared" si="701"/>
        <v>2238163.88</v>
      </c>
      <c r="D1554" s="1129">
        <f t="shared" si="702"/>
        <v>0</v>
      </c>
      <c r="E1554" s="1129">
        <v>0</v>
      </c>
      <c r="F1554" s="1129">
        <v>0</v>
      </c>
      <c r="G1554" s="1129">
        <v>0</v>
      </c>
      <c r="H1554" s="1129">
        <v>0</v>
      </c>
      <c r="I1554" s="1129">
        <v>0</v>
      </c>
      <c r="J1554" s="1129">
        <v>0</v>
      </c>
      <c r="K1554" s="1136">
        <v>0</v>
      </c>
      <c r="L1554" s="1129">
        <v>0</v>
      </c>
      <c r="M1554" s="1136">
        <v>0</v>
      </c>
      <c r="N1554" s="1129">
        <v>0</v>
      </c>
      <c r="O1554" s="1129">
        <v>470</v>
      </c>
      <c r="P1554" s="1129">
        <v>2129057</v>
      </c>
      <c r="Q1554" s="1129">
        <v>0</v>
      </c>
      <c r="R1554" s="1129">
        <v>0</v>
      </c>
      <c r="S1554" s="1129">
        <v>0</v>
      </c>
      <c r="T1554" s="1129">
        <v>0</v>
      </c>
      <c r="U1554" s="1129">
        <v>0</v>
      </c>
      <c r="V1554" s="1129">
        <v>0</v>
      </c>
      <c r="W1554" s="1129">
        <v>0</v>
      </c>
      <c r="X1554" s="1129">
        <v>109106.88</v>
      </c>
      <c r="Y1554" s="1129">
        <v>0</v>
      </c>
    </row>
    <row r="1555" spans="1:25" s="1177" customFormat="1" ht="110.45" customHeight="1">
      <c r="A1555" s="1280"/>
      <c r="B1555" s="1135" t="s">
        <v>1650</v>
      </c>
      <c r="C1555" s="1129">
        <f>C1556+C1557</f>
        <v>2409564</v>
      </c>
      <c r="D1555" s="1129">
        <f t="shared" ref="D1555:Y1555" si="703">D1556+D1557</f>
        <v>0</v>
      </c>
      <c r="E1555" s="1129">
        <f t="shared" si="703"/>
        <v>0</v>
      </c>
      <c r="F1555" s="1129">
        <f t="shared" si="703"/>
        <v>0</v>
      </c>
      <c r="G1555" s="1129">
        <f t="shared" si="703"/>
        <v>0</v>
      </c>
      <c r="H1555" s="1129">
        <f t="shared" si="703"/>
        <v>0</v>
      </c>
      <c r="I1555" s="1129">
        <f t="shared" si="703"/>
        <v>0</v>
      </c>
      <c r="J1555" s="1129">
        <f t="shared" si="703"/>
        <v>0</v>
      </c>
      <c r="K1555" s="1136">
        <f t="shared" si="703"/>
        <v>0</v>
      </c>
      <c r="L1555" s="1129">
        <f t="shared" si="703"/>
        <v>0</v>
      </c>
      <c r="M1555" s="1136">
        <f t="shared" si="703"/>
        <v>0</v>
      </c>
      <c r="N1555" s="1129">
        <f t="shared" si="703"/>
        <v>0</v>
      </c>
      <c r="O1555" s="1129">
        <f t="shared" si="703"/>
        <v>760</v>
      </c>
      <c r="P1555" s="1129">
        <f t="shared" si="703"/>
        <v>2234545.7400000002</v>
      </c>
      <c r="Q1555" s="1129">
        <f t="shared" si="703"/>
        <v>0</v>
      </c>
      <c r="R1555" s="1129">
        <f t="shared" si="703"/>
        <v>0</v>
      </c>
      <c r="S1555" s="1129">
        <f t="shared" si="703"/>
        <v>0</v>
      </c>
      <c r="T1555" s="1129">
        <f t="shared" si="703"/>
        <v>0</v>
      </c>
      <c r="U1555" s="1129">
        <f t="shared" si="703"/>
        <v>0</v>
      </c>
      <c r="V1555" s="1129">
        <f t="shared" si="703"/>
        <v>0</v>
      </c>
      <c r="W1555" s="1129">
        <f t="shared" si="703"/>
        <v>0</v>
      </c>
      <c r="X1555" s="1129">
        <f t="shared" si="703"/>
        <v>175018.26</v>
      </c>
      <c r="Y1555" s="1129">
        <f t="shared" si="703"/>
        <v>0</v>
      </c>
    </row>
    <row r="1556" spans="1:25" s="1177" customFormat="1" ht="129" customHeight="1">
      <c r="A1556" s="1280">
        <v>480</v>
      </c>
      <c r="B1556" s="1128" t="s">
        <v>2540</v>
      </c>
      <c r="C1556" s="1129">
        <f t="shared" ref="C1556" si="704">D1556+N1556+P1556+R1556+T1556+V1556+X1556</f>
        <v>1167102</v>
      </c>
      <c r="D1556" s="1129">
        <f t="shared" ref="D1556" si="705">SUM(E1556:J1556)</f>
        <v>0</v>
      </c>
      <c r="E1556" s="1129">
        <v>0</v>
      </c>
      <c r="F1556" s="1129">
        <v>0</v>
      </c>
      <c r="G1556" s="1129">
        <v>0</v>
      </c>
      <c r="H1556" s="1129">
        <v>0</v>
      </c>
      <c r="I1556" s="1129">
        <v>0</v>
      </c>
      <c r="J1556" s="1129">
        <v>0</v>
      </c>
      <c r="K1556" s="1136">
        <v>0</v>
      </c>
      <c r="L1556" s="1129">
        <v>0</v>
      </c>
      <c r="M1556" s="1136">
        <v>0</v>
      </c>
      <c r="N1556" s="1129">
        <v>0</v>
      </c>
      <c r="O1556" s="1129">
        <v>368</v>
      </c>
      <c r="P1556" s="1129">
        <v>1082329.75</v>
      </c>
      <c r="Q1556" s="1129">
        <v>0</v>
      </c>
      <c r="R1556" s="1129">
        <v>0</v>
      </c>
      <c r="S1556" s="1129">
        <v>0</v>
      </c>
      <c r="T1556" s="1129">
        <v>0</v>
      </c>
      <c r="U1556" s="1129">
        <v>0</v>
      </c>
      <c r="V1556" s="1129">
        <v>0</v>
      </c>
      <c r="W1556" s="1129">
        <v>0</v>
      </c>
      <c r="X1556" s="1129">
        <v>84772.25</v>
      </c>
      <c r="Y1556" s="1129">
        <v>0</v>
      </c>
    </row>
    <row r="1557" spans="1:25" s="1177" customFormat="1" ht="97.9" customHeight="1">
      <c r="A1557" s="1280">
        <v>481</v>
      </c>
      <c r="B1557" s="1128" t="s">
        <v>3060</v>
      </c>
      <c r="C1557" s="1129">
        <f t="shared" ref="C1557" si="706">D1557+N1557+P1557+R1557+T1557+V1557+X1557</f>
        <v>1242462</v>
      </c>
      <c r="D1557" s="1129">
        <f t="shared" ref="D1557" si="707">SUM(E1557:J1557)</f>
        <v>0</v>
      </c>
      <c r="E1557" s="1129">
        <v>0</v>
      </c>
      <c r="F1557" s="1129">
        <v>0</v>
      </c>
      <c r="G1557" s="1129">
        <v>0</v>
      </c>
      <c r="H1557" s="1129">
        <v>0</v>
      </c>
      <c r="I1557" s="1129">
        <v>0</v>
      </c>
      <c r="J1557" s="1129">
        <v>0</v>
      </c>
      <c r="K1557" s="1136">
        <v>0</v>
      </c>
      <c r="L1557" s="1129">
        <v>0</v>
      </c>
      <c r="M1557" s="1136">
        <v>0</v>
      </c>
      <c r="N1557" s="1129">
        <v>0</v>
      </c>
      <c r="O1557" s="1129">
        <v>392</v>
      </c>
      <c r="P1557" s="1129">
        <v>1152215.99</v>
      </c>
      <c r="Q1557" s="1129">
        <v>0</v>
      </c>
      <c r="R1557" s="1129">
        <v>0</v>
      </c>
      <c r="S1557" s="1129">
        <v>0</v>
      </c>
      <c r="T1557" s="1129">
        <v>0</v>
      </c>
      <c r="U1557" s="1129">
        <v>0</v>
      </c>
      <c r="V1557" s="1129">
        <v>0</v>
      </c>
      <c r="W1557" s="1129">
        <v>0</v>
      </c>
      <c r="X1557" s="1129">
        <v>90246.01</v>
      </c>
      <c r="Y1557" s="1129">
        <v>0</v>
      </c>
    </row>
    <row r="1558" spans="1:25" s="1177" customFormat="1" ht="105.75" customHeight="1">
      <c r="A1558" s="1280"/>
      <c r="B1558" s="1135" t="s">
        <v>1988</v>
      </c>
      <c r="C1558" s="1129">
        <f t="shared" ref="C1558:V1558" si="708">C1559+C1561</f>
        <v>3394626.73</v>
      </c>
      <c r="D1558" s="1129">
        <f t="shared" si="708"/>
        <v>653851</v>
      </c>
      <c r="E1558" s="1129">
        <f t="shared" si="708"/>
        <v>0</v>
      </c>
      <c r="F1558" s="1129">
        <f t="shared" si="708"/>
        <v>653851</v>
      </c>
      <c r="G1558" s="1129">
        <f t="shared" si="708"/>
        <v>0</v>
      </c>
      <c r="H1558" s="1129">
        <f t="shared" si="708"/>
        <v>0</v>
      </c>
      <c r="I1558" s="1129">
        <f t="shared" si="708"/>
        <v>0</v>
      </c>
      <c r="J1558" s="1129">
        <f t="shared" si="708"/>
        <v>0</v>
      </c>
      <c r="K1558" s="1136">
        <f t="shared" si="708"/>
        <v>0</v>
      </c>
      <c r="L1558" s="1129">
        <f t="shared" si="708"/>
        <v>0</v>
      </c>
      <c r="M1558" s="1136">
        <f t="shared" si="708"/>
        <v>0</v>
      </c>
      <c r="N1558" s="1129">
        <f t="shared" si="708"/>
        <v>0</v>
      </c>
      <c r="O1558" s="1129">
        <f t="shared" si="708"/>
        <v>350</v>
      </c>
      <c r="P1558" s="1129">
        <f t="shared" si="708"/>
        <v>2494207.73</v>
      </c>
      <c r="Q1558" s="1129">
        <f t="shared" si="708"/>
        <v>0</v>
      </c>
      <c r="R1558" s="1129">
        <f t="shared" si="708"/>
        <v>0</v>
      </c>
      <c r="S1558" s="1129">
        <f t="shared" si="708"/>
        <v>0</v>
      </c>
      <c r="T1558" s="1129">
        <f t="shared" si="708"/>
        <v>0</v>
      </c>
      <c r="U1558" s="1129">
        <f t="shared" si="708"/>
        <v>0</v>
      </c>
      <c r="V1558" s="1129">
        <f t="shared" si="708"/>
        <v>0</v>
      </c>
      <c r="W1558" s="1129">
        <v>0</v>
      </c>
      <c r="X1558" s="1129">
        <f>X1559+X1561</f>
        <v>246568</v>
      </c>
      <c r="Y1558" s="1129">
        <f>Y1559+Y1561</f>
        <v>0</v>
      </c>
    </row>
    <row r="1559" spans="1:25" s="1177" customFormat="1" ht="66.599999999999994" customHeight="1">
      <c r="A1559" s="1280"/>
      <c r="B1559" s="1135" t="s">
        <v>2027</v>
      </c>
      <c r="C1559" s="1129">
        <f>C1560</f>
        <v>2689563.73</v>
      </c>
      <c r="D1559" s="1129">
        <f t="shared" ref="D1559:Y1559" si="709">D1560</f>
        <v>0</v>
      </c>
      <c r="E1559" s="1129">
        <f t="shared" si="709"/>
        <v>0</v>
      </c>
      <c r="F1559" s="1129">
        <f t="shared" si="709"/>
        <v>0</v>
      </c>
      <c r="G1559" s="1129">
        <f t="shared" si="709"/>
        <v>0</v>
      </c>
      <c r="H1559" s="1129">
        <f t="shared" si="709"/>
        <v>0</v>
      </c>
      <c r="I1559" s="1129">
        <f t="shared" si="709"/>
        <v>0</v>
      </c>
      <c r="J1559" s="1129">
        <f t="shared" si="709"/>
        <v>0</v>
      </c>
      <c r="K1559" s="1136">
        <f t="shared" si="709"/>
        <v>0</v>
      </c>
      <c r="L1559" s="1129">
        <f t="shared" si="709"/>
        <v>0</v>
      </c>
      <c r="M1559" s="1136">
        <f t="shared" si="709"/>
        <v>0</v>
      </c>
      <c r="N1559" s="1129">
        <f t="shared" si="709"/>
        <v>0</v>
      </c>
      <c r="O1559" s="1129">
        <f t="shared" si="709"/>
        <v>350</v>
      </c>
      <c r="P1559" s="1129">
        <f t="shared" si="709"/>
        <v>2494207.73</v>
      </c>
      <c r="Q1559" s="1129">
        <f t="shared" si="709"/>
        <v>0</v>
      </c>
      <c r="R1559" s="1129">
        <f t="shared" si="709"/>
        <v>0</v>
      </c>
      <c r="S1559" s="1129">
        <f t="shared" si="709"/>
        <v>0</v>
      </c>
      <c r="T1559" s="1129">
        <f t="shared" si="709"/>
        <v>0</v>
      </c>
      <c r="U1559" s="1129">
        <f t="shared" si="709"/>
        <v>0</v>
      </c>
      <c r="V1559" s="1129">
        <f t="shared" si="709"/>
        <v>0</v>
      </c>
      <c r="W1559" s="1129">
        <f t="shared" si="709"/>
        <v>0</v>
      </c>
      <c r="X1559" s="1129">
        <f t="shared" si="709"/>
        <v>195356</v>
      </c>
      <c r="Y1559" s="1129">
        <f t="shared" si="709"/>
        <v>0</v>
      </c>
    </row>
    <row r="1560" spans="1:25" s="1177" customFormat="1" ht="91.15" customHeight="1">
      <c r="A1560" s="1280">
        <v>482</v>
      </c>
      <c r="B1560" s="1135" t="s">
        <v>2539</v>
      </c>
      <c r="C1560" s="1129">
        <f t="shared" ref="C1560" si="710">D1560+N1560+P1560+R1560+T1560+V1560+X1560</f>
        <v>2689563.73</v>
      </c>
      <c r="D1560" s="1129">
        <f t="shared" ref="D1560" si="711">SUM(E1560:J1560)</f>
        <v>0</v>
      </c>
      <c r="E1560" s="1129">
        <v>0</v>
      </c>
      <c r="F1560" s="1129">
        <v>0</v>
      </c>
      <c r="G1560" s="1129">
        <v>0</v>
      </c>
      <c r="H1560" s="1129">
        <v>0</v>
      </c>
      <c r="I1560" s="1129">
        <v>0</v>
      </c>
      <c r="J1560" s="1129">
        <v>0</v>
      </c>
      <c r="K1560" s="1136">
        <v>0</v>
      </c>
      <c r="L1560" s="1129">
        <v>0</v>
      </c>
      <c r="M1560" s="1136">
        <v>0</v>
      </c>
      <c r="N1560" s="1129">
        <v>0</v>
      </c>
      <c r="O1560" s="1129">
        <v>350</v>
      </c>
      <c r="P1560" s="1129">
        <v>2494207.73</v>
      </c>
      <c r="Q1560" s="1129">
        <v>0</v>
      </c>
      <c r="R1560" s="1129">
        <v>0</v>
      </c>
      <c r="S1560" s="1129">
        <v>0</v>
      </c>
      <c r="T1560" s="1129">
        <v>0</v>
      </c>
      <c r="U1560" s="1129">
        <v>0</v>
      </c>
      <c r="V1560" s="1129">
        <v>0</v>
      </c>
      <c r="W1560" s="1129">
        <v>0</v>
      </c>
      <c r="X1560" s="1129">
        <v>195356</v>
      </c>
      <c r="Y1560" s="1129">
        <v>0</v>
      </c>
    </row>
    <row r="1561" spans="1:25" s="1177" customFormat="1" ht="96" customHeight="1">
      <c r="A1561" s="1280"/>
      <c r="B1561" s="1135" t="s">
        <v>1141</v>
      </c>
      <c r="C1561" s="1129">
        <f>C1562</f>
        <v>705063</v>
      </c>
      <c r="D1561" s="1129">
        <f t="shared" ref="D1561:Y1561" si="712">D1562</f>
        <v>653851</v>
      </c>
      <c r="E1561" s="1129">
        <f t="shared" si="712"/>
        <v>0</v>
      </c>
      <c r="F1561" s="1129">
        <f t="shared" si="712"/>
        <v>653851</v>
      </c>
      <c r="G1561" s="1129">
        <f t="shared" si="712"/>
        <v>0</v>
      </c>
      <c r="H1561" s="1129">
        <f t="shared" si="712"/>
        <v>0</v>
      </c>
      <c r="I1561" s="1129">
        <f t="shared" si="712"/>
        <v>0</v>
      </c>
      <c r="J1561" s="1129">
        <f t="shared" si="712"/>
        <v>0</v>
      </c>
      <c r="K1561" s="1136">
        <f t="shared" si="712"/>
        <v>0</v>
      </c>
      <c r="L1561" s="1129">
        <f t="shared" si="712"/>
        <v>0</v>
      </c>
      <c r="M1561" s="1136">
        <f t="shared" si="712"/>
        <v>0</v>
      </c>
      <c r="N1561" s="1129">
        <f t="shared" si="712"/>
        <v>0</v>
      </c>
      <c r="O1561" s="1129">
        <f t="shared" si="712"/>
        <v>0</v>
      </c>
      <c r="P1561" s="1129">
        <f t="shared" si="712"/>
        <v>0</v>
      </c>
      <c r="Q1561" s="1129">
        <f t="shared" si="712"/>
        <v>0</v>
      </c>
      <c r="R1561" s="1129">
        <f t="shared" si="712"/>
        <v>0</v>
      </c>
      <c r="S1561" s="1129">
        <f t="shared" si="712"/>
        <v>0</v>
      </c>
      <c r="T1561" s="1129">
        <f t="shared" si="712"/>
        <v>0</v>
      </c>
      <c r="U1561" s="1129">
        <f t="shared" si="712"/>
        <v>0</v>
      </c>
      <c r="V1561" s="1129">
        <f t="shared" si="712"/>
        <v>0</v>
      </c>
      <c r="W1561" s="1129">
        <v>0</v>
      </c>
      <c r="X1561" s="1129">
        <f t="shared" si="712"/>
        <v>51212</v>
      </c>
      <c r="Y1561" s="1129">
        <f t="shared" si="712"/>
        <v>0</v>
      </c>
    </row>
    <row r="1562" spans="1:25" s="1177" customFormat="1" ht="94.9" customHeight="1">
      <c r="A1562" s="1280">
        <v>483</v>
      </c>
      <c r="B1562" s="1135" t="s">
        <v>1942</v>
      </c>
      <c r="C1562" s="1129">
        <v>705063</v>
      </c>
      <c r="D1562" s="1129">
        <v>653851</v>
      </c>
      <c r="E1562" s="1129">
        <v>0</v>
      </c>
      <c r="F1562" s="1129">
        <v>653851</v>
      </c>
      <c r="G1562" s="1129">
        <v>0</v>
      </c>
      <c r="H1562" s="1129">
        <v>0</v>
      </c>
      <c r="I1562" s="1129">
        <v>0</v>
      </c>
      <c r="J1562" s="1129">
        <v>0</v>
      </c>
      <c r="K1562" s="1136">
        <v>0</v>
      </c>
      <c r="L1562" s="1129">
        <v>0</v>
      </c>
      <c r="M1562" s="1136">
        <v>0</v>
      </c>
      <c r="N1562" s="1129">
        <v>0</v>
      </c>
      <c r="O1562" s="1129">
        <v>0</v>
      </c>
      <c r="P1562" s="1129">
        <v>0</v>
      </c>
      <c r="Q1562" s="1129">
        <v>0</v>
      </c>
      <c r="R1562" s="1129">
        <v>0</v>
      </c>
      <c r="S1562" s="1129">
        <v>0</v>
      </c>
      <c r="T1562" s="1129">
        <v>0</v>
      </c>
      <c r="U1562" s="1129">
        <v>0</v>
      </c>
      <c r="V1562" s="1129">
        <v>0</v>
      </c>
      <c r="W1562" s="1129">
        <v>0</v>
      </c>
      <c r="X1562" s="1129">
        <v>51212</v>
      </c>
      <c r="Y1562" s="1129">
        <v>0</v>
      </c>
    </row>
    <row r="1563" spans="1:25" s="1177" customFormat="1" ht="91.15" customHeight="1">
      <c r="A1563" s="1280"/>
      <c r="B1563" s="1135" t="s">
        <v>1651</v>
      </c>
      <c r="C1563" s="1129">
        <f>C1564+C1565</f>
        <v>3720453.97</v>
      </c>
      <c r="D1563" s="1129">
        <f t="shared" ref="D1563:Y1563" si="713">D1564+D1565</f>
        <v>2069164</v>
      </c>
      <c r="E1563" s="1129">
        <f t="shared" si="713"/>
        <v>2069164</v>
      </c>
      <c r="F1563" s="1129">
        <f t="shared" si="713"/>
        <v>0</v>
      </c>
      <c r="G1563" s="1129">
        <f t="shared" si="713"/>
        <v>0</v>
      </c>
      <c r="H1563" s="1129">
        <f t="shared" si="713"/>
        <v>0</v>
      </c>
      <c r="I1563" s="1129">
        <f t="shared" si="713"/>
        <v>0</v>
      </c>
      <c r="J1563" s="1129">
        <f t="shared" si="713"/>
        <v>0</v>
      </c>
      <c r="K1563" s="1136">
        <f t="shared" si="713"/>
        <v>0</v>
      </c>
      <c r="L1563" s="1129">
        <f t="shared" si="713"/>
        <v>0</v>
      </c>
      <c r="M1563" s="1136">
        <f t="shared" si="713"/>
        <v>0</v>
      </c>
      <c r="N1563" s="1129">
        <f t="shared" si="713"/>
        <v>0</v>
      </c>
      <c r="O1563" s="1129">
        <f t="shared" si="713"/>
        <v>440</v>
      </c>
      <c r="P1563" s="1129">
        <f t="shared" si="713"/>
        <v>1381055.37</v>
      </c>
      <c r="Q1563" s="1129">
        <f t="shared" si="713"/>
        <v>0</v>
      </c>
      <c r="R1563" s="1129">
        <f t="shared" si="713"/>
        <v>0</v>
      </c>
      <c r="S1563" s="1129">
        <f t="shared" si="713"/>
        <v>0</v>
      </c>
      <c r="T1563" s="1129">
        <f t="shared" si="713"/>
        <v>0</v>
      </c>
      <c r="U1563" s="1129">
        <f t="shared" si="713"/>
        <v>0</v>
      </c>
      <c r="V1563" s="1129">
        <f t="shared" si="713"/>
        <v>0</v>
      </c>
      <c r="W1563" s="1129">
        <v>0</v>
      </c>
      <c r="X1563" s="1129">
        <f t="shared" si="713"/>
        <v>270234.59999999998</v>
      </c>
      <c r="Y1563" s="1129">
        <f t="shared" si="713"/>
        <v>0</v>
      </c>
    </row>
    <row r="1564" spans="1:25" s="1177" customFormat="1" ht="96" customHeight="1">
      <c r="A1564" s="1280">
        <v>484</v>
      </c>
      <c r="B1564" s="1135" t="s">
        <v>2188</v>
      </c>
      <c r="C1564" s="1129">
        <f t="shared" ref="C1564" si="714">D1564+N1564+P1564+R1564+T1564+V1564+X1564</f>
        <v>1489224.9700000002</v>
      </c>
      <c r="D1564" s="1129">
        <f t="shared" ref="D1564" si="715">SUM(E1564:J1564)</f>
        <v>0</v>
      </c>
      <c r="E1564" s="1129">
        <v>0</v>
      </c>
      <c r="F1564" s="1129">
        <v>0</v>
      </c>
      <c r="G1564" s="1129">
        <v>0</v>
      </c>
      <c r="H1564" s="1129">
        <v>0</v>
      </c>
      <c r="I1564" s="1129">
        <v>0</v>
      </c>
      <c r="J1564" s="1129">
        <v>0</v>
      </c>
      <c r="K1564" s="1136">
        <v>0</v>
      </c>
      <c r="L1564" s="1129">
        <v>0</v>
      </c>
      <c r="M1564" s="1136">
        <v>0</v>
      </c>
      <c r="N1564" s="1129">
        <v>0</v>
      </c>
      <c r="O1564" s="1129">
        <v>440</v>
      </c>
      <c r="P1564" s="1129">
        <v>1381055.37</v>
      </c>
      <c r="Q1564" s="1129">
        <v>0</v>
      </c>
      <c r="R1564" s="1129">
        <v>0</v>
      </c>
      <c r="S1564" s="1129">
        <v>0</v>
      </c>
      <c r="T1564" s="1129">
        <v>0</v>
      </c>
      <c r="U1564" s="1129">
        <v>0</v>
      </c>
      <c r="V1564" s="1129">
        <v>0</v>
      </c>
      <c r="W1564" s="1129">
        <v>0</v>
      </c>
      <c r="X1564" s="1129">
        <v>108169.60000000001</v>
      </c>
      <c r="Y1564" s="1129">
        <v>0</v>
      </c>
    </row>
    <row r="1565" spans="1:25" s="1177" customFormat="1" ht="87.6" customHeight="1">
      <c r="A1565" s="1280">
        <v>485</v>
      </c>
      <c r="B1565" s="1135" t="s">
        <v>2189</v>
      </c>
      <c r="C1565" s="1129">
        <v>2231229</v>
      </c>
      <c r="D1565" s="1129">
        <v>2069164</v>
      </c>
      <c r="E1565" s="1129">
        <v>2069164</v>
      </c>
      <c r="F1565" s="1129">
        <v>0</v>
      </c>
      <c r="G1565" s="1129">
        <v>0</v>
      </c>
      <c r="H1565" s="1129">
        <v>0</v>
      </c>
      <c r="I1565" s="1129">
        <v>0</v>
      </c>
      <c r="J1565" s="1129">
        <v>0</v>
      </c>
      <c r="K1565" s="1136">
        <v>0</v>
      </c>
      <c r="L1565" s="1129">
        <v>0</v>
      </c>
      <c r="M1565" s="1136">
        <v>0</v>
      </c>
      <c r="N1565" s="1129">
        <v>0</v>
      </c>
      <c r="O1565" s="1129">
        <v>0</v>
      </c>
      <c r="P1565" s="1129">
        <v>0</v>
      </c>
      <c r="Q1565" s="1129">
        <v>0</v>
      </c>
      <c r="R1565" s="1129">
        <v>0</v>
      </c>
      <c r="S1565" s="1129">
        <v>0</v>
      </c>
      <c r="T1565" s="1129">
        <v>0</v>
      </c>
      <c r="U1565" s="1129">
        <v>0</v>
      </c>
      <c r="V1565" s="1129">
        <v>0</v>
      </c>
      <c r="W1565" s="1129">
        <v>0</v>
      </c>
      <c r="X1565" s="1129">
        <v>162065</v>
      </c>
      <c r="Y1565" s="1129">
        <v>0</v>
      </c>
    </row>
    <row r="1566" spans="1:25" s="1177" customFormat="1" ht="93.6" customHeight="1">
      <c r="A1566" s="1280"/>
      <c r="B1566" s="1135" t="s">
        <v>1653</v>
      </c>
      <c r="C1566" s="1129">
        <f>SUM(C1567:C1573)</f>
        <v>17028599.800000001</v>
      </c>
      <c r="D1566" s="1129">
        <f t="shared" ref="D1566:Y1566" si="716">SUM(D1567:D1573)</f>
        <v>3763656.76</v>
      </c>
      <c r="E1566" s="1129">
        <f t="shared" si="716"/>
        <v>0</v>
      </c>
      <c r="F1566" s="1129">
        <f t="shared" si="716"/>
        <v>3763656.76</v>
      </c>
      <c r="G1566" s="1129">
        <f t="shared" si="716"/>
        <v>0</v>
      </c>
      <c r="H1566" s="1129">
        <f t="shared" si="716"/>
        <v>0</v>
      </c>
      <c r="I1566" s="1129">
        <f t="shared" si="716"/>
        <v>0</v>
      </c>
      <c r="J1566" s="1129">
        <f t="shared" si="716"/>
        <v>0</v>
      </c>
      <c r="K1566" s="1136">
        <f t="shared" si="716"/>
        <v>0</v>
      </c>
      <c r="L1566" s="1129">
        <f t="shared" si="716"/>
        <v>0</v>
      </c>
      <c r="M1566" s="1136">
        <f t="shared" si="716"/>
        <v>0</v>
      </c>
      <c r="N1566" s="1129">
        <f t="shared" si="716"/>
        <v>0</v>
      </c>
      <c r="O1566" s="1129">
        <f t="shared" si="716"/>
        <v>3101.34</v>
      </c>
      <c r="P1566" s="1129">
        <f t="shared" si="716"/>
        <v>12332899.48</v>
      </c>
      <c r="Q1566" s="1129">
        <f t="shared" si="716"/>
        <v>0</v>
      </c>
      <c r="R1566" s="1129">
        <f t="shared" si="716"/>
        <v>0</v>
      </c>
      <c r="S1566" s="1129">
        <f t="shared" si="716"/>
        <v>0</v>
      </c>
      <c r="T1566" s="1129">
        <f t="shared" si="716"/>
        <v>0</v>
      </c>
      <c r="U1566" s="1129">
        <f t="shared" si="716"/>
        <v>0</v>
      </c>
      <c r="V1566" s="1129">
        <f t="shared" si="716"/>
        <v>0</v>
      </c>
      <c r="W1566" s="1129">
        <v>0</v>
      </c>
      <c r="X1566" s="1129">
        <f t="shared" si="716"/>
        <v>932043.56</v>
      </c>
      <c r="Y1566" s="1129">
        <f t="shared" si="716"/>
        <v>0</v>
      </c>
    </row>
    <row r="1567" spans="1:25" s="1177" customFormat="1" ht="92.45" customHeight="1">
      <c r="A1567" s="1280">
        <v>486</v>
      </c>
      <c r="B1567" s="1135" t="s">
        <v>2538</v>
      </c>
      <c r="C1567" s="1129">
        <f>P1567+X1567</f>
        <v>2790331.41</v>
      </c>
      <c r="D1567" s="1129">
        <v>0</v>
      </c>
      <c r="E1567" s="1129">
        <v>0</v>
      </c>
      <c r="F1567" s="1129">
        <v>0</v>
      </c>
      <c r="G1567" s="1129">
        <v>0</v>
      </c>
      <c r="H1567" s="1129">
        <v>0</v>
      </c>
      <c r="I1567" s="1129">
        <v>0</v>
      </c>
      <c r="J1567" s="1129">
        <v>0</v>
      </c>
      <c r="K1567" s="1136">
        <v>0</v>
      </c>
      <c r="L1567" s="1129">
        <v>0</v>
      </c>
      <c r="M1567" s="1136">
        <v>0</v>
      </c>
      <c r="N1567" s="1129">
        <v>0</v>
      </c>
      <c r="O1567" s="1129">
        <v>811.74</v>
      </c>
      <c r="P1567" s="1129">
        <v>2587656.17</v>
      </c>
      <c r="Q1567" s="1129">
        <v>0</v>
      </c>
      <c r="R1567" s="1129">
        <v>0</v>
      </c>
      <c r="S1567" s="1129">
        <v>0</v>
      </c>
      <c r="T1567" s="1129">
        <v>0</v>
      </c>
      <c r="U1567" s="1129">
        <v>0</v>
      </c>
      <c r="V1567" s="1129">
        <v>0</v>
      </c>
      <c r="W1567" s="1129">
        <v>0</v>
      </c>
      <c r="X1567" s="1129">
        <v>202675.24</v>
      </c>
      <c r="Y1567" s="1129">
        <v>0</v>
      </c>
    </row>
    <row r="1568" spans="1:25" s="1177" customFormat="1" ht="105.6" customHeight="1">
      <c r="A1568" s="1280">
        <v>487</v>
      </c>
      <c r="B1568" s="1135" t="s">
        <v>2537</v>
      </c>
      <c r="C1568" s="1129">
        <f>P1568+X1568+D1568</f>
        <v>1323473.82</v>
      </c>
      <c r="D1568" s="1129">
        <f t="shared" ref="D1568" si="717">SUM(E1568:J1568)</f>
        <v>1244778.82</v>
      </c>
      <c r="E1568" s="1129">
        <v>0</v>
      </c>
      <c r="F1568" s="1129">
        <v>1244778.82</v>
      </c>
      <c r="G1568" s="1129">
        <v>0</v>
      </c>
      <c r="H1568" s="1129">
        <v>0</v>
      </c>
      <c r="I1568" s="1129">
        <v>0</v>
      </c>
      <c r="J1568" s="1129">
        <v>0</v>
      </c>
      <c r="K1568" s="1136">
        <v>0</v>
      </c>
      <c r="L1568" s="1129">
        <v>0</v>
      </c>
      <c r="M1568" s="1136">
        <v>0</v>
      </c>
      <c r="N1568" s="1129">
        <v>0</v>
      </c>
      <c r="O1568" s="1129">
        <v>0</v>
      </c>
      <c r="P1568" s="1129">
        <v>0</v>
      </c>
      <c r="Q1568" s="1129">
        <v>0</v>
      </c>
      <c r="R1568" s="1129">
        <v>0</v>
      </c>
      <c r="S1568" s="1129">
        <v>0</v>
      </c>
      <c r="T1568" s="1129">
        <v>0</v>
      </c>
      <c r="U1568" s="1129">
        <v>0</v>
      </c>
      <c r="V1568" s="1129">
        <v>0</v>
      </c>
      <c r="W1568" s="1129">
        <v>0</v>
      </c>
      <c r="X1568" s="1129">
        <v>78695</v>
      </c>
      <c r="Y1568" s="1129">
        <v>0</v>
      </c>
    </row>
    <row r="1569" spans="1:25" s="1177" customFormat="1" ht="92.45" customHeight="1">
      <c r="A1569" s="1280">
        <v>488</v>
      </c>
      <c r="B1569" s="1135" t="s">
        <v>2535</v>
      </c>
      <c r="C1569" s="1129">
        <f t="shared" ref="C1569:C1573" si="718">P1569+X1569+D1569</f>
        <v>1405237.49</v>
      </c>
      <c r="D1569" s="1129">
        <v>0</v>
      </c>
      <c r="E1569" s="1129">
        <v>0</v>
      </c>
      <c r="F1569" s="1129">
        <v>0</v>
      </c>
      <c r="G1569" s="1129">
        <v>0</v>
      </c>
      <c r="H1569" s="1129">
        <v>0</v>
      </c>
      <c r="I1569" s="1129">
        <v>0</v>
      </c>
      <c r="J1569" s="1129">
        <v>0</v>
      </c>
      <c r="K1569" s="1136">
        <v>0</v>
      </c>
      <c r="L1569" s="1129">
        <v>0</v>
      </c>
      <c r="M1569" s="1136">
        <v>0</v>
      </c>
      <c r="N1569" s="1129">
        <v>0</v>
      </c>
      <c r="O1569" s="1129">
        <v>408.8</v>
      </c>
      <c r="P1569" s="1129">
        <v>1303168.31</v>
      </c>
      <c r="Q1569" s="1129">
        <v>0</v>
      </c>
      <c r="R1569" s="1129">
        <v>0</v>
      </c>
      <c r="S1569" s="1129">
        <v>0</v>
      </c>
      <c r="T1569" s="1129">
        <v>0</v>
      </c>
      <c r="U1569" s="1129">
        <v>0</v>
      </c>
      <c r="V1569" s="1129">
        <v>0</v>
      </c>
      <c r="W1569" s="1129">
        <v>0</v>
      </c>
      <c r="X1569" s="1129">
        <v>102069.18</v>
      </c>
      <c r="Y1569" s="1129">
        <v>0</v>
      </c>
    </row>
    <row r="1570" spans="1:25" s="1177" customFormat="1" ht="97.15" customHeight="1">
      <c r="A1570" s="1280">
        <v>489</v>
      </c>
      <c r="B1570" s="1135" t="s">
        <v>2534</v>
      </c>
      <c r="C1570" s="1129">
        <f t="shared" si="718"/>
        <v>4931773.08</v>
      </c>
      <c r="D1570" s="1129">
        <v>0</v>
      </c>
      <c r="E1570" s="1129">
        <v>0</v>
      </c>
      <c r="F1570" s="1129">
        <v>0</v>
      </c>
      <c r="G1570" s="1129">
        <v>0</v>
      </c>
      <c r="H1570" s="1129">
        <v>0</v>
      </c>
      <c r="I1570" s="1129">
        <v>0</v>
      </c>
      <c r="J1570" s="1129">
        <v>0</v>
      </c>
      <c r="K1570" s="1136">
        <v>0</v>
      </c>
      <c r="L1570" s="1129">
        <v>0</v>
      </c>
      <c r="M1570" s="1136">
        <v>0</v>
      </c>
      <c r="N1570" s="1129">
        <v>0</v>
      </c>
      <c r="O1570" s="1129">
        <v>697</v>
      </c>
      <c r="P1570" s="1129">
        <v>4726409</v>
      </c>
      <c r="Q1570" s="1129">
        <v>0</v>
      </c>
      <c r="R1570" s="1129">
        <v>0</v>
      </c>
      <c r="S1570" s="1129">
        <v>0</v>
      </c>
      <c r="T1570" s="1129">
        <v>0</v>
      </c>
      <c r="U1570" s="1129">
        <v>0</v>
      </c>
      <c r="V1570" s="1129">
        <v>0</v>
      </c>
      <c r="W1570" s="1129">
        <v>0</v>
      </c>
      <c r="X1570" s="1129">
        <v>205364.08</v>
      </c>
      <c r="Y1570" s="1129">
        <v>0</v>
      </c>
    </row>
    <row r="1571" spans="1:25" s="1177" customFormat="1" ht="93.6" customHeight="1">
      <c r="A1571" s="1280">
        <v>490</v>
      </c>
      <c r="B1571" s="1135" t="s">
        <v>2536</v>
      </c>
      <c r="C1571" s="1129">
        <f t="shared" si="718"/>
        <v>2301529</v>
      </c>
      <c r="D1571" s="1129">
        <v>0</v>
      </c>
      <c r="E1571" s="1129">
        <v>0</v>
      </c>
      <c r="F1571" s="1129">
        <v>0</v>
      </c>
      <c r="G1571" s="1129">
        <v>0</v>
      </c>
      <c r="H1571" s="1129">
        <v>0</v>
      </c>
      <c r="I1571" s="1129">
        <v>0</v>
      </c>
      <c r="J1571" s="1129">
        <v>0</v>
      </c>
      <c r="K1571" s="1136">
        <v>0</v>
      </c>
      <c r="L1571" s="1129">
        <v>0</v>
      </c>
      <c r="M1571" s="1136">
        <v>0</v>
      </c>
      <c r="N1571" s="1129">
        <v>0</v>
      </c>
      <c r="O1571" s="1129">
        <v>680</v>
      </c>
      <c r="P1571" s="1129">
        <v>2134358</v>
      </c>
      <c r="Q1571" s="1129">
        <v>0</v>
      </c>
      <c r="R1571" s="1129">
        <v>0</v>
      </c>
      <c r="S1571" s="1129">
        <v>0</v>
      </c>
      <c r="T1571" s="1129">
        <v>0</v>
      </c>
      <c r="U1571" s="1129">
        <v>0</v>
      </c>
      <c r="V1571" s="1129">
        <v>0</v>
      </c>
      <c r="W1571" s="1129">
        <v>0</v>
      </c>
      <c r="X1571" s="1129">
        <v>167171</v>
      </c>
      <c r="Y1571" s="1129">
        <v>0</v>
      </c>
    </row>
    <row r="1572" spans="1:25" s="1177" customFormat="1" ht="130.15" customHeight="1">
      <c r="A1572" s="1280">
        <v>491</v>
      </c>
      <c r="B1572" s="1135" t="s">
        <v>2533</v>
      </c>
      <c r="C1572" s="1129">
        <f t="shared" si="718"/>
        <v>1705162</v>
      </c>
      <c r="D1572" s="1129">
        <v>0</v>
      </c>
      <c r="E1572" s="1129">
        <v>0</v>
      </c>
      <c r="F1572" s="1129">
        <v>0</v>
      </c>
      <c r="G1572" s="1129">
        <v>0</v>
      </c>
      <c r="H1572" s="1129">
        <v>0</v>
      </c>
      <c r="I1572" s="1129">
        <v>0</v>
      </c>
      <c r="J1572" s="1129">
        <v>0</v>
      </c>
      <c r="K1572" s="1136">
        <v>0</v>
      </c>
      <c r="L1572" s="1129">
        <v>0</v>
      </c>
      <c r="M1572" s="1136">
        <v>0</v>
      </c>
      <c r="N1572" s="1129">
        <v>0</v>
      </c>
      <c r="O1572" s="1129">
        <v>503.8</v>
      </c>
      <c r="P1572" s="1129">
        <v>1581308</v>
      </c>
      <c r="Q1572" s="1129">
        <v>0</v>
      </c>
      <c r="R1572" s="1129">
        <v>0</v>
      </c>
      <c r="S1572" s="1129">
        <v>0</v>
      </c>
      <c r="T1572" s="1129">
        <v>0</v>
      </c>
      <c r="U1572" s="1129">
        <v>0</v>
      </c>
      <c r="V1572" s="1129">
        <v>0</v>
      </c>
      <c r="W1572" s="1129">
        <v>0</v>
      </c>
      <c r="X1572" s="1129">
        <v>123854</v>
      </c>
      <c r="Y1572" s="1129">
        <v>0</v>
      </c>
    </row>
    <row r="1573" spans="1:25" s="1177" customFormat="1" ht="93.6" customHeight="1">
      <c r="A1573" s="1280">
        <v>492</v>
      </c>
      <c r="B1573" s="1135" t="s">
        <v>2298</v>
      </c>
      <c r="C1573" s="1129">
        <f t="shared" si="718"/>
        <v>2571093</v>
      </c>
      <c r="D1573" s="1129">
        <f>F1573</f>
        <v>2518877.94</v>
      </c>
      <c r="E1573" s="1129">
        <v>0</v>
      </c>
      <c r="F1573" s="1129">
        <v>2518877.94</v>
      </c>
      <c r="G1573" s="1129">
        <v>0</v>
      </c>
      <c r="H1573" s="1129">
        <v>0</v>
      </c>
      <c r="I1573" s="1129">
        <v>0</v>
      </c>
      <c r="J1573" s="1129">
        <v>0</v>
      </c>
      <c r="K1573" s="1136">
        <v>0</v>
      </c>
      <c r="L1573" s="1129">
        <v>0</v>
      </c>
      <c r="M1573" s="1136">
        <v>0</v>
      </c>
      <c r="N1573" s="1129">
        <v>0</v>
      </c>
      <c r="O1573" s="1129">
        <v>0</v>
      </c>
      <c r="P1573" s="1129">
        <v>0</v>
      </c>
      <c r="Q1573" s="1149">
        <v>0</v>
      </c>
      <c r="R1573" s="1129">
        <v>0</v>
      </c>
      <c r="S1573" s="1129">
        <v>0</v>
      </c>
      <c r="T1573" s="1129">
        <v>0</v>
      </c>
      <c r="U1573" s="1149">
        <v>0</v>
      </c>
      <c r="V1573" s="1129">
        <v>0</v>
      </c>
      <c r="W1573" s="1129">
        <v>0</v>
      </c>
      <c r="X1573" s="1129">
        <v>52215.06</v>
      </c>
      <c r="Y1573" s="1129">
        <v>0</v>
      </c>
    </row>
    <row r="1574" spans="1:25" s="1177" customFormat="1" ht="117" customHeight="1">
      <c r="A1574" s="1280"/>
      <c r="B1574" s="1135" t="s">
        <v>2675</v>
      </c>
      <c r="C1574" s="1129">
        <f>C1575</f>
        <v>2111734.0100000002</v>
      </c>
      <c r="D1574" s="1129">
        <f t="shared" ref="D1574:Y1574" si="719">D1575</f>
        <v>0</v>
      </c>
      <c r="E1574" s="1129">
        <f t="shared" si="719"/>
        <v>0</v>
      </c>
      <c r="F1574" s="1129">
        <f t="shared" si="719"/>
        <v>0</v>
      </c>
      <c r="G1574" s="1129">
        <f t="shared" si="719"/>
        <v>0</v>
      </c>
      <c r="H1574" s="1129">
        <f t="shared" si="719"/>
        <v>0</v>
      </c>
      <c r="I1574" s="1129">
        <f t="shared" si="719"/>
        <v>0</v>
      </c>
      <c r="J1574" s="1129">
        <f t="shared" si="719"/>
        <v>0</v>
      </c>
      <c r="K1574" s="1129">
        <f t="shared" si="719"/>
        <v>0</v>
      </c>
      <c r="L1574" s="1129">
        <f t="shared" si="719"/>
        <v>0</v>
      </c>
      <c r="M1574" s="1129">
        <f t="shared" si="719"/>
        <v>0</v>
      </c>
      <c r="N1574" s="1129">
        <f t="shared" si="719"/>
        <v>0</v>
      </c>
      <c r="O1574" s="1129">
        <f t="shared" si="719"/>
        <v>584.37</v>
      </c>
      <c r="P1574" s="1129">
        <f t="shared" si="719"/>
        <v>1958348.57</v>
      </c>
      <c r="Q1574" s="1129">
        <f t="shared" si="719"/>
        <v>0</v>
      </c>
      <c r="R1574" s="1129">
        <f t="shared" si="719"/>
        <v>0</v>
      </c>
      <c r="S1574" s="1129">
        <f t="shared" si="719"/>
        <v>0</v>
      </c>
      <c r="T1574" s="1129">
        <f t="shared" si="719"/>
        <v>0</v>
      </c>
      <c r="U1574" s="1129">
        <f t="shared" si="719"/>
        <v>0</v>
      </c>
      <c r="V1574" s="1129">
        <f t="shared" si="719"/>
        <v>0</v>
      </c>
      <c r="W1574" s="1129">
        <f t="shared" si="719"/>
        <v>0</v>
      </c>
      <c r="X1574" s="1129">
        <f t="shared" si="719"/>
        <v>153385.44</v>
      </c>
      <c r="Y1574" s="1129">
        <f t="shared" si="719"/>
        <v>0</v>
      </c>
    </row>
    <row r="1575" spans="1:25" s="1177" customFormat="1" ht="98.45" customHeight="1">
      <c r="A1575" s="1280">
        <v>493</v>
      </c>
      <c r="B1575" s="1135" t="s">
        <v>2532</v>
      </c>
      <c r="C1575" s="1129">
        <f t="shared" ref="C1575" si="720">D1575+N1575+P1575+R1575+T1575+V1575+X1575</f>
        <v>2111734.0100000002</v>
      </c>
      <c r="D1575" s="1129">
        <f t="shared" ref="D1575" si="721">SUM(E1575:J1575)</f>
        <v>0</v>
      </c>
      <c r="E1575" s="1129">
        <v>0</v>
      </c>
      <c r="F1575" s="1129">
        <v>0</v>
      </c>
      <c r="G1575" s="1129">
        <v>0</v>
      </c>
      <c r="H1575" s="1129">
        <v>0</v>
      </c>
      <c r="I1575" s="1129">
        <v>0</v>
      </c>
      <c r="J1575" s="1129">
        <v>0</v>
      </c>
      <c r="K1575" s="1136">
        <v>0</v>
      </c>
      <c r="L1575" s="1129">
        <v>0</v>
      </c>
      <c r="M1575" s="1136">
        <v>0</v>
      </c>
      <c r="N1575" s="1129">
        <v>0</v>
      </c>
      <c r="O1575" s="1129">
        <v>584.37</v>
      </c>
      <c r="P1575" s="1129">
        <v>1958348.57</v>
      </c>
      <c r="Q1575" s="1129">
        <v>0</v>
      </c>
      <c r="R1575" s="1129">
        <v>0</v>
      </c>
      <c r="S1575" s="1129">
        <v>0</v>
      </c>
      <c r="T1575" s="1129">
        <v>0</v>
      </c>
      <c r="U1575" s="1129">
        <v>0</v>
      </c>
      <c r="V1575" s="1129">
        <v>0</v>
      </c>
      <c r="W1575" s="1129">
        <v>0</v>
      </c>
      <c r="X1575" s="1129">
        <v>153385.44</v>
      </c>
      <c r="Y1575" s="1129">
        <v>0</v>
      </c>
    </row>
    <row r="1576" spans="1:25" s="1177" customFormat="1" ht="151.5" customHeight="1">
      <c r="A1576" s="1280"/>
      <c r="B1576" s="1135" t="s">
        <v>2704</v>
      </c>
      <c r="C1576" s="1129">
        <f>C1577</f>
        <v>5909129.8099999996</v>
      </c>
      <c r="D1576" s="1129">
        <f t="shared" ref="D1576:Y1576" si="722">D1577</f>
        <v>0</v>
      </c>
      <c r="E1576" s="1129">
        <f t="shared" si="722"/>
        <v>0</v>
      </c>
      <c r="F1576" s="1129">
        <f t="shared" si="722"/>
        <v>0</v>
      </c>
      <c r="G1576" s="1129">
        <f t="shared" si="722"/>
        <v>0</v>
      </c>
      <c r="H1576" s="1129">
        <f t="shared" si="722"/>
        <v>0</v>
      </c>
      <c r="I1576" s="1129">
        <f t="shared" si="722"/>
        <v>0</v>
      </c>
      <c r="J1576" s="1129">
        <f t="shared" si="722"/>
        <v>0</v>
      </c>
      <c r="K1576" s="1136">
        <v>0</v>
      </c>
      <c r="L1576" s="1129">
        <v>0</v>
      </c>
      <c r="M1576" s="1136">
        <f t="shared" si="722"/>
        <v>0</v>
      </c>
      <c r="N1576" s="1129">
        <f t="shared" si="722"/>
        <v>0</v>
      </c>
      <c r="O1576" s="1129">
        <f t="shared" si="722"/>
        <v>1474</v>
      </c>
      <c r="P1576" s="1129">
        <f t="shared" si="722"/>
        <v>5479920.8499999996</v>
      </c>
      <c r="Q1576" s="1129">
        <f t="shared" si="722"/>
        <v>0</v>
      </c>
      <c r="R1576" s="1129">
        <f t="shared" si="722"/>
        <v>0</v>
      </c>
      <c r="S1576" s="1129">
        <f t="shared" si="722"/>
        <v>0</v>
      </c>
      <c r="T1576" s="1129">
        <f t="shared" si="722"/>
        <v>0</v>
      </c>
      <c r="U1576" s="1129">
        <f t="shared" si="722"/>
        <v>0</v>
      </c>
      <c r="V1576" s="1129">
        <f t="shared" si="722"/>
        <v>0</v>
      </c>
      <c r="W1576" s="1129">
        <v>0</v>
      </c>
      <c r="X1576" s="1129">
        <f t="shared" si="722"/>
        <v>429208.95999999996</v>
      </c>
      <c r="Y1576" s="1129">
        <f t="shared" si="722"/>
        <v>0</v>
      </c>
    </row>
    <row r="1577" spans="1:25" s="1177" customFormat="1" ht="126.6" customHeight="1">
      <c r="A1577" s="1280"/>
      <c r="B1577" s="1135" t="s">
        <v>1077</v>
      </c>
      <c r="C1577" s="1129">
        <f t="shared" ref="C1577:J1577" si="723">SUM(C1578:C1580)</f>
        <v>5909129.8099999996</v>
      </c>
      <c r="D1577" s="1129">
        <f t="shared" si="723"/>
        <v>0</v>
      </c>
      <c r="E1577" s="1129">
        <f t="shared" si="723"/>
        <v>0</v>
      </c>
      <c r="F1577" s="1129">
        <f t="shared" si="723"/>
        <v>0</v>
      </c>
      <c r="G1577" s="1129">
        <f t="shared" si="723"/>
        <v>0</v>
      </c>
      <c r="H1577" s="1129">
        <f t="shared" si="723"/>
        <v>0</v>
      </c>
      <c r="I1577" s="1129">
        <f t="shared" si="723"/>
        <v>0</v>
      </c>
      <c r="J1577" s="1129">
        <f t="shared" si="723"/>
        <v>0</v>
      </c>
      <c r="K1577" s="1136">
        <v>0</v>
      </c>
      <c r="L1577" s="1129">
        <v>0</v>
      </c>
      <c r="M1577" s="1136">
        <f t="shared" ref="M1577:V1577" si="724">SUM(M1578:M1580)</f>
        <v>0</v>
      </c>
      <c r="N1577" s="1129">
        <f t="shared" si="724"/>
        <v>0</v>
      </c>
      <c r="O1577" s="1129">
        <f t="shared" si="724"/>
        <v>1474</v>
      </c>
      <c r="P1577" s="1129">
        <f t="shared" si="724"/>
        <v>5479920.8499999996</v>
      </c>
      <c r="Q1577" s="1129">
        <f t="shared" si="724"/>
        <v>0</v>
      </c>
      <c r="R1577" s="1129">
        <f t="shared" si="724"/>
        <v>0</v>
      </c>
      <c r="S1577" s="1129">
        <f t="shared" si="724"/>
        <v>0</v>
      </c>
      <c r="T1577" s="1129">
        <f t="shared" si="724"/>
        <v>0</v>
      </c>
      <c r="U1577" s="1129">
        <f t="shared" si="724"/>
        <v>0</v>
      </c>
      <c r="V1577" s="1129">
        <f t="shared" si="724"/>
        <v>0</v>
      </c>
      <c r="W1577" s="1129">
        <v>0</v>
      </c>
      <c r="X1577" s="1129">
        <f>SUM(X1578:X1580)</f>
        <v>429208.95999999996</v>
      </c>
      <c r="Y1577" s="1129">
        <f>SUM(Y1578:Y1580)</f>
        <v>0</v>
      </c>
    </row>
    <row r="1578" spans="1:25" s="1177" customFormat="1" ht="79.150000000000006" customHeight="1">
      <c r="A1578" s="1280">
        <v>494</v>
      </c>
      <c r="B1578" s="1135" t="s">
        <v>1170</v>
      </c>
      <c r="C1578" s="1129">
        <f t="shared" ref="C1578" si="725">D1578+N1578+P1578+R1578+T1578+V1578+X1578</f>
        <v>3257328.82</v>
      </c>
      <c r="D1578" s="1129">
        <f t="shared" ref="D1578" si="726">SUM(E1578:J1578)</f>
        <v>0</v>
      </c>
      <c r="E1578" s="1129">
        <v>0</v>
      </c>
      <c r="F1578" s="1129">
        <v>0</v>
      </c>
      <c r="G1578" s="1129">
        <v>0</v>
      </c>
      <c r="H1578" s="1129">
        <v>0</v>
      </c>
      <c r="I1578" s="1129">
        <v>0</v>
      </c>
      <c r="J1578" s="1129">
        <v>0</v>
      </c>
      <c r="K1578" s="1136">
        <v>0</v>
      </c>
      <c r="L1578" s="1129">
        <v>0</v>
      </c>
      <c r="M1578" s="1136">
        <v>0</v>
      </c>
      <c r="N1578" s="1129">
        <v>0</v>
      </c>
      <c r="O1578" s="1129">
        <v>764</v>
      </c>
      <c r="P1578" s="1129">
        <v>3020733.3</v>
      </c>
      <c r="Q1578" s="1129">
        <v>0</v>
      </c>
      <c r="R1578" s="1129">
        <v>0</v>
      </c>
      <c r="S1578" s="1129">
        <v>0</v>
      </c>
      <c r="T1578" s="1129">
        <v>0</v>
      </c>
      <c r="U1578" s="1129">
        <v>0</v>
      </c>
      <c r="V1578" s="1129">
        <v>0</v>
      </c>
      <c r="W1578" s="1129">
        <v>0</v>
      </c>
      <c r="X1578" s="1129">
        <v>236595.52</v>
      </c>
      <c r="Y1578" s="1129">
        <v>0</v>
      </c>
    </row>
    <row r="1579" spans="1:25" s="1177" customFormat="1" ht="69" customHeight="1">
      <c r="A1579" s="1280">
        <v>495</v>
      </c>
      <c r="B1579" s="1135" t="s">
        <v>1153</v>
      </c>
      <c r="C1579" s="1129">
        <f t="shared" ref="C1579:C1580" si="727">D1579+N1579+P1579+R1579+T1579+V1579+X1579</f>
        <v>1206575.99</v>
      </c>
      <c r="D1579" s="1129">
        <f t="shared" ref="D1579:D1580" si="728">SUM(E1579:J1579)</f>
        <v>0</v>
      </c>
      <c r="E1579" s="1129">
        <v>0</v>
      </c>
      <c r="F1579" s="1129">
        <v>0</v>
      </c>
      <c r="G1579" s="1129">
        <v>0</v>
      </c>
      <c r="H1579" s="1129">
        <v>0</v>
      </c>
      <c r="I1579" s="1129">
        <v>0</v>
      </c>
      <c r="J1579" s="1129">
        <v>0</v>
      </c>
      <c r="K1579" s="1136">
        <v>0</v>
      </c>
      <c r="L1579" s="1129">
        <v>0</v>
      </c>
      <c r="M1579" s="1136">
        <v>0</v>
      </c>
      <c r="N1579" s="1129">
        <v>0</v>
      </c>
      <c r="O1579" s="1129">
        <v>283</v>
      </c>
      <c r="P1579" s="1129">
        <v>1118936.55</v>
      </c>
      <c r="Q1579" s="1129">
        <v>0</v>
      </c>
      <c r="R1579" s="1129">
        <v>0</v>
      </c>
      <c r="S1579" s="1129">
        <v>0</v>
      </c>
      <c r="T1579" s="1129">
        <v>0</v>
      </c>
      <c r="U1579" s="1129">
        <v>0</v>
      </c>
      <c r="V1579" s="1129">
        <v>0</v>
      </c>
      <c r="W1579" s="1129">
        <v>0</v>
      </c>
      <c r="X1579" s="1129">
        <v>87639.44</v>
      </c>
      <c r="Y1579" s="1129">
        <v>0</v>
      </c>
    </row>
    <row r="1580" spans="1:25" s="1216" customFormat="1" ht="73.150000000000006" customHeight="1">
      <c r="A1580" s="1280">
        <v>496</v>
      </c>
      <c r="B1580" s="1135" t="s">
        <v>1152</v>
      </c>
      <c r="C1580" s="1129">
        <f t="shared" si="727"/>
        <v>1445225</v>
      </c>
      <c r="D1580" s="1129">
        <f t="shared" si="728"/>
        <v>0</v>
      </c>
      <c r="E1580" s="1129">
        <v>0</v>
      </c>
      <c r="F1580" s="1129">
        <v>0</v>
      </c>
      <c r="G1580" s="1129">
        <v>0</v>
      </c>
      <c r="H1580" s="1129">
        <v>0</v>
      </c>
      <c r="I1580" s="1129">
        <v>0</v>
      </c>
      <c r="J1580" s="1129">
        <v>0</v>
      </c>
      <c r="K1580" s="1136">
        <v>0</v>
      </c>
      <c r="L1580" s="1129">
        <v>0</v>
      </c>
      <c r="M1580" s="1136">
        <v>0</v>
      </c>
      <c r="N1580" s="1129">
        <v>0</v>
      </c>
      <c r="O1580" s="1129">
        <v>427</v>
      </c>
      <c r="P1580" s="1129">
        <v>1340251</v>
      </c>
      <c r="Q1580" s="1129">
        <v>0</v>
      </c>
      <c r="R1580" s="1129">
        <v>0</v>
      </c>
      <c r="S1580" s="1129">
        <v>0</v>
      </c>
      <c r="T1580" s="1129">
        <v>0</v>
      </c>
      <c r="U1580" s="1129">
        <v>0</v>
      </c>
      <c r="V1580" s="1129">
        <v>0</v>
      </c>
      <c r="W1580" s="1129">
        <v>0</v>
      </c>
      <c r="X1580" s="1129">
        <v>104974</v>
      </c>
      <c r="Y1580" s="1129">
        <v>0</v>
      </c>
    </row>
    <row r="1581" spans="1:25" s="1216" customFormat="1" ht="70.150000000000006" customHeight="1">
      <c r="A1581" s="1280"/>
      <c r="B1581" s="1135" t="s">
        <v>211</v>
      </c>
      <c r="C1581" s="1129">
        <f>C1582+C1584+C1586</f>
        <v>4149700.9720192482</v>
      </c>
      <c r="D1581" s="1129">
        <f t="shared" ref="D1581:Y1581" si="729">D1582+D1584+D1586</f>
        <v>0</v>
      </c>
      <c r="E1581" s="1129">
        <f t="shared" si="729"/>
        <v>0</v>
      </c>
      <c r="F1581" s="1129">
        <f t="shared" si="729"/>
        <v>0</v>
      </c>
      <c r="G1581" s="1129">
        <f t="shared" si="729"/>
        <v>0</v>
      </c>
      <c r="H1581" s="1129">
        <f t="shared" si="729"/>
        <v>0</v>
      </c>
      <c r="I1581" s="1129">
        <f t="shared" si="729"/>
        <v>0</v>
      </c>
      <c r="J1581" s="1129">
        <f t="shared" si="729"/>
        <v>0</v>
      </c>
      <c r="K1581" s="1136">
        <f t="shared" si="729"/>
        <v>0</v>
      </c>
      <c r="L1581" s="1129">
        <f t="shared" si="729"/>
        <v>0</v>
      </c>
      <c r="M1581" s="1136">
        <f t="shared" si="729"/>
        <v>0</v>
      </c>
      <c r="N1581" s="1129">
        <f t="shared" si="729"/>
        <v>0</v>
      </c>
      <c r="O1581" s="1129">
        <f t="shared" si="729"/>
        <v>1387.98</v>
      </c>
      <c r="P1581" s="1129">
        <f t="shared" si="729"/>
        <v>3851475.0797003815</v>
      </c>
      <c r="Q1581" s="1129">
        <f t="shared" si="729"/>
        <v>0</v>
      </c>
      <c r="R1581" s="1129">
        <f t="shared" si="729"/>
        <v>0</v>
      </c>
      <c r="S1581" s="1129">
        <f t="shared" si="729"/>
        <v>0</v>
      </c>
      <c r="T1581" s="1129">
        <f t="shared" si="729"/>
        <v>0</v>
      </c>
      <c r="U1581" s="1129">
        <f t="shared" si="729"/>
        <v>0</v>
      </c>
      <c r="V1581" s="1129">
        <f t="shared" si="729"/>
        <v>0</v>
      </c>
      <c r="W1581" s="1129">
        <v>0</v>
      </c>
      <c r="X1581" s="1129">
        <f t="shared" si="729"/>
        <v>298225.89231886691</v>
      </c>
      <c r="Y1581" s="1129">
        <f t="shared" si="729"/>
        <v>0</v>
      </c>
    </row>
    <row r="1582" spans="1:25" s="1216" customFormat="1" ht="113.45" customHeight="1">
      <c r="A1582" s="1280"/>
      <c r="B1582" s="1135" t="s">
        <v>1159</v>
      </c>
      <c r="C1582" s="1129">
        <v>1116919</v>
      </c>
      <c r="D1582" s="1129">
        <v>0</v>
      </c>
      <c r="E1582" s="1129">
        <v>0</v>
      </c>
      <c r="F1582" s="1129">
        <v>0</v>
      </c>
      <c r="G1582" s="1129">
        <v>0</v>
      </c>
      <c r="H1582" s="1129">
        <v>0</v>
      </c>
      <c r="I1582" s="1129">
        <v>0</v>
      </c>
      <c r="J1582" s="1129">
        <v>0</v>
      </c>
      <c r="K1582" s="1136">
        <v>0</v>
      </c>
      <c r="L1582" s="1129">
        <v>0</v>
      </c>
      <c r="M1582" s="1136">
        <v>0</v>
      </c>
      <c r="N1582" s="1129">
        <v>0</v>
      </c>
      <c r="O1582" s="1129">
        <v>330</v>
      </c>
      <c r="P1582" s="1129">
        <v>1035792</v>
      </c>
      <c r="Q1582" s="1129">
        <v>0</v>
      </c>
      <c r="R1582" s="1129">
        <v>0</v>
      </c>
      <c r="S1582" s="1129">
        <v>0</v>
      </c>
      <c r="T1582" s="1129">
        <v>0</v>
      </c>
      <c r="U1582" s="1129">
        <v>0</v>
      </c>
      <c r="V1582" s="1129">
        <v>0</v>
      </c>
      <c r="W1582" s="1129">
        <v>0</v>
      </c>
      <c r="X1582" s="1129">
        <v>81127</v>
      </c>
      <c r="Y1582" s="1129">
        <v>0</v>
      </c>
    </row>
    <row r="1583" spans="1:25" s="1196" customFormat="1" ht="105.6" customHeight="1">
      <c r="A1583" s="1280">
        <v>497</v>
      </c>
      <c r="B1583" s="1135" t="s">
        <v>1943</v>
      </c>
      <c r="C1583" s="1129">
        <v>1116919</v>
      </c>
      <c r="D1583" s="1129">
        <v>0</v>
      </c>
      <c r="E1583" s="1129">
        <v>0</v>
      </c>
      <c r="F1583" s="1129">
        <v>0</v>
      </c>
      <c r="G1583" s="1129">
        <v>0</v>
      </c>
      <c r="H1583" s="1129">
        <v>0</v>
      </c>
      <c r="I1583" s="1129">
        <v>0</v>
      </c>
      <c r="J1583" s="1129">
        <v>0</v>
      </c>
      <c r="K1583" s="1136">
        <v>0</v>
      </c>
      <c r="L1583" s="1129">
        <v>0</v>
      </c>
      <c r="M1583" s="1136">
        <v>0</v>
      </c>
      <c r="N1583" s="1129">
        <v>0</v>
      </c>
      <c r="O1583" s="1129">
        <v>330</v>
      </c>
      <c r="P1583" s="1129">
        <v>1035792</v>
      </c>
      <c r="Q1583" s="1129">
        <v>0</v>
      </c>
      <c r="R1583" s="1129">
        <v>0</v>
      </c>
      <c r="S1583" s="1129">
        <v>0</v>
      </c>
      <c r="T1583" s="1129">
        <v>0</v>
      </c>
      <c r="U1583" s="1129">
        <v>0</v>
      </c>
      <c r="V1583" s="1129">
        <v>0</v>
      </c>
      <c r="W1583" s="1129">
        <v>0</v>
      </c>
      <c r="X1583" s="1129">
        <v>81127</v>
      </c>
      <c r="Y1583" s="1129">
        <v>0</v>
      </c>
    </row>
    <row r="1584" spans="1:25" s="1196" customFormat="1" ht="139.9" customHeight="1">
      <c r="A1584" s="1280"/>
      <c r="B1584" s="1135" t="s">
        <v>1078</v>
      </c>
      <c r="C1584" s="1129">
        <f>C1585</f>
        <v>1537679</v>
      </c>
      <c r="D1584" s="1129">
        <f t="shared" ref="D1584:Y1584" si="730">D1585</f>
        <v>0</v>
      </c>
      <c r="E1584" s="1129">
        <f t="shared" si="730"/>
        <v>0</v>
      </c>
      <c r="F1584" s="1129">
        <f t="shared" si="730"/>
        <v>0</v>
      </c>
      <c r="G1584" s="1129">
        <f t="shared" si="730"/>
        <v>0</v>
      </c>
      <c r="H1584" s="1129">
        <f t="shared" si="730"/>
        <v>0</v>
      </c>
      <c r="I1584" s="1129">
        <f t="shared" si="730"/>
        <v>0</v>
      </c>
      <c r="J1584" s="1129">
        <f t="shared" si="730"/>
        <v>0</v>
      </c>
      <c r="K1584" s="1136">
        <f t="shared" si="730"/>
        <v>0</v>
      </c>
      <c r="L1584" s="1129">
        <f t="shared" si="730"/>
        <v>0</v>
      </c>
      <c r="M1584" s="1136">
        <f t="shared" si="730"/>
        <v>0</v>
      </c>
      <c r="N1584" s="1129">
        <f t="shared" si="730"/>
        <v>0</v>
      </c>
      <c r="O1584" s="1129">
        <f t="shared" si="730"/>
        <v>487.68</v>
      </c>
      <c r="P1584" s="1129">
        <f t="shared" si="730"/>
        <v>1425989.9497003814</v>
      </c>
      <c r="Q1584" s="1129">
        <f t="shared" si="730"/>
        <v>0</v>
      </c>
      <c r="R1584" s="1129">
        <f t="shared" si="730"/>
        <v>0</v>
      </c>
      <c r="S1584" s="1129">
        <f t="shared" si="730"/>
        <v>0</v>
      </c>
      <c r="T1584" s="1129">
        <f t="shared" si="730"/>
        <v>0</v>
      </c>
      <c r="U1584" s="1129">
        <f t="shared" si="730"/>
        <v>0</v>
      </c>
      <c r="V1584" s="1129">
        <f t="shared" si="730"/>
        <v>0</v>
      </c>
      <c r="W1584" s="1129">
        <v>0</v>
      </c>
      <c r="X1584" s="1129">
        <f t="shared" si="730"/>
        <v>111689.05029961867</v>
      </c>
      <c r="Y1584" s="1129">
        <f t="shared" si="730"/>
        <v>0</v>
      </c>
    </row>
    <row r="1585" spans="1:25" s="1196" customFormat="1" ht="72.599999999999994" customHeight="1">
      <c r="A1585" s="1280">
        <v>498</v>
      </c>
      <c r="B1585" s="1135" t="s">
        <v>630</v>
      </c>
      <c r="C1585" s="1129">
        <f t="shared" ref="C1585" si="731">D1585+N1585+P1585+R1585+T1585+V1585+X1585</f>
        <v>1537679</v>
      </c>
      <c r="D1585" s="1129">
        <f t="shared" ref="D1585" si="732">SUM(E1585:J1585)</f>
        <v>0</v>
      </c>
      <c r="E1585" s="1129">
        <v>0</v>
      </c>
      <c r="F1585" s="1129">
        <v>0</v>
      </c>
      <c r="G1585" s="1129">
        <v>0</v>
      </c>
      <c r="H1585" s="1129">
        <v>0</v>
      </c>
      <c r="I1585" s="1129">
        <v>0</v>
      </c>
      <c r="J1585" s="1129">
        <v>0</v>
      </c>
      <c r="K1585" s="1136">
        <v>0</v>
      </c>
      <c r="L1585" s="1129">
        <v>0</v>
      </c>
      <c r="M1585" s="1136">
        <v>0</v>
      </c>
      <c r="N1585" s="1129">
        <v>0</v>
      </c>
      <c r="O1585" s="1129">
        <v>487.68</v>
      </c>
      <c r="P1585" s="1129">
        <v>1425989.9497003814</v>
      </c>
      <c r="Q1585" s="1129">
        <v>0</v>
      </c>
      <c r="R1585" s="1129">
        <v>0</v>
      </c>
      <c r="S1585" s="1129">
        <v>0</v>
      </c>
      <c r="T1585" s="1129">
        <v>0</v>
      </c>
      <c r="U1585" s="1129">
        <v>0</v>
      </c>
      <c r="V1585" s="1129">
        <v>0</v>
      </c>
      <c r="W1585" s="1129">
        <v>0</v>
      </c>
      <c r="X1585" s="1129">
        <v>111689.05029961867</v>
      </c>
      <c r="Y1585" s="1129">
        <v>0</v>
      </c>
    </row>
    <row r="1586" spans="1:25" s="1196" customFormat="1" ht="120.75" customHeight="1">
      <c r="A1586" s="1280"/>
      <c r="B1586" s="1135" t="s">
        <v>1079</v>
      </c>
      <c r="C1586" s="1129">
        <f>C1587</f>
        <v>1495102.9720192482</v>
      </c>
      <c r="D1586" s="1129">
        <f t="shared" ref="D1586:Y1586" si="733">D1587</f>
        <v>0</v>
      </c>
      <c r="E1586" s="1129">
        <f t="shared" si="733"/>
        <v>0</v>
      </c>
      <c r="F1586" s="1129">
        <f t="shared" si="733"/>
        <v>0</v>
      </c>
      <c r="G1586" s="1129">
        <f t="shared" si="733"/>
        <v>0</v>
      </c>
      <c r="H1586" s="1129">
        <f t="shared" si="733"/>
        <v>0</v>
      </c>
      <c r="I1586" s="1129">
        <f t="shared" si="733"/>
        <v>0</v>
      </c>
      <c r="J1586" s="1129">
        <f t="shared" si="733"/>
        <v>0</v>
      </c>
      <c r="K1586" s="1136">
        <f t="shared" si="733"/>
        <v>0</v>
      </c>
      <c r="L1586" s="1129">
        <f t="shared" si="733"/>
        <v>0</v>
      </c>
      <c r="M1586" s="1136">
        <f t="shared" si="733"/>
        <v>0</v>
      </c>
      <c r="N1586" s="1129">
        <f t="shared" si="733"/>
        <v>0</v>
      </c>
      <c r="O1586" s="1129">
        <f t="shared" si="733"/>
        <v>570.29999999999995</v>
      </c>
      <c r="P1586" s="1129">
        <f t="shared" si="733"/>
        <v>1389693.13</v>
      </c>
      <c r="Q1586" s="1129">
        <f t="shared" si="733"/>
        <v>0</v>
      </c>
      <c r="R1586" s="1129">
        <f t="shared" si="733"/>
        <v>0</v>
      </c>
      <c r="S1586" s="1129">
        <f t="shared" si="733"/>
        <v>0</v>
      </c>
      <c r="T1586" s="1129">
        <f t="shared" si="733"/>
        <v>0</v>
      </c>
      <c r="U1586" s="1129">
        <f t="shared" si="733"/>
        <v>0</v>
      </c>
      <c r="V1586" s="1129">
        <f t="shared" si="733"/>
        <v>0</v>
      </c>
      <c r="W1586" s="1129">
        <v>0</v>
      </c>
      <c r="X1586" s="1129">
        <f t="shared" si="733"/>
        <v>105409.84201924823</v>
      </c>
      <c r="Y1586" s="1129">
        <f t="shared" si="733"/>
        <v>0</v>
      </c>
    </row>
    <row r="1587" spans="1:25" s="1196" customFormat="1" ht="108" customHeight="1">
      <c r="A1587" s="1280">
        <v>499</v>
      </c>
      <c r="B1587" s="1135" t="s">
        <v>1944</v>
      </c>
      <c r="C1587" s="1129">
        <f t="shared" ref="C1587" si="734">D1587+N1587+P1587+R1587+T1587+V1587+X1587</f>
        <v>1495102.9720192482</v>
      </c>
      <c r="D1587" s="1129">
        <f t="shared" ref="D1587" si="735">SUM(E1587:J1587)</f>
        <v>0</v>
      </c>
      <c r="E1587" s="1129">
        <v>0</v>
      </c>
      <c r="F1587" s="1129">
        <v>0</v>
      </c>
      <c r="G1587" s="1129">
        <v>0</v>
      </c>
      <c r="H1587" s="1129">
        <v>0</v>
      </c>
      <c r="I1587" s="1129">
        <v>0</v>
      </c>
      <c r="J1587" s="1129">
        <v>0</v>
      </c>
      <c r="K1587" s="1136">
        <v>0</v>
      </c>
      <c r="L1587" s="1129">
        <v>0</v>
      </c>
      <c r="M1587" s="1136">
        <v>0</v>
      </c>
      <c r="N1587" s="1129">
        <v>0</v>
      </c>
      <c r="O1587" s="1129">
        <v>570.29999999999995</v>
      </c>
      <c r="P1587" s="1129">
        <v>1389693.13</v>
      </c>
      <c r="Q1587" s="1129">
        <v>0</v>
      </c>
      <c r="R1587" s="1129">
        <v>0</v>
      </c>
      <c r="S1587" s="1129">
        <v>0</v>
      </c>
      <c r="T1587" s="1129">
        <v>0</v>
      </c>
      <c r="U1587" s="1129">
        <v>0</v>
      </c>
      <c r="V1587" s="1129">
        <v>0</v>
      </c>
      <c r="W1587" s="1129">
        <v>0</v>
      </c>
      <c r="X1587" s="1129">
        <v>105409.84201924823</v>
      </c>
      <c r="Y1587" s="1129">
        <v>0</v>
      </c>
    </row>
    <row r="1588" spans="1:25" s="1196" customFormat="1" ht="74.45" customHeight="1">
      <c r="A1588" s="1280"/>
      <c r="B1588" s="1135" t="s">
        <v>66</v>
      </c>
      <c r="C1588" s="1129">
        <f t="shared" ref="C1588:V1588" si="736">C1591+C1589</f>
        <v>1851411.42</v>
      </c>
      <c r="D1588" s="1129">
        <f t="shared" si="736"/>
        <v>381963.56</v>
      </c>
      <c r="E1588" s="1129">
        <f t="shared" si="736"/>
        <v>0</v>
      </c>
      <c r="F1588" s="1129">
        <f t="shared" si="736"/>
        <v>0</v>
      </c>
      <c r="G1588" s="1129">
        <f t="shared" si="736"/>
        <v>0</v>
      </c>
      <c r="H1588" s="1129">
        <f t="shared" si="736"/>
        <v>0</v>
      </c>
      <c r="I1588" s="1129">
        <f t="shared" si="736"/>
        <v>0</v>
      </c>
      <c r="J1588" s="1129">
        <f t="shared" si="736"/>
        <v>381963.56</v>
      </c>
      <c r="K1588" s="1136">
        <f t="shared" si="736"/>
        <v>0</v>
      </c>
      <c r="L1588" s="1129">
        <f t="shared" si="736"/>
        <v>0</v>
      </c>
      <c r="M1588" s="1136">
        <f t="shared" si="736"/>
        <v>0</v>
      </c>
      <c r="N1588" s="1129">
        <f t="shared" si="736"/>
        <v>0</v>
      </c>
      <c r="O1588" s="1129">
        <f t="shared" si="736"/>
        <v>450</v>
      </c>
      <c r="P1588" s="1129">
        <f t="shared" si="736"/>
        <v>1334970.9128382059</v>
      </c>
      <c r="Q1588" s="1129">
        <f t="shared" si="736"/>
        <v>0</v>
      </c>
      <c r="R1588" s="1129">
        <f t="shared" si="736"/>
        <v>0</v>
      </c>
      <c r="S1588" s="1129">
        <f t="shared" si="736"/>
        <v>0</v>
      </c>
      <c r="T1588" s="1129">
        <f t="shared" si="736"/>
        <v>0</v>
      </c>
      <c r="U1588" s="1129">
        <f t="shared" si="736"/>
        <v>0</v>
      </c>
      <c r="V1588" s="1129">
        <f t="shared" si="736"/>
        <v>0</v>
      </c>
      <c r="W1588" s="1129">
        <v>0</v>
      </c>
      <c r="X1588" s="1129">
        <f>X1591+X1589</f>
        <v>134476.94716179409</v>
      </c>
      <c r="Y1588" s="1129">
        <f>Y1591+Y1589</f>
        <v>0</v>
      </c>
    </row>
    <row r="1589" spans="1:25" s="1196" customFormat="1" ht="139.9" customHeight="1">
      <c r="A1589" s="1280"/>
      <c r="B1589" s="1135" t="s">
        <v>1081</v>
      </c>
      <c r="C1589" s="1129">
        <f>C1590</f>
        <v>1439531</v>
      </c>
      <c r="D1589" s="1129">
        <f t="shared" ref="D1589:Y1589" si="737">D1590</f>
        <v>0</v>
      </c>
      <c r="E1589" s="1129">
        <f t="shared" si="737"/>
        <v>0</v>
      </c>
      <c r="F1589" s="1129">
        <f t="shared" si="737"/>
        <v>0</v>
      </c>
      <c r="G1589" s="1129">
        <f t="shared" si="737"/>
        <v>0</v>
      </c>
      <c r="H1589" s="1129">
        <f t="shared" si="737"/>
        <v>0</v>
      </c>
      <c r="I1589" s="1129">
        <f t="shared" si="737"/>
        <v>0</v>
      </c>
      <c r="J1589" s="1129">
        <f t="shared" si="737"/>
        <v>0</v>
      </c>
      <c r="K1589" s="1136">
        <f t="shared" si="737"/>
        <v>0</v>
      </c>
      <c r="L1589" s="1129">
        <f t="shared" si="737"/>
        <v>0</v>
      </c>
      <c r="M1589" s="1136">
        <f t="shared" si="737"/>
        <v>0</v>
      </c>
      <c r="N1589" s="1129">
        <f t="shared" si="737"/>
        <v>0</v>
      </c>
      <c r="O1589" s="1129">
        <f t="shared" si="737"/>
        <v>450</v>
      </c>
      <c r="P1589" s="1129">
        <f t="shared" si="737"/>
        <v>1334970.9128382059</v>
      </c>
      <c r="Q1589" s="1129">
        <f t="shared" si="737"/>
        <v>0</v>
      </c>
      <c r="R1589" s="1129">
        <f t="shared" si="737"/>
        <v>0</v>
      </c>
      <c r="S1589" s="1129">
        <f t="shared" si="737"/>
        <v>0</v>
      </c>
      <c r="T1589" s="1129">
        <f t="shared" si="737"/>
        <v>0</v>
      </c>
      <c r="U1589" s="1129">
        <f t="shared" si="737"/>
        <v>0</v>
      </c>
      <c r="V1589" s="1129">
        <f t="shared" si="737"/>
        <v>0</v>
      </c>
      <c r="W1589" s="1129">
        <f t="shared" si="737"/>
        <v>0</v>
      </c>
      <c r="X1589" s="1129">
        <f t="shared" si="737"/>
        <v>104560.08716179409</v>
      </c>
      <c r="Y1589" s="1129">
        <f t="shared" si="737"/>
        <v>0</v>
      </c>
    </row>
    <row r="1590" spans="1:25" s="1196" customFormat="1" ht="78.599999999999994" customHeight="1">
      <c r="A1590" s="1280">
        <v>500</v>
      </c>
      <c r="B1590" s="1135" t="s">
        <v>596</v>
      </c>
      <c r="C1590" s="1129">
        <f t="shared" ref="C1590" si="738">D1590+N1590+P1590+R1590+T1590+V1590+X1590</f>
        <v>1439531</v>
      </c>
      <c r="D1590" s="1129">
        <f t="shared" ref="D1590" si="739">SUM(E1590:J1590)</f>
        <v>0</v>
      </c>
      <c r="E1590" s="1129">
        <v>0</v>
      </c>
      <c r="F1590" s="1129">
        <v>0</v>
      </c>
      <c r="G1590" s="1129">
        <v>0</v>
      </c>
      <c r="H1590" s="1129">
        <v>0</v>
      </c>
      <c r="I1590" s="1129">
        <v>0</v>
      </c>
      <c r="J1590" s="1129">
        <v>0</v>
      </c>
      <c r="K1590" s="1136">
        <v>0</v>
      </c>
      <c r="L1590" s="1129">
        <v>0</v>
      </c>
      <c r="M1590" s="1136">
        <v>0</v>
      </c>
      <c r="N1590" s="1129">
        <v>0</v>
      </c>
      <c r="O1590" s="1129">
        <v>450</v>
      </c>
      <c r="P1590" s="1129">
        <v>1334970.9128382059</v>
      </c>
      <c r="Q1590" s="1129">
        <v>0</v>
      </c>
      <c r="R1590" s="1129">
        <v>0</v>
      </c>
      <c r="S1590" s="1129">
        <v>0</v>
      </c>
      <c r="T1590" s="1129">
        <v>0</v>
      </c>
      <c r="U1590" s="1129">
        <v>0</v>
      </c>
      <c r="V1590" s="1129">
        <v>0</v>
      </c>
      <c r="W1590" s="1129">
        <v>0</v>
      </c>
      <c r="X1590" s="1129">
        <v>104560.08716179409</v>
      </c>
      <c r="Y1590" s="1129">
        <v>0</v>
      </c>
    </row>
    <row r="1591" spans="1:25" s="1196" customFormat="1" ht="111.6" customHeight="1">
      <c r="A1591" s="1280"/>
      <c r="B1591" s="1135" t="s">
        <v>1080</v>
      </c>
      <c r="C1591" s="1129">
        <f>C1592</f>
        <v>411880.42</v>
      </c>
      <c r="D1591" s="1129">
        <f t="shared" ref="D1591:Y1591" si="740">D1592</f>
        <v>381963.56</v>
      </c>
      <c r="E1591" s="1129">
        <f t="shared" si="740"/>
        <v>0</v>
      </c>
      <c r="F1591" s="1129">
        <f t="shared" si="740"/>
        <v>0</v>
      </c>
      <c r="G1591" s="1129">
        <f t="shared" si="740"/>
        <v>0</v>
      </c>
      <c r="H1591" s="1129">
        <f t="shared" si="740"/>
        <v>0</v>
      </c>
      <c r="I1591" s="1129">
        <f t="shared" si="740"/>
        <v>0</v>
      </c>
      <c r="J1591" s="1129">
        <f t="shared" si="740"/>
        <v>381963.56</v>
      </c>
      <c r="K1591" s="1136">
        <f t="shared" si="740"/>
        <v>0</v>
      </c>
      <c r="L1591" s="1129">
        <f t="shared" si="740"/>
        <v>0</v>
      </c>
      <c r="M1591" s="1136">
        <f t="shared" si="740"/>
        <v>0</v>
      </c>
      <c r="N1591" s="1129">
        <f t="shared" si="740"/>
        <v>0</v>
      </c>
      <c r="O1591" s="1129">
        <f t="shared" si="740"/>
        <v>0</v>
      </c>
      <c r="P1591" s="1129">
        <f t="shared" si="740"/>
        <v>0</v>
      </c>
      <c r="Q1591" s="1129">
        <f t="shared" si="740"/>
        <v>0</v>
      </c>
      <c r="R1591" s="1129">
        <f t="shared" si="740"/>
        <v>0</v>
      </c>
      <c r="S1591" s="1129">
        <f t="shared" si="740"/>
        <v>0</v>
      </c>
      <c r="T1591" s="1129">
        <f t="shared" si="740"/>
        <v>0</v>
      </c>
      <c r="U1591" s="1129">
        <f t="shared" si="740"/>
        <v>0</v>
      </c>
      <c r="V1591" s="1129">
        <f t="shared" si="740"/>
        <v>0</v>
      </c>
      <c r="W1591" s="1129">
        <f t="shared" si="740"/>
        <v>0</v>
      </c>
      <c r="X1591" s="1129">
        <f t="shared" si="740"/>
        <v>29916.86</v>
      </c>
      <c r="Y1591" s="1129">
        <f t="shared" si="740"/>
        <v>0</v>
      </c>
    </row>
    <row r="1592" spans="1:25" s="1196" customFormat="1" ht="76.150000000000006" customHeight="1">
      <c r="A1592" s="1280">
        <v>501</v>
      </c>
      <c r="B1592" s="1135" t="s">
        <v>642</v>
      </c>
      <c r="C1592" s="1129">
        <f t="shared" ref="C1592" si="741">D1592+N1592+P1592+R1592+T1592+V1592+X1592</f>
        <v>411880.42</v>
      </c>
      <c r="D1592" s="1129">
        <f t="shared" ref="D1592" si="742">SUM(E1592:J1592)</f>
        <v>381963.56</v>
      </c>
      <c r="E1592" s="1129">
        <v>0</v>
      </c>
      <c r="F1592" s="1129">
        <v>0</v>
      </c>
      <c r="G1592" s="1129">
        <v>0</v>
      </c>
      <c r="H1592" s="1129">
        <v>0</v>
      </c>
      <c r="I1592" s="1129">
        <v>0</v>
      </c>
      <c r="J1592" s="1129">
        <v>381963.56</v>
      </c>
      <c r="K1592" s="1136">
        <v>0</v>
      </c>
      <c r="L1592" s="1129">
        <v>0</v>
      </c>
      <c r="M1592" s="1136">
        <v>0</v>
      </c>
      <c r="N1592" s="1129">
        <v>0</v>
      </c>
      <c r="O1592" s="1129">
        <v>0</v>
      </c>
      <c r="P1592" s="1129">
        <v>0</v>
      </c>
      <c r="Q1592" s="1129">
        <v>0</v>
      </c>
      <c r="R1592" s="1129">
        <v>0</v>
      </c>
      <c r="S1592" s="1129">
        <v>0</v>
      </c>
      <c r="T1592" s="1129">
        <v>0</v>
      </c>
      <c r="U1592" s="1129">
        <v>0</v>
      </c>
      <c r="V1592" s="1129">
        <v>0</v>
      </c>
      <c r="W1592" s="1129">
        <v>0</v>
      </c>
      <c r="X1592" s="1129">
        <v>29916.86</v>
      </c>
      <c r="Y1592" s="1129">
        <v>0</v>
      </c>
    </row>
    <row r="1593" spans="1:25" s="1196" customFormat="1" ht="149.44999999999999" customHeight="1">
      <c r="A1593" s="1280"/>
      <c r="B1593" s="1135" t="s">
        <v>1122</v>
      </c>
      <c r="C1593" s="1129">
        <f>SUM(C1594:C1594)</f>
        <v>12132544</v>
      </c>
      <c r="D1593" s="1129">
        <f t="shared" ref="D1593:Y1593" si="743">SUM(D1594:D1594)</f>
        <v>0</v>
      </c>
      <c r="E1593" s="1129">
        <f t="shared" si="743"/>
        <v>0</v>
      </c>
      <c r="F1593" s="1129">
        <f t="shared" si="743"/>
        <v>0</v>
      </c>
      <c r="G1593" s="1129">
        <f t="shared" si="743"/>
        <v>0</v>
      </c>
      <c r="H1593" s="1129">
        <f t="shared" si="743"/>
        <v>0</v>
      </c>
      <c r="I1593" s="1129">
        <f t="shared" si="743"/>
        <v>0</v>
      </c>
      <c r="J1593" s="1129">
        <f t="shared" si="743"/>
        <v>0</v>
      </c>
      <c r="K1593" s="1136">
        <f t="shared" si="743"/>
        <v>0</v>
      </c>
      <c r="L1593" s="1129">
        <f t="shared" si="743"/>
        <v>0</v>
      </c>
      <c r="M1593" s="1136">
        <f t="shared" si="743"/>
        <v>0</v>
      </c>
      <c r="N1593" s="1129">
        <f t="shared" si="743"/>
        <v>0</v>
      </c>
      <c r="O1593" s="1129">
        <f t="shared" si="743"/>
        <v>759</v>
      </c>
      <c r="P1593" s="1129">
        <f t="shared" si="743"/>
        <v>2138764.6800000002</v>
      </c>
      <c r="Q1593" s="1129">
        <f t="shared" si="743"/>
        <v>0</v>
      </c>
      <c r="R1593" s="1129">
        <f t="shared" si="743"/>
        <v>0</v>
      </c>
      <c r="S1593" s="1129">
        <f t="shared" si="743"/>
        <v>3692.72</v>
      </c>
      <c r="T1593" s="1129">
        <f t="shared" si="743"/>
        <v>9112534</v>
      </c>
      <c r="U1593" s="1129">
        <f t="shared" si="743"/>
        <v>0</v>
      </c>
      <c r="V1593" s="1129">
        <f t="shared" si="743"/>
        <v>0</v>
      </c>
      <c r="W1593" s="1129">
        <v>0</v>
      </c>
      <c r="X1593" s="1129">
        <f t="shared" si="743"/>
        <v>881245.32</v>
      </c>
      <c r="Y1593" s="1129">
        <f t="shared" si="743"/>
        <v>0</v>
      </c>
    </row>
    <row r="1594" spans="1:25" ht="102" customHeight="1">
      <c r="A1594" s="1280">
        <v>502</v>
      </c>
      <c r="B1594" s="1128" t="s">
        <v>2613</v>
      </c>
      <c r="C1594" s="1145">
        <f t="shared" ref="C1594" si="744">D1594+N1594+P1594+R1594+T1594+V1594+X1594</f>
        <v>12132544</v>
      </c>
      <c r="D1594" s="1145">
        <f t="shared" ref="D1594" si="745">SUM(E1594:J1594)</f>
        <v>0</v>
      </c>
      <c r="E1594" s="1145">
        <v>0</v>
      </c>
      <c r="F1594" s="1145">
        <v>0</v>
      </c>
      <c r="G1594" s="1145">
        <v>0</v>
      </c>
      <c r="H1594" s="1145">
        <v>0</v>
      </c>
      <c r="I1594" s="1145">
        <v>0</v>
      </c>
      <c r="J1594" s="1145">
        <v>0</v>
      </c>
      <c r="K1594" s="1136">
        <v>0</v>
      </c>
      <c r="L1594" s="1145">
        <v>0</v>
      </c>
      <c r="M1594" s="1136">
        <v>0</v>
      </c>
      <c r="N1594" s="1145">
        <v>0</v>
      </c>
      <c r="O1594" s="1145">
        <v>759</v>
      </c>
      <c r="P1594" s="1145">
        <v>2138764.6800000002</v>
      </c>
      <c r="Q1594" s="1145">
        <v>0</v>
      </c>
      <c r="R1594" s="1145">
        <v>0</v>
      </c>
      <c r="S1594" s="1145">
        <v>3692.72</v>
      </c>
      <c r="T1594" s="1145">
        <v>9112534</v>
      </c>
      <c r="U1594" s="1145">
        <v>0</v>
      </c>
      <c r="V1594" s="1145">
        <v>0</v>
      </c>
      <c r="W1594" s="1129">
        <v>0</v>
      </c>
      <c r="X1594" s="1145">
        <v>881245.32</v>
      </c>
      <c r="Y1594" s="1145">
        <v>0</v>
      </c>
    </row>
    <row r="1595" spans="1:25" ht="81.599999999999994" customHeight="1">
      <c r="A1595" s="1280"/>
      <c r="B1595" s="1135" t="s">
        <v>67</v>
      </c>
      <c r="C1595" s="1129">
        <f>C1598+C1601+C1596</f>
        <v>7537035</v>
      </c>
      <c r="D1595" s="1129">
        <f t="shared" ref="D1595:Y1595" si="746">D1598+D1601+D1596</f>
        <v>0</v>
      </c>
      <c r="E1595" s="1129">
        <f t="shared" si="746"/>
        <v>0</v>
      </c>
      <c r="F1595" s="1129">
        <f t="shared" si="746"/>
        <v>0</v>
      </c>
      <c r="G1595" s="1129">
        <f t="shared" si="746"/>
        <v>0</v>
      </c>
      <c r="H1595" s="1129">
        <f t="shared" si="746"/>
        <v>0</v>
      </c>
      <c r="I1595" s="1129">
        <f t="shared" si="746"/>
        <v>0</v>
      </c>
      <c r="J1595" s="1129">
        <f t="shared" si="746"/>
        <v>0</v>
      </c>
      <c r="K1595" s="1136">
        <f t="shared" si="746"/>
        <v>0</v>
      </c>
      <c r="L1595" s="1129">
        <f t="shared" si="746"/>
        <v>0</v>
      </c>
      <c r="M1595" s="1136">
        <f t="shared" si="746"/>
        <v>0</v>
      </c>
      <c r="N1595" s="1129">
        <f t="shared" si="746"/>
        <v>0</v>
      </c>
      <c r="O1595" s="1129">
        <f t="shared" si="746"/>
        <v>2576.0300000000007</v>
      </c>
      <c r="P1595" s="1129">
        <f t="shared" si="746"/>
        <v>6989584.0899999999</v>
      </c>
      <c r="Q1595" s="1129">
        <f t="shared" si="746"/>
        <v>0</v>
      </c>
      <c r="R1595" s="1129">
        <f t="shared" si="746"/>
        <v>0</v>
      </c>
      <c r="S1595" s="1129">
        <f t="shared" si="746"/>
        <v>0</v>
      </c>
      <c r="T1595" s="1129">
        <f t="shared" si="746"/>
        <v>0</v>
      </c>
      <c r="U1595" s="1129">
        <f t="shared" si="746"/>
        <v>0</v>
      </c>
      <c r="V1595" s="1129">
        <f t="shared" si="746"/>
        <v>0</v>
      </c>
      <c r="W1595" s="1129">
        <v>0</v>
      </c>
      <c r="X1595" s="1129">
        <f t="shared" si="746"/>
        <v>547450.91</v>
      </c>
      <c r="Y1595" s="1129">
        <f t="shared" si="746"/>
        <v>0</v>
      </c>
    </row>
    <row r="1596" spans="1:25" ht="133.5" customHeight="1">
      <c r="A1596" s="1280"/>
      <c r="B1596" s="1135" t="s">
        <v>1383</v>
      </c>
      <c r="C1596" s="1129">
        <f>C1597</f>
        <v>1191810</v>
      </c>
      <c r="D1596" s="1129">
        <f t="shared" ref="D1596:Y1596" si="747">D1597</f>
        <v>0</v>
      </c>
      <c r="E1596" s="1129">
        <f t="shared" si="747"/>
        <v>0</v>
      </c>
      <c r="F1596" s="1129">
        <f t="shared" si="747"/>
        <v>0</v>
      </c>
      <c r="G1596" s="1129">
        <f t="shared" si="747"/>
        <v>0</v>
      </c>
      <c r="H1596" s="1129">
        <f t="shared" si="747"/>
        <v>0</v>
      </c>
      <c r="I1596" s="1129">
        <f t="shared" si="747"/>
        <v>0</v>
      </c>
      <c r="J1596" s="1129">
        <f t="shared" si="747"/>
        <v>0</v>
      </c>
      <c r="K1596" s="1136">
        <f t="shared" si="747"/>
        <v>0</v>
      </c>
      <c r="L1596" s="1129">
        <f t="shared" si="747"/>
        <v>0</v>
      </c>
      <c r="M1596" s="1136">
        <f t="shared" si="747"/>
        <v>0</v>
      </c>
      <c r="N1596" s="1129">
        <f t="shared" si="747"/>
        <v>0</v>
      </c>
      <c r="O1596" s="1129">
        <f t="shared" si="747"/>
        <v>375.8</v>
      </c>
      <c r="P1596" s="1129">
        <f t="shared" si="747"/>
        <v>1105243.0900000001</v>
      </c>
      <c r="Q1596" s="1129">
        <f t="shared" si="747"/>
        <v>0</v>
      </c>
      <c r="R1596" s="1129">
        <f t="shared" si="747"/>
        <v>0</v>
      </c>
      <c r="S1596" s="1129">
        <f t="shared" si="747"/>
        <v>0</v>
      </c>
      <c r="T1596" s="1129">
        <f t="shared" si="747"/>
        <v>0</v>
      </c>
      <c r="U1596" s="1129">
        <f t="shared" si="747"/>
        <v>0</v>
      </c>
      <c r="V1596" s="1129">
        <f t="shared" si="747"/>
        <v>0</v>
      </c>
      <c r="W1596" s="1129">
        <v>0</v>
      </c>
      <c r="X1596" s="1129">
        <f t="shared" si="747"/>
        <v>86566.91</v>
      </c>
      <c r="Y1596" s="1129">
        <f t="shared" si="747"/>
        <v>0</v>
      </c>
    </row>
    <row r="1597" spans="1:25" ht="110.45" customHeight="1">
      <c r="A1597" s="1280">
        <v>503</v>
      </c>
      <c r="B1597" s="1135" t="s">
        <v>2614</v>
      </c>
      <c r="C1597" s="1145">
        <f t="shared" ref="C1597" si="748">D1597+N1597+P1597+R1597+T1597+V1597+X1597</f>
        <v>1191810</v>
      </c>
      <c r="D1597" s="1145">
        <f t="shared" ref="D1597" si="749">SUM(E1597:J1597)</f>
        <v>0</v>
      </c>
      <c r="E1597" s="1129">
        <v>0</v>
      </c>
      <c r="F1597" s="1129">
        <v>0</v>
      </c>
      <c r="G1597" s="1129">
        <v>0</v>
      </c>
      <c r="H1597" s="1129">
        <v>0</v>
      </c>
      <c r="I1597" s="1129">
        <v>0</v>
      </c>
      <c r="J1597" s="1129">
        <v>0</v>
      </c>
      <c r="K1597" s="1136">
        <v>0</v>
      </c>
      <c r="L1597" s="1129">
        <v>0</v>
      </c>
      <c r="M1597" s="1136">
        <v>0</v>
      </c>
      <c r="N1597" s="1129">
        <v>0</v>
      </c>
      <c r="O1597" s="1129">
        <v>375.8</v>
      </c>
      <c r="P1597" s="1129">
        <v>1105243.0900000001</v>
      </c>
      <c r="Q1597" s="1129">
        <v>0</v>
      </c>
      <c r="R1597" s="1129">
        <v>0</v>
      </c>
      <c r="S1597" s="1129">
        <v>0</v>
      </c>
      <c r="T1597" s="1129">
        <v>0</v>
      </c>
      <c r="U1597" s="1129">
        <v>0</v>
      </c>
      <c r="V1597" s="1129">
        <v>0</v>
      </c>
      <c r="W1597" s="1129">
        <v>0</v>
      </c>
      <c r="X1597" s="1129">
        <v>86566.91</v>
      </c>
      <c r="Y1597" s="1129">
        <v>0</v>
      </c>
    </row>
    <row r="1598" spans="1:25" ht="141" customHeight="1">
      <c r="A1598" s="1280"/>
      <c r="B1598" s="1135" t="s">
        <v>1233</v>
      </c>
      <c r="C1598" s="1129">
        <f t="shared" ref="C1598:Y1598" si="750">C1599+C1600</f>
        <v>4719145</v>
      </c>
      <c r="D1598" s="1129">
        <f t="shared" si="750"/>
        <v>0</v>
      </c>
      <c r="E1598" s="1129">
        <f t="shared" si="750"/>
        <v>0</v>
      </c>
      <c r="F1598" s="1129">
        <f t="shared" si="750"/>
        <v>0</v>
      </c>
      <c r="G1598" s="1129">
        <f t="shared" si="750"/>
        <v>0</v>
      </c>
      <c r="H1598" s="1129">
        <f t="shared" si="750"/>
        <v>0</v>
      </c>
      <c r="I1598" s="1129">
        <f t="shared" si="750"/>
        <v>0</v>
      </c>
      <c r="J1598" s="1129">
        <f t="shared" si="750"/>
        <v>0</v>
      </c>
      <c r="K1598" s="1136">
        <f t="shared" si="750"/>
        <v>0</v>
      </c>
      <c r="L1598" s="1129">
        <f t="shared" si="750"/>
        <v>0</v>
      </c>
      <c r="M1598" s="1136">
        <f t="shared" si="750"/>
        <v>0</v>
      </c>
      <c r="N1598" s="1129">
        <f t="shared" si="750"/>
        <v>0</v>
      </c>
      <c r="O1598" s="1129">
        <f t="shared" si="750"/>
        <v>1601.7800000000002</v>
      </c>
      <c r="P1598" s="1129">
        <f t="shared" si="750"/>
        <v>4376371</v>
      </c>
      <c r="Q1598" s="1129">
        <f t="shared" si="750"/>
        <v>0</v>
      </c>
      <c r="R1598" s="1129">
        <f t="shared" si="750"/>
        <v>0</v>
      </c>
      <c r="S1598" s="1129">
        <f t="shared" si="750"/>
        <v>0</v>
      </c>
      <c r="T1598" s="1129">
        <f t="shared" si="750"/>
        <v>0</v>
      </c>
      <c r="U1598" s="1129">
        <f t="shared" si="750"/>
        <v>0</v>
      </c>
      <c r="V1598" s="1129">
        <f t="shared" si="750"/>
        <v>0</v>
      </c>
      <c r="W1598" s="1129">
        <v>0</v>
      </c>
      <c r="X1598" s="1129">
        <f t="shared" si="750"/>
        <v>342774</v>
      </c>
      <c r="Y1598" s="1129">
        <f t="shared" si="750"/>
        <v>0</v>
      </c>
    </row>
    <row r="1599" spans="1:25" ht="127.15" customHeight="1">
      <c r="A1599" s="1280">
        <v>504</v>
      </c>
      <c r="B1599" s="1135" t="s">
        <v>3061</v>
      </c>
      <c r="C1599" s="1129">
        <f>P1599+X1599</f>
        <v>2858799</v>
      </c>
      <c r="D1599" s="1129">
        <v>0</v>
      </c>
      <c r="E1599" s="1129">
        <v>0</v>
      </c>
      <c r="F1599" s="1129">
        <v>0</v>
      </c>
      <c r="G1599" s="1129">
        <v>0</v>
      </c>
      <c r="H1599" s="1129">
        <v>0</v>
      </c>
      <c r="I1599" s="1129">
        <v>0</v>
      </c>
      <c r="J1599" s="1129">
        <v>0</v>
      </c>
      <c r="K1599" s="1136">
        <v>0</v>
      </c>
      <c r="L1599" s="1129">
        <v>0</v>
      </c>
      <c r="M1599" s="1136">
        <v>0</v>
      </c>
      <c r="N1599" s="1129">
        <v>0</v>
      </c>
      <c r="O1599" s="1129">
        <v>1052.1300000000001</v>
      </c>
      <c r="P1599" s="1129">
        <v>2651151</v>
      </c>
      <c r="Q1599" s="1129">
        <v>0</v>
      </c>
      <c r="R1599" s="1129">
        <v>0</v>
      </c>
      <c r="S1599" s="1129">
        <v>0</v>
      </c>
      <c r="T1599" s="1129">
        <v>0</v>
      </c>
      <c r="U1599" s="1129">
        <v>0</v>
      </c>
      <c r="V1599" s="1129">
        <v>0</v>
      </c>
      <c r="W1599" s="1129">
        <v>0</v>
      </c>
      <c r="X1599" s="1129">
        <v>207648</v>
      </c>
      <c r="Y1599" s="1129">
        <v>0</v>
      </c>
    </row>
    <row r="1600" spans="1:25" ht="135" customHeight="1">
      <c r="A1600" s="1280">
        <v>505</v>
      </c>
      <c r="B1600" s="1135" t="s">
        <v>2998</v>
      </c>
      <c r="C1600" s="1129">
        <f>P1600+X1600</f>
        <v>1860346</v>
      </c>
      <c r="D1600" s="1129">
        <v>0</v>
      </c>
      <c r="E1600" s="1129">
        <v>0</v>
      </c>
      <c r="F1600" s="1129">
        <v>0</v>
      </c>
      <c r="G1600" s="1129">
        <v>0</v>
      </c>
      <c r="H1600" s="1129">
        <v>0</v>
      </c>
      <c r="I1600" s="1129">
        <v>0</v>
      </c>
      <c r="J1600" s="1129">
        <v>0</v>
      </c>
      <c r="K1600" s="1136">
        <v>0</v>
      </c>
      <c r="L1600" s="1129">
        <v>0</v>
      </c>
      <c r="M1600" s="1136">
        <v>0</v>
      </c>
      <c r="N1600" s="1129">
        <v>0</v>
      </c>
      <c r="O1600" s="1129">
        <v>549.65</v>
      </c>
      <c r="P1600" s="1129">
        <v>1725220</v>
      </c>
      <c r="Q1600" s="1129">
        <v>0</v>
      </c>
      <c r="R1600" s="1129">
        <v>0</v>
      </c>
      <c r="S1600" s="1129">
        <v>0</v>
      </c>
      <c r="T1600" s="1129">
        <v>0</v>
      </c>
      <c r="U1600" s="1129">
        <v>0</v>
      </c>
      <c r="V1600" s="1129">
        <v>0</v>
      </c>
      <c r="W1600" s="1129">
        <v>0</v>
      </c>
      <c r="X1600" s="1129">
        <v>135126</v>
      </c>
      <c r="Y1600" s="1129">
        <v>0</v>
      </c>
    </row>
    <row r="1601" spans="1:25" ht="144" customHeight="1">
      <c r="A1601" s="1280"/>
      <c r="B1601" s="1135" t="s">
        <v>1167</v>
      </c>
      <c r="C1601" s="1129">
        <f>C1602</f>
        <v>1626080</v>
      </c>
      <c r="D1601" s="1129">
        <f t="shared" ref="D1601:Y1601" si="751">D1602</f>
        <v>0</v>
      </c>
      <c r="E1601" s="1129">
        <f t="shared" si="751"/>
        <v>0</v>
      </c>
      <c r="F1601" s="1129">
        <f t="shared" si="751"/>
        <v>0</v>
      </c>
      <c r="G1601" s="1129">
        <f t="shared" si="751"/>
        <v>0</v>
      </c>
      <c r="H1601" s="1129">
        <f t="shared" si="751"/>
        <v>0</v>
      </c>
      <c r="I1601" s="1129">
        <f t="shared" si="751"/>
        <v>0</v>
      </c>
      <c r="J1601" s="1129">
        <f t="shared" si="751"/>
        <v>0</v>
      </c>
      <c r="K1601" s="1136">
        <v>0</v>
      </c>
      <c r="L1601" s="1129">
        <f t="shared" si="751"/>
        <v>0</v>
      </c>
      <c r="M1601" s="1136">
        <v>0</v>
      </c>
      <c r="N1601" s="1129">
        <f t="shared" si="751"/>
        <v>0</v>
      </c>
      <c r="O1601" s="1129">
        <f t="shared" si="751"/>
        <v>598.45000000000005</v>
      </c>
      <c r="P1601" s="1129">
        <f t="shared" si="751"/>
        <v>1507970</v>
      </c>
      <c r="Q1601" s="1129">
        <f t="shared" si="751"/>
        <v>0</v>
      </c>
      <c r="R1601" s="1129">
        <f t="shared" si="751"/>
        <v>0</v>
      </c>
      <c r="S1601" s="1129">
        <f t="shared" si="751"/>
        <v>0</v>
      </c>
      <c r="T1601" s="1129">
        <f t="shared" si="751"/>
        <v>0</v>
      </c>
      <c r="U1601" s="1129">
        <f t="shared" si="751"/>
        <v>0</v>
      </c>
      <c r="V1601" s="1129">
        <f t="shared" si="751"/>
        <v>0</v>
      </c>
      <c r="W1601" s="1129">
        <v>0</v>
      </c>
      <c r="X1601" s="1129">
        <f t="shared" si="751"/>
        <v>118110</v>
      </c>
      <c r="Y1601" s="1129">
        <f t="shared" si="751"/>
        <v>0</v>
      </c>
    </row>
    <row r="1602" spans="1:25" ht="69" customHeight="1">
      <c r="A1602" s="1280">
        <v>506</v>
      </c>
      <c r="B1602" s="1135" t="s">
        <v>1266</v>
      </c>
      <c r="C1602" s="1129">
        <f>P1602+X1602</f>
        <v>1626080</v>
      </c>
      <c r="D1602" s="1129">
        <v>0</v>
      </c>
      <c r="E1602" s="1145">
        <v>0</v>
      </c>
      <c r="F1602" s="1145">
        <v>0</v>
      </c>
      <c r="G1602" s="1145">
        <v>0</v>
      </c>
      <c r="H1602" s="1145">
        <v>0</v>
      </c>
      <c r="I1602" s="1145">
        <v>0</v>
      </c>
      <c r="J1602" s="1145">
        <v>0</v>
      </c>
      <c r="K1602" s="1136">
        <v>0</v>
      </c>
      <c r="L1602" s="1145">
        <v>0</v>
      </c>
      <c r="M1602" s="1136">
        <v>0</v>
      </c>
      <c r="N1602" s="1145">
        <v>0</v>
      </c>
      <c r="O1602" s="1145">
        <v>598.45000000000005</v>
      </c>
      <c r="P1602" s="1145">
        <v>1507970</v>
      </c>
      <c r="Q1602" s="1145">
        <v>0</v>
      </c>
      <c r="R1602" s="1145">
        <v>0</v>
      </c>
      <c r="S1602" s="1145">
        <v>0</v>
      </c>
      <c r="T1602" s="1145">
        <v>0</v>
      </c>
      <c r="U1602" s="1145">
        <v>0</v>
      </c>
      <c r="V1602" s="1145">
        <v>0</v>
      </c>
      <c r="W1602" s="1129">
        <v>0</v>
      </c>
      <c r="X1602" s="1145">
        <v>118110</v>
      </c>
      <c r="Y1602" s="1145">
        <v>0</v>
      </c>
    </row>
    <row r="1603" spans="1:25">
      <c r="A1603" s="1418" t="s">
        <v>2288</v>
      </c>
      <c r="B1603" s="1418"/>
      <c r="C1603" s="1418"/>
      <c r="D1603" s="1418"/>
      <c r="E1603" s="1418"/>
      <c r="F1603" s="1418"/>
      <c r="G1603" s="1418"/>
      <c r="H1603" s="1418"/>
      <c r="I1603" s="1418"/>
      <c r="J1603" s="1418"/>
      <c r="K1603" s="1418"/>
      <c r="L1603" s="1418"/>
      <c r="M1603" s="1418"/>
      <c r="N1603" s="1418"/>
      <c r="O1603" s="1418"/>
      <c r="P1603" s="1418"/>
      <c r="Q1603" s="1418"/>
      <c r="R1603" s="1418"/>
      <c r="S1603" s="1418"/>
      <c r="T1603" s="1418"/>
      <c r="U1603" s="1418"/>
      <c r="V1603" s="1418"/>
      <c r="W1603" s="1418"/>
      <c r="X1603" s="1418"/>
      <c r="Y1603" s="1418"/>
    </row>
    <row r="1604" spans="1:25">
      <c r="A1604" s="1418" t="s">
        <v>2289</v>
      </c>
      <c r="B1604" s="1418"/>
      <c r="C1604" s="1418"/>
      <c r="D1604" s="1418"/>
      <c r="E1604" s="1418"/>
      <c r="F1604" s="1418"/>
      <c r="G1604" s="1418"/>
      <c r="H1604" s="1418"/>
      <c r="I1604" s="1418"/>
      <c r="J1604" s="1418"/>
      <c r="K1604" s="1418"/>
      <c r="L1604" s="1418"/>
      <c r="M1604" s="1418"/>
      <c r="N1604" s="1418"/>
      <c r="O1604" s="1418"/>
      <c r="P1604" s="1418"/>
      <c r="Q1604" s="1418"/>
      <c r="R1604" s="1418"/>
      <c r="S1604" s="1418"/>
      <c r="T1604" s="1418"/>
      <c r="U1604" s="1418"/>
      <c r="V1604" s="1418"/>
      <c r="W1604" s="1418"/>
      <c r="X1604" s="1418"/>
      <c r="Y1604" s="1418"/>
    </row>
    <row r="1605" spans="1:25">
      <c r="A1605" s="1418" t="s">
        <v>2290</v>
      </c>
      <c r="B1605" s="1418"/>
      <c r="C1605" s="1418"/>
      <c r="D1605" s="1418"/>
      <c r="E1605" s="1418"/>
      <c r="F1605" s="1418"/>
      <c r="G1605" s="1418"/>
      <c r="H1605" s="1418"/>
      <c r="I1605" s="1418"/>
      <c r="J1605" s="1418"/>
      <c r="K1605" s="1418"/>
      <c r="L1605" s="1418"/>
      <c r="M1605" s="1418"/>
      <c r="N1605" s="1418"/>
      <c r="O1605" s="1418"/>
      <c r="P1605" s="1418"/>
      <c r="Q1605" s="1418"/>
      <c r="R1605" s="1418"/>
      <c r="S1605" s="1418"/>
      <c r="T1605" s="1418"/>
      <c r="U1605" s="1418"/>
      <c r="V1605" s="1418"/>
      <c r="W1605" s="1418"/>
      <c r="X1605" s="1418"/>
      <c r="Y1605" s="1418"/>
    </row>
    <row r="1606" spans="1:25" ht="119.25" customHeight="1">
      <c r="A1606" s="1420" t="s">
        <v>2796</v>
      </c>
      <c r="B1606" s="1420"/>
      <c r="C1606" s="1420"/>
      <c r="D1606" s="1420"/>
      <c r="E1606" s="1420"/>
      <c r="F1606" s="1420"/>
      <c r="G1606" s="1420"/>
      <c r="H1606" s="1420"/>
      <c r="I1606" s="1420"/>
      <c r="J1606" s="1420"/>
      <c r="K1606" s="1420"/>
      <c r="L1606" s="1420"/>
      <c r="M1606" s="1420"/>
      <c r="N1606" s="1420"/>
      <c r="O1606" s="1420"/>
      <c r="P1606" s="1420"/>
      <c r="Q1606" s="1420"/>
      <c r="R1606" s="1420"/>
      <c r="S1606" s="1420"/>
      <c r="T1606" s="1420"/>
      <c r="U1606" s="1420"/>
      <c r="V1606" s="1420"/>
      <c r="W1606" s="1420"/>
      <c r="X1606" s="1420"/>
      <c r="Y1606" s="1420"/>
    </row>
    <row r="1607" spans="1:25">
      <c r="A1607" s="1421" t="s">
        <v>2272</v>
      </c>
      <c r="B1607" s="1421"/>
      <c r="C1607" s="1421"/>
      <c r="D1607" s="1421"/>
      <c r="E1607" s="1421"/>
      <c r="F1607" s="1421"/>
      <c r="G1607" s="1421"/>
      <c r="H1607" s="1421"/>
      <c r="I1607" s="1421"/>
      <c r="J1607" s="1421"/>
      <c r="K1607" s="1421"/>
      <c r="L1607" s="1421"/>
      <c r="M1607" s="1421"/>
      <c r="N1607" s="1421"/>
      <c r="O1607" s="1421"/>
      <c r="P1607" s="1421"/>
      <c r="Q1607" s="1421"/>
      <c r="R1607" s="1421"/>
      <c r="S1607" s="1421"/>
      <c r="T1607" s="1421"/>
      <c r="U1607" s="1421"/>
      <c r="V1607" s="1421"/>
      <c r="W1607" s="1421"/>
      <c r="X1607" s="1421"/>
      <c r="Y1607" s="1421"/>
    </row>
    <row r="1608" spans="1:25">
      <c r="A1608" s="1421"/>
      <c r="B1608" s="1421"/>
      <c r="C1608" s="1421"/>
      <c r="D1608" s="1421"/>
      <c r="E1608" s="1421"/>
      <c r="F1608" s="1421"/>
      <c r="G1608" s="1421"/>
      <c r="H1608" s="1421"/>
      <c r="I1608" s="1421"/>
      <c r="J1608" s="1421"/>
      <c r="K1608" s="1421"/>
      <c r="L1608" s="1421"/>
      <c r="M1608" s="1421"/>
      <c r="N1608" s="1421"/>
      <c r="O1608" s="1421"/>
      <c r="P1608" s="1421"/>
      <c r="Q1608" s="1421"/>
      <c r="R1608" s="1421"/>
      <c r="S1608" s="1421"/>
      <c r="T1608" s="1421"/>
      <c r="U1608" s="1421"/>
      <c r="V1608" s="1421"/>
      <c r="W1608" s="1421"/>
      <c r="X1608" s="1421"/>
      <c r="Y1608" s="1421"/>
    </row>
    <row r="1609" spans="1:25">
      <c r="A1609" s="1419"/>
      <c r="B1609" s="1419"/>
      <c r="C1609" s="1419"/>
      <c r="D1609" s="1419"/>
      <c r="E1609" s="1419"/>
      <c r="F1609" s="1419"/>
      <c r="G1609" s="1419"/>
      <c r="H1609" s="1419"/>
      <c r="I1609" s="1419"/>
      <c r="J1609" s="1419"/>
      <c r="K1609" s="1419"/>
      <c r="L1609" s="1419"/>
      <c r="M1609" s="1419"/>
      <c r="N1609" s="1419"/>
      <c r="O1609" s="1419"/>
      <c r="P1609" s="1419"/>
      <c r="Q1609" s="1419"/>
      <c r="R1609" s="1419"/>
      <c r="S1609" s="1419"/>
      <c r="T1609" s="1419"/>
      <c r="U1609" s="1419"/>
      <c r="V1609" s="1419"/>
      <c r="W1609" s="1419"/>
      <c r="X1609" s="1419"/>
      <c r="Y1609" s="1419"/>
    </row>
    <row r="1610" spans="1:25">
      <c r="A1610" s="1419"/>
      <c r="B1610" s="1419"/>
      <c r="C1610" s="1419"/>
      <c r="D1610" s="1419"/>
      <c r="E1610" s="1419"/>
      <c r="F1610" s="1419"/>
      <c r="G1610" s="1419"/>
      <c r="H1610" s="1419"/>
      <c r="I1610" s="1419"/>
      <c r="J1610" s="1419"/>
      <c r="K1610" s="1419"/>
      <c r="L1610" s="1419"/>
      <c r="M1610" s="1419"/>
      <c r="N1610" s="1419"/>
      <c r="O1610" s="1419"/>
      <c r="P1610" s="1419"/>
      <c r="Q1610" s="1419"/>
      <c r="R1610" s="1419"/>
      <c r="S1610" s="1419"/>
      <c r="T1610" s="1419"/>
      <c r="U1610" s="1419"/>
      <c r="V1610" s="1419"/>
      <c r="W1610" s="1419"/>
      <c r="X1610" s="1419"/>
      <c r="Y1610" s="1419"/>
    </row>
    <row r="1611" spans="1:25">
      <c r="A1611" s="1419"/>
      <c r="B1611" s="1419"/>
      <c r="C1611" s="1419"/>
      <c r="D1611" s="1419"/>
      <c r="E1611" s="1419"/>
      <c r="F1611" s="1419"/>
      <c r="G1611" s="1419"/>
      <c r="H1611" s="1419"/>
      <c r="I1611" s="1419"/>
      <c r="J1611" s="1419"/>
      <c r="K1611" s="1419"/>
      <c r="L1611" s="1419"/>
      <c r="M1611" s="1419"/>
      <c r="N1611" s="1419"/>
      <c r="O1611" s="1419"/>
      <c r="P1611" s="1419"/>
      <c r="Q1611" s="1419"/>
      <c r="R1611" s="1419"/>
      <c r="S1611" s="1419"/>
      <c r="T1611" s="1419"/>
      <c r="U1611" s="1419"/>
      <c r="V1611" s="1419"/>
      <c r="W1611" s="1419"/>
      <c r="X1611" s="1419"/>
      <c r="Y1611" s="1419"/>
    </row>
  </sheetData>
  <autoFilter ref="A7:Y1607"/>
  <sortState ref="B1754:AK1760">
    <sortCondition ref="B851:B857"/>
  </sortState>
  <dataConsolidate/>
  <customSheetViews>
    <customSheetView guid="{971AA6D5-B469-4A54-816C-1252CCB6D265}" scale="55" showPageBreaks="1" fitToPage="1" printArea="1" showAutoFilter="1" view="pageBreakPreview">
      <pane ySplit="7" topLeftCell="A583" activePane="bottomLeft" state="frozen"/>
      <selection pane="bottomLeft" activeCell="A589" sqref="A589:X589"/>
      <pageMargins left="0.39370078740157483" right="0.31" top="0.74803149606299213" bottom="0.43307086614173229" header="0.51181102362204722" footer="0.31496062992125984"/>
      <printOptions horizontalCentered="1"/>
      <pageSetup paperSize="9" scale="32" firstPageNumber="59" fitToHeight="0" orientation="landscape" useFirstPageNumber="1" r:id="rId1"/>
      <headerFooter>
        <oddHeader>&amp;C&amp;"Times New Roman,обычный"&amp;18&amp;P</oddHeader>
      </headerFooter>
      <autoFilter ref="A7:AE1458"/>
    </customSheetView>
    <customSheetView guid="{DFE5B545-478C-4B86-847C-1FEE882C6F69}" scale="55" showPageBreaks="1" fitToPage="1" printArea="1" showAutoFilter="1" view="pageBreakPreview" topLeftCell="G1">
      <pane ySplit="7" topLeftCell="A41" activePane="bottomLeft" state="frozen"/>
      <selection pane="bottomLeft" activeCell="A55" sqref="A55:XFD55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2"/>
      <headerFooter>
        <oddHeader>&amp;C&amp;"Times New Roman,обычный"&amp;18&amp;P</oddHeader>
      </headerFooter>
      <autoFilter ref="A7:AQ1601"/>
    </customSheetView>
    <customSheetView guid="{4C44C113-DA02-468D-99C5-83FA6693F42F}" scale="55" showPageBreaks="1" fitToPage="1" printArea="1" showAutoFilter="1" view="pageBreakPreview">
      <pane ySplit="7" topLeftCell="A8" activePane="bottomLeft" state="frozen"/>
      <selection pane="bottomLeft" activeCell="E23" sqref="E23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3"/>
      <headerFooter>
        <oddHeader>&amp;C&amp;"Times New Roman,обычный"&amp;18&amp;P</oddHeader>
      </headerFooter>
      <autoFilter ref="A7:AQ1601"/>
    </customSheetView>
    <customSheetView guid="{570403C4-1D93-4175-B4D8-BD47D46CE99C}" scale="85" showPageBreaks="1" fitToPage="1" printArea="1" showAutoFilter="1" hiddenColumns="1" view="pageBreakPreview">
      <pane ySplit="7" topLeftCell="A409" activePane="bottomLeft" state="frozen"/>
      <selection pane="bottomLeft" activeCell="B415" sqref="B415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4"/>
      <headerFooter>
        <oddHeader>&amp;C&amp;"Times New Roman,обычный"&amp;18&amp;P</oddHeader>
      </headerFooter>
      <autoFilter ref="A7:AV1601"/>
    </customSheetView>
    <customSheetView guid="{B1841E62-04AF-4786-8B2B-B1F42C88E6D1}" scale="63" showPageBreaks="1" fitToPage="1" printArea="1" showAutoFilter="1" hiddenColumns="1" view="pageBreakPreview">
      <pane ySplit="7" topLeftCell="A741" activePane="bottomLeft" state="frozen"/>
      <selection pane="bottomLeft" activeCell="AC747" sqref="AC747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5"/>
      <headerFooter>
        <oddHeader>&amp;C&amp;"Times New Roman,обычный"&amp;18&amp;P</oddHeader>
      </headerFooter>
      <autoFilter ref="A7:AV1667"/>
    </customSheetView>
    <customSheetView guid="{A28C0ADC-4E0C-4A0A-ACB1-DA409183476D}" scale="80" showPageBreaks="1" fitToPage="1" printArea="1" showAutoFilter="1" hiddenColumns="1" view="pageBreakPreview">
      <pane ySplit="7" topLeftCell="A957" activePane="bottomLeft" state="frozen"/>
      <selection pane="bottomLeft" activeCell="L973" sqref="L973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6"/>
      <headerFooter>
        <oddHeader>&amp;C&amp;"Times New Roman,обычный"&amp;18&amp;P</oddHeader>
      </headerFooter>
      <autoFilter ref="A7:AV1601"/>
    </customSheetView>
    <customSheetView guid="{144E5A37-1CF2-41F0-BEF8-CB5D4D392E2A}" scale="55" showPageBreaks="1" fitToPage="1" printArea="1" showAutoFilter="1" hiddenColumns="1" view="pageBreakPreview">
      <pane ySplit="7" topLeftCell="A1566" activePane="bottomLeft" state="frozen"/>
      <selection pane="bottomLeft" activeCell="B1381" sqref="B138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7"/>
      <headerFooter>
        <oddHeader>&amp;C&amp;"Times New Roman,обычный"&amp;18&amp;P</oddHeader>
      </headerFooter>
      <autoFilter ref="A7:AV1601"/>
    </customSheetView>
    <customSheetView guid="{7A75CCE7-0E84-47E6-A162-5AC0354F2967}" scale="85" showPageBreaks="1" fitToPage="1" printArea="1" showAutoFilter="1" hiddenColumns="1" view="pageBreakPreview">
      <pane ySplit="7" topLeftCell="A696" activePane="bottomLeft" state="frozen"/>
      <selection pane="bottomLeft" activeCell="F701" sqref="F70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8"/>
      <headerFooter>
        <oddHeader>&amp;C&amp;"Times New Roman,обычный"&amp;18&amp;P</oddHeader>
      </headerFooter>
      <autoFilter ref="A7:AV1601"/>
    </customSheetView>
    <customSheetView guid="{A6187BD3-0BA4-497C-8924-4FA3D77530F0}" scale="85" showPageBreaks="1" fitToPage="1" printArea="1" showAutoFilter="1" hiddenColumns="1" view="pageBreakPreview">
      <pane ySplit="7" topLeftCell="A347" activePane="bottomLeft" state="frozen"/>
      <selection pane="bottomLeft" activeCell="C348" sqref="C348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9"/>
      <headerFooter>
        <oddHeader>&amp;C&amp;"Times New Roman,обычный"&amp;18&amp;P</oddHeader>
      </headerFooter>
      <autoFilter ref="A7:AV1601"/>
    </customSheetView>
    <customSheetView guid="{DC88C499-913F-4D15-846E-E5B9D5E047D7}" scale="70" showPageBreaks="1" fitToPage="1" printArea="1" showAutoFilter="1" view="pageBreakPreview">
      <pane ySplit="7" topLeftCell="A723" activePane="bottomLeft" state="frozen"/>
      <selection pane="bottomLeft" activeCell="F734" sqref="F734"/>
      <rowBreaks count="2" manualBreakCount="2">
        <brk id="1499" max="40" man="1"/>
        <brk id="1599" max="40" man="1"/>
      </rowBreaks>
      <pageMargins left="0.39370078740157483" right="0.19685039370078741" top="1.1811023622047245" bottom="0.59055118110236227" header="0.51181102362204722" footer="0.31496062992125984"/>
      <printOptions horizontalCentered="1"/>
      <pageSetup paperSize="9" scale="22" firstPageNumber="50" fitToHeight="0" orientation="landscape" useFirstPageNumber="1" r:id="rId10"/>
      <headerFooter>
        <oddHeader>&amp;C&amp;"Times New Roman,обычный"&amp;18&amp;P</oddHeader>
      </headerFooter>
      <autoFilter ref="A7:AV1601"/>
    </customSheetView>
  </customSheetViews>
  <mergeCells count="35">
    <mergeCell ref="A1603:Y1603"/>
    <mergeCell ref="A1604:Y1604"/>
    <mergeCell ref="A1023:Y1023"/>
    <mergeCell ref="A1610:Y1610"/>
    <mergeCell ref="A1611:Y1611"/>
    <mergeCell ref="A1605:Y1605"/>
    <mergeCell ref="A1606:Y1606"/>
    <mergeCell ref="A1607:Y1607"/>
    <mergeCell ref="A1608:Y1608"/>
    <mergeCell ref="A1609:Y1609"/>
    <mergeCell ref="A742:Y742"/>
    <mergeCell ref="A1:V1"/>
    <mergeCell ref="A2:A6"/>
    <mergeCell ref="B2:B6"/>
    <mergeCell ref="C2:C5"/>
    <mergeCell ref="D3:J3"/>
    <mergeCell ref="M3:N5"/>
    <mergeCell ref="O3:P5"/>
    <mergeCell ref="Q3:R5"/>
    <mergeCell ref="S3:T5"/>
    <mergeCell ref="U3:V5"/>
    <mergeCell ref="K3:L5"/>
    <mergeCell ref="D2:Y2"/>
    <mergeCell ref="Y3:Y5"/>
    <mergeCell ref="W3:W5"/>
    <mergeCell ref="I4:I5"/>
    <mergeCell ref="D4:D5"/>
    <mergeCell ref="X3:X5"/>
    <mergeCell ref="J4:J5"/>
    <mergeCell ref="A8:Y8"/>
    <mergeCell ref="A436:Y436"/>
    <mergeCell ref="H4:H5"/>
    <mergeCell ref="G4:G5"/>
    <mergeCell ref="F4:F5"/>
    <mergeCell ref="E4:E5"/>
  </mergeCells>
  <printOptions horizontalCentered="1"/>
  <pageMargins left="0.19685039370078741" right="0.19685039370078741" top="1.1811023622047245" bottom="0.23622047244094491" header="0.70866141732283472" footer="0.31496062992125984"/>
  <pageSetup paperSize="9" scale="16" firstPageNumber="61" fitToHeight="0" orientation="landscape" useFirstPageNumber="1" r:id="rId11"/>
  <headerFooter>
    <oddHeader>&amp;C&amp;"Times New Roman,обычный"&amp;25&amp;P</oddHeader>
  </headerFooter>
  <rowBreaks count="1" manualBreakCount="1">
    <brk id="1472" max="2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6"/>
  <sheetViews>
    <sheetView view="pageBreakPreview" zoomScale="120" zoomScaleNormal="72" zoomScaleSheetLayoutView="120" workbookViewId="0">
      <selection activeCell="B20" sqref="B20"/>
    </sheetView>
  </sheetViews>
  <sheetFormatPr defaultColWidth="8.85546875" defaultRowHeight="15"/>
  <cols>
    <col min="1" max="1" width="5.7109375" style="1123" customWidth="1"/>
    <col min="2" max="2" width="60.5703125" style="11" customWidth="1"/>
    <col min="3" max="3" width="19.7109375" style="1124" customWidth="1"/>
    <col min="4" max="4" width="25.85546875" style="1125" customWidth="1"/>
    <col min="5" max="5" width="24" style="1199" customWidth="1"/>
    <col min="6" max="6" width="29.5703125" style="11" customWidth="1"/>
    <col min="7" max="16384" width="8.85546875" style="11"/>
  </cols>
  <sheetData>
    <row r="1" spans="1:14" ht="39" customHeight="1">
      <c r="A1" s="1423" t="s">
        <v>124</v>
      </c>
      <c r="B1" s="1423"/>
      <c r="C1" s="1423"/>
      <c r="D1" s="1423"/>
      <c r="E1" s="1423"/>
      <c r="F1" s="1423"/>
    </row>
    <row r="2" spans="1:14" ht="62.25" customHeight="1">
      <c r="A2" s="1424" t="s">
        <v>1096</v>
      </c>
      <c r="B2" s="1424" t="s">
        <v>1142</v>
      </c>
      <c r="C2" s="1425" t="s">
        <v>460</v>
      </c>
      <c r="D2" s="1426" t="s">
        <v>441</v>
      </c>
      <c r="E2" s="1427" t="s">
        <v>1114</v>
      </c>
      <c r="F2" s="1424" t="s">
        <v>7</v>
      </c>
    </row>
    <row r="3" spans="1:14" ht="7.9" customHeight="1">
      <c r="A3" s="1424"/>
      <c r="B3" s="1424"/>
      <c r="C3" s="1425"/>
      <c r="D3" s="1426"/>
      <c r="E3" s="1427"/>
      <c r="F3" s="1424"/>
    </row>
    <row r="4" spans="1:14">
      <c r="A4" s="1424"/>
      <c r="B4" s="1424"/>
      <c r="C4" s="1237" t="s">
        <v>21</v>
      </c>
      <c r="D4" s="1113" t="s">
        <v>16</v>
      </c>
      <c r="E4" s="1118" t="s">
        <v>23</v>
      </c>
      <c r="F4" s="1235" t="s">
        <v>17</v>
      </c>
    </row>
    <row r="5" spans="1:14" ht="12.75" customHeight="1">
      <c r="A5" s="1238">
        <v>1</v>
      </c>
      <c r="B5" s="1238">
        <v>2</v>
      </c>
      <c r="C5" s="1114">
        <v>3</v>
      </c>
      <c r="D5" s="1115">
        <v>4</v>
      </c>
      <c r="E5" s="1198">
        <v>5</v>
      </c>
      <c r="F5" s="1238">
        <v>6</v>
      </c>
    </row>
    <row r="6" spans="1:14" ht="15" customHeight="1">
      <c r="A6" s="1428" t="s">
        <v>205</v>
      </c>
      <c r="B6" s="1428"/>
      <c r="C6" s="1428"/>
      <c r="D6" s="1428"/>
      <c r="E6" s="1428"/>
      <c r="F6" s="1428"/>
      <c r="N6" s="11" t="s">
        <v>1663</v>
      </c>
    </row>
    <row r="7" spans="1:14" ht="15" customHeight="1">
      <c r="A7" s="1235"/>
      <c r="B7" s="1117" t="s">
        <v>205</v>
      </c>
      <c r="C7" s="4">
        <f>C9+C90+C154+C223</f>
        <v>3064739.8699999992</v>
      </c>
      <c r="D7" s="1113">
        <f>D9+D90+D154+D223</f>
        <v>106999</v>
      </c>
      <c r="E7" s="1118">
        <f>E9+E90+E154+E223</f>
        <v>1307</v>
      </c>
      <c r="F7" s="1119">
        <f>F9+F90+F154+F223</f>
        <v>4504126137.6640539</v>
      </c>
    </row>
    <row r="8" spans="1:14" s="1116" customFormat="1" ht="16.899999999999999" customHeight="1">
      <c r="A8" s="1422" t="s">
        <v>2808</v>
      </c>
      <c r="B8" s="1422"/>
      <c r="C8" s="1422"/>
      <c r="D8" s="1422"/>
      <c r="E8" s="1422"/>
      <c r="F8" s="1422"/>
    </row>
    <row r="9" spans="1:14" s="1116" customFormat="1" ht="16.899999999999999" customHeight="1">
      <c r="A9" s="1235"/>
      <c r="B9" s="1117" t="s">
        <v>42</v>
      </c>
      <c r="C9" s="4">
        <f>C10+C11+C12+C13+C14+C15+C17+C18+C21+C22+C24+C25+C35+C37+C38+C43+C50+C51+C53+C54+C59+C60+C62+C63+C64+C65+C66+C68+C72+C73+C74+C75+C77+C80+C82+C84+C85</f>
        <v>780115.04999999981</v>
      </c>
      <c r="D9" s="1113">
        <f t="shared" ref="D9:F9" si="0">D10+D11+D12+D13+D14+D15+D17+D18+D21+D22+D24+D25+D35+D37+D38+D43+D50+D51+D53+D54+D59+D60+D62+D63+D64+D65+D66+D68+D72+D73+D74+D75+D77+D80+D82+D84+D85</f>
        <v>27404</v>
      </c>
      <c r="E9" s="1113">
        <f t="shared" si="0"/>
        <v>347</v>
      </c>
      <c r="F9" s="1119">
        <f t="shared" si="0"/>
        <v>1074302820.3199999</v>
      </c>
    </row>
    <row r="10" spans="1:14" s="1116" customFormat="1" ht="16.899999999999999" customHeight="1">
      <c r="A10" s="1235">
        <v>1</v>
      </c>
      <c r="B10" s="1117" t="s">
        <v>1083</v>
      </c>
      <c r="C10" s="4">
        <v>315331.46000000002</v>
      </c>
      <c r="D10" s="1118">
        <v>11023</v>
      </c>
      <c r="E10" s="1118">
        <v>85</v>
      </c>
      <c r="F10" s="1119">
        <v>365931476.26999998</v>
      </c>
    </row>
    <row r="11" spans="1:14" s="1116" customFormat="1" ht="16.899999999999999" customHeight="1">
      <c r="A11" s="1235">
        <v>2</v>
      </c>
      <c r="B11" s="1117" t="s">
        <v>1393</v>
      </c>
      <c r="C11" s="4">
        <f>'2-60'!H96</f>
        <v>34314.01</v>
      </c>
      <c r="D11" s="1118">
        <f>'2-60'!K96</f>
        <v>1272</v>
      </c>
      <c r="E11" s="1118">
        <v>34</v>
      </c>
      <c r="F11" s="1119">
        <f>'2-60'!L96</f>
        <v>77767080.439999968</v>
      </c>
    </row>
    <row r="12" spans="1:14" s="1116" customFormat="1" ht="16.899999999999999" customHeight="1">
      <c r="A12" s="1235">
        <v>3</v>
      </c>
      <c r="B12" s="1117" t="s">
        <v>1062</v>
      </c>
      <c r="C12" s="4">
        <f>'2-60'!H131</f>
        <v>13747.900000000001</v>
      </c>
      <c r="D12" s="1118">
        <f>'2-60'!K131</f>
        <v>501</v>
      </c>
      <c r="E12" s="1118">
        <v>10</v>
      </c>
      <c r="F12" s="1119">
        <f>'2-60'!L131</f>
        <v>17889512.890000001</v>
      </c>
    </row>
    <row r="13" spans="1:14" s="1116" customFormat="1" ht="16.899999999999999" customHeight="1">
      <c r="A13" s="1235">
        <v>4</v>
      </c>
      <c r="B13" s="1117" t="s">
        <v>1124</v>
      </c>
      <c r="C13" s="4">
        <f>'2-60'!H142</f>
        <v>16929.599999999999</v>
      </c>
      <c r="D13" s="1118">
        <f>'2-60'!K142</f>
        <v>501</v>
      </c>
      <c r="E13" s="1118">
        <v>3</v>
      </c>
      <c r="F13" s="1119">
        <f>'2-60'!L142</f>
        <v>13178092.4</v>
      </c>
    </row>
    <row r="14" spans="1:14" s="1116" customFormat="1" ht="16.899999999999999" customHeight="1">
      <c r="A14" s="1235">
        <v>5</v>
      </c>
      <c r="B14" s="1117" t="s">
        <v>1435</v>
      </c>
      <c r="C14" s="4">
        <f>'2-60'!H146</f>
        <v>937.3</v>
      </c>
      <c r="D14" s="1118">
        <f>'2-60'!K146</f>
        <v>19</v>
      </c>
      <c r="E14" s="1118">
        <v>2</v>
      </c>
      <c r="F14" s="1119">
        <f>'2-60'!L146</f>
        <v>3858446</v>
      </c>
    </row>
    <row r="15" spans="1:14" s="1116" customFormat="1" ht="16.899999999999999" customHeight="1">
      <c r="A15" s="1235"/>
      <c r="B15" s="1117" t="s">
        <v>41</v>
      </c>
      <c r="C15" s="4">
        <f>C16</f>
        <v>27358.899999999998</v>
      </c>
      <c r="D15" s="1118">
        <f t="shared" ref="D15:F15" si="1">D16</f>
        <v>1054</v>
      </c>
      <c r="E15" s="1118">
        <f t="shared" si="1"/>
        <v>18</v>
      </c>
      <c r="F15" s="1119">
        <f t="shared" si="1"/>
        <v>50217234.579999998</v>
      </c>
    </row>
    <row r="16" spans="1:14" s="1116" customFormat="1" ht="16.899999999999999" customHeight="1">
      <c r="A16" s="1235">
        <v>6</v>
      </c>
      <c r="B16" s="1117" t="s">
        <v>1063</v>
      </c>
      <c r="C16" s="4">
        <f>'2-60'!H150</f>
        <v>27358.899999999998</v>
      </c>
      <c r="D16" s="1118">
        <f>'2-60'!K150</f>
        <v>1054</v>
      </c>
      <c r="E16" s="1118">
        <v>18</v>
      </c>
      <c r="F16" s="1119">
        <f>'2-60'!L150</f>
        <v>50217234.579999998</v>
      </c>
    </row>
    <row r="17" spans="1:6" s="1116" customFormat="1" ht="16.899999999999999" customHeight="1">
      <c r="A17" s="1235">
        <v>7</v>
      </c>
      <c r="B17" s="1117" t="s">
        <v>2673</v>
      </c>
      <c r="C17" s="4">
        <f>'2-60'!H169</f>
        <v>2562.1000000000004</v>
      </c>
      <c r="D17" s="1118">
        <f>'2-60'!K169</f>
        <v>77</v>
      </c>
      <c r="E17" s="1118">
        <v>4</v>
      </c>
      <c r="F17" s="1119">
        <f>'2-60'!L169</f>
        <v>1597686.4300000002</v>
      </c>
    </row>
    <row r="18" spans="1:6" s="1116" customFormat="1" ht="16.899999999999999" customHeight="1">
      <c r="A18" s="1235"/>
      <c r="B18" s="1117" t="s">
        <v>43</v>
      </c>
      <c r="C18" s="4">
        <f>C19+C20</f>
        <v>15784.300000000001</v>
      </c>
      <c r="D18" s="1113">
        <f t="shared" ref="D18:F18" si="2">D19+D20</f>
        <v>431</v>
      </c>
      <c r="E18" s="1118">
        <f t="shared" si="2"/>
        <v>8</v>
      </c>
      <c r="F18" s="1119">
        <f t="shared" si="2"/>
        <v>25585661.469999999</v>
      </c>
    </row>
    <row r="19" spans="1:6" s="1116" customFormat="1" ht="16.899999999999999" customHeight="1">
      <c r="A19" s="1235">
        <v>8</v>
      </c>
      <c r="B19" s="1120" t="s">
        <v>1090</v>
      </c>
      <c r="C19" s="4">
        <f>'2-60'!H175</f>
        <v>13511.400000000001</v>
      </c>
      <c r="D19" s="1118">
        <f>'2-60'!K175</f>
        <v>355</v>
      </c>
      <c r="E19" s="1118">
        <v>7</v>
      </c>
      <c r="F19" s="1119">
        <f>'2-60'!L175</f>
        <v>23251937.469999999</v>
      </c>
    </row>
    <row r="20" spans="1:6" s="1116" customFormat="1" ht="16.899999999999999" customHeight="1">
      <c r="A20" s="1235">
        <v>9</v>
      </c>
      <c r="B20" s="1117" t="s">
        <v>1139</v>
      </c>
      <c r="C20" s="4">
        <f>'2-60'!H183</f>
        <v>2272.9</v>
      </c>
      <c r="D20" s="1118">
        <f>'2-60'!K183</f>
        <v>76</v>
      </c>
      <c r="E20" s="1118">
        <v>1</v>
      </c>
      <c r="F20" s="1119">
        <f>'2-60'!L183</f>
        <v>2333724</v>
      </c>
    </row>
    <row r="21" spans="1:6" s="1116" customFormat="1" ht="16.899999999999999" customHeight="1">
      <c r="A21" s="1235">
        <v>10</v>
      </c>
      <c r="B21" s="1121" t="s">
        <v>1370</v>
      </c>
      <c r="C21" s="4">
        <f>'2-60'!H185</f>
        <v>1993</v>
      </c>
      <c r="D21" s="1118">
        <f>'2-60'!K185</f>
        <v>39</v>
      </c>
      <c r="E21" s="1118">
        <v>2</v>
      </c>
      <c r="F21" s="1119">
        <f>'2-60'!L185</f>
        <v>3350144</v>
      </c>
    </row>
    <row r="22" spans="1:6" s="1116" customFormat="1" ht="16.899999999999999" customHeight="1">
      <c r="A22" s="1235"/>
      <c r="B22" s="1121" t="s">
        <v>46</v>
      </c>
      <c r="C22" s="4">
        <f>C23</f>
        <v>571.1</v>
      </c>
      <c r="D22" s="1118">
        <f t="shared" ref="D22:F22" si="3">D23</f>
        <v>23</v>
      </c>
      <c r="E22" s="1118">
        <f t="shared" si="3"/>
        <v>1</v>
      </c>
      <c r="F22" s="1119">
        <f t="shared" si="3"/>
        <v>1688916</v>
      </c>
    </row>
    <row r="23" spans="1:6" s="1116" customFormat="1" ht="16.899999999999999" customHeight="1">
      <c r="A23" s="1235">
        <v>11</v>
      </c>
      <c r="B23" s="1120" t="s">
        <v>1085</v>
      </c>
      <c r="C23" s="4">
        <f>'2-60'!H189</f>
        <v>571.1</v>
      </c>
      <c r="D23" s="1118">
        <f>'2-60'!K189</f>
        <v>23</v>
      </c>
      <c r="E23" s="1118">
        <v>1</v>
      </c>
      <c r="F23" s="1119">
        <f>'2-60'!L189</f>
        <v>1688916</v>
      </c>
    </row>
    <row r="24" spans="1:6" s="1116" customFormat="1" ht="16.899999999999999" customHeight="1">
      <c r="A24" s="1235">
        <v>12</v>
      </c>
      <c r="B24" s="1121" t="s">
        <v>1649</v>
      </c>
      <c r="C24" s="4">
        <f>'2-60'!H191</f>
        <v>1789.9</v>
      </c>
      <c r="D24" s="1118">
        <f>'2-60'!K191</f>
        <v>43</v>
      </c>
      <c r="E24" s="1118">
        <v>3</v>
      </c>
      <c r="F24" s="1119">
        <f>'2-60'!L191</f>
        <v>6549572</v>
      </c>
    </row>
    <row r="25" spans="1:6" s="1116" customFormat="1" ht="16.899999999999999" customHeight="1">
      <c r="A25" s="1235"/>
      <c r="B25" s="1117" t="s">
        <v>49</v>
      </c>
      <c r="C25" s="4">
        <f>C29+C31+C27+C32+C33+C34+C28+C26+C30</f>
        <v>19259.12</v>
      </c>
      <c r="D25" s="1118">
        <f t="shared" ref="D25:F25" si="4">D29+D31+D27+D32+D33+D34+D28+D26+D30</f>
        <v>906</v>
      </c>
      <c r="E25" s="1118">
        <f t="shared" si="4"/>
        <v>15</v>
      </c>
      <c r="F25" s="1119">
        <f t="shared" si="4"/>
        <v>36080625.129999995</v>
      </c>
    </row>
    <row r="26" spans="1:6" s="1116" customFormat="1" ht="16.899999999999999" customHeight="1">
      <c r="A26" s="1235">
        <v>13</v>
      </c>
      <c r="B26" s="1120" t="s">
        <v>1350</v>
      </c>
      <c r="C26" s="4">
        <f>'2-60'!H196</f>
        <v>976.7</v>
      </c>
      <c r="D26" s="1118">
        <f>'2-60'!K196</f>
        <v>29</v>
      </c>
      <c r="E26" s="1118">
        <v>1</v>
      </c>
      <c r="F26" s="1119">
        <f>'2-60'!L196</f>
        <v>3012296</v>
      </c>
    </row>
    <row r="27" spans="1:6" s="1116" customFormat="1" ht="16.899999999999999" customHeight="1">
      <c r="A27" s="1235">
        <v>14</v>
      </c>
      <c r="B27" s="1120" t="s">
        <v>1105</v>
      </c>
      <c r="C27" s="4">
        <f>'2-60'!H198</f>
        <v>1996.8000000000002</v>
      </c>
      <c r="D27" s="1118">
        <f>'2-60'!K198</f>
        <v>82</v>
      </c>
      <c r="E27" s="1118">
        <v>2</v>
      </c>
      <c r="F27" s="1119">
        <f>'2-60'!L198</f>
        <v>3043212</v>
      </c>
    </row>
    <row r="28" spans="1:6" s="1116" customFormat="1" ht="16.899999999999999" customHeight="1">
      <c r="A28" s="1235">
        <v>15</v>
      </c>
      <c r="B28" s="1120" t="s">
        <v>1318</v>
      </c>
      <c r="C28" s="4">
        <f>'2-60'!H201</f>
        <v>5273.4</v>
      </c>
      <c r="D28" s="1118">
        <f>'2-60'!K201</f>
        <v>253</v>
      </c>
      <c r="E28" s="1118">
        <v>2</v>
      </c>
      <c r="F28" s="1119">
        <f>'2-60'!L201</f>
        <v>6733926.0899999999</v>
      </c>
    </row>
    <row r="29" spans="1:6" s="1116" customFormat="1" ht="16.899999999999999" customHeight="1">
      <c r="A29" s="1235">
        <v>16</v>
      </c>
      <c r="B29" s="1120" t="s">
        <v>1173</v>
      </c>
      <c r="C29" s="4">
        <f>'2-60'!H204</f>
        <v>1451.82</v>
      </c>
      <c r="D29" s="1118">
        <f>'2-60'!K204</f>
        <v>78</v>
      </c>
      <c r="E29" s="1118">
        <v>1</v>
      </c>
      <c r="F29" s="1119">
        <f>'2-60'!L204</f>
        <v>3143546</v>
      </c>
    </row>
    <row r="30" spans="1:6" s="1116" customFormat="1" ht="16.899999999999999" customHeight="1">
      <c r="A30" s="1235">
        <v>17</v>
      </c>
      <c r="B30" s="1120" t="s">
        <v>1360</v>
      </c>
      <c r="C30" s="4">
        <f>'2-60'!H206</f>
        <v>2407.1999999999998</v>
      </c>
      <c r="D30" s="1118">
        <f>'2-60'!K206</f>
        <v>159</v>
      </c>
      <c r="E30" s="1118">
        <v>2</v>
      </c>
      <c r="F30" s="1119">
        <f>'2-60'!L206</f>
        <v>4827660.26</v>
      </c>
    </row>
    <row r="31" spans="1:6" s="1116" customFormat="1" ht="16.899999999999999" customHeight="1">
      <c r="A31" s="1235">
        <v>18</v>
      </c>
      <c r="B31" s="1120" t="s">
        <v>1095</v>
      </c>
      <c r="C31" s="4">
        <f>'2-60'!H209</f>
        <v>2332.1</v>
      </c>
      <c r="D31" s="1118">
        <f>'2-60'!K209</f>
        <v>95</v>
      </c>
      <c r="E31" s="1118">
        <v>3</v>
      </c>
      <c r="F31" s="1119">
        <f>'2-60'!L209</f>
        <v>7623339.5099999998</v>
      </c>
    </row>
    <row r="32" spans="1:6" s="1116" customFormat="1" ht="16.899999999999999" customHeight="1">
      <c r="A32" s="1235">
        <v>19</v>
      </c>
      <c r="B32" s="1120" t="s">
        <v>1263</v>
      </c>
      <c r="C32" s="4">
        <f>'2-60'!H213</f>
        <v>1237.5</v>
      </c>
      <c r="D32" s="1118">
        <f>'2-60'!K213</f>
        <v>58</v>
      </c>
      <c r="E32" s="1118">
        <v>1</v>
      </c>
      <c r="F32" s="1119">
        <f>'2-60'!L213</f>
        <v>2788912</v>
      </c>
    </row>
    <row r="33" spans="1:6" s="1116" customFormat="1" ht="16.899999999999999" customHeight="1">
      <c r="A33" s="1235">
        <v>20</v>
      </c>
      <c r="B33" s="1120" t="s">
        <v>1106</v>
      </c>
      <c r="C33" s="4">
        <f>'2-60'!H215</f>
        <v>864.2</v>
      </c>
      <c r="D33" s="1118">
        <f>'2-60'!K215</f>
        <v>32</v>
      </c>
      <c r="E33" s="1118">
        <v>1</v>
      </c>
      <c r="F33" s="1119">
        <f>'2-60'!L215</f>
        <v>1723365</v>
      </c>
    </row>
    <row r="34" spans="1:6" s="1116" customFormat="1" ht="16.899999999999999" customHeight="1">
      <c r="A34" s="1235">
        <v>21</v>
      </c>
      <c r="B34" s="1120" t="s">
        <v>1107</v>
      </c>
      <c r="C34" s="4">
        <f>'2-60'!H217</f>
        <v>2719.4</v>
      </c>
      <c r="D34" s="1118">
        <f>'2-60'!K217</f>
        <v>120</v>
      </c>
      <c r="E34" s="1118">
        <v>2</v>
      </c>
      <c r="F34" s="1119">
        <f>'2-60'!L217</f>
        <v>3184368.27</v>
      </c>
    </row>
    <row r="35" spans="1:6" s="1116" customFormat="1" ht="16.899999999999999" customHeight="1">
      <c r="A35" s="1235"/>
      <c r="B35" s="1121" t="s">
        <v>50</v>
      </c>
      <c r="C35" s="4">
        <f>C36</f>
        <v>29928.080000000002</v>
      </c>
      <c r="D35" s="1118">
        <f t="shared" ref="D35" si="5">D36</f>
        <v>992</v>
      </c>
      <c r="E35" s="1118">
        <f>E36</f>
        <v>8</v>
      </c>
      <c r="F35" s="1119">
        <f>F36</f>
        <v>23576771</v>
      </c>
    </row>
    <row r="36" spans="1:6" s="1116" customFormat="1" ht="16.899999999999999" customHeight="1">
      <c r="A36" s="1235">
        <v>22</v>
      </c>
      <c r="B36" s="1120" t="s">
        <v>1067</v>
      </c>
      <c r="C36" s="4">
        <f>'2-60'!H221</f>
        <v>29928.080000000002</v>
      </c>
      <c r="D36" s="1118">
        <f>'2-60'!K221</f>
        <v>992</v>
      </c>
      <c r="E36" s="1118">
        <v>8</v>
      </c>
      <c r="F36" s="1119">
        <f>'2-60'!L221</f>
        <v>23576771</v>
      </c>
    </row>
    <row r="37" spans="1:6" s="1116" customFormat="1" ht="16.899999999999999" customHeight="1">
      <c r="A37" s="1235">
        <v>23</v>
      </c>
      <c r="B37" s="1121" t="s">
        <v>1169</v>
      </c>
      <c r="C37" s="4">
        <f>'2-60'!H230</f>
        <v>14819.099999999999</v>
      </c>
      <c r="D37" s="1118">
        <f>'2-60'!K230</f>
        <v>522</v>
      </c>
      <c r="E37" s="1118">
        <v>8</v>
      </c>
      <c r="F37" s="1119">
        <f>'2-60'!L230</f>
        <v>16702023.25</v>
      </c>
    </row>
    <row r="38" spans="1:6" s="1116" customFormat="1" ht="16.899999999999999" customHeight="1">
      <c r="A38" s="1235"/>
      <c r="B38" s="1121" t="s">
        <v>2788</v>
      </c>
      <c r="C38" s="4">
        <f>C39+C40+C41+C42</f>
        <v>8245.6999999999989</v>
      </c>
      <c r="D38" s="1113">
        <f t="shared" ref="D38:F38" si="6">D39+D40+D41+D42</f>
        <v>312</v>
      </c>
      <c r="E38" s="1113">
        <f t="shared" si="6"/>
        <v>10</v>
      </c>
      <c r="F38" s="1119">
        <f t="shared" si="6"/>
        <v>21372185.59</v>
      </c>
    </row>
    <row r="39" spans="1:6" s="1116" customFormat="1" ht="16.899999999999999" customHeight="1">
      <c r="A39" s="1262">
        <v>24</v>
      </c>
      <c r="B39" s="1121" t="s">
        <v>1060</v>
      </c>
      <c r="C39" s="4">
        <f>'2-60'!H240</f>
        <v>2414.6</v>
      </c>
      <c r="D39" s="1118">
        <f>'2-60'!K240</f>
        <v>115</v>
      </c>
      <c r="E39" s="1118">
        <v>5</v>
      </c>
      <c r="F39" s="1119">
        <f>'2-60'!L240</f>
        <v>5981829</v>
      </c>
    </row>
    <row r="40" spans="1:6" s="1116" customFormat="1" ht="16.899999999999999" customHeight="1">
      <c r="A40" s="1235">
        <v>25</v>
      </c>
      <c r="B40" s="1120" t="s">
        <v>1086</v>
      </c>
      <c r="C40" s="4">
        <f>'2-60'!H246</f>
        <v>3482.2</v>
      </c>
      <c r="D40" s="1118">
        <f>'2-60'!K246</f>
        <v>107</v>
      </c>
      <c r="E40" s="1118">
        <v>3</v>
      </c>
      <c r="F40" s="1119">
        <f>'2-60'!L246</f>
        <v>7653085.3899999997</v>
      </c>
    </row>
    <row r="41" spans="1:6" s="1116" customFormat="1" ht="16.899999999999999" customHeight="1">
      <c r="A41" s="1235">
        <v>26</v>
      </c>
      <c r="B41" s="1120" t="s">
        <v>1084</v>
      </c>
      <c r="C41" s="4">
        <f>'2-60'!H250</f>
        <v>529.9</v>
      </c>
      <c r="D41" s="1118">
        <f>'2-60'!K250</f>
        <v>9</v>
      </c>
      <c r="E41" s="1118">
        <v>1</v>
      </c>
      <c r="F41" s="1119">
        <f>'2-60'!L250</f>
        <v>3246439.14</v>
      </c>
    </row>
    <row r="42" spans="1:6" s="1116" customFormat="1" ht="16.899999999999999" customHeight="1">
      <c r="A42" s="1235">
        <v>27</v>
      </c>
      <c r="B42" s="1120" t="s">
        <v>1319</v>
      </c>
      <c r="C42" s="4">
        <f>'2-60'!H252</f>
        <v>1819</v>
      </c>
      <c r="D42" s="1118">
        <f>'2-60'!K252</f>
        <v>81</v>
      </c>
      <c r="E42" s="1118">
        <v>1</v>
      </c>
      <c r="F42" s="1119">
        <f>'2-60'!L252</f>
        <v>4490832.0599999996</v>
      </c>
    </row>
    <row r="43" spans="1:6" s="1116" customFormat="1" ht="16.899999999999999" customHeight="1">
      <c r="A43" s="1235"/>
      <c r="B43" s="1121" t="s">
        <v>53</v>
      </c>
      <c r="C43" s="4">
        <f>SUM(C44:C49)</f>
        <v>72112.099999999991</v>
      </c>
      <c r="D43" s="1118">
        <f t="shared" ref="D43:F43" si="7">SUM(D44:D49)</f>
        <v>2260</v>
      </c>
      <c r="E43" s="1118">
        <f t="shared" si="7"/>
        <v>20</v>
      </c>
      <c r="F43" s="1119">
        <f t="shared" si="7"/>
        <v>105654341.29000001</v>
      </c>
    </row>
    <row r="44" spans="1:6" s="1116" customFormat="1" ht="16.899999999999999" customHeight="1">
      <c r="A44" s="1235">
        <v>28</v>
      </c>
      <c r="B44" s="1120" t="s">
        <v>1069</v>
      </c>
      <c r="C44" s="4">
        <v>49848.1</v>
      </c>
      <c r="D44" s="1118">
        <v>1490</v>
      </c>
      <c r="E44" s="1118">
        <v>10</v>
      </c>
      <c r="F44" s="1119">
        <v>80820537.290000007</v>
      </c>
    </row>
    <row r="45" spans="1:6" s="1116" customFormat="1" ht="16.899999999999999" customHeight="1">
      <c r="A45" s="1235">
        <v>29</v>
      </c>
      <c r="B45" s="1120" t="s">
        <v>1087</v>
      </c>
      <c r="C45" s="4">
        <f>'2-60'!H262</f>
        <v>1430</v>
      </c>
      <c r="D45" s="1118">
        <f>'2-60'!K262</f>
        <v>48</v>
      </c>
      <c r="E45" s="1118">
        <v>2</v>
      </c>
      <c r="F45" s="1119">
        <f>'2-60'!L262</f>
        <v>5964228</v>
      </c>
    </row>
    <row r="46" spans="1:6" s="1116" customFormat="1" ht="16.899999999999999" customHeight="1">
      <c r="A46" s="1235">
        <v>30</v>
      </c>
      <c r="B46" s="1120" t="s">
        <v>1088</v>
      </c>
      <c r="C46" s="4">
        <f>'2-60'!H265</f>
        <v>758.9</v>
      </c>
      <c r="D46" s="1118">
        <f>'2-60'!K265</f>
        <v>19</v>
      </c>
      <c r="E46" s="1118">
        <v>1</v>
      </c>
      <c r="F46" s="1119">
        <f>'2-60'!L265</f>
        <v>1668609</v>
      </c>
    </row>
    <row r="47" spans="1:6" s="1116" customFormat="1" ht="16.899999999999999" customHeight="1">
      <c r="A47" s="1235">
        <v>31</v>
      </c>
      <c r="B47" s="1120" t="s">
        <v>1351</v>
      </c>
      <c r="C47" s="4">
        <f>'2-60'!H267</f>
        <v>1531.1</v>
      </c>
      <c r="D47" s="1118">
        <f>'2-60'!K267</f>
        <v>56</v>
      </c>
      <c r="E47" s="1118">
        <v>1</v>
      </c>
      <c r="F47" s="1119">
        <f>'2-60'!L267</f>
        <v>2119380</v>
      </c>
    </row>
    <row r="48" spans="1:6" s="1116" customFormat="1" ht="16.899999999999999" customHeight="1">
      <c r="A48" s="1235">
        <v>32</v>
      </c>
      <c r="B48" s="1120" t="s">
        <v>1089</v>
      </c>
      <c r="C48" s="4">
        <f>'2-60'!H269</f>
        <v>432.6</v>
      </c>
      <c r="D48" s="1118">
        <f>'2-60'!K269</f>
        <v>9</v>
      </c>
      <c r="E48" s="1118">
        <v>1</v>
      </c>
      <c r="F48" s="1119">
        <f>'2-60'!L269</f>
        <v>255847</v>
      </c>
    </row>
    <row r="49" spans="1:6" s="1116" customFormat="1" ht="16.899999999999999" customHeight="1">
      <c r="A49" s="1235">
        <v>33</v>
      </c>
      <c r="B49" s="1120" t="s">
        <v>1369</v>
      </c>
      <c r="C49" s="4">
        <f>'2-60'!H271</f>
        <v>18111.399999999998</v>
      </c>
      <c r="D49" s="1118">
        <f>'2-60'!K271</f>
        <v>638</v>
      </c>
      <c r="E49" s="1118">
        <v>5</v>
      </c>
      <c r="F49" s="1119">
        <f>'2-60'!L271</f>
        <v>14825740</v>
      </c>
    </row>
    <row r="50" spans="1:6" s="1116" customFormat="1" ht="16.899999999999999" customHeight="1">
      <c r="A50" s="1235">
        <v>34</v>
      </c>
      <c r="B50" s="1121" t="s">
        <v>1652</v>
      </c>
      <c r="C50" s="4">
        <f>'2-60'!H277</f>
        <v>1162.2</v>
      </c>
      <c r="D50" s="1118">
        <f>'2-60'!K277</f>
        <v>44</v>
      </c>
      <c r="E50" s="1118">
        <v>3</v>
      </c>
      <c r="F50" s="1119">
        <f>'2-60'!L277</f>
        <v>6973264.0800000001</v>
      </c>
    </row>
    <row r="51" spans="1:6" s="1116" customFormat="1" ht="16.899999999999999" customHeight="1">
      <c r="A51" s="1235"/>
      <c r="B51" s="1120" t="s">
        <v>55</v>
      </c>
      <c r="C51" s="4">
        <f>C52</f>
        <v>1415.1</v>
      </c>
      <c r="D51" s="1118">
        <f t="shared" ref="D51:F51" si="8">D52</f>
        <v>49</v>
      </c>
      <c r="E51" s="1118">
        <f t="shared" si="8"/>
        <v>1</v>
      </c>
      <c r="F51" s="1119">
        <f t="shared" si="8"/>
        <v>2914163</v>
      </c>
    </row>
    <row r="52" spans="1:6" s="1116" customFormat="1" ht="16.899999999999999" customHeight="1">
      <c r="A52" s="1235">
        <v>35</v>
      </c>
      <c r="B52" s="1120" t="s">
        <v>1076</v>
      </c>
      <c r="C52" s="4">
        <f>'2-60'!H282</f>
        <v>1415.1</v>
      </c>
      <c r="D52" s="1118">
        <f>'2-60'!K282</f>
        <v>49</v>
      </c>
      <c r="E52" s="1118">
        <v>1</v>
      </c>
      <c r="F52" s="1119">
        <f>'2-60'!L282</f>
        <v>2914163</v>
      </c>
    </row>
    <row r="53" spans="1:6" s="1116" customFormat="1" ht="16.899999999999999" customHeight="1">
      <c r="A53" s="1235">
        <v>36</v>
      </c>
      <c r="B53" s="1120" t="s">
        <v>1657</v>
      </c>
      <c r="C53" s="4">
        <f>'2-60'!H284</f>
        <v>814.6</v>
      </c>
      <c r="D53" s="1118">
        <f>'2-60'!K284</f>
        <v>38</v>
      </c>
      <c r="E53" s="1118">
        <v>2</v>
      </c>
      <c r="F53" s="1119">
        <f>'2-60'!L284</f>
        <v>2447067</v>
      </c>
    </row>
    <row r="54" spans="1:6" s="1116" customFormat="1" ht="16.899999999999999" customHeight="1">
      <c r="A54" s="1235"/>
      <c r="B54" s="1121" t="s">
        <v>1989</v>
      </c>
      <c r="C54" s="4">
        <f>SUM(C55:C58)</f>
        <v>25906.5</v>
      </c>
      <c r="D54" s="1118">
        <f t="shared" ref="D54:F54" si="9">SUM(D55:D58)</f>
        <v>1014</v>
      </c>
      <c r="E54" s="1118">
        <f t="shared" si="9"/>
        <v>19</v>
      </c>
      <c r="F54" s="1119">
        <f t="shared" si="9"/>
        <v>54054963.460000001</v>
      </c>
    </row>
    <row r="55" spans="1:6" s="1116" customFormat="1" ht="16.899999999999999" customHeight="1">
      <c r="A55" s="1235">
        <v>37</v>
      </c>
      <c r="B55" s="1120" t="s">
        <v>2210</v>
      </c>
      <c r="C55" s="4">
        <f>'2-60'!H288</f>
        <v>16289.699999999999</v>
      </c>
      <c r="D55" s="1118">
        <f>'2-60'!K288</f>
        <v>629</v>
      </c>
      <c r="E55" s="1118">
        <v>13</v>
      </c>
      <c r="F55" s="1119">
        <f>'2-60'!L288</f>
        <v>46056738.460000001</v>
      </c>
    </row>
    <row r="56" spans="1:6" s="1116" customFormat="1" ht="16.899999999999999" customHeight="1">
      <c r="A56" s="1235">
        <v>38</v>
      </c>
      <c r="B56" s="1120" t="s">
        <v>2212</v>
      </c>
      <c r="C56" s="4">
        <f>'2-60'!H302</f>
        <v>5121.1000000000004</v>
      </c>
      <c r="D56" s="1118">
        <f>'2-60'!K302</f>
        <v>177</v>
      </c>
      <c r="E56" s="1118">
        <v>3</v>
      </c>
      <c r="F56" s="1119">
        <f>'61-106'!C306</f>
        <v>4455042</v>
      </c>
    </row>
    <row r="57" spans="1:6" s="1116" customFormat="1" ht="16.899999999999999" customHeight="1">
      <c r="A57" s="1235">
        <v>39</v>
      </c>
      <c r="B57" s="1120" t="s">
        <v>2211</v>
      </c>
      <c r="C57" s="4">
        <f>'2-60'!H306</f>
        <v>3109</v>
      </c>
      <c r="D57" s="1118">
        <f>'2-60'!K306</f>
        <v>135</v>
      </c>
      <c r="E57" s="1118">
        <v>2</v>
      </c>
      <c r="F57" s="1119">
        <f>'2-60'!L306</f>
        <v>3059516</v>
      </c>
    </row>
    <row r="58" spans="1:6" s="1116" customFormat="1" ht="16.899999999999999" customHeight="1">
      <c r="A58" s="1235">
        <v>40</v>
      </c>
      <c r="B58" s="1120" t="s">
        <v>2213</v>
      </c>
      <c r="C58" s="4">
        <f>'2-60'!H309</f>
        <v>1386.7</v>
      </c>
      <c r="D58" s="1118">
        <f>'2-60'!K309</f>
        <v>73</v>
      </c>
      <c r="E58" s="1118">
        <v>1</v>
      </c>
      <c r="F58" s="1119">
        <f>'2-60'!L309</f>
        <v>483667</v>
      </c>
    </row>
    <row r="59" spans="1:6" s="1116" customFormat="1" ht="16.899999999999999" customHeight="1">
      <c r="A59" s="1235">
        <v>41</v>
      </c>
      <c r="B59" s="1120" t="s">
        <v>2676</v>
      </c>
      <c r="C59" s="4">
        <f>'2-60'!H311</f>
        <v>12754</v>
      </c>
      <c r="D59" s="1118">
        <f>'2-60'!K311</f>
        <v>352</v>
      </c>
      <c r="E59" s="1118">
        <v>6</v>
      </c>
      <c r="F59" s="1119">
        <f>'2-60'!L311</f>
        <v>20227099</v>
      </c>
    </row>
    <row r="60" spans="1:6" s="1116" customFormat="1" ht="16.899999999999999" customHeight="1">
      <c r="A60" s="1235"/>
      <c r="B60" s="1120" t="s">
        <v>1990</v>
      </c>
      <c r="C60" s="4">
        <f>C61</f>
        <v>845.64</v>
      </c>
      <c r="D60" s="1118">
        <f t="shared" ref="D60:F60" si="10">D61</f>
        <v>30</v>
      </c>
      <c r="E60" s="1118">
        <f t="shared" si="10"/>
        <v>1</v>
      </c>
      <c r="F60" s="1119">
        <f t="shared" si="10"/>
        <v>2106783.25</v>
      </c>
    </row>
    <row r="61" spans="1:6" s="1116" customFormat="1" ht="16.899999999999999" customHeight="1">
      <c r="A61" s="1235">
        <v>42</v>
      </c>
      <c r="B61" s="1120" t="s">
        <v>2811</v>
      </c>
      <c r="C61" s="4">
        <f>'2-60'!H319</f>
        <v>845.64</v>
      </c>
      <c r="D61" s="1118">
        <f>'2-60'!K319</f>
        <v>30</v>
      </c>
      <c r="E61" s="1118">
        <v>1</v>
      </c>
      <c r="F61" s="1119">
        <f>'2-60'!L319</f>
        <v>2106783.25</v>
      </c>
    </row>
    <row r="62" spans="1:6" s="1116" customFormat="1" ht="16.899999999999999" customHeight="1">
      <c r="A62" s="1235">
        <v>43</v>
      </c>
      <c r="B62" s="1121" t="s">
        <v>1168</v>
      </c>
      <c r="C62" s="4">
        <f>'2-60'!H321</f>
        <v>2540.6999999999998</v>
      </c>
      <c r="D62" s="1118">
        <f>'2-60'!K321</f>
        <v>78</v>
      </c>
      <c r="E62" s="1118">
        <v>3</v>
      </c>
      <c r="F62" s="1119">
        <f>'2-60'!L321</f>
        <v>6684613</v>
      </c>
    </row>
    <row r="63" spans="1:6" s="1116" customFormat="1" ht="16.899999999999999" customHeight="1">
      <c r="A63" s="1235">
        <v>44</v>
      </c>
      <c r="B63" s="1121" t="s">
        <v>1658</v>
      </c>
      <c r="C63" s="4">
        <f>'2-60'!H419</f>
        <v>13479.699999999999</v>
      </c>
      <c r="D63" s="1118">
        <f>'2-60'!K419</f>
        <v>512</v>
      </c>
      <c r="E63" s="1118">
        <v>16</v>
      </c>
      <c r="F63" s="1119">
        <f>'2-60'!L419</f>
        <v>2744879</v>
      </c>
    </row>
    <row r="64" spans="1:6" s="1116" customFormat="1" ht="16.899999999999999" customHeight="1">
      <c r="A64" s="1235">
        <v>45</v>
      </c>
      <c r="B64" s="1121" t="s">
        <v>1119</v>
      </c>
      <c r="C64" s="4">
        <f>'2-60'!H325</f>
        <v>26605.250000000004</v>
      </c>
      <c r="D64" s="1118">
        <f>'2-60'!K325</f>
        <v>989</v>
      </c>
      <c r="E64" s="1118">
        <v>8</v>
      </c>
      <c r="F64" s="1119">
        <f>'2-60'!L325</f>
        <v>33753455</v>
      </c>
    </row>
    <row r="65" spans="1:6" s="1116" customFormat="1" ht="16.899999999999999" customHeight="1">
      <c r="A65" s="1235">
        <v>46</v>
      </c>
      <c r="B65" s="1121" t="s">
        <v>1650</v>
      </c>
      <c r="C65" s="4">
        <f>'2-60'!H334</f>
        <v>413.7</v>
      </c>
      <c r="D65" s="1118">
        <f>'2-60'!K334</f>
        <v>20</v>
      </c>
      <c r="E65" s="1118">
        <v>1</v>
      </c>
      <c r="F65" s="1119">
        <f>'2-60'!L334</f>
        <v>4069317</v>
      </c>
    </row>
    <row r="66" spans="1:6" s="1116" customFormat="1" ht="16.899999999999999" customHeight="1">
      <c r="A66" s="1235"/>
      <c r="B66" s="1120" t="s">
        <v>1988</v>
      </c>
      <c r="C66" s="4">
        <f>C67</f>
        <v>1710.6999999999998</v>
      </c>
      <c r="D66" s="1118">
        <f>D67</f>
        <v>77</v>
      </c>
      <c r="E66" s="1118">
        <f>E67</f>
        <v>2</v>
      </c>
      <c r="F66" s="1119">
        <f>F67</f>
        <v>4302891.0199999996</v>
      </c>
    </row>
    <row r="67" spans="1:6" s="1116" customFormat="1" ht="16.899999999999999" customHeight="1">
      <c r="A67" s="1235">
        <v>47</v>
      </c>
      <c r="B67" s="1120" t="s">
        <v>2812</v>
      </c>
      <c r="C67" s="4">
        <f>'2-60'!H337</f>
        <v>1710.6999999999998</v>
      </c>
      <c r="D67" s="1118">
        <f>'2-60'!K337</f>
        <v>77</v>
      </c>
      <c r="E67" s="1118">
        <v>2</v>
      </c>
      <c r="F67" s="1119">
        <f>'2-60'!L337</f>
        <v>4302891.0199999996</v>
      </c>
    </row>
    <row r="68" spans="1:6" s="1116" customFormat="1" ht="16.899999999999999" customHeight="1">
      <c r="A68" s="1235"/>
      <c r="B68" s="1121" t="s">
        <v>2789</v>
      </c>
      <c r="C68" s="4">
        <f>C69+C70+C71</f>
        <v>51910.799999999988</v>
      </c>
      <c r="D68" s="1113">
        <f t="shared" ref="D68:F68" si="11">D69+D70+D71</f>
        <v>1745</v>
      </c>
      <c r="E68" s="1113">
        <f t="shared" si="11"/>
        <v>24</v>
      </c>
      <c r="F68" s="1119">
        <f t="shared" si="11"/>
        <v>78205882.540000007</v>
      </c>
    </row>
    <row r="69" spans="1:6" s="1116" customFormat="1" ht="16.899999999999999" customHeight="1">
      <c r="A69" s="1262">
        <v>48</v>
      </c>
      <c r="B69" s="1121" t="s">
        <v>1061</v>
      </c>
      <c r="C69" s="4">
        <f>'2-60'!H341</f>
        <v>50121.099999999991</v>
      </c>
      <c r="D69" s="1118">
        <f>'2-60'!K341</f>
        <v>1674</v>
      </c>
      <c r="E69" s="1118">
        <v>21</v>
      </c>
      <c r="F69" s="1119">
        <f>'2-60'!L341</f>
        <v>70617731.540000007</v>
      </c>
    </row>
    <row r="70" spans="1:6" s="1116" customFormat="1" ht="16.899999999999999" customHeight="1">
      <c r="A70" s="1235">
        <v>49</v>
      </c>
      <c r="B70" s="1120" t="s">
        <v>1118</v>
      </c>
      <c r="C70" s="4">
        <f>'2-60'!H363</f>
        <v>726.2</v>
      </c>
      <c r="D70" s="1118">
        <f>'2-60'!K363</f>
        <v>26</v>
      </c>
      <c r="E70" s="1118">
        <v>1</v>
      </c>
      <c r="F70" s="1119">
        <f>'2-60'!L363</f>
        <v>1420529</v>
      </c>
    </row>
    <row r="71" spans="1:6" s="1116" customFormat="1" ht="16.899999999999999" customHeight="1">
      <c r="A71" s="1235">
        <v>50</v>
      </c>
      <c r="B71" s="1120" t="s">
        <v>1241</v>
      </c>
      <c r="C71" s="4">
        <f>'2-60'!H365</f>
        <v>1063.5</v>
      </c>
      <c r="D71" s="1118">
        <f>'2-60'!K365</f>
        <v>45</v>
      </c>
      <c r="E71" s="1118">
        <v>2</v>
      </c>
      <c r="F71" s="1119">
        <f>'2-60'!L365</f>
        <v>6167622</v>
      </c>
    </row>
    <row r="72" spans="1:6" s="1116" customFormat="1" ht="16.899999999999999" customHeight="1">
      <c r="A72" s="1235">
        <v>51</v>
      </c>
      <c r="B72" s="1120" t="s">
        <v>1651</v>
      </c>
      <c r="C72" s="4">
        <f>'2-60'!H368</f>
        <v>345.2</v>
      </c>
      <c r="D72" s="1118">
        <f>'2-60'!K368</f>
        <v>9</v>
      </c>
      <c r="E72" s="1118">
        <v>1</v>
      </c>
      <c r="F72" s="1119">
        <f>'2-60'!L368</f>
        <v>1252303</v>
      </c>
    </row>
    <row r="73" spans="1:6" s="1116" customFormat="1" ht="16.899999999999999" customHeight="1">
      <c r="A73" s="1235">
        <v>52</v>
      </c>
      <c r="B73" s="1121" t="s">
        <v>1653</v>
      </c>
      <c r="C73" s="4">
        <f>'2-60'!H370</f>
        <v>1495.6</v>
      </c>
      <c r="D73" s="1118">
        <f>'2-60'!K370</f>
        <v>63</v>
      </c>
      <c r="E73" s="1118">
        <v>2</v>
      </c>
      <c r="F73" s="1119">
        <f>'2-60'!L370</f>
        <v>4399305</v>
      </c>
    </row>
    <row r="74" spans="1:6" s="1116" customFormat="1" ht="16.899999999999999" customHeight="1">
      <c r="A74" s="1235">
        <v>53</v>
      </c>
      <c r="B74" s="1120" t="s">
        <v>2675</v>
      </c>
      <c r="C74" s="4">
        <f>'2-60'!H373</f>
        <v>583.29999999999995</v>
      </c>
      <c r="D74" s="1118">
        <f>'2-60'!K373</f>
        <v>24</v>
      </c>
      <c r="E74" s="1118">
        <v>1</v>
      </c>
      <c r="F74" s="1119">
        <f>'2-60'!L373</f>
        <v>1932241.86</v>
      </c>
    </row>
    <row r="75" spans="1:6" s="1116" customFormat="1" ht="16.899999999999999" customHeight="1">
      <c r="A75" s="1235">
        <v>54</v>
      </c>
      <c r="B75" s="1120" t="s">
        <v>1987</v>
      </c>
      <c r="C75" s="4">
        <f>C76</f>
        <v>3901</v>
      </c>
      <c r="D75" s="1118">
        <f t="shared" ref="D75:F75" si="12">D76</f>
        <v>110</v>
      </c>
      <c r="E75" s="1118">
        <f t="shared" si="12"/>
        <v>2</v>
      </c>
      <c r="F75" s="1119">
        <f t="shared" si="12"/>
        <v>4151691</v>
      </c>
    </row>
    <row r="76" spans="1:6" s="1116" customFormat="1" ht="16.899999999999999" customHeight="1">
      <c r="A76" s="1235"/>
      <c r="B76" s="1120" t="s">
        <v>2813</v>
      </c>
      <c r="C76" s="4">
        <f>'2-60'!H376</f>
        <v>3901</v>
      </c>
      <c r="D76" s="1118">
        <f>'2-60'!K376</f>
        <v>110</v>
      </c>
      <c r="E76" s="1118">
        <v>2</v>
      </c>
      <c r="F76" s="1119">
        <f>'2-60'!L376</f>
        <v>4151691</v>
      </c>
    </row>
    <row r="77" spans="1:6" s="1116" customFormat="1" ht="16.899999999999999" customHeight="1">
      <c r="A77" s="1235"/>
      <c r="B77" s="1120" t="s">
        <v>2790</v>
      </c>
      <c r="C77" s="4">
        <f>C78+C79</f>
        <v>11702.09</v>
      </c>
      <c r="D77" s="1113">
        <f t="shared" ref="D77:F77" si="13">D78+D79</f>
        <v>419</v>
      </c>
      <c r="E77" s="1118">
        <f t="shared" si="13"/>
        <v>9</v>
      </c>
      <c r="F77" s="1119">
        <f t="shared" si="13"/>
        <v>28620753.960000001</v>
      </c>
    </row>
    <row r="78" spans="1:6" s="1116" customFormat="1" ht="16.899999999999999" customHeight="1">
      <c r="A78" s="1235">
        <v>55</v>
      </c>
      <c r="B78" s="1120" t="s">
        <v>1077</v>
      </c>
      <c r="C78" s="4">
        <f>'2-60'!H380</f>
        <v>7201.99</v>
      </c>
      <c r="D78" s="1118">
        <f>'2-60'!K380</f>
        <v>258</v>
      </c>
      <c r="E78" s="1118">
        <v>5</v>
      </c>
      <c r="F78" s="1119">
        <f>'61-106'!C395</f>
        <v>18050502.960000001</v>
      </c>
    </row>
    <row r="79" spans="1:6" s="1116" customFormat="1" ht="16.899999999999999" customHeight="1">
      <c r="A79" s="1235">
        <v>56</v>
      </c>
      <c r="B79" s="1120" t="s">
        <v>1236</v>
      </c>
      <c r="C79" s="4">
        <f>'2-60'!H386</f>
        <v>4500.0999999999995</v>
      </c>
      <c r="D79" s="1118">
        <f>'2-60'!K386</f>
        <v>161</v>
      </c>
      <c r="E79" s="1118">
        <v>4</v>
      </c>
      <c r="F79" s="1119">
        <f>'2-60'!L386</f>
        <v>10570251</v>
      </c>
    </row>
    <row r="80" spans="1:6" s="1116" customFormat="1" ht="16.899999999999999" customHeight="1">
      <c r="A80" s="1235"/>
      <c r="B80" s="1121" t="s">
        <v>211</v>
      </c>
      <c r="C80" s="4">
        <f>C81</f>
        <v>1161.0999999999999</v>
      </c>
      <c r="D80" s="1118">
        <f t="shared" ref="D80:F80" si="14">D81</f>
        <v>48</v>
      </c>
      <c r="E80" s="1118">
        <f t="shared" si="14"/>
        <v>2</v>
      </c>
      <c r="F80" s="1119">
        <f t="shared" si="14"/>
        <v>3337271.52</v>
      </c>
    </row>
    <row r="81" spans="1:6" s="1116" customFormat="1" ht="16.899999999999999" customHeight="1">
      <c r="A81" s="1235">
        <v>57</v>
      </c>
      <c r="B81" s="1120" t="s">
        <v>1159</v>
      </c>
      <c r="C81" s="4">
        <f>'2-60'!H392</f>
        <v>1161.0999999999999</v>
      </c>
      <c r="D81" s="1118">
        <f>'2-60'!K392</f>
        <v>48</v>
      </c>
      <c r="E81" s="1118">
        <v>2</v>
      </c>
      <c r="F81" s="1119">
        <f>'2-60'!L392</f>
        <v>3337271.52</v>
      </c>
    </row>
    <row r="82" spans="1:6" s="1116" customFormat="1" ht="16.899999999999999" customHeight="1">
      <c r="A82" s="1235"/>
      <c r="B82" s="1121" t="s">
        <v>66</v>
      </c>
      <c r="C82" s="4">
        <f>C83</f>
        <v>1128.9000000000001</v>
      </c>
      <c r="D82" s="1118">
        <f t="shared" ref="D82:F82" si="15">D83</f>
        <v>45</v>
      </c>
      <c r="E82" s="1118">
        <f t="shared" si="15"/>
        <v>2</v>
      </c>
      <c r="F82" s="1119">
        <f t="shared" si="15"/>
        <v>3342802</v>
      </c>
    </row>
    <row r="83" spans="1:6" s="1116" customFormat="1" ht="16.899999999999999" customHeight="1">
      <c r="A83" s="1235">
        <v>58</v>
      </c>
      <c r="B83" s="1120" t="s">
        <v>1081</v>
      </c>
      <c r="C83" s="4">
        <f>'2-60'!H396</f>
        <v>1128.9000000000001</v>
      </c>
      <c r="D83" s="1118">
        <f>'2-60'!K396</f>
        <v>45</v>
      </c>
      <c r="E83" s="1118">
        <v>2</v>
      </c>
      <c r="F83" s="1119">
        <f>'2-60'!L396</f>
        <v>3342802</v>
      </c>
    </row>
    <row r="84" spans="1:6" s="1116" customFormat="1" ht="16.899999999999999" customHeight="1">
      <c r="A84" s="1235">
        <v>59</v>
      </c>
      <c r="B84" s="1120" t="s">
        <v>1122</v>
      </c>
      <c r="C84" s="4">
        <f>'2-60'!H399</f>
        <v>37943.800000000003</v>
      </c>
      <c r="D84" s="1118">
        <f>'2-60'!K399</f>
        <v>1530</v>
      </c>
      <c r="E84" s="1118">
        <v>6</v>
      </c>
      <c r="F84" s="1119">
        <f>'2-60'!L399</f>
        <v>30817012</v>
      </c>
    </row>
    <row r="85" spans="1:6" s="1116" customFormat="1" ht="16.899999999999999" customHeight="1">
      <c r="A85" s="1235"/>
      <c r="B85" s="1120" t="s">
        <v>67</v>
      </c>
      <c r="C85" s="4">
        <f>C87+C88+C86</f>
        <v>6611.5</v>
      </c>
      <c r="D85" s="1118">
        <f t="shared" ref="D85:F85" si="16">D87+D88+D86</f>
        <v>233</v>
      </c>
      <c r="E85" s="1118">
        <f t="shared" si="16"/>
        <v>5</v>
      </c>
      <c r="F85" s="1119">
        <f t="shared" si="16"/>
        <v>6965293.8899999997</v>
      </c>
    </row>
    <row r="86" spans="1:6" s="1116" customFormat="1" ht="16.899999999999999" customHeight="1">
      <c r="A86" s="1235">
        <v>60</v>
      </c>
      <c r="B86" s="1117" t="s">
        <v>1174</v>
      </c>
      <c r="C86" s="4">
        <f>'2-60'!H407</f>
        <v>1488.6</v>
      </c>
      <c r="D86" s="1118">
        <f>'2-60'!K407</f>
        <v>44</v>
      </c>
      <c r="E86" s="1118">
        <v>1</v>
      </c>
      <c r="F86" s="1119">
        <f>'2-60'!L407</f>
        <v>1695504</v>
      </c>
    </row>
    <row r="87" spans="1:6" s="1116" customFormat="1" ht="16.899999999999999" customHeight="1">
      <c r="A87" s="1235">
        <v>61</v>
      </c>
      <c r="B87" s="1120" t="s">
        <v>1233</v>
      </c>
      <c r="C87" s="4">
        <f>'2-60'!H409</f>
        <v>4037</v>
      </c>
      <c r="D87" s="1118">
        <f>'2-60'!K409</f>
        <v>153</v>
      </c>
      <c r="E87" s="1118">
        <v>2</v>
      </c>
      <c r="F87" s="1119">
        <f>'2-60'!L409</f>
        <v>4249593.1399999997</v>
      </c>
    </row>
    <row r="88" spans="1:6" s="1116" customFormat="1" ht="16.899999999999999" customHeight="1">
      <c r="A88" s="1235">
        <v>62</v>
      </c>
      <c r="B88" s="1120" t="s">
        <v>1167</v>
      </c>
      <c r="C88" s="4">
        <f>'2-60'!H412</f>
        <v>1085.9000000000001</v>
      </c>
      <c r="D88" s="1118">
        <f>'2-60'!K412</f>
        <v>36</v>
      </c>
      <c r="E88" s="1118">
        <v>2</v>
      </c>
      <c r="F88" s="1119">
        <f>'2-60'!L412</f>
        <v>1020196.75</v>
      </c>
    </row>
    <row r="89" spans="1:6" s="1116" customFormat="1" ht="16.899999999999999" customHeight="1">
      <c r="A89" s="1422" t="s">
        <v>2809</v>
      </c>
      <c r="B89" s="1422"/>
      <c r="C89" s="1422"/>
      <c r="D89" s="1422"/>
      <c r="E89" s="1422"/>
      <c r="F89" s="1422"/>
    </row>
    <row r="90" spans="1:6" s="1116" customFormat="1" ht="16.899999999999999" customHeight="1">
      <c r="A90" s="1235"/>
      <c r="B90" s="1120" t="s">
        <v>42</v>
      </c>
      <c r="C90" s="4">
        <f>C91+C92+C93+C94+C95+C96+C97+C99+C100+C102+C103+C105+C107+C114+C116+C117+C120+C127+C128+C130+C134+C135+C137+C138+C139+C141+C142+C143+C145+C148+C150+C151+C136+C106</f>
        <v>584525.11</v>
      </c>
      <c r="D90" s="1113">
        <f t="shared" ref="D90:F90" si="17">D91+D92+D93+D94+D95+D96+D97+D99+D100+D102+D103+D105+D107+D114+D116+D117+D120+D127+D128+D130+D134+D135+D137+D138+D139+D141+D142+D143+D145+D148+D150+D151+D136+D106</f>
        <v>20237</v>
      </c>
      <c r="E90" s="1113">
        <f t="shared" si="17"/>
        <v>242</v>
      </c>
      <c r="F90" s="1119">
        <f t="shared" si="17"/>
        <v>889620559.30000007</v>
      </c>
    </row>
    <row r="91" spans="1:6" s="1116" customFormat="1" ht="16.899999999999999" customHeight="1">
      <c r="A91" s="1235">
        <v>1</v>
      </c>
      <c r="B91" s="1117" t="s">
        <v>1083</v>
      </c>
      <c r="C91" s="4">
        <v>252444.79999999999</v>
      </c>
      <c r="D91" s="1118">
        <v>9277</v>
      </c>
      <c r="E91" s="1118">
        <v>75</v>
      </c>
      <c r="F91" s="1119">
        <v>417755998.95999998</v>
      </c>
    </row>
    <row r="92" spans="1:6" s="1116" customFormat="1" ht="16.899999999999999" customHeight="1">
      <c r="A92" s="1235">
        <v>2</v>
      </c>
      <c r="B92" s="1117" t="s">
        <v>1393</v>
      </c>
      <c r="C92" s="4">
        <f>'2-60'!H518</f>
        <v>33501</v>
      </c>
      <c r="D92" s="1118">
        <f>'2-60'!K518</f>
        <v>1315</v>
      </c>
      <c r="E92" s="1118">
        <v>20</v>
      </c>
      <c r="F92" s="1119">
        <f>'2-60'!L518</f>
        <v>45394745.069999993</v>
      </c>
    </row>
    <row r="93" spans="1:6" s="1116" customFormat="1" ht="16.899999999999999" customHeight="1">
      <c r="A93" s="1235">
        <v>3</v>
      </c>
      <c r="B93" s="1117" t="s">
        <v>2703</v>
      </c>
      <c r="C93" s="4">
        <f>'2-60'!H539</f>
        <v>17500.3</v>
      </c>
      <c r="D93" s="1118">
        <f>'2-60'!K539</f>
        <v>472</v>
      </c>
      <c r="E93" s="1118">
        <v>7</v>
      </c>
      <c r="F93" s="1119">
        <f>'2-60'!L539</f>
        <v>35413065.209999993</v>
      </c>
    </row>
    <row r="94" spans="1:6" s="1116" customFormat="1" ht="16.899999999999999" customHeight="1">
      <c r="A94" s="1235">
        <v>4</v>
      </c>
      <c r="B94" s="1120" t="s">
        <v>1062</v>
      </c>
      <c r="C94" s="4">
        <f>'2-60'!H547</f>
        <v>24056.799999999999</v>
      </c>
      <c r="D94" s="1118">
        <f>'2-60'!K547</f>
        <v>818</v>
      </c>
      <c r="E94" s="1118">
        <v>14</v>
      </c>
      <c r="F94" s="1119">
        <f>'61-106'!C543</f>
        <v>28363925.050000001</v>
      </c>
    </row>
    <row r="95" spans="1:6" s="1116" customFormat="1" ht="16.899999999999999" customHeight="1">
      <c r="A95" s="1235">
        <v>5</v>
      </c>
      <c r="B95" s="1117" t="s">
        <v>1124</v>
      </c>
      <c r="C95" s="4">
        <f>'2-60'!H562</f>
        <v>20992.200000000004</v>
      </c>
      <c r="D95" s="1118">
        <f>'2-60'!K562</f>
        <v>599</v>
      </c>
      <c r="E95" s="1118">
        <v>5</v>
      </c>
      <c r="F95" s="1119">
        <f>'2-60'!L562</f>
        <v>19207237.27</v>
      </c>
    </row>
    <row r="96" spans="1:6" s="1116" customFormat="1" ht="16.899999999999999" customHeight="1">
      <c r="A96" s="1235">
        <v>6</v>
      </c>
      <c r="B96" s="1117" t="s">
        <v>1435</v>
      </c>
      <c r="C96" s="4">
        <f>'2-60'!H568</f>
        <v>1804</v>
      </c>
      <c r="D96" s="1118">
        <f>'2-60'!K568</f>
        <v>43</v>
      </c>
      <c r="E96" s="1118">
        <v>2</v>
      </c>
      <c r="F96" s="1119">
        <f>'2-60'!L568</f>
        <v>4041216</v>
      </c>
    </row>
    <row r="97" spans="1:6" s="1116" customFormat="1" ht="16.899999999999999" customHeight="1">
      <c r="A97" s="1235"/>
      <c r="B97" s="1117" t="s">
        <v>41</v>
      </c>
      <c r="C97" s="4">
        <f>C98</f>
        <v>21975.600000000002</v>
      </c>
      <c r="D97" s="1118">
        <f t="shared" ref="D97:F97" si="18">D98</f>
        <v>782</v>
      </c>
      <c r="E97" s="1118">
        <f t="shared" si="18"/>
        <v>6</v>
      </c>
      <c r="F97" s="1119">
        <f t="shared" si="18"/>
        <v>42589491.950000003</v>
      </c>
    </row>
    <row r="98" spans="1:6" s="1116" customFormat="1" ht="16.899999999999999" customHeight="1">
      <c r="A98" s="1235">
        <v>7</v>
      </c>
      <c r="B98" s="1117" t="s">
        <v>1063</v>
      </c>
      <c r="C98" s="4">
        <f>'2-60'!H572</f>
        <v>21975.600000000002</v>
      </c>
      <c r="D98" s="1118">
        <f>'2-60'!K572</f>
        <v>782</v>
      </c>
      <c r="E98" s="1118">
        <v>6</v>
      </c>
      <c r="F98" s="1119">
        <f>'2-60'!L572</f>
        <v>42589491.950000003</v>
      </c>
    </row>
    <row r="99" spans="1:6" s="1116" customFormat="1" ht="18.75" customHeight="1">
      <c r="A99" s="1235">
        <v>8</v>
      </c>
      <c r="B99" s="1117" t="s">
        <v>2673</v>
      </c>
      <c r="C99" s="4">
        <f>'2-60'!H579</f>
        <v>260.10000000000002</v>
      </c>
      <c r="D99" s="1118">
        <f>'2-60'!K579</f>
        <v>8</v>
      </c>
      <c r="E99" s="1118">
        <v>1</v>
      </c>
      <c r="F99" s="1119">
        <f>'2-60'!L579</f>
        <v>1988195.41</v>
      </c>
    </row>
    <row r="100" spans="1:6" s="1116" customFormat="1" ht="16.899999999999999" customHeight="1">
      <c r="A100" s="1235"/>
      <c r="B100" s="1117" t="s">
        <v>43</v>
      </c>
      <c r="C100" s="4">
        <f>C101</f>
        <v>11211.899999999998</v>
      </c>
      <c r="D100" s="1118">
        <f t="shared" ref="D100:F100" si="19">D101</f>
        <v>317</v>
      </c>
      <c r="E100" s="1118">
        <f t="shared" si="19"/>
        <v>6</v>
      </c>
      <c r="F100" s="1119">
        <f t="shared" si="19"/>
        <v>22250988.48</v>
      </c>
    </row>
    <row r="101" spans="1:6" s="1116" customFormat="1" ht="16.899999999999999" customHeight="1">
      <c r="A101" s="1235">
        <v>9</v>
      </c>
      <c r="B101" s="1120" t="s">
        <v>1090</v>
      </c>
      <c r="C101" s="4">
        <f>'2-60'!H582</f>
        <v>11211.899999999998</v>
      </c>
      <c r="D101" s="1118">
        <f>'2-60'!K582</f>
        <v>317</v>
      </c>
      <c r="E101" s="1118">
        <v>6</v>
      </c>
      <c r="F101" s="1119">
        <f>'2-60'!L582</f>
        <v>22250988.48</v>
      </c>
    </row>
    <row r="102" spans="1:6" s="1116" customFormat="1" ht="16.899999999999999" customHeight="1">
      <c r="A102" s="1235">
        <v>10</v>
      </c>
      <c r="B102" s="1121" t="s">
        <v>1370</v>
      </c>
      <c r="C102" s="4">
        <f>'2-60'!H589</f>
        <v>1023.6</v>
      </c>
      <c r="D102" s="1118">
        <f>'2-60'!K589</f>
        <v>24</v>
      </c>
      <c r="E102" s="1118">
        <v>2</v>
      </c>
      <c r="F102" s="1119">
        <f>'2-60'!L589</f>
        <v>3063338.69</v>
      </c>
    </row>
    <row r="103" spans="1:6" s="1116" customFormat="1" ht="16.899999999999999" customHeight="1">
      <c r="A103" s="1235"/>
      <c r="B103" s="1121" t="s">
        <v>46</v>
      </c>
      <c r="C103" s="4">
        <f>C104</f>
        <v>1493.3</v>
      </c>
      <c r="D103" s="1118">
        <f t="shared" ref="D103:F103" si="20">D104</f>
        <v>31</v>
      </c>
      <c r="E103" s="1118">
        <f t="shared" si="20"/>
        <v>1</v>
      </c>
      <c r="F103" s="1119">
        <f t="shared" si="20"/>
        <v>1603120</v>
      </c>
    </row>
    <row r="104" spans="1:6" s="1116" customFormat="1" ht="16.899999999999999" customHeight="1">
      <c r="A104" s="1235">
        <v>11</v>
      </c>
      <c r="B104" s="1120" t="s">
        <v>1085</v>
      </c>
      <c r="C104" s="4">
        <f>'2-60'!H593</f>
        <v>1493.3</v>
      </c>
      <c r="D104" s="1118">
        <f>'2-60'!K593</f>
        <v>31</v>
      </c>
      <c r="E104" s="1118">
        <v>1</v>
      </c>
      <c r="F104" s="1119">
        <f>'2-60'!L593</f>
        <v>1603120</v>
      </c>
    </row>
    <row r="105" spans="1:6" s="1116" customFormat="1" ht="16.899999999999999" customHeight="1">
      <c r="A105" s="1235">
        <v>12</v>
      </c>
      <c r="B105" s="1121" t="s">
        <v>1649</v>
      </c>
      <c r="C105" s="4">
        <f>'2-60'!H597</f>
        <v>1385.6</v>
      </c>
      <c r="D105" s="1118">
        <f>'2-60'!K597</f>
        <v>42</v>
      </c>
      <c r="E105" s="1118">
        <v>2</v>
      </c>
      <c r="F105" s="1119">
        <f>'2-60'!L597</f>
        <v>4817776.92</v>
      </c>
    </row>
    <row r="106" spans="1:6" s="1116" customFormat="1" ht="16.899999999999999" customHeight="1">
      <c r="A106" s="1235">
        <v>13</v>
      </c>
      <c r="B106" s="1117" t="s">
        <v>2674</v>
      </c>
      <c r="C106" s="4">
        <f>'2-60'!H595</f>
        <v>3160.4</v>
      </c>
      <c r="D106" s="1113">
        <f>'2-60'!K595</f>
        <v>108</v>
      </c>
      <c r="E106" s="1118">
        <v>1</v>
      </c>
      <c r="F106" s="1119">
        <f>'2-60'!L595</f>
        <v>2638258</v>
      </c>
    </row>
    <row r="107" spans="1:6" s="1116" customFormat="1" ht="16.899999999999999" customHeight="1">
      <c r="A107" s="1235"/>
      <c r="B107" s="1121" t="s">
        <v>49</v>
      </c>
      <c r="C107" s="4">
        <f>C109+C112+C108+C113+C110+C111</f>
        <v>5623.3</v>
      </c>
      <c r="D107" s="1113">
        <f>D109+D112+D108+D113+D110+D111</f>
        <v>205</v>
      </c>
      <c r="E107" s="1118">
        <f>E109+E112+E108+E113+E110+E111</f>
        <v>7</v>
      </c>
      <c r="F107" s="1119">
        <f>F109+F112+F108+F113+F110+F111</f>
        <v>14284465</v>
      </c>
    </row>
    <row r="108" spans="1:6" s="1116" customFormat="1" ht="16.899999999999999" customHeight="1">
      <c r="A108" s="1235">
        <v>14</v>
      </c>
      <c r="B108" s="1120" t="s">
        <v>1350</v>
      </c>
      <c r="C108" s="4">
        <f>'2-60'!H601</f>
        <v>956.5</v>
      </c>
      <c r="D108" s="1118">
        <f>'2-60'!K601</f>
        <v>40</v>
      </c>
      <c r="E108" s="1118">
        <v>1</v>
      </c>
      <c r="F108" s="1119">
        <f>'2-60'!L601</f>
        <v>2953066</v>
      </c>
    </row>
    <row r="109" spans="1:6" s="1116" customFormat="1" ht="16.899999999999999" customHeight="1">
      <c r="A109" s="1235">
        <v>15</v>
      </c>
      <c r="B109" s="1120" t="s">
        <v>1125</v>
      </c>
      <c r="C109" s="4">
        <f>'2-60'!H603</f>
        <v>572.29999999999995</v>
      </c>
      <c r="D109" s="1118">
        <f>'2-60'!K603</f>
        <v>25</v>
      </c>
      <c r="E109" s="1118">
        <v>1</v>
      </c>
      <c r="F109" s="1119">
        <f>'2-60'!L603</f>
        <v>2389620</v>
      </c>
    </row>
    <row r="110" spans="1:6" s="1116" customFormat="1" ht="16.899999999999999" customHeight="1">
      <c r="A110" s="1235">
        <v>16</v>
      </c>
      <c r="B110" s="1120" t="s">
        <v>1066</v>
      </c>
      <c r="C110" s="4">
        <f>'2-60'!H605</f>
        <v>1287.0999999999999</v>
      </c>
      <c r="D110" s="1118">
        <f>'2-60'!K605</f>
        <v>19</v>
      </c>
      <c r="E110" s="1118">
        <v>1</v>
      </c>
      <c r="F110" s="1119">
        <f>'2-60'!L605</f>
        <v>1952139</v>
      </c>
    </row>
    <row r="111" spans="1:6" s="1116" customFormat="1" ht="16.899999999999999" customHeight="1">
      <c r="A111" s="1235">
        <v>17</v>
      </c>
      <c r="B111" s="1120" t="s">
        <v>1967</v>
      </c>
      <c r="C111" s="4">
        <f>'2-60'!H607</f>
        <v>705.8</v>
      </c>
      <c r="D111" s="1118">
        <f>'2-60'!K607</f>
        <v>50</v>
      </c>
      <c r="E111" s="1118">
        <v>2</v>
      </c>
      <c r="F111" s="1119">
        <f>'2-60'!L607</f>
        <v>2933548</v>
      </c>
    </row>
    <row r="112" spans="1:6" s="1116" customFormat="1" ht="16.899999999999999" customHeight="1">
      <c r="A112" s="1235">
        <v>18</v>
      </c>
      <c r="B112" s="1120" t="s">
        <v>1095</v>
      </c>
      <c r="C112" s="4">
        <f>'2-60'!H610</f>
        <v>721</v>
      </c>
      <c r="D112" s="1118">
        <f>'2-60'!K610</f>
        <v>26</v>
      </c>
      <c r="E112" s="1118">
        <v>1</v>
      </c>
      <c r="F112" s="1119">
        <f>'2-60'!L610</f>
        <v>2118761</v>
      </c>
    </row>
    <row r="113" spans="1:6" s="1116" customFormat="1" ht="16.899999999999999" customHeight="1">
      <c r="A113" s="1235">
        <v>19</v>
      </c>
      <c r="B113" s="1120" t="s">
        <v>1106</v>
      </c>
      <c r="C113" s="4">
        <f>'2-60'!H612</f>
        <v>1380.6</v>
      </c>
      <c r="D113" s="1118">
        <f>'2-60'!K612</f>
        <v>45</v>
      </c>
      <c r="E113" s="1118">
        <v>1</v>
      </c>
      <c r="F113" s="1119">
        <f>'2-60'!L612</f>
        <v>1937331</v>
      </c>
    </row>
    <row r="114" spans="1:6" s="1116" customFormat="1" ht="16.899999999999999" customHeight="1">
      <c r="A114" s="1235"/>
      <c r="B114" s="1121" t="s">
        <v>50</v>
      </c>
      <c r="C114" s="4">
        <f>C115</f>
        <v>14524.5</v>
      </c>
      <c r="D114" s="1118">
        <f>D115</f>
        <v>501</v>
      </c>
      <c r="E114" s="1118">
        <f>E115</f>
        <v>4</v>
      </c>
      <c r="F114" s="1119">
        <f>F115</f>
        <v>12056009</v>
      </c>
    </row>
    <row r="115" spans="1:6" s="1116" customFormat="1" ht="16.899999999999999" customHeight="1">
      <c r="A115" s="1235">
        <v>20</v>
      </c>
      <c r="B115" s="1120" t="s">
        <v>1067</v>
      </c>
      <c r="C115" s="4">
        <f>'2-60'!H615</f>
        <v>14524.5</v>
      </c>
      <c r="D115" s="1118">
        <f>'2-60'!K615</f>
        <v>501</v>
      </c>
      <c r="E115" s="1118">
        <v>4</v>
      </c>
      <c r="F115" s="1119">
        <f>'61-106'!C611</f>
        <v>12056009</v>
      </c>
    </row>
    <row r="116" spans="1:6" s="1116" customFormat="1" ht="16.899999999999999" customHeight="1">
      <c r="A116" s="1235">
        <v>21</v>
      </c>
      <c r="B116" s="1121" t="s">
        <v>1169</v>
      </c>
      <c r="C116" s="4">
        <f>'2-60'!H620</f>
        <v>21509</v>
      </c>
      <c r="D116" s="1118">
        <f>'2-60'!K620</f>
        <v>660</v>
      </c>
      <c r="E116" s="1118">
        <v>6</v>
      </c>
      <c r="F116" s="1119">
        <f>'2-60'!L620</f>
        <v>15755369</v>
      </c>
    </row>
    <row r="117" spans="1:6" s="1116" customFormat="1" ht="16.899999999999999" customHeight="1">
      <c r="A117" s="1235"/>
      <c r="B117" s="1121" t="s">
        <v>2788</v>
      </c>
      <c r="C117" s="4">
        <f>C118+C119</f>
        <v>1199.5</v>
      </c>
      <c r="D117" s="1113">
        <f t="shared" ref="D117:F117" si="21">D118+D119</f>
        <v>31</v>
      </c>
      <c r="E117" s="1113">
        <f t="shared" si="21"/>
        <v>2</v>
      </c>
      <c r="F117" s="1119">
        <f t="shared" si="21"/>
        <v>4709023.1500000004</v>
      </c>
    </row>
    <row r="118" spans="1:6" s="1116" customFormat="1" ht="16.899999999999999" customHeight="1">
      <c r="A118" s="1262">
        <v>22</v>
      </c>
      <c r="B118" s="1121" t="s">
        <v>1060</v>
      </c>
      <c r="C118" s="4">
        <f>'2-60'!H628</f>
        <v>494.9</v>
      </c>
      <c r="D118" s="1118">
        <f>'2-60'!K628</f>
        <v>17</v>
      </c>
      <c r="E118" s="1118">
        <v>1</v>
      </c>
      <c r="F118" s="1119">
        <f>'2-60'!L628</f>
        <v>1253323</v>
      </c>
    </row>
    <row r="119" spans="1:6" s="1116" customFormat="1" ht="15.75" customHeight="1">
      <c r="A119" s="1261">
        <v>23</v>
      </c>
      <c r="B119" s="1120" t="s">
        <v>1086</v>
      </c>
      <c r="C119" s="4">
        <f>'2-60'!H630</f>
        <v>704.6</v>
      </c>
      <c r="D119" s="1118">
        <f>'2-60'!K630</f>
        <v>14</v>
      </c>
      <c r="E119" s="1118">
        <v>1</v>
      </c>
      <c r="F119" s="1119">
        <f>'2-60'!L630</f>
        <v>3455700.15</v>
      </c>
    </row>
    <row r="120" spans="1:6" s="1116" customFormat="1" ht="15.75" customHeight="1">
      <c r="A120" s="1261"/>
      <c r="B120" s="1121" t="s">
        <v>53</v>
      </c>
      <c r="C120" s="4">
        <f>C121+C122+C123+C125+C126+C124</f>
        <v>63954.900000000009</v>
      </c>
      <c r="D120" s="4">
        <f t="shared" ref="D120:F120" si="22">D121+D122+D123+D125+D126+D124</f>
        <v>1823</v>
      </c>
      <c r="E120" s="1118">
        <f t="shared" si="22"/>
        <v>19</v>
      </c>
      <c r="F120" s="1119">
        <f t="shared" si="22"/>
        <v>75144785.290000007</v>
      </c>
    </row>
    <row r="121" spans="1:6" s="1116" customFormat="1" ht="15.75" customHeight="1">
      <c r="A121" s="1261">
        <v>24</v>
      </c>
      <c r="B121" s="1120" t="s">
        <v>1069</v>
      </c>
      <c r="C121" s="4">
        <f>'2-60'!H633+'2-60'!H742</f>
        <v>47736.80000000001</v>
      </c>
      <c r="D121" s="1118">
        <f>'2-60'!K739+'2-60'!K633</f>
        <v>1315</v>
      </c>
      <c r="E121" s="1118">
        <v>9</v>
      </c>
      <c r="F121" s="1119">
        <f>'2-60'!L633+'2-60'!L739</f>
        <v>46415518.339999996</v>
      </c>
    </row>
    <row r="122" spans="1:6" s="1116" customFormat="1" ht="16.899999999999999" customHeight="1">
      <c r="A122" s="1261">
        <v>25</v>
      </c>
      <c r="B122" s="1120" t="s">
        <v>1087</v>
      </c>
      <c r="C122" s="4">
        <f>'2-60'!H641</f>
        <v>632.29999999999995</v>
      </c>
      <c r="D122" s="1118">
        <f>'2-60'!K641</f>
        <v>17</v>
      </c>
      <c r="E122" s="1118">
        <v>1</v>
      </c>
      <c r="F122" s="1119">
        <f>'2-60'!L641</f>
        <v>4080205</v>
      </c>
    </row>
    <row r="123" spans="1:6" s="1116" customFormat="1" ht="16.899999999999999" customHeight="1">
      <c r="A123" s="1235">
        <v>26</v>
      </c>
      <c r="B123" s="1120" t="s">
        <v>1088</v>
      </c>
      <c r="C123" s="4">
        <f>'2-60'!H643</f>
        <v>1179.0999999999999</v>
      </c>
      <c r="D123" s="1118">
        <f>'2-60'!K643</f>
        <v>43</v>
      </c>
      <c r="E123" s="1118">
        <v>2</v>
      </c>
      <c r="F123" s="1119">
        <f>'2-60'!L643</f>
        <v>3195064</v>
      </c>
    </row>
    <row r="124" spans="1:6" s="1116" customFormat="1" ht="16.899999999999999" customHeight="1">
      <c r="A124" s="1235">
        <v>27</v>
      </c>
      <c r="B124" s="1120" t="s">
        <v>2814</v>
      </c>
      <c r="C124" s="4">
        <f>'2-60'!H646</f>
        <v>2096.6</v>
      </c>
      <c r="D124" s="1118">
        <f>'2-60'!K646</f>
        <v>87</v>
      </c>
      <c r="E124" s="1118">
        <v>2</v>
      </c>
      <c r="F124" s="1119">
        <f>'2-60'!L646</f>
        <v>7899748.9500000002</v>
      </c>
    </row>
    <row r="125" spans="1:6" s="1116" customFormat="1" ht="16.899999999999999" customHeight="1">
      <c r="A125" s="1235">
        <v>28</v>
      </c>
      <c r="B125" s="1120" t="s">
        <v>1089</v>
      </c>
      <c r="C125" s="4">
        <f>'2-60'!H649</f>
        <v>2804.2</v>
      </c>
      <c r="D125" s="1118">
        <f>'2-60'!K649</f>
        <v>75</v>
      </c>
      <c r="E125" s="1118">
        <v>1</v>
      </c>
      <c r="F125" s="1119">
        <f>'2-60'!L649</f>
        <v>2540404</v>
      </c>
    </row>
    <row r="126" spans="1:6" s="1116" customFormat="1" ht="16.899999999999999" customHeight="1">
      <c r="A126" s="1235">
        <v>29</v>
      </c>
      <c r="B126" s="1120" t="s">
        <v>1369</v>
      </c>
      <c r="C126" s="4">
        <f>'2-60'!H651</f>
        <v>9505.9000000000015</v>
      </c>
      <c r="D126" s="1118">
        <f>'2-60'!K651</f>
        <v>286</v>
      </c>
      <c r="E126" s="1118">
        <v>4</v>
      </c>
      <c r="F126" s="1119">
        <f>'2-60'!L651</f>
        <v>11013845</v>
      </c>
    </row>
    <row r="127" spans="1:6" s="1116" customFormat="1" ht="16.899999999999999" customHeight="1">
      <c r="A127" s="1235">
        <v>30</v>
      </c>
      <c r="B127" s="1121" t="s">
        <v>1652</v>
      </c>
      <c r="C127" s="4">
        <f>'2-60'!H656</f>
        <v>818.3</v>
      </c>
      <c r="D127" s="1118">
        <f>'2-60'!K656</f>
        <v>33</v>
      </c>
      <c r="E127" s="1118">
        <v>2</v>
      </c>
      <c r="F127" s="1119">
        <f>'2-60'!L656</f>
        <v>4711789.2</v>
      </c>
    </row>
    <row r="128" spans="1:6" s="1116" customFormat="1" ht="16.899999999999999" customHeight="1">
      <c r="A128" s="1235"/>
      <c r="B128" s="1120" t="s">
        <v>55</v>
      </c>
      <c r="C128" s="4">
        <f>C129</f>
        <v>3079.8</v>
      </c>
      <c r="D128" s="1118">
        <f t="shared" ref="D128:F128" si="23">D129</f>
        <v>116</v>
      </c>
      <c r="E128" s="1118">
        <f t="shared" si="23"/>
        <v>1</v>
      </c>
      <c r="F128" s="1119">
        <f t="shared" si="23"/>
        <v>4304423</v>
      </c>
    </row>
    <row r="129" spans="1:6" s="1116" customFormat="1" ht="16.899999999999999" customHeight="1">
      <c r="A129" s="1235">
        <v>31</v>
      </c>
      <c r="B129" s="1120" t="s">
        <v>1076</v>
      </c>
      <c r="C129" s="4">
        <f>'2-60'!H660</f>
        <v>3079.8</v>
      </c>
      <c r="D129" s="1118">
        <f>'2-60'!K660</f>
        <v>116</v>
      </c>
      <c r="E129" s="1118">
        <v>1</v>
      </c>
      <c r="F129" s="1119">
        <f>'2-60'!L660</f>
        <v>4304423</v>
      </c>
    </row>
    <row r="130" spans="1:6" s="1116" customFormat="1" ht="16.899999999999999" customHeight="1">
      <c r="A130" s="1235"/>
      <c r="B130" s="1121" t="s">
        <v>1991</v>
      </c>
      <c r="C130" s="4">
        <f>C132+C133+C131</f>
        <v>4015.3999999999996</v>
      </c>
      <c r="D130" s="1118">
        <f t="shared" ref="D130:F130" si="24">D132+D133+D131</f>
        <v>157</v>
      </c>
      <c r="E130" s="1118">
        <f t="shared" si="24"/>
        <v>4</v>
      </c>
      <c r="F130" s="1119">
        <f t="shared" si="24"/>
        <v>11563936.060000001</v>
      </c>
    </row>
    <row r="131" spans="1:6" s="1116" customFormat="1" ht="16.899999999999999" customHeight="1">
      <c r="A131" s="1235">
        <v>32</v>
      </c>
      <c r="B131" s="1120" t="s">
        <v>2024</v>
      </c>
      <c r="C131" s="4">
        <f>'2-60'!H663</f>
        <v>1822.2</v>
      </c>
      <c r="D131" s="1118">
        <f>'2-60'!K663</f>
        <v>66</v>
      </c>
      <c r="E131" s="1118">
        <v>2</v>
      </c>
      <c r="F131" s="1119">
        <f>'2-60'!L663</f>
        <v>8573045.0600000005</v>
      </c>
    </row>
    <row r="132" spans="1:6" s="1116" customFormat="1" ht="16.899999999999999" customHeight="1">
      <c r="A132" s="1235">
        <v>33</v>
      </c>
      <c r="B132" s="1120" t="s">
        <v>2815</v>
      </c>
      <c r="C132" s="4">
        <f>'2-60'!H666</f>
        <v>642</v>
      </c>
      <c r="D132" s="1118">
        <f>'2-60'!K666</f>
        <v>23</v>
      </c>
      <c r="E132" s="1118">
        <v>1</v>
      </c>
      <c r="F132" s="1119">
        <f>'61-106'!C664</f>
        <v>1461133</v>
      </c>
    </row>
    <row r="133" spans="1:6" s="1116" customFormat="1" ht="16.899999999999999" customHeight="1">
      <c r="A133" s="1235">
        <v>34</v>
      </c>
      <c r="B133" s="1120" t="s">
        <v>807</v>
      </c>
      <c r="C133" s="4">
        <f>'2-60'!H668</f>
        <v>1551.2</v>
      </c>
      <c r="D133" s="1118">
        <f>'2-60'!K668</f>
        <v>68</v>
      </c>
      <c r="E133" s="1118">
        <v>1</v>
      </c>
      <c r="F133" s="1119">
        <f>'2-60'!L668</f>
        <v>1529758</v>
      </c>
    </row>
    <row r="134" spans="1:6" s="1116" customFormat="1" ht="16.899999999999999" customHeight="1">
      <c r="A134" s="1235">
        <v>35</v>
      </c>
      <c r="B134" s="1120" t="s">
        <v>2676</v>
      </c>
      <c r="C134" s="4">
        <f>'2-60'!H670</f>
        <v>4426</v>
      </c>
      <c r="D134" s="1118">
        <f>'2-60'!K670</f>
        <v>113</v>
      </c>
      <c r="E134" s="1118">
        <v>4</v>
      </c>
      <c r="F134" s="1119">
        <f>'2-60'!L670</f>
        <v>8642732</v>
      </c>
    </row>
    <row r="135" spans="1:6" s="1116" customFormat="1" ht="16.899999999999999" customHeight="1">
      <c r="A135" s="1235">
        <v>36</v>
      </c>
      <c r="B135" s="1121" t="s">
        <v>1168</v>
      </c>
      <c r="C135" s="4">
        <f>'2-60'!H675</f>
        <v>2606.69</v>
      </c>
      <c r="D135" s="1118">
        <f>'2-60'!K675</f>
        <v>82</v>
      </c>
      <c r="E135" s="1118">
        <v>3</v>
      </c>
      <c r="F135" s="1119">
        <f>'2-60'!L675</f>
        <v>7595351.3699999992</v>
      </c>
    </row>
    <row r="136" spans="1:6" s="1116" customFormat="1" ht="16.899999999999999" customHeight="1">
      <c r="A136" s="1235">
        <v>37</v>
      </c>
      <c r="B136" s="1121" t="s">
        <v>1969</v>
      </c>
      <c r="C136" s="4">
        <f>'2-60'!H742</f>
        <v>15827.900000000003</v>
      </c>
      <c r="D136" s="1118">
        <f>'2-60'!K742</f>
        <v>627</v>
      </c>
      <c r="E136" s="1118">
        <v>20</v>
      </c>
      <c r="F136" s="1119">
        <f>'2-60'!L742</f>
        <v>6212616</v>
      </c>
    </row>
    <row r="137" spans="1:6" s="1116" customFormat="1" ht="16.899999999999999" customHeight="1">
      <c r="A137" s="1235">
        <v>38</v>
      </c>
      <c r="B137" s="1121" t="s">
        <v>1119</v>
      </c>
      <c r="C137" s="4">
        <f>'2-60'!H679</f>
        <v>18897.399999999998</v>
      </c>
      <c r="D137" s="1118">
        <f>'2-60'!K679</f>
        <v>732</v>
      </c>
      <c r="E137" s="1118">
        <v>8</v>
      </c>
      <c r="F137" s="1119">
        <f>'2-60'!L679</f>
        <v>29250322.59</v>
      </c>
    </row>
    <row r="138" spans="1:6" s="1116" customFormat="1" ht="16.899999999999999" customHeight="1">
      <c r="A138" s="1235">
        <v>39</v>
      </c>
      <c r="B138" s="1121" t="s">
        <v>1650</v>
      </c>
      <c r="C138" s="4">
        <f>'2-60'!H688</f>
        <v>830.8</v>
      </c>
      <c r="D138" s="1118">
        <f>'2-60'!K688</f>
        <v>23</v>
      </c>
      <c r="E138" s="1118">
        <v>1</v>
      </c>
      <c r="F138" s="1119">
        <f>'2-60'!L688</f>
        <v>6692193</v>
      </c>
    </row>
    <row r="139" spans="1:6" s="1116" customFormat="1" ht="16.899999999999999" customHeight="1">
      <c r="A139" s="1235"/>
      <c r="B139" s="1120" t="s">
        <v>1988</v>
      </c>
      <c r="C139" s="4">
        <f>C140</f>
        <v>810.3</v>
      </c>
      <c r="D139" s="1118">
        <f t="shared" ref="D139:F139" si="25">D140</f>
        <v>40</v>
      </c>
      <c r="E139" s="1118">
        <f t="shared" si="25"/>
        <v>1</v>
      </c>
      <c r="F139" s="1119">
        <f t="shared" si="25"/>
        <v>1442222.5</v>
      </c>
    </row>
    <row r="140" spans="1:6" s="1116" customFormat="1" ht="16.899999999999999" customHeight="1">
      <c r="A140" s="1235">
        <v>40</v>
      </c>
      <c r="B140" s="1120" t="s">
        <v>2812</v>
      </c>
      <c r="C140" s="4">
        <f>'2-60'!H691</f>
        <v>810.3</v>
      </c>
      <c r="D140" s="1118">
        <f>'2-60'!K691</f>
        <v>40</v>
      </c>
      <c r="E140" s="1118">
        <v>1</v>
      </c>
      <c r="F140" s="1119">
        <f>'2-60'!L691</f>
        <v>1442222.5</v>
      </c>
    </row>
    <row r="141" spans="1:6" s="1116" customFormat="1" ht="16.899999999999999" customHeight="1">
      <c r="A141" s="1235">
        <v>41</v>
      </c>
      <c r="B141" s="1120" t="s">
        <v>1651</v>
      </c>
      <c r="C141" s="4">
        <f>'2-60'!H693</f>
        <v>1514.2</v>
      </c>
      <c r="D141" s="1118">
        <f>'2-60'!K693</f>
        <v>38</v>
      </c>
      <c r="E141" s="1118">
        <v>2</v>
      </c>
      <c r="F141" s="1119">
        <f>'2-60'!L693</f>
        <v>2063504.2</v>
      </c>
    </row>
    <row r="142" spans="1:6" s="1116" customFormat="1" ht="16.899999999999999" customHeight="1">
      <c r="A142" s="1235">
        <v>42</v>
      </c>
      <c r="B142" s="1121" t="s">
        <v>1653</v>
      </c>
      <c r="C142" s="4">
        <f>'2-60'!H696</f>
        <v>1643.8000000000002</v>
      </c>
      <c r="D142" s="1118">
        <f>'2-60'!K696</f>
        <v>69</v>
      </c>
      <c r="E142" s="1118">
        <v>3</v>
      </c>
      <c r="F142" s="1119">
        <f>'2-60'!L696</f>
        <v>4281862</v>
      </c>
    </row>
    <row r="143" spans="1:6" s="1116" customFormat="1" ht="16.899999999999999" customHeight="1">
      <c r="A143" s="1235">
        <v>43</v>
      </c>
      <c r="B143" s="1120" t="s">
        <v>1987</v>
      </c>
      <c r="C143" s="4">
        <f>C144</f>
        <v>479.7</v>
      </c>
      <c r="D143" s="1118">
        <f t="shared" ref="D143:F143" si="26">D144</f>
        <v>11</v>
      </c>
      <c r="E143" s="1118">
        <f t="shared" si="26"/>
        <v>1</v>
      </c>
      <c r="F143" s="1119">
        <f t="shared" si="26"/>
        <v>1918583.73</v>
      </c>
    </row>
    <row r="144" spans="1:6" s="1116" customFormat="1" ht="16.899999999999999" customHeight="1">
      <c r="A144" s="1235"/>
      <c r="B144" s="1120" t="s">
        <v>2813</v>
      </c>
      <c r="C144" s="4">
        <f>'2-60'!H710</f>
        <v>479.7</v>
      </c>
      <c r="D144" s="1118">
        <f>'2-60'!K709</f>
        <v>11</v>
      </c>
      <c r="E144" s="1118">
        <v>1</v>
      </c>
      <c r="F144" s="1119">
        <f>'2-60'!L710</f>
        <v>1918583.73</v>
      </c>
    </row>
    <row r="145" spans="1:6" s="1116" customFormat="1" ht="16.899999999999999" customHeight="1">
      <c r="A145" s="1235"/>
      <c r="B145" s="1120" t="s">
        <v>2790</v>
      </c>
      <c r="C145" s="4">
        <f>C146+C147</f>
        <v>4177.3</v>
      </c>
      <c r="D145" s="1113">
        <f t="shared" ref="D145:F145" si="27">D146+D147</f>
        <v>149</v>
      </c>
      <c r="E145" s="1118">
        <f t="shared" si="27"/>
        <v>6</v>
      </c>
      <c r="F145" s="1119">
        <f t="shared" si="27"/>
        <v>12291643.199999999</v>
      </c>
    </row>
    <row r="146" spans="1:6" s="1116" customFormat="1" ht="16.899999999999999" customHeight="1">
      <c r="A146" s="1235">
        <v>44</v>
      </c>
      <c r="B146" s="1120" t="s">
        <v>1077</v>
      </c>
      <c r="C146" s="4">
        <f>'2-60'!H701</f>
        <v>3624.4000000000005</v>
      </c>
      <c r="D146" s="1118">
        <f>'2-60'!K701</f>
        <v>129</v>
      </c>
      <c r="E146" s="1118">
        <v>5</v>
      </c>
      <c r="F146" s="1119">
        <f>'2-60'!L701</f>
        <v>10300664.91</v>
      </c>
    </row>
    <row r="147" spans="1:6" s="1116" customFormat="1" ht="16.899999999999999" customHeight="1">
      <c r="A147" s="1235">
        <v>45</v>
      </c>
      <c r="B147" s="1120" t="s">
        <v>1267</v>
      </c>
      <c r="C147" s="4">
        <f>'2-60'!H707</f>
        <v>552.9</v>
      </c>
      <c r="D147" s="1118">
        <f>'2-60'!K707</f>
        <v>20</v>
      </c>
      <c r="E147" s="1118">
        <v>1</v>
      </c>
      <c r="F147" s="1119">
        <f>'2-60'!L707</f>
        <v>1990978.29</v>
      </c>
    </row>
    <row r="148" spans="1:6" s="1116" customFormat="1" ht="16.899999999999999" customHeight="1">
      <c r="A148" s="1235"/>
      <c r="B148" s="1121" t="s">
        <v>66</v>
      </c>
      <c r="C148" s="4">
        <f>C149</f>
        <v>501.4</v>
      </c>
      <c r="D148" s="1118">
        <f t="shared" ref="D148:F148" si="28">D149</f>
        <v>13</v>
      </c>
      <c r="E148" s="1118">
        <f t="shared" si="28"/>
        <v>1</v>
      </c>
      <c r="F148" s="1119">
        <f t="shared" si="28"/>
        <v>1523071</v>
      </c>
    </row>
    <row r="149" spans="1:6" s="1116" customFormat="1" ht="16.899999999999999" customHeight="1">
      <c r="A149" s="1235">
        <v>46</v>
      </c>
      <c r="B149" s="1120" t="s">
        <v>1081</v>
      </c>
      <c r="C149" s="4">
        <f>'2-60'!H713</f>
        <v>501.4</v>
      </c>
      <c r="D149" s="1118">
        <f>'2-60'!K713</f>
        <v>13</v>
      </c>
      <c r="E149" s="1118">
        <v>1</v>
      </c>
      <c r="F149" s="1119">
        <f>'2-60'!L713</f>
        <v>1523071</v>
      </c>
    </row>
    <row r="150" spans="1:6" s="1116" customFormat="1" ht="16.899999999999999" customHeight="1">
      <c r="A150" s="1235">
        <v>47</v>
      </c>
      <c r="B150" s="1120" t="s">
        <v>1122</v>
      </c>
      <c r="C150" s="4">
        <f>'2-60'!H715</f>
        <v>23746.32</v>
      </c>
      <c r="D150" s="1118">
        <f>'2-60'!K715</f>
        <v>879</v>
      </c>
      <c r="E150" s="1118">
        <v>4</v>
      </c>
      <c r="F150" s="1119">
        <f>'2-60'!L715</f>
        <v>33565442</v>
      </c>
    </row>
    <row r="151" spans="1:6" s="1116" customFormat="1" ht="16.899999999999999" customHeight="1">
      <c r="A151" s="1235"/>
      <c r="B151" s="1120" t="s">
        <v>67</v>
      </c>
      <c r="C151" s="4">
        <f>C152</f>
        <v>3529</v>
      </c>
      <c r="D151" s="1118">
        <f t="shared" ref="D151:F151" si="29">D152</f>
        <v>99</v>
      </c>
      <c r="E151" s="1118">
        <f t="shared" si="29"/>
        <v>1</v>
      </c>
      <c r="F151" s="1119">
        <f t="shared" si="29"/>
        <v>2483859</v>
      </c>
    </row>
    <row r="152" spans="1:6" s="1116" customFormat="1" ht="16.899999999999999" customHeight="1">
      <c r="A152" s="1235">
        <v>48</v>
      </c>
      <c r="B152" s="1120" t="s">
        <v>1233</v>
      </c>
      <c r="C152" s="4">
        <f>'2-60'!H721</f>
        <v>3529</v>
      </c>
      <c r="D152" s="1118">
        <f>'2-60'!K721</f>
        <v>99</v>
      </c>
      <c r="E152" s="1118">
        <v>1</v>
      </c>
      <c r="F152" s="1119">
        <f>'2-60'!L721</f>
        <v>2483859</v>
      </c>
    </row>
    <row r="153" spans="1:6" s="1116" customFormat="1" ht="16.899999999999999" customHeight="1">
      <c r="A153" s="1422" t="s">
        <v>2810</v>
      </c>
      <c r="B153" s="1422"/>
      <c r="C153" s="1422"/>
      <c r="D153" s="1422"/>
      <c r="E153" s="1422"/>
      <c r="F153" s="1422"/>
    </row>
    <row r="154" spans="1:6" s="1116" customFormat="1" ht="16.899999999999999" customHeight="1">
      <c r="A154" s="1235"/>
      <c r="B154" s="1120" t="s">
        <v>42</v>
      </c>
      <c r="C154" s="4">
        <f>C155+C156+C158+C159+C161+C162+C165+C166+C168+C169+C171+C173+C181+C183+C184+C192+C193+C195+C200+C201+C203+C204+C205+C207+C208+C209+C210+C212+C217+C219+C220+C202+C215+C160+C172+C157</f>
        <v>462056.98999999993</v>
      </c>
      <c r="D154" s="1113">
        <f>D155+D156+D158+D159+D161+D162+D165+D166+D168+D169+D171+D173+D181+D183+D184+D192+D193+D195+D200+D201+D203+D204+D205+D207+D208+D209+D210+D212+D217+D219+D220+D202+D215+D160+D172+D157</f>
        <v>16580</v>
      </c>
      <c r="E154" s="1113">
        <f>E155+E156+E158+E159+E161+E162+E165+E166+E168+E169+E171+E173+E181+E183+E184+E192+E193+E195+E200+E201+E203+E204+E205+E207+E208+E209+E210+E212+E217+E219+E220+E202+E215+E160+E172+E157</f>
        <v>212</v>
      </c>
      <c r="F154" s="1119">
        <f>F155+F156+F158+F159+F161+F162+F165+F166+F168+F169+F171+F173+F181+F183+F184+F192+F193+F195+F200+F201+F203+F204+F205+F207+F208+F209+F210+F212+F217+F219+F220+F202+F215+F160+F172+F157</f>
        <v>1012300911.7499999</v>
      </c>
    </row>
    <row r="155" spans="1:6" s="1116" customFormat="1" ht="16.899999999999999" customHeight="1">
      <c r="A155" s="1235">
        <v>1</v>
      </c>
      <c r="B155" s="1120" t="s">
        <v>1083</v>
      </c>
      <c r="C155" s="4">
        <f>'2-60'!H766</f>
        <v>110826.50000000003</v>
      </c>
      <c r="D155" s="1118">
        <f>'2-60'!K766</f>
        <v>4142</v>
      </c>
      <c r="E155" s="1118">
        <v>30</v>
      </c>
      <c r="F155" s="1119">
        <f>'2-60'!L766</f>
        <v>419146020.49000001</v>
      </c>
    </row>
    <row r="156" spans="1:6" s="1116" customFormat="1" ht="16.899999999999999" customHeight="1">
      <c r="A156" s="1235">
        <v>2</v>
      </c>
      <c r="B156" s="1117" t="s">
        <v>1393</v>
      </c>
      <c r="C156" s="4">
        <f>'2-60'!H797</f>
        <v>27708.889999999996</v>
      </c>
      <c r="D156" s="1118">
        <f>'2-60'!K797</f>
        <v>1126</v>
      </c>
      <c r="E156" s="1118">
        <v>18</v>
      </c>
      <c r="F156" s="1119">
        <f>'2-60'!L797</f>
        <v>46355676.599999994</v>
      </c>
    </row>
    <row r="157" spans="1:6" s="1116" customFormat="1" ht="16.899999999999999" customHeight="1">
      <c r="A157" s="1256">
        <v>3</v>
      </c>
      <c r="B157" s="1120" t="s">
        <v>2703</v>
      </c>
      <c r="C157" s="4">
        <f>'2-60'!H816</f>
        <v>11486.800000000001</v>
      </c>
      <c r="D157" s="1118">
        <f>'2-60'!K816</f>
        <v>378</v>
      </c>
      <c r="E157" s="1118">
        <v>5</v>
      </c>
      <c r="F157" s="1119">
        <f>'2-60'!L816</f>
        <v>42663587.089999996</v>
      </c>
    </row>
    <row r="158" spans="1:6" s="1116" customFormat="1" ht="16.899999999999999" customHeight="1">
      <c r="A158" s="1235">
        <v>4</v>
      </c>
      <c r="B158" s="1120" t="s">
        <v>1062</v>
      </c>
      <c r="C158" s="4">
        <f>'2-60'!H822</f>
        <v>10789.4</v>
      </c>
      <c r="D158" s="1118">
        <f>'2-60'!K822</f>
        <v>329</v>
      </c>
      <c r="E158" s="1118">
        <v>13</v>
      </c>
      <c r="F158" s="1119">
        <f>'2-60'!L822</f>
        <v>25636485.390000001</v>
      </c>
    </row>
    <row r="159" spans="1:6" s="1116" customFormat="1" ht="16.899999999999999" customHeight="1">
      <c r="A159" s="1235">
        <v>5</v>
      </c>
      <c r="B159" s="1117" t="s">
        <v>1124</v>
      </c>
      <c r="C159" s="4">
        <f>'2-60'!H836</f>
        <v>9704.9599999999991</v>
      </c>
      <c r="D159" s="1118">
        <f>'2-60'!K836</f>
        <v>229</v>
      </c>
      <c r="E159" s="1118">
        <v>3</v>
      </c>
      <c r="F159" s="1119">
        <f>'2-60'!L836</f>
        <v>14315386.510000002</v>
      </c>
    </row>
    <row r="160" spans="1:6" s="1116" customFormat="1" ht="16.899999999999999" customHeight="1">
      <c r="A160" s="1235">
        <v>6</v>
      </c>
      <c r="B160" s="1117" t="s">
        <v>1123</v>
      </c>
      <c r="C160" s="4">
        <f>'2-60'!H840</f>
        <v>2739.4</v>
      </c>
      <c r="D160" s="1118">
        <f>'2-60'!K840</f>
        <v>82</v>
      </c>
      <c r="E160" s="1118">
        <v>1</v>
      </c>
      <c r="F160" s="1119">
        <f>'2-60'!L840</f>
        <v>11459859.27</v>
      </c>
    </row>
    <row r="161" spans="1:6" s="1116" customFormat="1" ht="16.899999999999999" customHeight="1">
      <c r="A161" s="1236">
        <v>7</v>
      </c>
      <c r="B161" s="1117" t="s">
        <v>1435</v>
      </c>
      <c r="C161" s="4">
        <f>'2-60'!H842</f>
        <v>1303.6999999999998</v>
      </c>
      <c r="D161" s="1118">
        <f>'2-60'!K842</f>
        <v>34</v>
      </c>
      <c r="E161" s="1118">
        <v>2</v>
      </c>
      <c r="F161" s="1119">
        <f>'2-60'!L842</f>
        <v>3519986</v>
      </c>
    </row>
    <row r="162" spans="1:6" s="1116" customFormat="1" ht="16.899999999999999" customHeight="1">
      <c r="A162" s="1235"/>
      <c r="B162" s="1117" t="s">
        <v>41</v>
      </c>
      <c r="C162" s="4">
        <f>C163+C164</f>
        <v>15155.359999999999</v>
      </c>
      <c r="D162" s="1113">
        <f t="shared" ref="D162:F162" si="30">D163+D164</f>
        <v>687</v>
      </c>
      <c r="E162" s="1113">
        <f t="shared" si="30"/>
        <v>11</v>
      </c>
      <c r="F162" s="1119">
        <f t="shared" si="30"/>
        <v>51535617.820000008</v>
      </c>
    </row>
    <row r="163" spans="1:6" s="1116" customFormat="1" ht="16.899999999999999" customHeight="1">
      <c r="A163" s="1235">
        <v>8</v>
      </c>
      <c r="B163" s="1117" t="s">
        <v>1063</v>
      </c>
      <c r="C163" s="4">
        <f>'2-60'!H846</f>
        <v>14091.46</v>
      </c>
      <c r="D163" s="1118">
        <f>'2-60'!K846</f>
        <v>638</v>
      </c>
      <c r="E163" s="1118">
        <v>10</v>
      </c>
      <c r="F163" s="1119">
        <f>'2-60'!L846</f>
        <v>48842910.820000008</v>
      </c>
    </row>
    <row r="164" spans="1:6" s="1116" customFormat="1" ht="16.899999999999999" customHeight="1">
      <c r="A164" s="1235">
        <v>9</v>
      </c>
      <c r="B164" s="1117" t="s">
        <v>2640</v>
      </c>
      <c r="C164" s="4">
        <f>'2-60'!H857</f>
        <v>1063.9000000000001</v>
      </c>
      <c r="D164" s="1118">
        <f>'2-60'!K857</f>
        <v>49</v>
      </c>
      <c r="E164" s="1118">
        <v>1</v>
      </c>
      <c r="F164" s="1119">
        <f>'2-60'!L857</f>
        <v>2692707</v>
      </c>
    </row>
    <row r="165" spans="1:6" s="1116" customFormat="1" ht="16.899999999999999" customHeight="1">
      <c r="A165" s="1235">
        <v>10</v>
      </c>
      <c r="B165" s="1117" t="s">
        <v>2673</v>
      </c>
      <c r="C165" s="4">
        <f>'2-60'!H859</f>
        <v>732.9</v>
      </c>
      <c r="D165" s="1118">
        <f>'2-60'!K859</f>
        <v>33</v>
      </c>
      <c r="E165" s="1118">
        <v>2</v>
      </c>
      <c r="F165" s="1119">
        <f>'2-60'!L859</f>
        <v>431415.74</v>
      </c>
    </row>
    <row r="166" spans="1:6" s="1116" customFormat="1" ht="16.899999999999999" customHeight="1">
      <c r="A166" s="1121"/>
      <c r="B166" s="1121" t="s">
        <v>43</v>
      </c>
      <c r="C166" s="4">
        <f>C167</f>
        <v>13975.140000000001</v>
      </c>
      <c r="D166" s="1118">
        <f t="shared" ref="D166:F166" si="31">D167</f>
        <v>440</v>
      </c>
      <c r="E166" s="1118">
        <f t="shared" si="31"/>
        <v>10</v>
      </c>
      <c r="F166" s="1119">
        <f t="shared" si="31"/>
        <v>18668404</v>
      </c>
    </row>
    <row r="167" spans="1:6" s="1116" customFormat="1" ht="16.899999999999999" customHeight="1">
      <c r="A167" s="1235">
        <v>11</v>
      </c>
      <c r="B167" s="1120" t="s">
        <v>1090</v>
      </c>
      <c r="C167" s="4">
        <f>'2-60'!H863</f>
        <v>13975.140000000001</v>
      </c>
      <c r="D167" s="1118">
        <f>'2-60'!K863</f>
        <v>440</v>
      </c>
      <c r="E167" s="1118">
        <v>10</v>
      </c>
      <c r="F167" s="1119">
        <f>'2-60'!L863</f>
        <v>18668404</v>
      </c>
    </row>
    <row r="168" spans="1:6" s="1116" customFormat="1" ht="16.899999999999999" customHeight="1">
      <c r="A168" s="1235">
        <v>12</v>
      </c>
      <c r="B168" s="1121" t="s">
        <v>1370</v>
      </c>
      <c r="C168" s="4">
        <f>'2-60'!H874</f>
        <v>3282</v>
      </c>
      <c r="D168" s="1118">
        <f>'2-60'!K874</f>
        <v>57</v>
      </c>
      <c r="E168" s="1118">
        <f>2</f>
        <v>2</v>
      </c>
      <c r="F168" s="1119">
        <f>'2-60'!L874</f>
        <v>4515059.4799999995</v>
      </c>
    </row>
    <row r="169" spans="1:6" s="1116" customFormat="1" ht="16.899999999999999" customHeight="1">
      <c r="A169" s="1235"/>
      <c r="B169" s="1121" t="s">
        <v>46</v>
      </c>
      <c r="C169" s="4">
        <f>C170</f>
        <v>1653.4</v>
      </c>
      <c r="D169" s="1118">
        <f t="shared" ref="D169:F169" si="32">D170</f>
        <v>46</v>
      </c>
      <c r="E169" s="1118">
        <f t="shared" si="32"/>
        <v>1</v>
      </c>
      <c r="F169" s="1119">
        <f t="shared" si="32"/>
        <v>2688304.17</v>
      </c>
    </row>
    <row r="170" spans="1:6" s="1116" customFormat="1" ht="16.899999999999999" customHeight="1">
      <c r="A170" s="1235">
        <v>13</v>
      </c>
      <c r="B170" s="1120" t="s">
        <v>1085</v>
      </c>
      <c r="C170" s="4">
        <f>'2-60'!H878</f>
        <v>1653.4</v>
      </c>
      <c r="D170" s="1118">
        <f>'2-60'!K878</f>
        <v>46</v>
      </c>
      <c r="E170" s="1118">
        <v>1</v>
      </c>
      <c r="F170" s="1119">
        <f>'2-60'!L878</f>
        <v>2688304.17</v>
      </c>
    </row>
    <row r="171" spans="1:6" s="1116" customFormat="1" ht="16.899999999999999" customHeight="1">
      <c r="A171" s="1235">
        <v>14</v>
      </c>
      <c r="B171" s="1121" t="s">
        <v>1649</v>
      </c>
      <c r="C171" s="4">
        <f>'2-60'!H880</f>
        <v>2539.1999999999998</v>
      </c>
      <c r="D171" s="1118">
        <f>'2-60'!K880</f>
        <v>101</v>
      </c>
      <c r="E171" s="1118">
        <v>2</v>
      </c>
      <c r="F171" s="1119">
        <f>'2-60'!L880</f>
        <v>5475851.4199999999</v>
      </c>
    </row>
    <row r="172" spans="1:6" s="1116" customFormat="1" ht="16.899999999999999" customHeight="1">
      <c r="A172" s="1235">
        <v>15</v>
      </c>
      <c r="B172" s="1121" t="s">
        <v>2674</v>
      </c>
      <c r="C172" s="4">
        <f>'2-60'!H883</f>
        <v>662.8</v>
      </c>
      <c r="D172" s="1113">
        <f>'2-60'!K883</f>
        <v>17</v>
      </c>
      <c r="E172" s="1113">
        <v>1</v>
      </c>
      <c r="F172" s="1119">
        <f>'2-60'!L883</f>
        <v>1861026</v>
      </c>
    </row>
    <row r="173" spans="1:6" s="1116" customFormat="1" ht="16.899999999999999" customHeight="1">
      <c r="A173" s="1235"/>
      <c r="B173" s="1121" t="s">
        <v>49</v>
      </c>
      <c r="C173" s="4">
        <f>C174+C175+C178+C179+C180+C176+C177</f>
        <v>27141.899999999998</v>
      </c>
      <c r="D173" s="1113">
        <f t="shared" ref="D173:F173" si="33">D174+D175+D178+D179+D180+D176+D177</f>
        <v>1151</v>
      </c>
      <c r="E173" s="1113">
        <f t="shared" si="33"/>
        <v>12</v>
      </c>
      <c r="F173" s="1119">
        <f t="shared" si="33"/>
        <v>36973838.799999997</v>
      </c>
    </row>
    <row r="174" spans="1:6" s="1116" customFormat="1" ht="16.899999999999999" customHeight="1">
      <c r="A174" s="1235">
        <v>16</v>
      </c>
      <c r="B174" s="1120" t="s">
        <v>1095</v>
      </c>
      <c r="C174" s="4">
        <f>'2-60'!H886</f>
        <v>631.29999999999995</v>
      </c>
      <c r="D174" s="1118">
        <f>'2-60'!K886</f>
        <v>32</v>
      </c>
      <c r="E174" s="1118">
        <v>1</v>
      </c>
      <c r="F174" s="1119">
        <f>'2-60'!L886</f>
        <v>2485631.81</v>
      </c>
    </row>
    <row r="175" spans="1:6" s="1116" customFormat="1" ht="16.899999999999999" customHeight="1">
      <c r="A175" s="1235">
        <v>17</v>
      </c>
      <c r="B175" s="1120" t="s">
        <v>1125</v>
      </c>
      <c r="C175" s="4">
        <f>'2-60'!H888</f>
        <v>2749.1</v>
      </c>
      <c r="D175" s="1118">
        <f>'2-60'!K888</f>
        <v>111</v>
      </c>
      <c r="E175" s="1118">
        <v>2</v>
      </c>
      <c r="F175" s="1119">
        <f>'2-60'!L888</f>
        <v>5275992.25</v>
      </c>
    </row>
    <row r="176" spans="1:6" s="1116" customFormat="1" ht="16.899999999999999" customHeight="1">
      <c r="A176" s="1235">
        <v>18</v>
      </c>
      <c r="B176" s="1120" t="s">
        <v>1317</v>
      </c>
      <c r="C176" s="4">
        <f>'[2]2-63'!H870</f>
        <v>8302.5</v>
      </c>
      <c r="D176" s="1118">
        <f>'[2]2-63'!K870</f>
        <v>328</v>
      </c>
      <c r="E176" s="1118">
        <v>3</v>
      </c>
      <c r="F176" s="1119">
        <f>'[2]2-63'!L870</f>
        <v>11161450</v>
      </c>
    </row>
    <row r="177" spans="1:6" s="1116" customFormat="1" ht="16.899999999999999" customHeight="1">
      <c r="A177" s="1235">
        <v>19</v>
      </c>
      <c r="B177" s="1120" t="s">
        <v>2657</v>
      </c>
      <c r="C177" s="4">
        <f>'2-60'!H895</f>
        <v>844.8</v>
      </c>
      <c r="D177" s="1118">
        <f>'2-60'!K895</f>
        <v>30</v>
      </c>
      <c r="E177" s="1118">
        <v>1</v>
      </c>
      <c r="F177" s="1119">
        <f>'2-60'!L895</f>
        <v>1808834</v>
      </c>
    </row>
    <row r="178" spans="1:6" s="1116" customFormat="1" ht="16.899999999999999" customHeight="1">
      <c r="A178" s="1235">
        <v>20</v>
      </c>
      <c r="B178" s="1120" t="s">
        <v>1173</v>
      </c>
      <c r="C178" s="4">
        <f>'2-60'!H897</f>
        <v>366.6</v>
      </c>
      <c r="D178" s="1118">
        <f>'2-60'!K897</f>
        <v>16</v>
      </c>
      <c r="E178" s="1118">
        <v>1</v>
      </c>
      <c r="F178" s="1119">
        <f>'2-60'!L897</f>
        <v>1921117</v>
      </c>
    </row>
    <row r="179" spans="1:6" s="1116" customFormat="1" ht="16.899999999999999" customHeight="1">
      <c r="A179" s="1235">
        <v>21</v>
      </c>
      <c r="B179" s="1120" t="s">
        <v>1360</v>
      </c>
      <c r="C179" s="4">
        <f>'2-60'!H899</f>
        <v>2970.8</v>
      </c>
      <c r="D179" s="1118">
        <f>'2-60'!K899</f>
        <v>162</v>
      </c>
      <c r="E179" s="1118">
        <v>2</v>
      </c>
      <c r="F179" s="1119">
        <f>'2-60'!L899</f>
        <v>4383048.74</v>
      </c>
    </row>
    <row r="180" spans="1:6" s="1116" customFormat="1" ht="16.899999999999999" customHeight="1">
      <c r="A180" s="1235">
        <v>22</v>
      </c>
      <c r="B180" s="1120" t="s">
        <v>1107</v>
      </c>
      <c r="C180" s="4">
        <f>'2-60'!H902</f>
        <v>11276.800000000001</v>
      </c>
      <c r="D180" s="1118">
        <f>'2-60'!K902</f>
        <v>472</v>
      </c>
      <c r="E180" s="1118">
        <v>2</v>
      </c>
      <c r="F180" s="1119">
        <f>'2-60'!L902</f>
        <v>9937765</v>
      </c>
    </row>
    <row r="181" spans="1:6" s="1116" customFormat="1" ht="16.899999999999999" customHeight="1">
      <c r="A181" s="1235"/>
      <c r="B181" s="1121" t="s">
        <v>50</v>
      </c>
      <c r="C181" s="4">
        <f>C182</f>
        <v>5638.2999999999993</v>
      </c>
      <c r="D181" s="1118">
        <f t="shared" ref="D181:F181" si="34">D182</f>
        <v>201</v>
      </c>
      <c r="E181" s="1118">
        <f t="shared" si="34"/>
        <v>3</v>
      </c>
      <c r="F181" s="1119">
        <f t="shared" si="34"/>
        <v>9952296.6600000001</v>
      </c>
    </row>
    <row r="182" spans="1:6" s="1116" customFormat="1" ht="16.899999999999999" customHeight="1">
      <c r="A182" s="1235">
        <v>23</v>
      </c>
      <c r="B182" s="1120" t="s">
        <v>1067</v>
      </c>
      <c r="C182" s="4">
        <f>'2-60'!H906</f>
        <v>5638.2999999999993</v>
      </c>
      <c r="D182" s="1118">
        <f>'2-60'!K906</f>
        <v>201</v>
      </c>
      <c r="E182" s="1118">
        <v>3</v>
      </c>
      <c r="F182" s="1119">
        <f>'2-60'!L906</f>
        <v>9952296.6600000001</v>
      </c>
    </row>
    <row r="183" spans="1:6" s="1116" customFormat="1" ht="16.899999999999999" customHeight="1">
      <c r="A183" s="1235">
        <v>24</v>
      </c>
      <c r="B183" s="1121" t="s">
        <v>1169</v>
      </c>
      <c r="C183" s="4">
        <f>'2-60'!H910</f>
        <v>20881.999999999996</v>
      </c>
      <c r="D183" s="1118">
        <f>'2-60'!K910</f>
        <v>645</v>
      </c>
      <c r="E183" s="1118">
        <v>10</v>
      </c>
      <c r="F183" s="1119">
        <f>'2-60'!L910</f>
        <v>19159112.059999999</v>
      </c>
    </row>
    <row r="184" spans="1:6" s="1116" customFormat="1" ht="16.899999999999999" customHeight="1">
      <c r="A184" s="1261"/>
      <c r="B184" s="1121" t="s">
        <v>53</v>
      </c>
      <c r="C184" s="4">
        <f>C185+C190+C187+C188+C189+C191+C186</f>
        <v>66786.499999999985</v>
      </c>
      <c r="D184" s="1113">
        <f t="shared" ref="D184:F184" si="35">D185+D190+D187+D188+D189+D191+D186</f>
        <v>2283</v>
      </c>
      <c r="E184" s="1118">
        <f t="shared" si="35"/>
        <v>15</v>
      </c>
      <c r="F184" s="1119">
        <f t="shared" si="35"/>
        <v>116429677.81999998</v>
      </c>
    </row>
    <row r="185" spans="1:6" s="1116" customFormat="1" ht="16.899999999999999" customHeight="1">
      <c r="A185" s="1261">
        <v>25</v>
      </c>
      <c r="B185" s="1120" t="s">
        <v>1069</v>
      </c>
      <c r="C185" s="4">
        <f>'2-60'!H922</f>
        <v>49590.1</v>
      </c>
      <c r="D185" s="1118">
        <f>'2-60'!K922</f>
        <v>1640</v>
      </c>
      <c r="E185" s="1118">
        <v>9</v>
      </c>
      <c r="F185" s="1119">
        <f>'2-60'!L922</f>
        <v>94534565.969999984</v>
      </c>
    </row>
    <row r="186" spans="1:6" s="1116" customFormat="1" ht="16.899999999999999" customHeight="1">
      <c r="A186" s="1261">
        <v>26</v>
      </c>
      <c r="B186" s="1120" t="s">
        <v>2814</v>
      </c>
      <c r="C186" s="4">
        <f>'2-60'!H932</f>
        <v>858.4</v>
      </c>
      <c r="D186" s="1118">
        <f>'2-60'!K932</f>
        <v>43</v>
      </c>
      <c r="E186" s="1118">
        <v>1</v>
      </c>
      <c r="F186" s="1119">
        <f>'2-60'!L932</f>
        <v>3410816</v>
      </c>
    </row>
    <row r="187" spans="1:6" s="1116" customFormat="1" ht="16.899999999999999" customHeight="1">
      <c r="A187" s="1235">
        <v>27</v>
      </c>
      <c r="B187" s="1120" t="s">
        <v>1089</v>
      </c>
      <c r="C187" s="4">
        <f>'2-60'!H934</f>
        <v>3390.7</v>
      </c>
      <c r="D187" s="1118">
        <f>'2-60'!K934</f>
        <v>126</v>
      </c>
      <c r="E187" s="1118">
        <v>1</v>
      </c>
      <c r="F187" s="1119">
        <f>'2-60'!L934</f>
        <v>4569906.8499999996</v>
      </c>
    </row>
    <row r="188" spans="1:6" s="1116" customFormat="1" ht="16.899999999999999" customHeight="1">
      <c r="A188" s="1235">
        <v>28</v>
      </c>
      <c r="B188" s="1120" t="s">
        <v>1369</v>
      </c>
      <c r="C188" s="4">
        <f>'2-60'!H936</f>
        <v>11049.9</v>
      </c>
      <c r="D188" s="1118">
        <f>'2-60'!K936</f>
        <v>385</v>
      </c>
      <c r="E188" s="1118">
        <v>1</v>
      </c>
      <c r="F188" s="1119">
        <f>'2-60'!L936</f>
        <v>8518278</v>
      </c>
    </row>
    <row r="189" spans="1:6" s="1116" customFormat="1" ht="16.899999999999999" customHeight="1">
      <c r="A189" s="1235">
        <v>29</v>
      </c>
      <c r="B189" s="1120" t="s">
        <v>1644</v>
      </c>
      <c r="C189" s="4">
        <f>'2-60'!H938</f>
        <v>525.4</v>
      </c>
      <c r="D189" s="1118">
        <f>'2-60'!K938</f>
        <v>24</v>
      </c>
      <c r="E189" s="1118">
        <v>1</v>
      </c>
      <c r="F189" s="1119">
        <f>'2-60'!L938</f>
        <v>1992274</v>
      </c>
    </row>
    <row r="190" spans="1:6" s="1116" customFormat="1" ht="16.899999999999999" customHeight="1">
      <c r="A190" s="1235">
        <v>30</v>
      </c>
      <c r="B190" s="1120" t="s">
        <v>1109</v>
      </c>
      <c r="C190" s="4">
        <f>'2-60'!H940</f>
        <v>627.1</v>
      </c>
      <c r="D190" s="1118">
        <f>'2-60'!K940</f>
        <v>33</v>
      </c>
      <c r="E190" s="1118">
        <v>1</v>
      </c>
      <c r="F190" s="1119">
        <f>'2-60'!L940</f>
        <v>1039583</v>
      </c>
    </row>
    <row r="191" spans="1:6" s="1116" customFormat="1" ht="16.899999999999999" customHeight="1">
      <c r="A191" s="1235">
        <v>31</v>
      </c>
      <c r="B191" s="1120" t="s">
        <v>1971</v>
      </c>
      <c r="C191" s="4">
        <f>'2-60'!H943</f>
        <v>744.9</v>
      </c>
      <c r="D191" s="1118">
        <f>'2-60'!K942</f>
        <v>32</v>
      </c>
      <c r="E191" s="1118">
        <v>1</v>
      </c>
      <c r="F191" s="1119">
        <f>'2-60'!L942</f>
        <v>2364254</v>
      </c>
    </row>
    <row r="192" spans="1:6" s="1116" customFormat="1" ht="16.899999999999999" customHeight="1">
      <c r="A192" s="1235">
        <v>32</v>
      </c>
      <c r="B192" s="1121" t="s">
        <v>1652</v>
      </c>
      <c r="C192" s="4">
        <f>'2-60'!H944</f>
        <v>215</v>
      </c>
      <c r="D192" s="1118">
        <f>'2-60'!K944</f>
        <v>10</v>
      </c>
      <c r="E192" s="1118">
        <v>1</v>
      </c>
      <c r="F192" s="1119">
        <f>'2-60'!L944</f>
        <v>201991.25</v>
      </c>
    </row>
    <row r="193" spans="1:6" s="1116" customFormat="1" ht="16.899999999999999" customHeight="1">
      <c r="A193" s="1235"/>
      <c r="B193" s="1121" t="s">
        <v>55</v>
      </c>
      <c r="C193" s="4">
        <f>C194</f>
        <v>2345.6</v>
      </c>
      <c r="D193" s="1118">
        <f t="shared" ref="D193:F193" si="36">D194</f>
        <v>62</v>
      </c>
      <c r="E193" s="1118">
        <f t="shared" si="36"/>
        <v>3</v>
      </c>
      <c r="F193" s="1119">
        <f t="shared" si="36"/>
        <v>5986278</v>
      </c>
    </row>
    <row r="194" spans="1:6" s="1116" customFormat="1" ht="16.899999999999999" customHeight="1">
      <c r="A194" s="1235">
        <v>33</v>
      </c>
      <c r="B194" s="1120" t="s">
        <v>1076</v>
      </c>
      <c r="C194" s="4">
        <f>'2-60'!H947</f>
        <v>2345.6</v>
      </c>
      <c r="D194" s="1118">
        <f>'2-60'!K947</f>
        <v>62</v>
      </c>
      <c r="E194" s="1118">
        <v>3</v>
      </c>
      <c r="F194" s="1119">
        <f>'2-60'!L947</f>
        <v>5986278</v>
      </c>
    </row>
    <row r="195" spans="1:6" s="1116" customFormat="1" ht="16.899999999999999" customHeight="1">
      <c r="A195" s="1235"/>
      <c r="B195" s="1121" t="s">
        <v>1989</v>
      </c>
      <c r="C195" s="4">
        <f>C196+C197+C198+C199</f>
        <v>11252.599999999999</v>
      </c>
      <c r="D195" s="1118">
        <f t="shared" ref="D195:F195" si="37">D196+D197+D198+D199</f>
        <v>402</v>
      </c>
      <c r="E195" s="1118">
        <f t="shared" si="37"/>
        <v>6</v>
      </c>
      <c r="F195" s="1119">
        <f t="shared" si="37"/>
        <v>15850714.51</v>
      </c>
    </row>
    <row r="196" spans="1:6" s="1116" customFormat="1" ht="16.899999999999999" customHeight="1">
      <c r="A196" s="1235">
        <v>34</v>
      </c>
      <c r="B196" s="1121" t="s">
        <v>2024</v>
      </c>
      <c r="C196" s="4">
        <f>'2-60'!H952</f>
        <v>4189.5</v>
      </c>
      <c r="D196" s="1118">
        <f>'2-60'!K952</f>
        <v>160</v>
      </c>
      <c r="E196" s="1118">
        <v>1</v>
      </c>
      <c r="F196" s="1119">
        <f>'2-60'!L952</f>
        <v>8465841.5099999998</v>
      </c>
    </row>
    <row r="197" spans="1:6" s="1116" customFormat="1" ht="16.899999999999999" customHeight="1">
      <c r="A197" s="1235">
        <v>35</v>
      </c>
      <c r="B197" s="1121" t="s">
        <v>2815</v>
      </c>
      <c r="C197" s="4">
        <f>'2-60'!H954</f>
        <v>3692.3</v>
      </c>
      <c r="D197" s="1118">
        <f>'2-60'!K954</f>
        <v>107</v>
      </c>
      <c r="E197" s="1118">
        <v>2</v>
      </c>
      <c r="F197" s="1119">
        <f>'2-60'!L954</f>
        <v>3625770</v>
      </c>
    </row>
    <row r="198" spans="1:6" s="1116" customFormat="1" ht="16.899999999999999" customHeight="1">
      <c r="A198" s="1235">
        <v>36</v>
      </c>
      <c r="B198" s="1121" t="s">
        <v>807</v>
      </c>
      <c r="C198" s="4">
        <f>'2-60'!H957</f>
        <v>1981.5</v>
      </c>
      <c r="D198" s="1118">
        <f>'2-60'!K957</f>
        <v>73</v>
      </c>
      <c r="E198" s="1118">
        <v>2</v>
      </c>
      <c r="F198" s="1119">
        <f>'2-60'!L957</f>
        <v>3276658</v>
      </c>
    </row>
    <row r="199" spans="1:6" s="1116" customFormat="1" ht="16.899999999999999" customHeight="1">
      <c r="A199" s="1235">
        <v>37</v>
      </c>
      <c r="B199" s="1121" t="s">
        <v>2026</v>
      </c>
      <c r="C199" s="4">
        <f>'2-60'!H960</f>
        <v>1389.3</v>
      </c>
      <c r="D199" s="1118">
        <f>'2-60'!K960</f>
        <v>62</v>
      </c>
      <c r="E199" s="1118">
        <v>1</v>
      </c>
      <c r="F199" s="1119">
        <f>'2-60'!L960</f>
        <v>482445</v>
      </c>
    </row>
    <row r="200" spans="1:6" s="1116" customFormat="1" ht="16.899999999999999" customHeight="1">
      <c r="A200" s="1235">
        <v>38</v>
      </c>
      <c r="B200" s="1121" t="s">
        <v>2676</v>
      </c>
      <c r="C200" s="4">
        <f>'2-60'!H962</f>
        <v>808</v>
      </c>
      <c r="D200" s="1118">
        <f>'2-60'!K962</f>
        <v>25</v>
      </c>
      <c r="E200" s="1118">
        <v>1</v>
      </c>
      <c r="F200" s="1119">
        <f>'2-60'!L962</f>
        <v>3004703.75</v>
      </c>
    </row>
    <row r="201" spans="1:6" s="1116" customFormat="1" ht="16.899999999999999" customHeight="1">
      <c r="A201" s="1235">
        <v>39</v>
      </c>
      <c r="B201" s="1121" t="s">
        <v>1168</v>
      </c>
      <c r="C201" s="4">
        <f>'2-60'!H964</f>
        <v>2505.5</v>
      </c>
      <c r="D201" s="1118">
        <f>'2-60'!K964</f>
        <v>58</v>
      </c>
      <c r="E201" s="1118">
        <v>2</v>
      </c>
      <c r="F201" s="1119">
        <f>'2-60'!L964</f>
        <v>5202205.28</v>
      </c>
    </row>
    <row r="202" spans="1:6" s="1116" customFormat="1" ht="16.899999999999999" customHeight="1">
      <c r="A202" s="1235">
        <v>40</v>
      </c>
      <c r="B202" s="1121" t="s">
        <v>1969</v>
      </c>
      <c r="C202" s="4">
        <f>'2-60'!H1035</f>
        <v>10462.699999999999</v>
      </c>
      <c r="D202" s="1118">
        <f>'2-60'!K1035</f>
        <v>391</v>
      </c>
      <c r="E202" s="1118">
        <v>13</v>
      </c>
      <c r="F202" s="1119">
        <f>'2-60'!L1035</f>
        <v>6173012</v>
      </c>
    </row>
    <row r="203" spans="1:6" s="1116" customFormat="1" ht="16.899999999999999" customHeight="1">
      <c r="A203" s="1235">
        <v>41</v>
      </c>
      <c r="B203" s="1121" t="s">
        <v>1119</v>
      </c>
      <c r="C203" s="4">
        <f>'2-60'!H967</f>
        <v>25024.000000000004</v>
      </c>
      <c r="D203" s="1118">
        <f>'2-60'!K967</f>
        <v>750</v>
      </c>
      <c r="E203" s="1118">
        <v>14</v>
      </c>
      <c r="F203" s="1119">
        <f>'2-60'!L967</f>
        <v>36470935.25</v>
      </c>
    </row>
    <row r="204" spans="1:6" s="1116" customFormat="1" ht="16.899999999999999" customHeight="1">
      <c r="A204" s="1235">
        <v>42</v>
      </c>
      <c r="B204" s="1121" t="s">
        <v>1650</v>
      </c>
      <c r="C204" s="4">
        <f>'2-60'!H982</f>
        <v>816.2</v>
      </c>
      <c r="D204" s="1118">
        <f>'2-60'!K982</f>
        <v>22</v>
      </c>
      <c r="E204" s="1118">
        <v>1</v>
      </c>
      <c r="F204" s="1119">
        <f>'2-60'!L982</f>
        <v>7956256.3099999996</v>
      </c>
    </row>
    <row r="205" spans="1:6" s="1116" customFormat="1" ht="16.899999999999999" customHeight="1">
      <c r="A205" s="1235"/>
      <c r="B205" s="1120" t="s">
        <v>1988</v>
      </c>
      <c r="C205" s="4">
        <f>C206</f>
        <v>3720</v>
      </c>
      <c r="D205" s="1118">
        <f>D206</f>
        <v>123</v>
      </c>
      <c r="E205" s="1118">
        <f>E206</f>
        <v>1</v>
      </c>
      <c r="F205" s="1119">
        <f>F206</f>
        <v>3061493.73</v>
      </c>
    </row>
    <row r="206" spans="1:6" s="1116" customFormat="1" ht="16.899999999999999" customHeight="1">
      <c r="A206" s="1235">
        <v>43</v>
      </c>
      <c r="B206" s="1120" t="s">
        <v>2812</v>
      </c>
      <c r="C206" s="4">
        <f>'2-60'!H985</f>
        <v>3720</v>
      </c>
      <c r="D206" s="1118">
        <f>'2-60'!K985</f>
        <v>123</v>
      </c>
      <c r="E206" s="1118">
        <v>1</v>
      </c>
      <c r="F206" s="1119">
        <f>'2-60'!L985</f>
        <v>3061493.73</v>
      </c>
    </row>
    <row r="207" spans="1:6" s="1116" customFormat="1" ht="16.899999999999999" customHeight="1">
      <c r="A207" s="1235">
        <v>44</v>
      </c>
      <c r="B207" s="1120" t="s">
        <v>1651</v>
      </c>
      <c r="C207" s="4">
        <f>'2-60'!H987</f>
        <v>414.2</v>
      </c>
      <c r="D207" s="1118">
        <f>'2-60'!K987</f>
        <v>15</v>
      </c>
      <c r="E207" s="1118">
        <v>1</v>
      </c>
      <c r="F207" s="1119">
        <f>'2-60'!L987</f>
        <v>1590292.74</v>
      </c>
    </row>
    <row r="208" spans="1:6" s="1116" customFormat="1" ht="16.899999999999999" customHeight="1">
      <c r="A208" s="1235">
        <v>45</v>
      </c>
      <c r="B208" s="1121" t="s">
        <v>1653</v>
      </c>
      <c r="C208" s="4">
        <f>'2-60'!H989</f>
        <v>1833</v>
      </c>
      <c r="D208" s="1118">
        <f>'2-60'!K989</f>
        <v>82</v>
      </c>
      <c r="E208" s="1118">
        <v>2</v>
      </c>
      <c r="F208" s="1119">
        <f>'2-60'!L989</f>
        <v>4779405.25</v>
      </c>
    </row>
    <row r="209" spans="1:6" s="1116" customFormat="1" ht="16.899999999999999" customHeight="1">
      <c r="A209" s="1235">
        <v>46</v>
      </c>
      <c r="B209" s="1121" t="s">
        <v>2675</v>
      </c>
      <c r="C209" s="4">
        <f>'2-60'!H992</f>
        <v>1649.6</v>
      </c>
      <c r="D209" s="1113">
        <f>'2-60'!K992</f>
        <v>61</v>
      </c>
      <c r="E209" s="1113">
        <v>2</v>
      </c>
      <c r="F209" s="1119">
        <f>'2-60'!L992</f>
        <v>5637433.9800000004</v>
      </c>
    </row>
    <row r="210" spans="1:6" s="1116" customFormat="1" ht="16.899999999999999" customHeight="1">
      <c r="A210" s="1235">
        <v>47</v>
      </c>
      <c r="B210" s="1120" t="s">
        <v>1987</v>
      </c>
      <c r="C210" s="4">
        <f>C211</f>
        <v>2234.8000000000002</v>
      </c>
      <c r="D210" s="1118">
        <f t="shared" ref="D210:F210" si="38">D211</f>
        <v>62</v>
      </c>
      <c r="E210" s="1118">
        <f t="shared" si="38"/>
        <v>3</v>
      </c>
      <c r="F210" s="1119">
        <f t="shared" si="38"/>
        <v>5910347.71</v>
      </c>
    </row>
    <row r="211" spans="1:6" s="1116" customFormat="1" ht="16.899999999999999" customHeight="1">
      <c r="A211" s="1235"/>
      <c r="B211" s="1120" t="s">
        <v>2813</v>
      </c>
      <c r="C211" s="4">
        <f>'2-60'!H996</f>
        <v>2234.8000000000002</v>
      </c>
      <c r="D211" s="1118">
        <f>'2-60'!K996</f>
        <v>62</v>
      </c>
      <c r="E211" s="1118">
        <v>3</v>
      </c>
      <c r="F211" s="1119">
        <f>'2-60'!L996</f>
        <v>5910347.71</v>
      </c>
    </row>
    <row r="212" spans="1:6" s="1116" customFormat="1" ht="16.899999999999999" customHeight="1">
      <c r="A212" s="1235"/>
      <c r="B212" s="1120" t="s">
        <v>2790</v>
      </c>
      <c r="C212" s="4">
        <f>C213+C214</f>
        <v>9063.3900000000012</v>
      </c>
      <c r="D212" s="1113">
        <f t="shared" ref="D212:F212" si="39">D213+D214</f>
        <v>341</v>
      </c>
      <c r="E212" s="1118">
        <f t="shared" si="39"/>
        <v>5</v>
      </c>
      <c r="F212" s="1119">
        <f t="shared" si="39"/>
        <v>14416032.979999999</v>
      </c>
    </row>
    <row r="213" spans="1:6" s="1116" customFormat="1" ht="16.149999999999999" customHeight="1">
      <c r="A213" s="1235">
        <v>48</v>
      </c>
      <c r="B213" s="1120" t="s">
        <v>1077</v>
      </c>
      <c r="C213" s="4">
        <f>'2-60'!H1001</f>
        <v>7575.6900000000005</v>
      </c>
      <c r="D213" s="1118">
        <f>'2-60'!K1001</f>
        <v>266</v>
      </c>
      <c r="E213" s="1118">
        <v>4</v>
      </c>
      <c r="F213" s="1119">
        <f>'2-60'!L1001</f>
        <v>12121336.979999999</v>
      </c>
    </row>
    <row r="214" spans="1:6" s="1116" customFormat="1" ht="16.899999999999999" customHeight="1">
      <c r="A214" s="1235">
        <v>49</v>
      </c>
      <c r="B214" s="1120" t="s">
        <v>1986</v>
      </c>
      <c r="C214" s="4">
        <f>'2-60'!H1006</f>
        <v>1487.7</v>
      </c>
      <c r="D214" s="1118">
        <f>'2-60'!K1006</f>
        <v>75</v>
      </c>
      <c r="E214" s="1118">
        <v>1</v>
      </c>
      <c r="F214" s="1119">
        <f>'2-60'!L1006</f>
        <v>2294696</v>
      </c>
    </row>
    <row r="215" spans="1:6" s="1116" customFormat="1" ht="16.899999999999999" customHeight="1">
      <c r="A215" s="1235"/>
      <c r="B215" s="1120" t="s">
        <v>211</v>
      </c>
      <c r="C215" s="4">
        <f>C216</f>
        <v>1589.1</v>
      </c>
      <c r="D215" s="1113">
        <f t="shared" ref="D215:F215" si="40">D216</f>
        <v>65</v>
      </c>
      <c r="E215" s="1118">
        <f t="shared" si="40"/>
        <v>2</v>
      </c>
      <c r="F215" s="1119">
        <f t="shared" si="40"/>
        <v>4309083</v>
      </c>
    </row>
    <row r="216" spans="1:6" s="1116" customFormat="1" ht="16.899999999999999" customHeight="1">
      <c r="A216" s="1235">
        <v>50</v>
      </c>
      <c r="B216" s="1120" t="s">
        <v>1159</v>
      </c>
      <c r="C216" s="4">
        <f>'2-60'!H1009</f>
        <v>1589.1</v>
      </c>
      <c r="D216" s="1118">
        <f>'2-60'!K1009</f>
        <v>65</v>
      </c>
      <c r="E216" s="1118">
        <v>2</v>
      </c>
      <c r="F216" s="1119">
        <f>'2-60'!L1009</f>
        <v>4309083</v>
      </c>
    </row>
    <row r="217" spans="1:6" s="1116" customFormat="1" ht="16.899999999999999" customHeight="1">
      <c r="A217" s="1235"/>
      <c r="B217" s="1121" t="s">
        <v>66</v>
      </c>
      <c r="C217" s="4">
        <f>C218</f>
        <v>741.2</v>
      </c>
      <c r="D217" s="1118">
        <f t="shared" ref="D217:F217" si="41">D218</f>
        <v>35</v>
      </c>
      <c r="E217" s="1118">
        <f t="shared" si="41"/>
        <v>2</v>
      </c>
      <c r="F217" s="1119">
        <f t="shared" si="41"/>
        <v>2913878.0300000003</v>
      </c>
    </row>
    <row r="218" spans="1:6" s="1116" customFormat="1" ht="16.899999999999999" customHeight="1">
      <c r="A218" s="1235">
        <v>51</v>
      </c>
      <c r="B218" s="1120" t="s">
        <v>1081</v>
      </c>
      <c r="C218" s="4">
        <f>'2-60'!H1013</f>
        <v>741.2</v>
      </c>
      <c r="D218" s="1118">
        <f>'2-60'!K1013</f>
        <v>35</v>
      </c>
      <c r="E218" s="1118">
        <v>2</v>
      </c>
      <c r="F218" s="1119">
        <f>'2-60'!L1013</f>
        <v>2913878.0300000003</v>
      </c>
    </row>
    <row r="219" spans="1:6" s="1116" customFormat="1" ht="16.899999999999999" customHeight="1">
      <c r="A219" s="1235">
        <v>52</v>
      </c>
      <c r="B219" s="1120" t="s">
        <v>1122</v>
      </c>
      <c r="C219" s="4">
        <f>'2-60'!H1016</f>
        <v>52942.950000000004</v>
      </c>
      <c r="D219" s="1118">
        <f>'2-60'!K1016</f>
        <v>2022</v>
      </c>
      <c r="E219" s="1118">
        <v>10</v>
      </c>
      <c r="F219" s="1119">
        <f>'2-60'!L1016</f>
        <v>54144712.320000008</v>
      </c>
    </row>
    <row r="220" spans="1:6" s="1116" customFormat="1" ht="16.899999999999999" customHeight="1">
      <c r="A220" s="1235"/>
      <c r="B220" s="1112" t="s">
        <v>67</v>
      </c>
      <c r="C220" s="4">
        <f>C221</f>
        <v>1430</v>
      </c>
      <c r="D220" s="1118">
        <f t="shared" ref="D220:F220" si="42">D221</f>
        <v>73</v>
      </c>
      <c r="E220" s="1118">
        <f t="shared" si="42"/>
        <v>2</v>
      </c>
      <c r="F220" s="1119">
        <f t="shared" si="42"/>
        <v>3904530.34</v>
      </c>
    </row>
    <row r="221" spans="1:6" s="1116" customFormat="1" ht="16.899999999999999" customHeight="1">
      <c r="A221" s="1235">
        <v>53</v>
      </c>
      <c r="B221" s="1120" t="s">
        <v>1235</v>
      </c>
      <c r="C221" s="4">
        <f>'2-60'!H1028</f>
        <v>1430</v>
      </c>
      <c r="D221" s="1118">
        <f>'2-60'!K1028</f>
        <v>73</v>
      </c>
      <c r="E221" s="1118">
        <v>2</v>
      </c>
      <c r="F221" s="1119">
        <f>'2-60'!L1028</f>
        <v>3904530.34</v>
      </c>
    </row>
    <row r="222" spans="1:6" s="1116" customFormat="1" ht="26.45" customHeight="1">
      <c r="A222" s="1422" t="s">
        <v>2291</v>
      </c>
      <c r="B222" s="1422"/>
      <c r="C222" s="1422"/>
      <c r="D222" s="1422"/>
      <c r="E222" s="1422"/>
      <c r="F222" s="1422"/>
    </row>
    <row r="223" spans="1:6" s="1116" customFormat="1" ht="16.899999999999999" customHeight="1">
      <c r="A223" s="1235"/>
      <c r="B223" s="1117" t="s">
        <v>42</v>
      </c>
      <c r="C223" s="1122">
        <f>C224+C225+C226+C227+C228+C230+C231+C233+C234+C237+C240+C241+C242+C248+C250+C257+C265+C266+C268+C272+C273+C274+C279+C280+C281+C282+C291+C292+C275+C239+C251+C284+C288+C229+C276</f>
        <v>1238042.7199999993</v>
      </c>
      <c r="D223" s="1232">
        <f t="shared" ref="D223:F223" si="43">D224+D225+D226+D227+D228+D230+D231+D233+D234+D237+D240+D241+D242+D248+D250+D257+D265+D266+D268+D272+D273+D274+D279+D280+D281+D282+D291+D292+D275+D239+D251+D284+D288+D229+D276</f>
        <v>42778</v>
      </c>
      <c r="E223" s="1232">
        <f t="shared" si="43"/>
        <v>506</v>
      </c>
      <c r="F223" s="1247">
        <f t="shared" si="43"/>
        <v>1527901846.2940543</v>
      </c>
    </row>
    <row r="224" spans="1:6" s="1116" customFormat="1" ht="16.899999999999999" customHeight="1">
      <c r="A224" s="1235">
        <v>1</v>
      </c>
      <c r="B224" s="1117" t="s">
        <v>1083</v>
      </c>
      <c r="C224" s="4">
        <f>'2-60'!H1053</f>
        <v>663988.39999999991</v>
      </c>
      <c r="D224" s="1118">
        <f>'2-60'!K1053</f>
        <v>23523</v>
      </c>
      <c r="E224" s="1118">
        <v>179</v>
      </c>
      <c r="F224" s="1119">
        <f>'2-60'!L1053</f>
        <v>670448133.29405379</v>
      </c>
    </row>
    <row r="225" spans="1:6" s="1116" customFormat="1" ht="16.899999999999999" customHeight="1">
      <c r="A225" s="1235">
        <v>2</v>
      </c>
      <c r="B225" s="1117" t="s">
        <v>1393</v>
      </c>
      <c r="C225" s="4">
        <f>'2-60'!H1233</f>
        <v>39547.450000000004</v>
      </c>
      <c r="D225" s="1118">
        <f>'2-60'!K1233</f>
        <v>1323</v>
      </c>
      <c r="E225" s="1118">
        <v>31</v>
      </c>
      <c r="F225" s="1119">
        <f>'2-60'!L1233</f>
        <v>71343210.579999998</v>
      </c>
    </row>
    <row r="226" spans="1:6" s="1116" customFormat="1" ht="16.899999999999999" customHeight="1">
      <c r="A226" s="1235">
        <v>3</v>
      </c>
      <c r="B226" s="1117" t="s">
        <v>2703</v>
      </c>
      <c r="C226" s="4">
        <f>'2-60'!H1265</f>
        <v>156118.00000000003</v>
      </c>
      <c r="D226" s="1118">
        <f>'2-60'!K1265</f>
        <v>4707</v>
      </c>
      <c r="E226" s="1118">
        <v>71</v>
      </c>
      <c r="F226" s="1119">
        <f>'2-60'!L1265</f>
        <v>263192866.71000001</v>
      </c>
    </row>
    <row r="227" spans="1:6" s="1116" customFormat="1" ht="16.899999999999999" customHeight="1">
      <c r="A227" s="1235">
        <v>4</v>
      </c>
      <c r="B227" s="1120" t="s">
        <v>1062</v>
      </c>
      <c r="C227" s="4">
        <f>'2-60'!H1337</f>
        <v>50123.100000000006</v>
      </c>
      <c r="D227" s="1118">
        <f>'2-60'!K1337</f>
        <v>1688</v>
      </c>
      <c r="E227" s="1118">
        <v>24</v>
      </c>
      <c r="F227" s="1119">
        <f>'2-60'!L1337</f>
        <v>62321284.950000003</v>
      </c>
    </row>
    <row r="228" spans="1:6" s="1116" customFormat="1" ht="16.899999999999999" customHeight="1">
      <c r="A228" s="1235">
        <v>5</v>
      </c>
      <c r="B228" s="1117" t="s">
        <v>1124</v>
      </c>
      <c r="C228" s="4">
        <f>'2-60'!H1362</f>
        <v>52660.700000000004</v>
      </c>
      <c r="D228" s="1118">
        <f>'2-60'!K1362</f>
        <v>1692</v>
      </c>
      <c r="E228" s="1118">
        <v>9</v>
      </c>
      <c r="F228" s="1119">
        <f>'2-60'!L1362</f>
        <v>31266103.439999998</v>
      </c>
    </row>
    <row r="229" spans="1:6" s="1116" customFormat="1" ht="16.899999999999999" customHeight="1">
      <c r="A229" s="1235">
        <v>6</v>
      </c>
      <c r="B229" s="1117" t="s">
        <v>1123</v>
      </c>
      <c r="C229" s="4">
        <f>'2-60'!H1372</f>
        <v>4284.7</v>
      </c>
      <c r="D229" s="1118">
        <f>'2-60'!K1372</f>
        <v>97</v>
      </c>
      <c r="E229" s="1118">
        <v>2</v>
      </c>
      <c r="F229" s="1119">
        <f>'2-60'!L1372</f>
        <v>14594826.83</v>
      </c>
    </row>
    <row r="230" spans="1:6" s="1116" customFormat="1" ht="16.899999999999999" customHeight="1">
      <c r="A230" s="1235">
        <v>7</v>
      </c>
      <c r="B230" s="1117" t="s">
        <v>1435</v>
      </c>
      <c r="C230" s="4">
        <f>'2-60'!H1375</f>
        <v>4626.2</v>
      </c>
      <c r="D230" s="1118">
        <f>'2-60'!K1375</f>
        <v>146</v>
      </c>
      <c r="E230" s="1118">
        <v>9</v>
      </c>
      <c r="F230" s="1119">
        <f>'2-60'!L1375</f>
        <v>16441564.260000002</v>
      </c>
    </row>
    <row r="231" spans="1:6" s="1116" customFormat="1" ht="16.899999999999999" customHeight="1">
      <c r="A231" s="1235"/>
      <c r="B231" s="1117" t="s">
        <v>41</v>
      </c>
      <c r="C231" s="4">
        <f>C232</f>
        <v>7271</v>
      </c>
      <c r="D231" s="1118">
        <f t="shared" ref="D231:F231" si="44">D232</f>
        <v>276</v>
      </c>
      <c r="E231" s="1118">
        <f t="shared" si="44"/>
        <v>8</v>
      </c>
      <c r="F231" s="1119">
        <f t="shared" si="44"/>
        <v>13043909.720000001</v>
      </c>
    </row>
    <row r="232" spans="1:6" s="1116" customFormat="1" ht="16.899999999999999" customHeight="1">
      <c r="A232" s="1235">
        <v>8</v>
      </c>
      <c r="B232" s="1117" t="s">
        <v>1063</v>
      </c>
      <c r="C232" s="4">
        <f>'2-60'!H1386</f>
        <v>7271</v>
      </c>
      <c r="D232" s="1118">
        <f>'2-60'!K1386</f>
        <v>276</v>
      </c>
      <c r="E232" s="1118">
        <v>8</v>
      </c>
      <c r="F232" s="1119">
        <f>'2-60'!L1386</f>
        <v>13043909.720000001</v>
      </c>
    </row>
    <row r="233" spans="1:6" s="1116" customFormat="1" ht="16.899999999999999" customHeight="1">
      <c r="A233" s="1235">
        <v>9</v>
      </c>
      <c r="B233" s="1117" t="s">
        <v>2673</v>
      </c>
      <c r="C233" s="4">
        <f>'2-60'!H1395</f>
        <v>1510.8</v>
      </c>
      <c r="D233" s="1118">
        <f>'2-60'!K1395</f>
        <v>52</v>
      </c>
      <c r="E233" s="1118">
        <v>3</v>
      </c>
      <c r="F233" s="1119">
        <f>'2-60'!L1395</f>
        <v>1811818.74</v>
      </c>
    </row>
    <row r="234" spans="1:6" s="1116" customFormat="1" ht="16.899999999999999" customHeight="1">
      <c r="A234" s="1235"/>
      <c r="B234" s="1121" t="s">
        <v>43</v>
      </c>
      <c r="C234" s="4">
        <f>C235+C236</f>
        <v>48233.100000000013</v>
      </c>
      <c r="D234" s="1118">
        <f t="shared" ref="D234:F234" si="45">D235+D236</f>
        <v>1648</v>
      </c>
      <c r="E234" s="1118">
        <f t="shared" si="45"/>
        <v>18</v>
      </c>
      <c r="F234" s="1119">
        <f t="shared" si="45"/>
        <v>46526178.43</v>
      </c>
    </row>
    <row r="235" spans="1:6" s="1116" customFormat="1" ht="16.899999999999999" customHeight="1">
      <c r="A235" s="1235">
        <v>10</v>
      </c>
      <c r="B235" s="1120" t="s">
        <v>1090</v>
      </c>
      <c r="C235" s="4">
        <f>'2-60'!H1400</f>
        <v>44613.700000000012</v>
      </c>
      <c r="D235" s="1118">
        <f>'2-60'!K1400</f>
        <v>1525</v>
      </c>
      <c r="E235" s="1118">
        <v>17</v>
      </c>
      <c r="F235" s="1119">
        <f>'2-60'!L1400</f>
        <v>46342844.43</v>
      </c>
    </row>
    <row r="236" spans="1:6" s="1116" customFormat="1" ht="16.899999999999999" customHeight="1">
      <c r="A236" s="1235">
        <v>11</v>
      </c>
      <c r="B236" s="1120" t="s">
        <v>1139</v>
      </c>
      <c r="C236" s="4">
        <f>'2-60'!H1418</f>
        <v>3619.4</v>
      </c>
      <c r="D236" s="1118">
        <f>'2-60'!K1418</f>
        <v>123</v>
      </c>
      <c r="E236" s="1118">
        <v>1</v>
      </c>
      <c r="F236" s="1119">
        <f>'2-60'!L1418</f>
        <v>183334</v>
      </c>
    </row>
    <row r="237" spans="1:6" s="1116" customFormat="1" ht="16.899999999999999" customHeight="1">
      <c r="A237" s="1235">
        <v>12</v>
      </c>
      <c r="B237" s="1121" t="s">
        <v>1370</v>
      </c>
      <c r="C237" s="4">
        <f>'2-60'!H1420</f>
        <v>7463.9</v>
      </c>
      <c r="D237" s="1118">
        <f>'2-60'!K1420</f>
        <v>133</v>
      </c>
      <c r="E237" s="1118">
        <v>6</v>
      </c>
      <c r="F237" s="1119">
        <f>'2-60'!L1420</f>
        <v>14971020.529999999</v>
      </c>
    </row>
    <row r="238" spans="1:6" s="1116" customFormat="1" ht="16.899999999999999" customHeight="1">
      <c r="A238" s="1235"/>
      <c r="B238" s="1121" t="s">
        <v>46</v>
      </c>
      <c r="C238" s="4">
        <f>C239</f>
        <v>1450.7</v>
      </c>
      <c r="D238" s="1118">
        <f t="shared" ref="D238:F238" si="46">D239</f>
        <v>51</v>
      </c>
      <c r="E238" s="1118">
        <f t="shared" si="46"/>
        <v>3</v>
      </c>
      <c r="F238" s="1119">
        <f t="shared" si="46"/>
        <v>6313286.6600000001</v>
      </c>
    </row>
    <row r="239" spans="1:6" s="1116" customFormat="1" ht="16.899999999999999" customHeight="1">
      <c r="A239" s="1235">
        <v>13</v>
      </c>
      <c r="B239" s="1120" t="s">
        <v>1085</v>
      </c>
      <c r="C239" s="4">
        <f>'2-60'!H1428</f>
        <v>1450.7</v>
      </c>
      <c r="D239" s="1118">
        <f>'2-60'!K1428</f>
        <v>51</v>
      </c>
      <c r="E239" s="1118">
        <v>3</v>
      </c>
      <c r="F239" s="1119">
        <f>'2-60'!L1428</f>
        <v>6313286.6600000001</v>
      </c>
    </row>
    <row r="240" spans="1:6" s="1116" customFormat="1" ht="16.899999999999999" customHeight="1">
      <c r="A240" s="1235">
        <v>14</v>
      </c>
      <c r="B240" s="1121" t="s">
        <v>1649</v>
      </c>
      <c r="C240" s="4">
        <f>'2-60'!H1432</f>
        <v>6157.1</v>
      </c>
      <c r="D240" s="1118">
        <f>'2-60'!K1432</f>
        <v>218</v>
      </c>
      <c r="E240" s="1118">
        <v>9</v>
      </c>
      <c r="F240" s="1119">
        <f>'2-60'!L1432</f>
        <v>15338279.420000002</v>
      </c>
    </row>
    <row r="241" spans="1:6" s="1116" customFormat="1" ht="16.899999999999999" customHeight="1">
      <c r="A241" s="1260">
        <v>15</v>
      </c>
      <c r="B241" s="1121" t="s">
        <v>2674</v>
      </c>
      <c r="C241" s="4">
        <f>'2-60'!H1442</f>
        <v>4071.3</v>
      </c>
      <c r="D241" s="1118">
        <f>'2-60'!K1442</f>
        <v>155</v>
      </c>
      <c r="E241" s="1118">
        <v>5</v>
      </c>
      <c r="F241" s="1119">
        <f>'2-60'!L1442</f>
        <v>9377092.4900000002</v>
      </c>
    </row>
    <row r="242" spans="1:6" s="1116" customFormat="1" ht="16.899999999999999" customHeight="1">
      <c r="A242" s="1235"/>
      <c r="B242" s="1121" t="s">
        <v>49</v>
      </c>
      <c r="C242" s="4">
        <f>C243+C247+C245+C244+C246</f>
        <v>5794</v>
      </c>
      <c r="D242" s="1113">
        <f t="shared" ref="D242:F242" si="47">D243+D247+D245+D244+D246</f>
        <v>221</v>
      </c>
      <c r="E242" s="1118">
        <f t="shared" si="47"/>
        <v>6</v>
      </c>
      <c r="F242" s="1119">
        <f t="shared" si="47"/>
        <v>9832874.6799999997</v>
      </c>
    </row>
    <row r="243" spans="1:6" s="1116" customFormat="1" ht="16.899999999999999" customHeight="1">
      <c r="A243" s="1235">
        <v>16</v>
      </c>
      <c r="B243" s="1120" t="s">
        <v>1125</v>
      </c>
      <c r="C243" s="4">
        <f>'2-60'!H1449</f>
        <v>3496.4</v>
      </c>
      <c r="D243" s="1118">
        <f>'2-60'!K1449</f>
        <v>121</v>
      </c>
      <c r="E243" s="1118">
        <v>1</v>
      </c>
      <c r="F243" s="1119">
        <f>'2-60'!L1449</f>
        <v>2567710.34</v>
      </c>
    </row>
    <row r="244" spans="1:6" s="1116" customFormat="1" ht="16.899999999999999" customHeight="1">
      <c r="A244" s="1235">
        <v>17</v>
      </c>
      <c r="B244" s="1120" t="s">
        <v>1066</v>
      </c>
      <c r="C244" s="4">
        <f>'2-60'!H1451</f>
        <v>389.6</v>
      </c>
      <c r="D244" s="1118">
        <f>'2-60'!K1451</f>
        <v>23</v>
      </c>
      <c r="E244" s="1118">
        <v>1</v>
      </c>
      <c r="F244" s="1119">
        <f>'2-60'!L1451</f>
        <v>1167688</v>
      </c>
    </row>
    <row r="245" spans="1:6" s="1116" customFormat="1" ht="16.899999999999999" customHeight="1">
      <c r="A245" s="1235">
        <v>18</v>
      </c>
      <c r="B245" s="1120" t="s">
        <v>1360</v>
      </c>
      <c r="C245" s="4">
        <f>'2-60'!H1453</f>
        <v>400.9</v>
      </c>
      <c r="D245" s="1118">
        <f>'2-60'!K1453</f>
        <v>24</v>
      </c>
      <c r="E245" s="1118">
        <v>1</v>
      </c>
      <c r="F245" s="1119">
        <f>'2-60'!L1453</f>
        <v>1401226</v>
      </c>
    </row>
    <row r="246" spans="1:6" s="1116" customFormat="1" ht="16.899999999999999" customHeight="1">
      <c r="A246" s="1235">
        <v>19</v>
      </c>
      <c r="B246" s="1120" t="s">
        <v>1095</v>
      </c>
      <c r="C246" s="4">
        <f>'2-60'!H1455</f>
        <v>637.1</v>
      </c>
      <c r="D246" s="1118">
        <f>'2-60'!K1455</f>
        <v>24</v>
      </c>
      <c r="E246" s="1118">
        <v>1</v>
      </c>
      <c r="F246" s="1119">
        <f>'2-60'!L1455</f>
        <v>2064607.34</v>
      </c>
    </row>
    <row r="247" spans="1:6" s="1116" customFormat="1" ht="16.899999999999999" customHeight="1">
      <c r="A247" s="1235">
        <v>20</v>
      </c>
      <c r="B247" s="1120" t="s">
        <v>1106</v>
      </c>
      <c r="C247" s="4">
        <f>'2-60'!H1457</f>
        <v>870</v>
      </c>
      <c r="D247" s="1118">
        <f>'2-60'!K1457</f>
        <v>29</v>
      </c>
      <c r="E247" s="1118">
        <v>2</v>
      </c>
      <c r="F247" s="1119">
        <f>'2-60'!L1457</f>
        <v>2631643</v>
      </c>
    </row>
    <row r="248" spans="1:6" s="1116" customFormat="1" ht="16.899999999999999" customHeight="1">
      <c r="A248" s="1235"/>
      <c r="B248" s="1121" t="s">
        <v>50</v>
      </c>
      <c r="C248" s="4">
        <f>C249</f>
        <v>1359.8</v>
      </c>
      <c r="D248" s="1118">
        <f t="shared" ref="D248:F248" si="48">D249</f>
        <v>63</v>
      </c>
      <c r="E248" s="1118">
        <v>2</v>
      </c>
      <c r="F248" s="1119">
        <f t="shared" si="48"/>
        <v>5358925.92</v>
      </c>
    </row>
    <row r="249" spans="1:6" s="1116" customFormat="1" ht="16.899999999999999" customHeight="1">
      <c r="A249" s="1235">
        <v>21</v>
      </c>
      <c r="B249" s="1120" t="s">
        <v>1067</v>
      </c>
      <c r="C249" s="4">
        <f>'2-60'!H1461</f>
        <v>1359.8</v>
      </c>
      <c r="D249" s="1118">
        <f>'2-60'!K1461</f>
        <v>63</v>
      </c>
      <c r="E249" s="1118">
        <v>3</v>
      </c>
      <c r="F249" s="1119">
        <f>'2-60'!L1461</f>
        <v>5358925.92</v>
      </c>
    </row>
    <row r="250" spans="1:6" s="1116" customFormat="1" ht="16.899999999999999" customHeight="1">
      <c r="A250" s="1235">
        <v>22</v>
      </c>
      <c r="B250" s="1121" t="s">
        <v>1169</v>
      </c>
      <c r="C250" s="4">
        <f>'2-60'!H1465</f>
        <v>6032</v>
      </c>
      <c r="D250" s="1118">
        <f>'2-60'!K1465</f>
        <v>266</v>
      </c>
      <c r="E250" s="1118">
        <v>12</v>
      </c>
      <c r="F250" s="1119">
        <f>'2-60'!L1465</f>
        <v>17539787.02</v>
      </c>
    </row>
    <row r="251" spans="1:6" s="1116" customFormat="1" ht="16.899999999999999" customHeight="1">
      <c r="A251" s="1235"/>
      <c r="B251" s="1121" t="s">
        <v>2788</v>
      </c>
      <c r="C251" s="4">
        <f>C252+C254+C255+C256+C253</f>
        <v>6076.7000000000007</v>
      </c>
      <c r="D251" s="1113">
        <f t="shared" ref="D251:F251" si="49">D252+D254+D255+D256+D253</f>
        <v>243</v>
      </c>
      <c r="E251" s="1113">
        <f t="shared" si="49"/>
        <v>9</v>
      </c>
      <c r="F251" s="1119">
        <f t="shared" si="49"/>
        <v>9596345.7100000009</v>
      </c>
    </row>
    <row r="252" spans="1:6" s="1116" customFormat="1" ht="16.899999999999999" customHeight="1">
      <c r="A252" s="1262">
        <v>23</v>
      </c>
      <c r="B252" s="1121" t="s">
        <v>1060</v>
      </c>
      <c r="C252" s="4">
        <f>'2-60'!H1479</f>
        <v>1838.4</v>
      </c>
      <c r="D252" s="1113">
        <f>'2-60'!K1479</f>
        <v>95</v>
      </c>
      <c r="E252" s="1113">
        <v>3</v>
      </c>
      <c r="F252" s="1119">
        <f>'2-60'!L1479</f>
        <v>1785657</v>
      </c>
    </row>
    <row r="253" spans="1:6" s="1116" customFormat="1" ht="16.899999999999999" customHeight="1">
      <c r="A253" s="1239">
        <v>24</v>
      </c>
      <c r="B253" s="1121" t="s">
        <v>1086</v>
      </c>
      <c r="C253" s="4">
        <f>'2-60'!H1483</f>
        <v>2110</v>
      </c>
      <c r="D253" s="1113">
        <f>'2-60'!K1483</f>
        <v>80</v>
      </c>
      <c r="E253" s="1113">
        <v>3</v>
      </c>
      <c r="F253" s="1119">
        <f>'2-60'!L1483</f>
        <v>5266882.1500000004</v>
      </c>
    </row>
    <row r="254" spans="1:6" s="1116" customFormat="1" ht="16.899999999999999" customHeight="1">
      <c r="A254" s="1235">
        <v>25</v>
      </c>
      <c r="B254" s="1121" t="s">
        <v>1387</v>
      </c>
      <c r="C254" s="4">
        <f>'2-60'!H1487</f>
        <v>845.9</v>
      </c>
      <c r="D254" s="1118">
        <f>'2-60'!K1487</f>
        <v>29</v>
      </c>
      <c r="E254" s="1118">
        <v>1</v>
      </c>
      <c r="F254" s="1119">
        <f>'2-60'!L1487</f>
        <v>275823</v>
      </c>
    </row>
    <row r="255" spans="1:6" s="1116" customFormat="1" ht="16.899999999999999" customHeight="1">
      <c r="A255" s="1235">
        <v>26</v>
      </c>
      <c r="B255" s="1121" t="s">
        <v>1387</v>
      </c>
      <c r="C255" s="4">
        <f>'2-60'!H1489</f>
        <v>532.29999999999995</v>
      </c>
      <c r="D255" s="1118">
        <f>'2-60'!K1489</f>
        <v>16</v>
      </c>
      <c r="E255" s="1118">
        <v>1</v>
      </c>
      <c r="F255" s="1119">
        <f>'2-60'!L1489</f>
        <v>20216</v>
      </c>
    </row>
    <row r="256" spans="1:6" s="1116" customFormat="1" ht="16.899999999999999" customHeight="1">
      <c r="A256" s="1235">
        <v>27</v>
      </c>
      <c r="B256" s="1121" t="s">
        <v>1084</v>
      </c>
      <c r="C256" s="4">
        <f>'2-60'!H1491</f>
        <v>750.1</v>
      </c>
      <c r="D256" s="1118">
        <f>'2-60'!K1491</f>
        <v>23</v>
      </c>
      <c r="E256" s="1118">
        <v>1</v>
      </c>
      <c r="F256" s="1119">
        <f>'2-60'!L1491</f>
        <v>2247767.56</v>
      </c>
    </row>
    <row r="257" spans="1:6" s="1116" customFormat="1" ht="16.899999999999999" customHeight="1">
      <c r="A257" s="1235"/>
      <c r="B257" s="1121" t="s">
        <v>53</v>
      </c>
      <c r="C257" s="4">
        <f>C258+C260+C262+C261+C264+C259+C263</f>
        <v>87655.7</v>
      </c>
      <c r="D257" s="1118">
        <f t="shared" ref="D257:F257" si="50">D258+D260+D262+D261+D264+D259+D263</f>
        <v>3256</v>
      </c>
      <c r="E257" s="1118">
        <f t="shared" si="50"/>
        <v>37</v>
      </c>
      <c r="F257" s="1119">
        <f t="shared" si="50"/>
        <v>102292759.48</v>
      </c>
    </row>
    <row r="258" spans="1:6" s="1116" customFormat="1" ht="16.899999999999999" customHeight="1">
      <c r="A258" s="1235">
        <v>28</v>
      </c>
      <c r="B258" s="1120" t="s">
        <v>1069</v>
      </c>
      <c r="C258" s="4">
        <f>'2-60'!H1494</f>
        <v>57487.3</v>
      </c>
      <c r="D258" s="1118">
        <f>'2-60'!K1494</f>
        <v>2029</v>
      </c>
      <c r="E258" s="1118">
        <v>13</v>
      </c>
      <c r="F258" s="1119">
        <f>'2-60'!L1494</f>
        <v>59153932.719999999</v>
      </c>
    </row>
    <row r="259" spans="1:6" s="1116" customFormat="1" ht="16.899999999999999" customHeight="1">
      <c r="A259" s="1235">
        <v>29</v>
      </c>
      <c r="B259" s="1120" t="s">
        <v>1075</v>
      </c>
      <c r="C259" s="4">
        <f>'2-60'!H1507</f>
        <v>1558.3000000000002</v>
      </c>
      <c r="D259" s="1118">
        <f>'2-60'!K1507</f>
        <v>87</v>
      </c>
      <c r="E259" s="1118">
        <v>3</v>
      </c>
      <c r="F259" s="1119">
        <f>'2-60'!L1507</f>
        <v>2880188.6399999997</v>
      </c>
    </row>
    <row r="260" spans="1:6" s="1116" customFormat="1" ht="16.899999999999999" customHeight="1">
      <c r="A260" s="1235">
        <v>30</v>
      </c>
      <c r="B260" s="1120" t="s">
        <v>1087</v>
      </c>
      <c r="C260" s="4">
        <f>'2-60'!H1511</f>
        <v>2618</v>
      </c>
      <c r="D260" s="1118">
        <f>'2-60'!K1511</f>
        <v>94</v>
      </c>
      <c r="E260" s="1118">
        <v>3</v>
      </c>
      <c r="F260" s="1119">
        <f>'2-60'!L1511</f>
        <v>4176411</v>
      </c>
    </row>
    <row r="261" spans="1:6" s="1116" customFormat="1" ht="16.899999999999999" customHeight="1">
      <c r="A261" s="1235">
        <v>31</v>
      </c>
      <c r="B261" s="1120" t="s">
        <v>1088</v>
      </c>
      <c r="C261" s="4">
        <f>'2-60'!H1515</f>
        <v>3256.2</v>
      </c>
      <c r="D261" s="1118">
        <f>'2-60'!K1515</f>
        <v>118</v>
      </c>
      <c r="E261" s="1118">
        <v>3</v>
      </c>
      <c r="F261" s="1119">
        <f>'2-60'!L1515</f>
        <v>7085490.0800000001</v>
      </c>
    </row>
    <row r="262" spans="1:6" s="1116" customFormat="1" ht="16.899999999999999" customHeight="1">
      <c r="A262" s="1235">
        <v>32</v>
      </c>
      <c r="B262" s="1120" t="s">
        <v>1109</v>
      </c>
      <c r="C262" s="4">
        <f>'2-60'!H1519</f>
        <v>6911.2</v>
      </c>
      <c r="D262" s="1118">
        <f>'2-60'!K1519</f>
        <v>318</v>
      </c>
      <c r="E262" s="1118">
        <v>8</v>
      </c>
      <c r="F262" s="1119">
        <f>'2-60'!L1519</f>
        <v>12123443.590000002</v>
      </c>
    </row>
    <row r="263" spans="1:6" s="1116" customFormat="1" ht="16.899999999999999" customHeight="1">
      <c r="A263" s="1235">
        <v>33</v>
      </c>
      <c r="B263" s="1120" t="s">
        <v>2814</v>
      </c>
      <c r="C263" s="4">
        <f>'2-60'!H1528</f>
        <v>3436.8999999999996</v>
      </c>
      <c r="D263" s="1118">
        <f>'2-60'!K1528</f>
        <v>153</v>
      </c>
      <c r="E263" s="1118">
        <v>4</v>
      </c>
      <c r="F263" s="1119">
        <f>'2-60'!L1528</f>
        <v>7767294.4500000002</v>
      </c>
    </row>
    <row r="264" spans="1:6" s="1116" customFormat="1" ht="16.899999999999999" customHeight="1">
      <c r="A264" s="1235">
        <v>34</v>
      </c>
      <c r="B264" s="1120" t="s">
        <v>1369</v>
      </c>
      <c r="C264" s="4">
        <f>'2-60'!H1533</f>
        <v>12387.8</v>
      </c>
      <c r="D264" s="1118">
        <f>'2-60'!K1533</f>
        <v>457</v>
      </c>
      <c r="E264" s="1118">
        <v>3</v>
      </c>
      <c r="F264" s="1119">
        <f>'2-60'!L1533</f>
        <v>9105999</v>
      </c>
    </row>
    <row r="265" spans="1:6" s="1116" customFormat="1" ht="16.899999999999999" customHeight="1">
      <c r="A265" s="1235">
        <v>35</v>
      </c>
      <c r="B265" s="1121" t="s">
        <v>1652</v>
      </c>
      <c r="C265" s="4">
        <f>'2-60'!H1537</f>
        <v>1781.4</v>
      </c>
      <c r="D265" s="1118">
        <f>'2-60'!K1537</f>
        <v>52</v>
      </c>
      <c r="E265" s="1118">
        <v>2</v>
      </c>
      <c r="F265" s="1119">
        <f>'2-60'!L1537</f>
        <v>4485601.8100000005</v>
      </c>
    </row>
    <row r="266" spans="1:6" s="1116" customFormat="1" ht="16.899999999999999" customHeight="1">
      <c r="A266" s="1235"/>
      <c r="B266" s="1121" t="s">
        <v>55</v>
      </c>
      <c r="C266" s="4">
        <f>C267</f>
        <v>2456.1</v>
      </c>
      <c r="D266" s="1118">
        <f t="shared" ref="D266:F266" si="51">D267</f>
        <v>102</v>
      </c>
      <c r="E266" s="1118">
        <f t="shared" si="51"/>
        <v>5</v>
      </c>
      <c r="F266" s="1119">
        <f t="shared" si="51"/>
        <v>6598081</v>
      </c>
    </row>
    <row r="267" spans="1:6" s="1116" customFormat="1" ht="16.899999999999999" customHeight="1">
      <c r="A267" s="1235">
        <v>36</v>
      </c>
      <c r="B267" s="1120" t="s">
        <v>1076</v>
      </c>
      <c r="C267" s="4">
        <f>'2-60'!H1541</f>
        <v>2456.1</v>
      </c>
      <c r="D267" s="1118">
        <f>'2-60'!K1541</f>
        <v>102</v>
      </c>
      <c r="E267" s="1118">
        <v>5</v>
      </c>
      <c r="F267" s="1119">
        <f>'2-60'!L1541</f>
        <v>6598081</v>
      </c>
    </row>
    <row r="268" spans="1:6" s="1116" customFormat="1" ht="16.899999999999999" customHeight="1">
      <c r="A268" s="1235"/>
      <c r="B268" s="1121" t="s">
        <v>1991</v>
      </c>
      <c r="C268" s="4">
        <f>C269+C270+C271</f>
        <v>21204</v>
      </c>
      <c r="D268" s="1118">
        <f t="shared" ref="D268:F268" si="52">D269+D270+D271</f>
        <v>876</v>
      </c>
      <c r="E268" s="1118">
        <f t="shared" si="52"/>
        <v>17</v>
      </c>
      <c r="F268" s="1119">
        <f t="shared" si="52"/>
        <v>24172875.729999997</v>
      </c>
    </row>
    <row r="269" spans="1:6" s="1116" customFormat="1" ht="16.899999999999999" customHeight="1">
      <c r="A269" s="1235">
        <v>37</v>
      </c>
      <c r="B269" s="1120" t="s">
        <v>2024</v>
      </c>
      <c r="C269" s="4">
        <f>'2-60'!H1548</f>
        <v>10612.5</v>
      </c>
      <c r="D269" s="1118">
        <f>'2-60'!K1548</f>
        <v>469</v>
      </c>
      <c r="E269" s="1118">
        <v>11</v>
      </c>
      <c r="F269" s="1119">
        <f>'2-60'!L1548</f>
        <v>15996782.669999998</v>
      </c>
    </row>
    <row r="270" spans="1:6" s="1116" customFormat="1" ht="16.899999999999999" customHeight="1">
      <c r="A270" s="1235">
        <v>38</v>
      </c>
      <c r="B270" s="1120" t="s">
        <v>2815</v>
      </c>
      <c r="C270" s="4">
        <f>'2-60'!H1560</f>
        <v>9196.1</v>
      </c>
      <c r="D270" s="1118">
        <f>'2-60'!K1560</f>
        <v>325</v>
      </c>
      <c r="E270" s="1118">
        <v>5</v>
      </c>
      <c r="F270" s="1119">
        <f>'2-60'!L1560</f>
        <v>7740931.0599999996</v>
      </c>
    </row>
    <row r="271" spans="1:6" s="1116" customFormat="1" ht="16.899999999999999" customHeight="1">
      <c r="A271" s="1235">
        <v>39</v>
      </c>
      <c r="B271" s="1120" t="s">
        <v>807</v>
      </c>
      <c r="C271" s="4">
        <f>'2-60'!H1566</f>
        <v>1395.4</v>
      </c>
      <c r="D271" s="1118">
        <f>'2-60'!K1566</f>
        <v>82</v>
      </c>
      <c r="E271" s="1118">
        <v>1</v>
      </c>
      <c r="F271" s="1119">
        <f>'2-60'!L1566</f>
        <v>435162</v>
      </c>
    </row>
    <row r="272" spans="1:6" s="1116" customFormat="1" ht="16.899999999999999" customHeight="1">
      <c r="A272" s="1235">
        <v>40</v>
      </c>
      <c r="B272" s="1121" t="s">
        <v>2676</v>
      </c>
      <c r="C272" s="4">
        <f>'2-60'!H1568</f>
        <v>7878</v>
      </c>
      <c r="D272" s="1118">
        <f>'2-60'!K1568</f>
        <v>199</v>
      </c>
      <c r="E272" s="1118">
        <v>2</v>
      </c>
      <c r="F272" s="1119">
        <f>'2-60'!L1568</f>
        <v>6963299</v>
      </c>
    </row>
    <row r="273" spans="1:6" s="1116" customFormat="1" ht="16.899999999999999" customHeight="1">
      <c r="A273" s="1235">
        <v>41</v>
      </c>
      <c r="B273" s="1121" t="s">
        <v>1168</v>
      </c>
      <c r="C273" s="4">
        <f>'2-60'!H1571</f>
        <v>6218.2</v>
      </c>
      <c r="D273" s="1118">
        <f>'2-60'!K1571</f>
        <v>190</v>
      </c>
      <c r="E273" s="1118">
        <v>6</v>
      </c>
      <c r="F273" s="1119">
        <f>'2-60'!L1571</f>
        <v>13201803.25</v>
      </c>
    </row>
    <row r="274" spans="1:6" s="1116" customFormat="1" ht="16.899999999999999" customHeight="1">
      <c r="A274" s="1235">
        <v>42</v>
      </c>
      <c r="B274" s="1121" t="s">
        <v>1119</v>
      </c>
      <c r="C274" s="4">
        <f>'2-60'!H1578</f>
        <v>13386.6</v>
      </c>
      <c r="D274" s="1118">
        <f>'2-60'!K1578</f>
        <v>480</v>
      </c>
      <c r="E274" s="1118">
        <v>4</v>
      </c>
      <c r="F274" s="1119">
        <f>'2-60'!L1578</f>
        <v>30625116.93</v>
      </c>
    </row>
    <row r="275" spans="1:6" s="1116" customFormat="1" ht="16.899999999999999" customHeight="1">
      <c r="A275" s="1235">
        <v>43</v>
      </c>
      <c r="B275" s="1120" t="s">
        <v>1650</v>
      </c>
      <c r="C275" s="4">
        <f>'2-60'!H1583</f>
        <v>731.9</v>
      </c>
      <c r="D275" s="1118">
        <f>'2-60'!K1583</f>
        <v>31</v>
      </c>
      <c r="E275" s="1118">
        <v>2</v>
      </c>
      <c r="F275" s="1119">
        <f>'2-60'!L1583</f>
        <v>2409564</v>
      </c>
    </row>
    <row r="276" spans="1:6" s="1116" customFormat="1" ht="16.899999999999999" customHeight="1">
      <c r="A276" s="1235"/>
      <c r="B276" s="1120" t="s">
        <v>1988</v>
      </c>
      <c r="C276" s="4">
        <f>C277+C278</f>
        <v>1188.2</v>
      </c>
      <c r="D276" s="1118">
        <f t="shared" ref="D276:F276" si="53">D277+D278</f>
        <v>61</v>
      </c>
      <c r="E276" s="1118">
        <f t="shared" si="53"/>
        <v>2</v>
      </c>
      <c r="F276" s="1119">
        <f t="shared" si="53"/>
        <v>3394626.73</v>
      </c>
    </row>
    <row r="277" spans="1:6" s="1116" customFormat="1" ht="16.899999999999999" customHeight="1">
      <c r="A277" s="1235">
        <v>44</v>
      </c>
      <c r="B277" s="1120" t="s">
        <v>2812</v>
      </c>
      <c r="C277" s="4">
        <f>'2-60'!H1587</f>
        <v>411.7</v>
      </c>
      <c r="D277" s="1118">
        <f>'2-60'!K1587</f>
        <v>33</v>
      </c>
      <c r="E277" s="1118">
        <v>1</v>
      </c>
      <c r="F277" s="1119">
        <f>'2-60'!L1587</f>
        <v>2689563.73</v>
      </c>
    </row>
    <row r="278" spans="1:6" s="1116" customFormat="1" ht="16.899999999999999" customHeight="1">
      <c r="A278" s="1235">
        <v>45</v>
      </c>
      <c r="B278" s="1120" t="s">
        <v>1141</v>
      </c>
      <c r="C278" s="4">
        <f>'2-60'!H1589</f>
        <v>776.5</v>
      </c>
      <c r="D278" s="1118">
        <f>'2-60'!K1589</f>
        <v>28</v>
      </c>
      <c r="E278" s="1118">
        <v>1</v>
      </c>
      <c r="F278" s="1119">
        <f>'2-60'!L1589</f>
        <v>705063</v>
      </c>
    </row>
    <row r="279" spans="1:6" s="1116" customFormat="1" ht="16.899999999999999" customHeight="1">
      <c r="A279" s="1235">
        <v>46</v>
      </c>
      <c r="B279" s="1120" t="s">
        <v>1651</v>
      </c>
      <c r="C279" s="4">
        <f>'2-60'!H1591</f>
        <v>3621.8</v>
      </c>
      <c r="D279" s="1118">
        <f>'2-60'!K1591</f>
        <v>113</v>
      </c>
      <c r="E279" s="1118">
        <v>2</v>
      </c>
      <c r="F279" s="1119">
        <f>'2-60'!L1591</f>
        <v>3720453.9699999997</v>
      </c>
    </row>
    <row r="280" spans="1:6" s="1116" customFormat="1" ht="16.899999999999999" customHeight="1">
      <c r="A280" s="1235">
        <v>47</v>
      </c>
      <c r="B280" s="1121" t="s">
        <v>1653</v>
      </c>
      <c r="C280" s="4">
        <f>'2-60'!H1594</f>
        <v>9932</v>
      </c>
      <c r="D280" s="1118">
        <f>'2-60'!K1594</f>
        <v>349</v>
      </c>
      <c r="E280" s="1118">
        <v>7</v>
      </c>
      <c r="F280" s="1119">
        <f>'2-60'!L1594</f>
        <v>17028599.800000001</v>
      </c>
    </row>
    <row r="281" spans="1:6" s="1116" customFormat="1" ht="16.899999999999999" customHeight="1">
      <c r="A281" s="1235">
        <v>48</v>
      </c>
      <c r="B281" s="1121" t="s">
        <v>2675</v>
      </c>
      <c r="C281" s="4">
        <f>'2-60'!H1602</f>
        <v>783.2</v>
      </c>
      <c r="D281" s="1118">
        <f>'2-60'!K1602</f>
        <v>32</v>
      </c>
      <c r="E281" s="1118">
        <v>1</v>
      </c>
      <c r="F281" s="1119">
        <f>'2-60'!L1602</f>
        <v>2111734.0099999998</v>
      </c>
    </row>
    <row r="282" spans="1:6" s="1116" customFormat="1" ht="16.899999999999999" customHeight="1">
      <c r="A282" s="1235"/>
      <c r="B282" s="1120" t="s">
        <v>64</v>
      </c>
      <c r="C282" s="4">
        <f>C283</f>
        <v>1121.9000000000001</v>
      </c>
      <c r="D282" s="1118">
        <f t="shared" ref="D282:F282" si="54">D283</f>
        <v>72</v>
      </c>
      <c r="E282" s="1118">
        <f t="shared" si="54"/>
        <v>3</v>
      </c>
      <c r="F282" s="1119">
        <f t="shared" si="54"/>
        <v>5909129.8099999996</v>
      </c>
    </row>
    <row r="283" spans="1:6" s="1116" customFormat="1" ht="16.899999999999999" customHeight="1">
      <c r="A283" s="1235">
        <v>49</v>
      </c>
      <c r="B283" s="1120" t="s">
        <v>1077</v>
      </c>
      <c r="C283" s="4">
        <f>'2-60'!H1605</f>
        <v>1121.9000000000001</v>
      </c>
      <c r="D283" s="1118">
        <f>'2-60'!K1605</f>
        <v>72</v>
      </c>
      <c r="E283" s="1118">
        <v>3</v>
      </c>
      <c r="F283" s="1119">
        <f>'2-60'!L1605</f>
        <v>5909129.8099999996</v>
      </c>
    </row>
    <row r="284" spans="1:6" s="1116" customFormat="1" ht="16.899999999999999" customHeight="1">
      <c r="A284" s="1235"/>
      <c r="B284" s="1120" t="s">
        <v>211</v>
      </c>
      <c r="C284" s="4">
        <f>C285+C286+C287</f>
        <v>1483.4</v>
      </c>
      <c r="D284" s="1118">
        <f t="shared" ref="D284:F284" si="55">D285+D286+D287</f>
        <v>44</v>
      </c>
      <c r="E284" s="1118">
        <f t="shared" si="55"/>
        <v>3</v>
      </c>
      <c r="F284" s="1119">
        <f t="shared" si="55"/>
        <v>4149700.9699999997</v>
      </c>
    </row>
    <row r="285" spans="1:6" s="1116" customFormat="1" ht="16.899999999999999" customHeight="1">
      <c r="A285" s="1235">
        <v>50</v>
      </c>
      <c r="B285" s="1120" t="s">
        <v>1159</v>
      </c>
      <c r="C285" s="4">
        <f>'2-60'!H1610</f>
        <v>388.1</v>
      </c>
      <c r="D285" s="1118">
        <f>'2-60'!K1610</f>
        <v>17</v>
      </c>
      <c r="E285" s="1118">
        <v>1</v>
      </c>
      <c r="F285" s="1119">
        <f>'2-60'!L1610</f>
        <v>1116919</v>
      </c>
    </row>
    <row r="286" spans="1:6" s="1116" customFormat="1" ht="16.899999999999999" customHeight="1">
      <c r="A286" s="1235">
        <v>51</v>
      </c>
      <c r="B286" s="1120" t="s">
        <v>1078</v>
      </c>
      <c r="C286" s="4">
        <f>'2-60'!H1612</f>
        <v>494.8</v>
      </c>
      <c r="D286" s="1118">
        <f>'2-60'!K1612</f>
        <v>12</v>
      </c>
      <c r="E286" s="1118">
        <v>1</v>
      </c>
      <c r="F286" s="1119">
        <f>'2-60'!L1612</f>
        <v>1537679</v>
      </c>
    </row>
    <row r="287" spans="1:6" s="1116" customFormat="1" ht="16.899999999999999" customHeight="1">
      <c r="A287" s="1235">
        <v>52</v>
      </c>
      <c r="B287" s="1120" t="s">
        <v>1079</v>
      </c>
      <c r="C287" s="4">
        <f>'2-60'!H1614</f>
        <v>600.5</v>
      </c>
      <c r="D287" s="1118">
        <f>'2-60'!K1614</f>
        <v>15</v>
      </c>
      <c r="E287" s="1118">
        <v>1</v>
      </c>
      <c r="F287" s="1119">
        <f>'2-60'!L1614</f>
        <v>1495102.97</v>
      </c>
    </row>
    <row r="288" spans="1:6" s="1116" customFormat="1" ht="16.899999999999999" customHeight="1">
      <c r="A288" s="1235"/>
      <c r="B288" s="1120" t="s">
        <v>66</v>
      </c>
      <c r="C288" s="4">
        <f>C290+C289</f>
        <v>1095.4000000000001</v>
      </c>
      <c r="D288" s="1118">
        <f t="shared" ref="D288:F288" si="56">D290+D289</f>
        <v>32</v>
      </c>
      <c r="E288" s="1118">
        <f t="shared" si="56"/>
        <v>2</v>
      </c>
      <c r="F288" s="1119">
        <f t="shared" si="56"/>
        <v>1851411.42</v>
      </c>
    </row>
    <row r="289" spans="1:6" s="1116" customFormat="1" ht="16.899999999999999" customHeight="1">
      <c r="A289" s="1235">
        <v>53</v>
      </c>
      <c r="B289" s="1120" t="s">
        <v>1081</v>
      </c>
      <c r="C289" s="4">
        <f>'2-60'!H1617</f>
        <v>419.5</v>
      </c>
      <c r="D289" s="1118">
        <f>'2-60'!K1617</f>
        <v>9</v>
      </c>
      <c r="E289" s="1118">
        <v>1</v>
      </c>
      <c r="F289" s="1119">
        <f>'2-60'!L1617</f>
        <v>1439531</v>
      </c>
    </row>
    <row r="290" spans="1:6" s="1116" customFormat="1" ht="16.899999999999999" customHeight="1">
      <c r="A290" s="1235">
        <v>54</v>
      </c>
      <c r="B290" s="1120" t="s">
        <v>1080</v>
      </c>
      <c r="C290" s="4">
        <f>'2-60'!H1619</f>
        <v>675.9</v>
      </c>
      <c r="D290" s="1118">
        <f>'2-60'!K1619</f>
        <v>23</v>
      </c>
      <c r="E290" s="1118">
        <v>1</v>
      </c>
      <c r="F290" s="1119">
        <f>'2-60'!L1619</f>
        <v>411880.42</v>
      </c>
    </row>
    <row r="291" spans="1:6" s="1116" customFormat="1" ht="16.899999999999999" customHeight="1">
      <c r="A291" s="1235">
        <v>55</v>
      </c>
      <c r="B291" s="1120" t="s">
        <v>1122</v>
      </c>
      <c r="C291" s="4">
        <f>'2-60'!H1621</f>
        <v>5114.17</v>
      </c>
      <c r="D291" s="1118">
        <f>'2-60'!K1622</f>
        <v>180</v>
      </c>
      <c r="E291" s="1118">
        <v>1</v>
      </c>
      <c r="F291" s="1119">
        <f>'2-60'!L1621</f>
        <v>12132544</v>
      </c>
    </row>
    <row r="292" spans="1:6" s="1116" customFormat="1" ht="16.899999999999999" customHeight="1">
      <c r="A292" s="1235"/>
      <c r="B292" s="1112" t="s">
        <v>67</v>
      </c>
      <c r="C292" s="4">
        <f>C295+C294+C293</f>
        <v>5621.8</v>
      </c>
      <c r="D292" s="1118">
        <f t="shared" ref="D292:F292" si="57">D295+D294+D293</f>
        <v>207</v>
      </c>
      <c r="E292" s="1118">
        <f t="shared" si="57"/>
        <v>4</v>
      </c>
      <c r="F292" s="1119">
        <f t="shared" si="57"/>
        <v>7537035</v>
      </c>
    </row>
    <row r="293" spans="1:6">
      <c r="A293" s="1235">
        <v>56</v>
      </c>
      <c r="B293" s="1120" t="s">
        <v>1383</v>
      </c>
      <c r="C293" s="4">
        <f>'2-60'!H1624</f>
        <v>403.1</v>
      </c>
      <c r="D293" s="1118">
        <f>'2-60'!K1624</f>
        <v>22</v>
      </c>
      <c r="E293" s="1118">
        <v>1</v>
      </c>
      <c r="F293" s="1119">
        <f>'2-60'!L1624</f>
        <v>1191810</v>
      </c>
    </row>
    <row r="294" spans="1:6">
      <c r="A294" s="1235">
        <v>57</v>
      </c>
      <c r="B294" s="1120" t="s">
        <v>1167</v>
      </c>
      <c r="C294" s="4">
        <f>'2-60'!H1629</f>
        <v>1155.5</v>
      </c>
      <c r="D294" s="1118">
        <f>'2-60'!K1629</f>
        <v>57</v>
      </c>
      <c r="E294" s="1118">
        <v>1</v>
      </c>
      <c r="F294" s="1119">
        <f>'2-60'!L1629</f>
        <v>1626080</v>
      </c>
    </row>
    <row r="295" spans="1:6">
      <c r="A295" s="1235">
        <v>58</v>
      </c>
      <c r="B295" s="1120" t="s">
        <v>1233</v>
      </c>
      <c r="C295" s="4">
        <f>'2-60'!H1626</f>
        <v>4063.2</v>
      </c>
      <c r="D295" s="1118">
        <f>'2-60'!K1626</f>
        <v>128</v>
      </c>
      <c r="E295" s="1118">
        <v>2</v>
      </c>
      <c r="F295" s="1119">
        <f>'2-60'!L1626</f>
        <v>4719145</v>
      </c>
    </row>
    <row r="296" spans="1:6">
      <c r="F296" s="1224" t="s">
        <v>2297</v>
      </c>
    </row>
  </sheetData>
  <autoFilter ref="A5:F295"/>
  <customSheetViews>
    <customSheetView guid="{971AA6D5-B469-4A54-816C-1252CCB6D265}" scale="90" showPageBreaks="1" fitToPage="1" printArea="1" showAutoFilter="1" view="pageBreakPreview">
      <pane xSplit="5" ySplit="6" topLeftCell="F121" activePane="bottomRight" state="frozen"/>
      <selection pane="bottomRight" activeCell="A249" sqref="A249"/>
      <pageMargins left="0.62992125984251968" right="0.51181102362204722" top="0.82677165354330717" bottom="0.43307086614173229" header="0.51181102362204722" footer="0.31496062992125984"/>
      <printOptions horizontalCentered="1"/>
      <pageSetup paperSize="9" scale="81" firstPageNumber="100" fitToHeight="0" orientation="landscape" useFirstPageNumber="1" r:id="rId1"/>
      <headerFooter>
        <oddHeader>&amp;C&amp;"Times New Roman,обычный"&amp;12&amp;P</oddHeader>
      </headerFooter>
      <autoFilter ref="A5:F248"/>
    </customSheetView>
    <customSheetView guid="{DFE5B545-478C-4B86-847C-1FEE882C6F69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2"/>
      <headerFooter>
        <oddHeader>&amp;C&amp;"Times New Roman,обычный"&amp;14&amp;P</oddHeader>
      </headerFooter>
      <autoFilter ref="A5:F327"/>
    </customSheetView>
    <customSheetView guid="{4C44C113-DA02-468D-99C5-83FA6693F42F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3"/>
      <headerFooter>
        <oddHeader>&amp;C&amp;"Times New Roman,обычный"&amp;14&amp;P</oddHeader>
      </headerFooter>
      <autoFilter ref="A5:F327"/>
    </customSheetView>
    <customSheetView guid="{570403C4-1D93-4175-B4D8-BD47D46CE99C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4"/>
      <headerFooter>
        <oddHeader>&amp;C&amp;"Times New Roman,обычный"&amp;14&amp;P</oddHeader>
      </headerFooter>
      <autoFilter ref="A5:F327"/>
    </customSheetView>
    <customSheetView guid="{B1841E62-04AF-4786-8B2B-B1F42C88E6D1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5"/>
      <headerFooter>
        <oddHeader>&amp;C&amp;"Times New Roman,обычный"&amp;14&amp;P</oddHeader>
      </headerFooter>
      <autoFilter ref="A5:F327"/>
    </customSheetView>
    <customSheetView guid="{A28C0ADC-4E0C-4A0A-ACB1-DA409183476D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6"/>
      <headerFooter>
        <oddHeader>&amp;C&amp;"Times New Roman,обычный"&amp;14&amp;P</oddHeader>
      </headerFooter>
      <autoFilter ref="A5:F327"/>
    </customSheetView>
    <customSheetView guid="{144E5A37-1CF2-41F0-BEF8-CB5D4D392E2A}" scale="73" showPageBreaks="1" fitToPage="1" printArea="1" showAutoFilter="1" view="pageBreakPreview">
      <pane xSplit="4" ySplit="5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7"/>
      <headerFooter>
        <oddHeader>&amp;C&amp;"Times New Roman,обычный"&amp;14&amp;P</oddHeader>
      </headerFooter>
      <autoFilter ref="A5:F327"/>
    </customSheetView>
    <customSheetView guid="{7A75CCE7-0E84-47E6-A162-5AC0354F296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8"/>
      <headerFooter>
        <oddHeader>&amp;C&amp;"Times New Roman,обычный"&amp;14&amp;P</oddHeader>
      </headerFooter>
      <autoFilter ref="A5:F327"/>
    </customSheetView>
    <customSheetView guid="{A6187BD3-0BA4-497C-8924-4FA3D77530F0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9"/>
      <headerFooter>
        <oddHeader>&amp;C&amp;"Times New Roman,обычный"&amp;14&amp;P</oddHeader>
      </headerFooter>
      <autoFilter ref="A5:F327"/>
    </customSheetView>
    <customSheetView guid="{DC88C499-913F-4D15-846E-E5B9D5E047D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10"/>
      <headerFooter>
        <oddHeader>&amp;C&amp;"Times New Roman,обычный"&amp;14&amp;P</oddHeader>
      </headerFooter>
      <autoFilter ref="A5:F327"/>
    </customSheetView>
  </customSheetViews>
  <mergeCells count="12">
    <mergeCell ref="A222:F222"/>
    <mergeCell ref="A8:F8"/>
    <mergeCell ref="A89:F89"/>
    <mergeCell ref="A153:F153"/>
    <mergeCell ref="A1:F1"/>
    <mergeCell ref="A2:A4"/>
    <mergeCell ref="B2:B4"/>
    <mergeCell ref="C2:C3"/>
    <mergeCell ref="D2:D3"/>
    <mergeCell ref="E2:E3"/>
    <mergeCell ref="F2:F3"/>
    <mergeCell ref="A6:F6"/>
  </mergeCells>
  <printOptions horizontalCentered="1"/>
  <pageMargins left="0.39370078740157483" right="0.39370078740157483" top="1.1811023622047245" bottom="0.39370078740157483" header="0.70866141732283472" footer="0.31496062992125984"/>
  <pageSetup paperSize="9" scale="84" firstPageNumber="107" fitToHeight="0" orientation="landscape" useFirstPageNumber="1" r:id="rId1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часть 1</vt:lpstr>
      <vt:lpstr>часть 2</vt:lpstr>
      <vt:lpstr>часть 3</vt:lpstr>
      <vt:lpstr>№ п-п</vt:lpstr>
      <vt:lpstr>2-60</vt:lpstr>
      <vt:lpstr>61-106</vt:lpstr>
      <vt:lpstr>107-117</vt:lpstr>
      <vt:lpstr>'107-117'!Заголовки_для_печати</vt:lpstr>
      <vt:lpstr>'2-60'!Заголовки_для_печати</vt:lpstr>
      <vt:lpstr>'61-106'!Заголовки_для_печати</vt:lpstr>
      <vt:lpstr>'часть 1'!Заголовки_для_печати</vt:lpstr>
      <vt:lpstr>'часть 2'!Заголовки_для_печати</vt:lpstr>
      <vt:lpstr>'часть 3'!Заголовки_для_печати</vt:lpstr>
      <vt:lpstr>'107-117'!Область_печати</vt:lpstr>
      <vt:lpstr>'2-60'!Область_печати</vt:lpstr>
      <vt:lpstr>'61-106'!Область_печати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ШляпинаС</cp:lastModifiedBy>
  <cp:lastPrinted>2022-06-23T08:48:19Z</cp:lastPrinted>
  <dcterms:created xsi:type="dcterms:W3CDTF">2012-12-13T11:50:40Z</dcterms:created>
  <dcterms:modified xsi:type="dcterms:W3CDTF">2022-06-23T10:49:09Z</dcterms:modified>
</cp:coreProperties>
</file>